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sebas\OneDrive\Escritorio\DEUDA\350mm\"/>
    </mc:Choice>
  </mc:AlternateContent>
  <xr:revisionPtr revIDLastSave="0" documentId="13_ncr:1_{8372560C-8D3F-4C58-ABBF-6FCC55B6A381}" xr6:coauthVersionLast="46" xr6:coauthVersionMax="46" xr10:uidLastSave="{00000000-0000-0000-0000-000000000000}"/>
  <bookViews>
    <workbookView xWindow="-120" yWindow="-120" windowWidth="20730" windowHeight="11160" tabRatio="993" xr2:uid="{00000000-000D-0000-FFFF-FFFF00000000}"/>
  </bookViews>
  <sheets>
    <sheet name="Banco de Occidente I" sheetId="2" r:id="rId1"/>
    <sheet name="Davivienda Cupo" sheetId="23" state="hidden" r:id="rId2"/>
    <sheet name="Banco de Occidente II  Cupo" sheetId="29" state="hidden" r:id="rId3"/>
    <sheet name="Banco de Occidente II D 1" sheetId="30" r:id="rId4"/>
    <sheet name="Banco de Occidente II D 2" sheetId="32" r:id="rId5"/>
    <sheet name="Banco de Occidente II D 3" sheetId="33" r:id="rId6"/>
    <sheet name="Banco de Occidente II D 4" sheetId="31" r:id="rId7"/>
    <sheet name="Banco de Bogotá Cupo" sheetId="17" state="hidden" r:id="rId8"/>
    <sheet name="Banco de Occidente II D 5 REAC" sheetId="111" r:id="rId9"/>
    <sheet name="Banco de Occidente II D 6 REAC" sheetId="135" r:id="rId10"/>
    <sheet name="Banco de Occidente II D 7 REAC" sheetId="136" r:id="rId11"/>
    <sheet name="CUADRO LIQ DEUDA BTA" sheetId="92" state="hidden" r:id="rId12"/>
    <sheet name="Banco BBVA CUPO" sheetId="47" state="hidden" r:id="rId13"/>
    <sheet name="pago marzo BBVA" sheetId="90" state="hidden" r:id="rId14"/>
    <sheet name=" BANCO POPULAR CUPO" sheetId="25" state="hidden" r:id="rId15"/>
    <sheet name="BANCO DE OCCIDENTE III CUPO" sheetId="37" state="hidden" r:id="rId16"/>
    <sheet name="Credito - Obras" sheetId="76" state="hidden" r:id="rId17"/>
    <sheet name="IBR" sheetId="9" state="hidden" r:id="rId18"/>
    <sheet name="BANCO DE OCCIDENTE III D1" sheetId="68" r:id="rId19"/>
    <sheet name="Liquidaci occidente II MARZO" sheetId="99" state="hidden" r:id="rId20"/>
    <sheet name="BANCO DE OCCIDENTE III D2" sheetId="100" r:id="rId21"/>
    <sheet name="BANCO DE OCCIDENTE III D3" sheetId="66" r:id="rId22"/>
    <sheet name="BANCO DE OCCIDENTE III D4" sheetId="93" r:id="rId23"/>
    <sheet name="BANCO DE OCC 4 CUPO" sheetId="82" state="hidden" r:id="rId24"/>
    <sheet name="BANCO DE OCCIDENTE III D5" sheetId="113" r:id="rId25"/>
    <sheet name="BANCO DE OCCIDENTE III D6" sheetId="128" r:id="rId26"/>
    <sheet name="BANCO DE OCCIDENTE III D7" sheetId="145" r:id="rId27"/>
    <sheet name="BANCO DE OCCIDENTE IV D1 REACT " sheetId="101" r:id="rId28"/>
    <sheet name="OTROS BANCOS AVVILLAS" sheetId="36" state="hidden" r:id="rId29"/>
    <sheet name="BANCO DE OCCIDENTE IV D2 REACT" sheetId="105" r:id="rId30"/>
    <sheet name="BANCO DE OCCIDENTE IV D3 REACT " sheetId="114" r:id="rId31"/>
    <sheet name="BANCO DE OCCIDENTE IV D4 REAC" sheetId="138" r:id="rId32"/>
    <sheet name="BANCO DE OCCIDENTE IV D5 REAC" sheetId="137" r:id="rId33"/>
    <sheet name="CONSOLIDADO A 2031" sheetId="146" r:id="rId34"/>
  </sheets>
  <externalReferences>
    <externalReference r:id="rId35"/>
    <externalReference r:id="rId36"/>
  </externalReferences>
  <definedNames>
    <definedName name="_xlnm._FilterDatabase" localSheetId="17" hidden="1">IBR!$A$9:$O$1543</definedName>
    <definedName name="_xlnm.Print_Area" localSheetId="4">'Banco de Occidente II D 2'!$A$1:$H$55</definedName>
    <definedName name="_xlnm.Print_Area" localSheetId="5">'Banco de Occidente II D 3'!$A$5:$J$55</definedName>
    <definedName name="_xlnm.Print_Area" localSheetId="15">'BANCO DE OCCIDENTE III CUPO'!$A$1:$H$46</definedName>
    <definedName name="_xlnm.Print_Area" localSheetId="11">'CUADRO LIQ DEUDA BTA'!$A$2:$J$25</definedName>
    <definedName name="_xlnm.Print_Area" localSheetId="19">'Liquidaci occidente II MARZO'!$A$26:$J$46</definedName>
  </definedNames>
  <calcPr calcId="181029"/>
</workbook>
</file>

<file path=xl/calcChain.xml><?xml version="1.0" encoding="utf-8"?>
<calcChain xmlns="http://schemas.openxmlformats.org/spreadsheetml/2006/main">
  <c r="D15" i="100" l="1"/>
  <c r="J54" i="100"/>
  <c r="F53" i="113"/>
  <c r="G53" i="113"/>
  <c r="H53" i="113"/>
  <c r="I53" i="113"/>
  <c r="G53" i="93"/>
  <c r="D12" i="93" s="1"/>
  <c r="H53" i="93"/>
  <c r="I53" i="93"/>
  <c r="J53" i="93"/>
  <c r="D11" i="93"/>
  <c r="D11" i="137" l="1"/>
  <c r="F162" i="137"/>
  <c r="F161" i="137"/>
  <c r="F160" i="137"/>
  <c r="D11" i="138"/>
  <c r="F162" i="138"/>
  <c r="F161" i="138"/>
  <c r="F160" i="138"/>
  <c r="E170" i="114"/>
  <c r="E169" i="114"/>
  <c r="E168" i="114"/>
  <c r="D20" i="114" s="1"/>
  <c r="D150" i="105"/>
  <c r="D149" i="105"/>
  <c r="D148" i="105"/>
  <c r="D147" i="105"/>
  <c r="D146" i="105"/>
  <c r="D145" i="105"/>
  <c r="D144" i="105"/>
  <c r="D143" i="105"/>
  <c r="D142" i="105"/>
  <c r="D141" i="105"/>
  <c r="D140" i="105"/>
  <c r="D139" i="105"/>
  <c r="D138" i="105"/>
  <c r="D137" i="105"/>
  <c r="D136" i="105"/>
  <c r="D135" i="105"/>
  <c r="D134" i="105"/>
  <c r="D133" i="105"/>
  <c r="D132" i="105"/>
  <c r="D131" i="105"/>
  <c r="D130" i="105"/>
  <c r="D129" i="105"/>
  <c r="D128" i="105"/>
  <c r="D127" i="105"/>
  <c r="D126" i="105"/>
  <c r="D125" i="105"/>
  <c r="D124" i="105"/>
  <c r="D123" i="105"/>
  <c r="D122" i="105"/>
  <c r="D121" i="105"/>
  <c r="D120" i="105"/>
  <c r="D119" i="105"/>
  <c r="D118" i="105"/>
  <c r="D117" i="105"/>
  <c r="D116" i="105"/>
  <c r="D115" i="105"/>
  <c r="D114" i="105"/>
  <c r="D113" i="105"/>
  <c r="D112" i="105"/>
  <c r="D111" i="105"/>
  <c r="D110" i="105"/>
  <c r="D109" i="105"/>
  <c r="D108" i="105"/>
  <c r="D107" i="105"/>
  <c r="D106" i="105"/>
  <c r="D105" i="105"/>
  <c r="D104" i="105"/>
  <c r="D103" i="105"/>
  <c r="D102" i="105"/>
  <c r="D101" i="105"/>
  <c r="D100" i="105"/>
  <c r="D99" i="105"/>
  <c r="D98" i="105"/>
  <c r="D97" i="105"/>
  <c r="D96" i="105"/>
  <c r="D95" i="105"/>
  <c r="D94" i="105"/>
  <c r="D93" i="105"/>
  <c r="D92" i="105"/>
  <c r="D91" i="105"/>
  <c r="D90" i="105"/>
  <c r="D89" i="105"/>
  <c r="D88" i="105"/>
  <c r="D87" i="105"/>
  <c r="D86" i="105"/>
  <c r="D85" i="105"/>
  <c r="D84" i="105"/>
  <c r="D83" i="105"/>
  <c r="D82" i="105"/>
  <c r="D81" i="105"/>
  <c r="D80" i="105"/>
  <c r="D79" i="105"/>
  <c r="D78" i="105"/>
  <c r="D77" i="105"/>
  <c r="D76" i="105"/>
  <c r="D75" i="105"/>
  <c r="D74" i="105"/>
  <c r="D73" i="105"/>
  <c r="D72" i="105"/>
  <c r="D71" i="105"/>
  <c r="D70" i="105"/>
  <c r="D69" i="105"/>
  <c r="D68" i="105"/>
  <c r="D67" i="105"/>
  <c r="D66" i="105"/>
  <c r="D65" i="105"/>
  <c r="D64" i="105"/>
  <c r="D63" i="105"/>
  <c r="D62" i="105"/>
  <c r="D61" i="105"/>
  <c r="D60" i="105"/>
  <c r="D59" i="105"/>
  <c r="D58" i="105"/>
  <c r="D57" i="105"/>
  <c r="D56" i="105"/>
  <c r="D55" i="105"/>
  <c r="D54" i="105"/>
  <c r="D53" i="105"/>
  <c r="D52" i="105"/>
  <c r="D51" i="105"/>
  <c r="D50" i="105"/>
  <c r="D49" i="105"/>
  <c r="D48" i="105"/>
  <c r="D47" i="105"/>
  <c r="D46" i="105"/>
  <c r="D45" i="105"/>
  <c r="D44" i="105"/>
  <c r="D43" i="105"/>
  <c r="D42" i="105"/>
  <c r="D41" i="105"/>
  <c r="D40" i="105"/>
  <c r="D39" i="105"/>
  <c r="D38" i="105"/>
  <c r="D37" i="105"/>
  <c r="D36" i="105"/>
  <c r="D35" i="105"/>
  <c r="D34" i="105"/>
  <c r="D29" i="105"/>
  <c r="D33" i="105"/>
  <c r="D32" i="105"/>
  <c r="D31" i="105"/>
  <c r="D30" i="105"/>
  <c r="D28" i="105"/>
  <c r="D27" i="105"/>
  <c r="D26" i="105"/>
  <c r="D25" i="105"/>
  <c r="D24" i="105"/>
  <c r="D23" i="105"/>
  <c r="D22" i="105"/>
  <c r="D21" i="105"/>
  <c r="H171" i="105"/>
  <c r="H170" i="105"/>
  <c r="H169" i="105"/>
  <c r="D24" i="101"/>
  <c r="I171" i="101"/>
  <c r="I170" i="101"/>
  <c r="I169" i="101"/>
  <c r="F54" i="113"/>
  <c r="D11" i="113"/>
  <c r="G54" i="93"/>
  <c r="J58" i="68"/>
  <c r="J57" i="68"/>
  <c r="J56" i="68"/>
  <c r="D15" i="68" s="1"/>
  <c r="D11" i="136"/>
  <c r="F158" i="136"/>
  <c r="F157" i="136"/>
  <c r="D11" i="135"/>
  <c r="F158" i="135"/>
  <c r="F157" i="135"/>
  <c r="G165" i="111"/>
  <c r="G164" i="111"/>
  <c r="D21" i="111" s="1"/>
  <c r="F73" i="2"/>
  <c r="E73" i="2"/>
  <c r="F70" i="2"/>
  <c r="F71" i="2" s="1"/>
  <c r="P6" i="146"/>
  <c r="J6" i="146"/>
  <c r="P16" i="146"/>
  <c r="P15" i="146"/>
  <c r="P14" i="146"/>
  <c r="P13" i="146"/>
  <c r="P12" i="146"/>
  <c r="P11" i="146"/>
  <c r="P10" i="146"/>
  <c r="P9" i="146"/>
  <c r="P8" i="146"/>
  <c r="P7" i="146"/>
  <c r="P5" i="146"/>
  <c r="O16" i="146"/>
  <c r="N16" i="146"/>
  <c r="N15" i="146"/>
  <c r="N6" i="146"/>
  <c r="N5" i="146"/>
  <c r="J18" i="146"/>
  <c r="J17" i="146"/>
  <c r="J16" i="146"/>
  <c r="J15" i="146"/>
  <c r="J14" i="146"/>
  <c r="J13" i="146"/>
  <c r="J12" i="146"/>
  <c r="J11" i="146"/>
  <c r="J10" i="146"/>
  <c r="J9" i="146"/>
  <c r="J8" i="146"/>
  <c r="J7" i="146"/>
  <c r="J5" i="146"/>
  <c r="J4" i="146"/>
  <c r="I5" i="146"/>
  <c r="I4" i="146"/>
  <c r="H18" i="146"/>
  <c r="H17" i="146"/>
  <c r="H16" i="146"/>
  <c r="H15" i="146"/>
  <c r="H14" i="146"/>
  <c r="H13" i="146"/>
  <c r="H12" i="146"/>
  <c r="H11" i="146"/>
  <c r="H10" i="146"/>
  <c r="H9" i="146"/>
  <c r="H8" i="146"/>
  <c r="H7" i="146"/>
  <c r="H6" i="146"/>
  <c r="H5" i="146"/>
  <c r="M6" i="146" l="1"/>
  <c r="H20" i="146"/>
  <c r="W7" i="146"/>
  <c r="W6" i="146"/>
  <c r="W20" i="146" s="1"/>
  <c r="Q8" i="146"/>
  <c r="Q7" i="146"/>
  <c r="Q6" i="146"/>
  <c r="K8" i="146"/>
  <c r="K7" i="146"/>
  <c r="K6" i="146"/>
  <c r="E8" i="146"/>
  <c r="E7" i="146"/>
  <c r="V6" i="146"/>
  <c r="P20" i="146"/>
  <c r="M7" i="146"/>
  <c r="D6" i="146"/>
  <c r="E20" i="146"/>
  <c r="Y19" i="146"/>
  <c r="Y4" i="146"/>
  <c r="Y3" i="146"/>
  <c r="X19" i="146"/>
  <c r="X4" i="146"/>
  <c r="X3" i="146"/>
  <c r="S15" i="146"/>
  <c r="S16" i="146"/>
  <c r="S17" i="146"/>
  <c r="S18" i="146"/>
  <c r="S19" i="146"/>
  <c r="S5" i="146"/>
  <c r="R16" i="146"/>
  <c r="R17" i="146"/>
  <c r="R18" i="146"/>
  <c r="R19" i="146"/>
  <c r="R4" i="146"/>
  <c r="R3" i="146"/>
  <c r="M8" i="146"/>
  <c r="M9" i="146"/>
  <c r="M10" i="146"/>
  <c r="M11" i="146"/>
  <c r="M12" i="146"/>
  <c r="M13" i="146"/>
  <c r="M14" i="146"/>
  <c r="M15" i="146"/>
  <c r="M16" i="146"/>
  <c r="M17" i="146"/>
  <c r="M18" i="146"/>
  <c r="M19" i="146"/>
  <c r="M5" i="146"/>
  <c r="M4" i="146"/>
  <c r="M3" i="146"/>
  <c r="L5" i="146"/>
  <c r="L19" i="146"/>
  <c r="L4" i="146"/>
  <c r="L3" i="146"/>
  <c r="V18" i="146"/>
  <c r="V17" i="146"/>
  <c r="V16" i="146"/>
  <c r="V15" i="146"/>
  <c r="V14" i="146"/>
  <c r="V13" i="146"/>
  <c r="V12" i="146"/>
  <c r="V11" i="146"/>
  <c r="V10" i="146"/>
  <c r="V9" i="146"/>
  <c r="V8" i="146"/>
  <c r="V7" i="146"/>
  <c r="V5" i="146"/>
  <c r="G10" i="146"/>
  <c r="G12" i="146"/>
  <c r="G16" i="146"/>
  <c r="G17" i="146"/>
  <c r="G18" i="146"/>
  <c r="G19" i="146"/>
  <c r="D15" i="146"/>
  <c r="D14" i="146"/>
  <c r="D13" i="146"/>
  <c r="D12" i="146"/>
  <c r="D11" i="146"/>
  <c r="D10" i="146"/>
  <c r="D9" i="146"/>
  <c r="D8" i="146"/>
  <c r="G8" i="146" s="1"/>
  <c r="D7" i="146"/>
  <c r="D5" i="146"/>
  <c r="D4" i="146"/>
  <c r="D3" i="146"/>
  <c r="F16" i="146"/>
  <c r="F17" i="146"/>
  <c r="F18" i="146"/>
  <c r="F19" i="146"/>
  <c r="U5" i="146"/>
  <c r="C3" i="146"/>
  <c r="T18" i="146"/>
  <c r="Y18" i="146" s="1"/>
  <c r="T17" i="146"/>
  <c r="Y17" i="146" s="1"/>
  <c r="T16" i="146"/>
  <c r="Y16" i="146" s="1"/>
  <c r="T15" i="146"/>
  <c r="T14" i="146"/>
  <c r="T13" i="146"/>
  <c r="T12" i="146"/>
  <c r="T11" i="146"/>
  <c r="T10" i="146"/>
  <c r="T9" i="146"/>
  <c r="Y9" i="146" s="1"/>
  <c r="T8" i="146"/>
  <c r="Y8" i="146" s="1"/>
  <c r="A24" i="101"/>
  <c r="A25" i="101" s="1"/>
  <c r="A26" i="101" s="1"/>
  <c r="A27" i="101" s="1"/>
  <c r="A28" i="101" s="1"/>
  <c r="A29" i="101" s="1"/>
  <c r="A30" i="101" s="1"/>
  <c r="A31" i="101" s="1"/>
  <c r="A32" i="101" s="1"/>
  <c r="A33" i="101" s="1"/>
  <c r="A34" i="101" s="1"/>
  <c r="A35" i="101" s="1"/>
  <c r="A36" i="101" s="1"/>
  <c r="A37" i="101" s="1"/>
  <c r="A38" i="101" s="1"/>
  <c r="A39" i="101" s="1"/>
  <c r="A40" i="101" s="1"/>
  <c r="A41" i="101" s="1"/>
  <c r="A42" i="101" s="1"/>
  <c r="A43" i="101" s="1"/>
  <c r="A44" i="101" s="1"/>
  <c r="A45" i="101" s="1"/>
  <c r="A46" i="101" s="1"/>
  <c r="A47" i="101" s="1"/>
  <c r="A48" i="101" s="1"/>
  <c r="A49" i="101" s="1"/>
  <c r="A50" i="101" s="1"/>
  <c r="A51" i="101" s="1"/>
  <c r="A52" i="101" s="1"/>
  <c r="A53" i="101" s="1"/>
  <c r="A54" i="101" s="1"/>
  <c r="A55" i="101" s="1"/>
  <c r="A56" i="101" s="1"/>
  <c r="A57" i="101" s="1"/>
  <c r="A58" i="101" s="1"/>
  <c r="A59" i="101" s="1"/>
  <c r="A60" i="101" s="1"/>
  <c r="A61" i="101" s="1"/>
  <c r="A62" i="101" s="1"/>
  <c r="A63" i="101" s="1"/>
  <c r="A64" i="101" s="1"/>
  <c r="A65" i="101" s="1"/>
  <c r="A66" i="101" s="1"/>
  <c r="A67" i="101" s="1"/>
  <c r="A68" i="101" s="1"/>
  <c r="A69" i="101" s="1"/>
  <c r="A70" i="101" s="1"/>
  <c r="A71" i="101" s="1"/>
  <c r="A72" i="101" s="1"/>
  <c r="A73" i="101" s="1"/>
  <c r="A74" i="101" s="1"/>
  <c r="A75" i="101" s="1"/>
  <c r="A76" i="101" s="1"/>
  <c r="A77" i="101" s="1"/>
  <c r="A78" i="101" s="1"/>
  <c r="A79" i="101" s="1"/>
  <c r="A80" i="101" s="1"/>
  <c r="A81" i="101" s="1"/>
  <c r="A82" i="101" s="1"/>
  <c r="A83" i="101" s="1"/>
  <c r="A84" i="101" s="1"/>
  <c r="A85" i="101" s="1"/>
  <c r="A86" i="101" s="1"/>
  <c r="A87" i="101" s="1"/>
  <c r="A88" i="101" s="1"/>
  <c r="A89" i="101" s="1"/>
  <c r="A90" i="101" s="1"/>
  <c r="A91" i="101" s="1"/>
  <c r="A92" i="101" s="1"/>
  <c r="A93" i="101" s="1"/>
  <c r="A94" i="101" s="1"/>
  <c r="A95" i="101" s="1"/>
  <c r="A96" i="101" s="1"/>
  <c r="A97" i="101" s="1"/>
  <c r="A98" i="101" s="1"/>
  <c r="A99" i="101" s="1"/>
  <c r="A100" i="101" s="1"/>
  <c r="A101" i="101" s="1"/>
  <c r="A102" i="101" s="1"/>
  <c r="A103" i="101" s="1"/>
  <c r="A104" i="101" s="1"/>
  <c r="A105" i="101" s="1"/>
  <c r="A106" i="101" s="1"/>
  <c r="A107" i="101" s="1"/>
  <c r="A108" i="101" s="1"/>
  <c r="A109" i="101" s="1"/>
  <c r="A110" i="101" s="1"/>
  <c r="A111" i="101" s="1"/>
  <c r="A112" i="101" s="1"/>
  <c r="A113" i="101" s="1"/>
  <c r="A114" i="101" s="1"/>
  <c r="A115" i="101" s="1"/>
  <c r="A116" i="101" s="1"/>
  <c r="A117" i="101" s="1"/>
  <c r="A118" i="101" s="1"/>
  <c r="A119" i="101" s="1"/>
  <c r="A120" i="101" s="1"/>
  <c r="A121" i="101" s="1"/>
  <c r="A122" i="101" s="1"/>
  <c r="A123" i="101" s="1"/>
  <c r="A124" i="101" s="1"/>
  <c r="A125" i="101" s="1"/>
  <c r="A126" i="101" s="1"/>
  <c r="A127" i="101" s="1"/>
  <c r="A128" i="101" s="1"/>
  <c r="A129" i="101" s="1"/>
  <c r="A130" i="101" s="1"/>
  <c r="A131" i="101" s="1"/>
  <c r="A132" i="101" s="1"/>
  <c r="A133" i="101" s="1"/>
  <c r="A134" i="101" s="1"/>
  <c r="A135" i="101" s="1"/>
  <c r="A136" i="101" s="1"/>
  <c r="A137" i="101" s="1"/>
  <c r="A138" i="101" s="1"/>
  <c r="A139" i="101" s="1"/>
  <c r="A140" i="101" s="1"/>
  <c r="A141" i="101" s="1"/>
  <c r="A142" i="101" s="1"/>
  <c r="A143" i="101" s="1"/>
  <c r="A144" i="101" s="1"/>
  <c r="A145" i="101" s="1"/>
  <c r="A146" i="101" s="1"/>
  <c r="A147" i="101" s="1"/>
  <c r="A148" i="101" s="1"/>
  <c r="A149" i="101" s="1"/>
  <c r="A150" i="101" s="1"/>
  <c r="A7" i="101"/>
  <c r="T7" i="146"/>
  <c r="T6" i="146"/>
  <c r="T5" i="146"/>
  <c r="H4" i="146"/>
  <c r="B15" i="146"/>
  <c r="G15" i="146" s="1"/>
  <c r="B14" i="146"/>
  <c r="G14" i="146" s="1"/>
  <c r="B13" i="146"/>
  <c r="G13" i="146" s="1"/>
  <c r="B12" i="146"/>
  <c r="B11" i="146"/>
  <c r="B10" i="146"/>
  <c r="B9" i="146"/>
  <c r="G9" i="146" s="1"/>
  <c r="B8" i="146"/>
  <c r="B4" i="146"/>
  <c r="B3" i="146"/>
  <c r="G4" i="146" l="1"/>
  <c r="Y6" i="146"/>
  <c r="X5" i="146"/>
  <c r="Y15" i="146"/>
  <c r="Y14" i="146"/>
  <c r="Y13" i="146"/>
  <c r="Y5" i="146"/>
  <c r="Y12" i="146"/>
  <c r="Y11" i="146"/>
  <c r="Y10" i="146"/>
  <c r="Y7" i="146"/>
  <c r="Q20" i="146"/>
  <c r="S6" i="146"/>
  <c r="F3" i="146"/>
  <c r="G3" i="146"/>
  <c r="G11" i="146"/>
  <c r="K20" i="146"/>
  <c r="V20" i="146"/>
  <c r="J20" i="146"/>
  <c r="M20" i="146"/>
  <c r="D20" i="146"/>
  <c r="T20" i="146"/>
  <c r="B171" i="101"/>
  <c r="C171" i="101"/>
  <c r="D171" i="101"/>
  <c r="E171" i="101"/>
  <c r="F171" i="101"/>
  <c r="G171" i="101"/>
  <c r="H171" i="101"/>
  <c r="K162" i="101"/>
  <c r="J162" i="101"/>
  <c r="I162" i="101"/>
  <c r="H162" i="101"/>
  <c r="G162" i="101"/>
  <c r="F162" i="101"/>
  <c r="E162" i="101"/>
  <c r="D162" i="101"/>
  <c r="C162" i="101"/>
  <c r="B162" i="101"/>
  <c r="D170" i="114"/>
  <c r="C170" i="114"/>
  <c r="B170" i="114"/>
  <c r="K162" i="114"/>
  <c r="J162" i="114"/>
  <c r="I162" i="114"/>
  <c r="H162" i="114"/>
  <c r="G162" i="114"/>
  <c r="F162" i="114"/>
  <c r="E162" i="114"/>
  <c r="D162" i="114"/>
  <c r="C162" i="114"/>
  <c r="B162" i="114"/>
  <c r="B162" i="138"/>
  <c r="C162" i="138"/>
  <c r="D162" i="138"/>
  <c r="E162" i="138"/>
  <c r="B162" i="137"/>
  <c r="C162" i="137"/>
  <c r="D162" i="137"/>
  <c r="E162" i="137"/>
  <c r="E151" i="137"/>
  <c r="C151" i="137"/>
  <c r="F11" i="137"/>
  <c r="F151" i="137" s="1"/>
  <c r="F12" i="137"/>
  <c r="F13" i="137"/>
  <c r="F14" i="137"/>
  <c r="F15" i="137"/>
  <c r="F16" i="137"/>
  <c r="F17" i="137"/>
  <c r="F18" i="137"/>
  <c r="F19" i="137"/>
  <c r="F20" i="137"/>
  <c r="F21" i="137"/>
  <c r="F22" i="137"/>
  <c r="F23" i="137"/>
  <c r="F24" i="137"/>
  <c r="F25" i="137"/>
  <c r="F26" i="137"/>
  <c r="F27" i="137"/>
  <c r="F28" i="137"/>
  <c r="F29" i="137"/>
  <c r="F30" i="137"/>
  <c r="F31" i="137"/>
  <c r="F32" i="137"/>
  <c r="F33" i="137"/>
  <c r="F34" i="137"/>
  <c r="F35" i="137"/>
  <c r="F36" i="137"/>
  <c r="F37" i="137"/>
  <c r="F38" i="137"/>
  <c r="F39" i="137"/>
  <c r="F40" i="137"/>
  <c r="F41" i="137"/>
  <c r="F42" i="137"/>
  <c r="F43" i="137"/>
  <c r="F44" i="137"/>
  <c r="F45" i="137"/>
  <c r="F46" i="137"/>
  <c r="F47" i="137"/>
  <c r="F48" i="137"/>
  <c r="F49" i="137"/>
  <c r="F50" i="137"/>
  <c r="F51" i="137"/>
  <c r="F52" i="137"/>
  <c r="F53" i="137"/>
  <c r="F54" i="137"/>
  <c r="F55" i="137"/>
  <c r="F56" i="137"/>
  <c r="F57" i="137"/>
  <c r="F58" i="137"/>
  <c r="F59" i="137"/>
  <c r="F60" i="137"/>
  <c r="F61" i="137"/>
  <c r="F62" i="137"/>
  <c r="F63" i="137"/>
  <c r="F64" i="137"/>
  <c r="F65" i="137"/>
  <c r="F66" i="137"/>
  <c r="F67" i="137"/>
  <c r="F68" i="137"/>
  <c r="F69" i="137"/>
  <c r="F70" i="137"/>
  <c r="F71" i="137"/>
  <c r="F72" i="137"/>
  <c r="F73" i="137"/>
  <c r="F74" i="137"/>
  <c r="F75" i="137"/>
  <c r="F76" i="137"/>
  <c r="F77" i="137"/>
  <c r="F78" i="137"/>
  <c r="F79" i="137"/>
  <c r="F80" i="137"/>
  <c r="F81" i="137"/>
  <c r="F82" i="137"/>
  <c r="F83" i="137"/>
  <c r="F84" i="137"/>
  <c r="F85" i="137"/>
  <c r="F86" i="137"/>
  <c r="F87" i="137"/>
  <c r="F88" i="137"/>
  <c r="F89" i="137"/>
  <c r="F90" i="137"/>
  <c r="F91" i="137"/>
  <c r="F92" i="137"/>
  <c r="F93" i="137"/>
  <c r="F94" i="137"/>
  <c r="F95" i="137"/>
  <c r="F96" i="137"/>
  <c r="F97" i="137"/>
  <c r="F98" i="137"/>
  <c r="F99" i="137"/>
  <c r="F100" i="137"/>
  <c r="F101" i="137"/>
  <c r="F102" i="137"/>
  <c r="F103" i="137"/>
  <c r="F104" i="137"/>
  <c r="F105" i="137"/>
  <c r="F106" i="137"/>
  <c r="F107" i="137"/>
  <c r="F108" i="137"/>
  <c r="F109" i="137"/>
  <c r="F110" i="137"/>
  <c r="F111" i="137"/>
  <c r="F112" i="137"/>
  <c r="F113" i="137"/>
  <c r="F114" i="137"/>
  <c r="F115" i="137"/>
  <c r="F116" i="137"/>
  <c r="F117" i="137"/>
  <c r="F118" i="137"/>
  <c r="F119" i="137"/>
  <c r="F120" i="137"/>
  <c r="F121" i="137"/>
  <c r="F122" i="137"/>
  <c r="F123" i="137"/>
  <c r="F124" i="137"/>
  <c r="F125" i="137"/>
  <c r="F126" i="137"/>
  <c r="F127" i="137"/>
  <c r="F128" i="137"/>
  <c r="F129" i="137"/>
  <c r="F130" i="137"/>
  <c r="F131" i="137"/>
  <c r="F132" i="137"/>
  <c r="F133" i="137"/>
  <c r="F134" i="137"/>
  <c r="F135" i="137"/>
  <c r="F136" i="137"/>
  <c r="F137" i="137"/>
  <c r="F138" i="137"/>
  <c r="F139" i="137"/>
  <c r="F140" i="137"/>
  <c r="F141" i="137"/>
  <c r="F142" i="137"/>
  <c r="F143" i="137"/>
  <c r="F144" i="137"/>
  <c r="F145" i="137"/>
  <c r="F146" i="137"/>
  <c r="F147" i="137"/>
  <c r="F148" i="137"/>
  <c r="F149" i="137"/>
  <c r="F150" i="137"/>
  <c r="F7" i="137"/>
  <c r="F8" i="137"/>
  <c r="F9" i="137"/>
  <c r="F10" i="137"/>
  <c r="E151" i="138"/>
  <c r="C151" i="138"/>
  <c r="F68" i="138"/>
  <c r="F69" i="138"/>
  <c r="F70" i="138"/>
  <c r="F71" i="138"/>
  <c r="F72" i="138"/>
  <c r="F73" i="138"/>
  <c r="F74" i="138"/>
  <c r="F75" i="138"/>
  <c r="F76" i="138"/>
  <c r="F77" i="138"/>
  <c r="F78" i="138"/>
  <c r="F79" i="138"/>
  <c r="F80" i="138"/>
  <c r="F81" i="138"/>
  <c r="F82" i="138"/>
  <c r="F83" i="138"/>
  <c r="F84" i="138"/>
  <c r="F85" i="138"/>
  <c r="F86" i="138"/>
  <c r="F87" i="138"/>
  <c r="F88" i="138"/>
  <c r="F89" i="138"/>
  <c r="F90" i="138"/>
  <c r="F91" i="138"/>
  <c r="F92" i="138"/>
  <c r="F93" i="138"/>
  <c r="F94" i="138"/>
  <c r="F95" i="138"/>
  <c r="F96" i="138"/>
  <c r="F97" i="138"/>
  <c r="F98" i="138"/>
  <c r="F99" i="138"/>
  <c r="F100" i="138"/>
  <c r="F101" i="138"/>
  <c r="F102" i="138"/>
  <c r="F103" i="138"/>
  <c r="F104" i="138"/>
  <c r="F105" i="138"/>
  <c r="F106" i="138"/>
  <c r="F107" i="138"/>
  <c r="F108" i="138"/>
  <c r="F109" i="138"/>
  <c r="F110" i="138"/>
  <c r="F111" i="138"/>
  <c r="F112" i="138"/>
  <c r="F113" i="138"/>
  <c r="F114" i="138"/>
  <c r="F115" i="138"/>
  <c r="F116" i="138"/>
  <c r="F117" i="138"/>
  <c r="F118" i="138"/>
  <c r="F119" i="138"/>
  <c r="F120" i="138"/>
  <c r="F121" i="138"/>
  <c r="F122" i="138"/>
  <c r="F123" i="138"/>
  <c r="F124" i="138"/>
  <c r="F125" i="138"/>
  <c r="F126" i="138"/>
  <c r="F127" i="138"/>
  <c r="F128" i="138"/>
  <c r="F129" i="138"/>
  <c r="F130" i="138"/>
  <c r="F131" i="138"/>
  <c r="F132" i="138"/>
  <c r="F133" i="138"/>
  <c r="F134" i="138"/>
  <c r="F135" i="138"/>
  <c r="F136" i="138"/>
  <c r="F137" i="138"/>
  <c r="F138" i="138"/>
  <c r="F139" i="138"/>
  <c r="F140" i="138"/>
  <c r="F141" i="138"/>
  <c r="F142" i="138"/>
  <c r="F143" i="138"/>
  <c r="F144" i="138"/>
  <c r="F145" i="138"/>
  <c r="F146" i="138"/>
  <c r="F147" i="138"/>
  <c r="F148" i="138"/>
  <c r="F149" i="138"/>
  <c r="F150" i="138"/>
  <c r="F31" i="138"/>
  <c r="F7" i="138"/>
  <c r="F47" i="138"/>
  <c r="F46" i="138"/>
  <c r="F45" i="138"/>
  <c r="F44" i="138"/>
  <c r="F39" i="138"/>
  <c r="F38" i="138"/>
  <c r="F37" i="138"/>
  <c r="F36" i="138"/>
  <c r="F8" i="138"/>
  <c r="F9" i="138"/>
  <c r="F10" i="138"/>
  <c r="F11" i="138"/>
  <c r="F151" i="138" s="1"/>
  <c r="F12" i="138"/>
  <c r="F13" i="138"/>
  <c r="F14" i="138"/>
  <c r="F15" i="138"/>
  <c r="F16" i="138"/>
  <c r="F17" i="138"/>
  <c r="F18" i="138"/>
  <c r="F19" i="138"/>
  <c r="F20" i="138"/>
  <c r="F21" i="138"/>
  <c r="F22" i="138"/>
  <c r="F23" i="138"/>
  <c r="F24" i="138"/>
  <c r="F25" i="138"/>
  <c r="F26" i="138"/>
  <c r="F27" i="138"/>
  <c r="F28" i="138"/>
  <c r="F29" i="138"/>
  <c r="F30" i="138"/>
  <c r="F32" i="138"/>
  <c r="F33" i="138"/>
  <c r="F34" i="138"/>
  <c r="F35" i="138"/>
  <c r="F40" i="138"/>
  <c r="F41" i="138"/>
  <c r="F42" i="138"/>
  <c r="F43" i="138"/>
  <c r="F48" i="138"/>
  <c r="F49" i="138"/>
  <c r="H151" i="114"/>
  <c r="F151" i="114"/>
  <c r="E151" i="114"/>
  <c r="C151" i="114"/>
  <c r="G18" i="114"/>
  <c r="G17" i="114"/>
  <c r="G16" i="114"/>
  <c r="G15" i="114"/>
  <c r="G14" i="114"/>
  <c r="G13" i="114"/>
  <c r="G12" i="114"/>
  <c r="G112" i="114"/>
  <c r="G113" i="114"/>
  <c r="G114" i="114"/>
  <c r="G115" i="114"/>
  <c r="G116" i="114"/>
  <c r="G117" i="114"/>
  <c r="G118" i="114"/>
  <c r="G119" i="114"/>
  <c r="G120" i="114"/>
  <c r="G121" i="114"/>
  <c r="G122" i="114"/>
  <c r="G123" i="114"/>
  <c r="G124" i="114"/>
  <c r="G125" i="114"/>
  <c r="G126" i="114"/>
  <c r="G127" i="114"/>
  <c r="G128" i="114"/>
  <c r="G129" i="114"/>
  <c r="G130" i="114"/>
  <c r="G131" i="114"/>
  <c r="G132" i="114"/>
  <c r="G133" i="114"/>
  <c r="G134" i="114"/>
  <c r="G135" i="114"/>
  <c r="G136" i="114"/>
  <c r="G137" i="114"/>
  <c r="G138" i="114"/>
  <c r="G139" i="114"/>
  <c r="G140" i="114"/>
  <c r="G141" i="114"/>
  <c r="G142" i="114"/>
  <c r="G143" i="114"/>
  <c r="G144" i="114"/>
  <c r="G145" i="114"/>
  <c r="G146" i="114"/>
  <c r="G147" i="114"/>
  <c r="G148" i="114"/>
  <c r="G149" i="114"/>
  <c r="G150" i="114"/>
  <c r="G111" i="114"/>
  <c r="G8" i="114"/>
  <c r="G9" i="114"/>
  <c r="G10" i="114"/>
  <c r="G11" i="114"/>
  <c r="G19" i="114"/>
  <c r="G20" i="114"/>
  <c r="G151" i="114" s="1"/>
  <c r="G21" i="114"/>
  <c r="G22" i="114"/>
  <c r="G23" i="114"/>
  <c r="G24" i="114"/>
  <c r="G25" i="114"/>
  <c r="G26" i="114"/>
  <c r="G27" i="114"/>
  <c r="G28" i="114"/>
  <c r="G29" i="114"/>
  <c r="G30" i="114"/>
  <c r="G32" i="114"/>
  <c r="G33" i="114"/>
  <c r="G34" i="114"/>
  <c r="G35" i="114"/>
  <c r="G36" i="114"/>
  <c r="G37" i="114"/>
  <c r="G38" i="114"/>
  <c r="G39" i="114"/>
  <c r="G40" i="114"/>
  <c r="G41" i="114"/>
  <c r="G42" i="114"/>
  <c r="G43" i="114"/>
  <c r="G44" i="114"/>
  <c r="G45" i="114"/>
  <c r="G46" i="114"/>
  <c r="G47" i="114"/>
  <c r="G48" i="114"/>
  <c r="G49" i="114"/>
  <c r="G50" i="114"/>
  <c r="G51" i="114"/>
  <c r="G52" i="114"/>
  <c r="G53" i="114"/>
  <c r="G54" i="114"/>
  <c r="G55" i="114"/>
  <c r="G56" i="114"/>
  <c r="G57" i="114"/>
  <c r="G58" i="114"/>
  <c r="G59" i="114"/>
  <c r="G60" i="114"/>
  <c r="G61" i="114"/>
  <c r="G62" i="114"/>
  <c r="G63" i="114"/>
  <c r="G64" i="114"/>
  <c r="G65" i="114"/>
  <c r="G66" i="114"/>
  <c r="G67" i="114"/>
  <c r="G68" i="114"/>
  <c r="G69" i="114"/>
  <c r="G70" i="114"/>
  <c r="G71" i="114"/>
  <c r="G72" i="114"/>
  <c r="G73" i="114"/>
  <c r="G74" i="114"/>
  <c r="G75" i="114"/>
  <c r="G76" i="114"/>
  <c r="G77" i="114"/>
  <c r="G78" i="114"/>
  <c r="G79" i="114"/>
  <c r="G80" i="114"/>
  <c r="G81" i="114"/>
  <c r="G82" i="114"/>
  <c r="G83" i="114"/>
  <c r="G84" i="114"/>
  <c r="G85" i="114"/>
  <c r="G86" i="114"/>
  <c r="G87" i="114"/>
  <c r="G88" i="114"/>
  <c r="G89" i="114"/>
  <c r="G90" i="114"/>
  <c r="G91" i="114"/>
  <c r="G92" i="114"/>
  <c r="G93" i="114"/>
  <c r="G94" i="114"/>
  <c r="G95" i="114"/>
  <c r="G96" i="114"/>
  <c r="G97" i="114"/>
  <c r="G98" i="114"/>
  <c r="G99" i="114"/>
  <c r="G100" i="114"/>
  <c r="G101" i="114"/>
  <c r="G102" i="114"/>
  <c r="G103" i="114"/>
  <c r="G104" i="114"/>
  <c r="G105" i="114"/>
  <c r="G106" i="114"/>
  <c r="G107" i="114"/>
  <c r="G108" i="114"/>
  <c r="G109" i="114"/>
  <c r="G110" i="114"/>
  <c r="G7" i="114"/>
  <c r="G13" i="105"/>
  <c r="F17" i="105"/>
  <c r="G14" i="105"/>
  <c r="G15" i="105"/>
  <c r="G16" i="105"/>
  <c r="G17" i="105"/>
  <c r="G18" i="105"/>
  <c r="G19" i="105"/>
  <c r="G12" i="105"/>
  <c r="F16" i="105"/>
  <c r="G8" i="105"/>
  <c r="G9" i="105"/>
  <c r="G10" i="105"/>
  <c r="G11" i="105"/>
  <c r="G20" i="105"/>
  <c r="G21" i="105"/>
  <c r="G22" i="105"/>
  <c r="G23" i="105"/>
  <c r="G24" i="105"/>
  <c r="G25" i="105"/>
  <c r="G26" i="105"/>
  <c r="G27" i="105"/>
  <c r="G28" i="105"/>
  <c r="G29" i="105"/>
  <c r="G30" i="105"/>
  <c r="G31" i="105"/>
  <c r="G32" i="105"/>
  <c r="G33" i="105"/>
  <c r="G34" i="105"/>
  <c r="G35" i="105"/>
  <c r="G36" i="105"/>
  <c r="G37" i="105"/>
  <c r="G38" i="105"/>
  <c r="G39" i="105"/>
  <c r="G40" i="105"/>
  <c r="G41" i="105"/>
  <c r="G42" i="105"/>
  <c r="G43" i="105"/>
  <c r="G44" i="105"/>
  <c r="G45" i="105"/>
  <c r="G46" i="105"/>
  <c r="G47" i="105"/>
  <c r="G48" i="105"/>
  <c r="G49" i="105"/>
  <c r="G50" i="105"/>
  <c r="G51" i="105"/>
  <c r="G52" i="105"/>
  <c r="G53" i="105"/>
  <c r="G54" i="105"/>
  <c r="G55" i="105"/>
  <c r="G56" i="105"/>
  <c r="G57" i="105"/>
  <c r="G58" i="105"/>
  <c r="G59" i="105"/>
  <c r="G60" i="105"/>
  <c r="G61" i="105"/>
  <c r="G62" i="105"/>
  <c r="G63" i="105"/>
  <c r="G64" i="105"/>
  <c r="G65" i="105"/>
  <c r="G66" i="105"/>
  <c r="G67" i="105"/>
  <c r="G68" i="105"/>
  <c r="G69" i="105"/>
  <c r="G70" i="105"/>
  <c r="G71" i="105"/>
  <c r="G72" i="105"/>
  <c r="G73" i="105"/>
  <c r="G74" i="105"/>
  <c r="G75" i="105"/>
  <c r="G76" i="105"/>
  <c r="G77" i="105"/>
  <c r="G78" i="105"/>
  <c r="G79" i="105"/>
  <c r="G80" i="105"/>
  <c r="G81" i="105"/>
  <c r="G82" i="105"/>
  <c r="G83" i="105"/>
  <c r="G84" i="105"/>
  <c r="G85" i="105"/>
  <c r="G86" i="105"/>
  <c r="G87" i="105"/>
  <c r="G88" i="105"/>
  <c r="G89" i="105"/>
  <c r="G90" i="105"/>
  <c r="G91" i="105"/>
  <c r="G92" i="105"/>
  <c r="G93" i="105"/>
  <c r="G94" i="105"/>
  <c r="G95" i="105"/>
  <c r="G96" i="105"/>
  <c r="G97" i="105"/>
  <c r="G98" i="105"/>
  <c r="G99" i="105"/>
  <c r="G100" i="105"/>
  <c r="G101" i="105"/>
  <c r="G102" i="105"/>
  <c r="G103" i="105"/>
  <c r="G104" i="105"/>
  <c r="G105" i="105"/>
  <c r="G106" i="105"/>
  <c r="G107" i="105"/>
  <c r="G108" i="105"/>
  <c r="G109" i="105"/>
  <c r="G110" i="105"/>
  <c r="G111" i="105"/>
  <c r="G112" i="105"/>
  <c r="G113" i="105"/>
  <c r="G114" i="105"/>
  <c r="G115" i="105"/>
  <c r="G116" i="105"/>
  <c r="G117" i="105"/>
  <c r="G118" i="105"/>
  <c r="G119" i="105"/>
  <c r="G120" i="105"/>
  <c r="G121" i="105"/>
  <c r="G122" i="105"/>
  <c r="G123" i="105"/>
  <c r="G124" i="105"/>
  <c r="G125" i="105"/>
  <c r="G126" i="105"/>
  <c r="G127" i="105"/>
  <c r="G128" i="105"/>
  <c r="G129" i="105"/>
  <c r="G130" i="105"/>
  <c r="G131" i="105"/>
  <c r="G132" i="105"/>
  <c r="G133" i="105"/>
  <c r="G134" i="105"/>
  <c r="G135" i="105"/>
  <c r="G136" i="105"/>
  <c r="G137" i="105"/>
  <c r="G138" i="105"/>
  <c r="G139" i="105"/>
  <c r="G140" i="105"/>
  <c r="G141" i="105"/>
  <c r="G142" i="105"/>
  <c r="G143" i="105"/>
  <c r="G144" i="105"/>
  <c r="G145" i="105"/>
  <c r="G146" i="105"/>
  <c r="G147" i="105"/>
  <c r="G148" i="105"/>
  <c r="G149" i="105"/>
  <c r="G150" i="105"/>
  <c r="G7" i="105"/>
  <c r="G151" i="101"/>
  <c r="F151" i="101"/>
  <c r="E151" i="101"/>
  <c r="G21" i="101"/>
  <c r="G19" i="101"/>
  <c r="G18" i="101"/>
  <c r="G17" i="101"/>
  <c r="G16" i="101"/>
  <c r="G15" i="101"/>
  <c r="G22" i="101"/>
  <c r="G23" i="101"/>
  <c r="G20" i="101"/>
  <c r="G8" i="101"/>
  <c r="G9" i="101"/>
  <c r="G10" i="101"/>
  <c r="G11" i="101"/>
  <c r="G12" i="101"/>
  <c r="G13" i="101"/>
  <c r="G14" i="101"/>
  <c r="G24" i="101"/>
  <c r="G25" i="101"/>
  <c r="G26" i="101"/>
  <c r="G27" i="101"/>
  <c r="G28" i="101"/>
  <c r="G29" i="101"/>
  <c r="G30" i="101"/>
  <c r="G31" i="101"/>
  <c r="G32" i="101"/>
  <c r="G33" i="101"/>
  <c r="G34" i="101"/>
  <c r="G35" i="101"/>
  <c r="G36" i="101"/>
  <c r="G37" i="101"/>
  <c r="G38" i="101"/>
  <c r="G39" i="101"/>
  <c r="G40" i="101"/>
  <c r="G41" i="101"/>
  <c r="G42" i="101"/>
  <c r="G43" i="101"/>
  <c r="G44" i="101"/>
  <c r="G45" i="101"/>
  <c r="G46" i="101"/>
  <c r="G47" i="101"/>
  <c r="G48" i="101"/>
  <c r="G49" i="101"/>
  <c r="G50" i="101"/>
  <c r="G51" i="101"/>
  <c r="G52" i="101"/>
  <c r="G53" i="101"/>
  <c r="G54" i="101"/>
  <c r="G55" i="101"/>
  <c r="G56" i="101"/>
  <c r="G57" i="101"/>
  <c r="G58" i="101"/>
  <c r="G59" i="101"/>
  <c r="G60" i="101"/>
  <c r="G61" i="101"/>
  <c r="G62" i="101"/>
  <c r="G63" i="101"/>
  <c r="G64" i="101"/>
  <c r="G65" i="101"/>
  <c r="G66" i="101"/>
  <c r="G67" i="101"/>
  <c r="G68" i="101"/>
  <c r="G69" i="101"/>
  <c r="G70" i="101"/>
  <c r="G71" i="101"/>
  <c r="G72" i="101"/>
  <c r="G73" i="101"/>
  <c r="G74" i="101"/>
  <c r="G75" i="101"/>
  <c r="G76" i="101"/>
  <c r="G77" i="101"/>
  <c r="G78" i="101"/>
  <c r="G79" i="101"/>
  <c r="G80" i="101"/>
  <c r="G81" i="101"/>
  <c r="G82" i="101"/>
  <c r="G83" i="101"/>
  <c r="G84" i="101"/>
  <c r="G85" i="101"/>
  <c r="G86" i="101"/>
  <c r="G87" i="101"/>
  <c r="G88" i="101"/>
  <c r="G89" i="101"/>
  <c r="G90" i="101"/>
  <c r="G91" i="101"/>
  <c r="G92" i="101"/>
  <c r="G93" i="101"/>
  <c r="G94" i="101"/>
  <c r="G95" i="101"/>
  <c r="G96" i="101"/>
  <c r="G97" i="101"/>
  <c r="G98" i="101"/>
  <c r="G99" i="101"/>
  <c r="G100" i="101"/>
  <c r="G101" i="101"/>
  <c r="G102" i="101"/>
  <c r="G103" i="101"/>
  <c r="G104" i="101"/>
  <c r="G105" i="101"/>
  <c r="G106" i="101"/>
  <c r="G107" i="101"/>
  <c r="G108" i="101"/>
  <c r="G109" i="101"/>
  <c r="G110" i="101"/>
  <c r="G111" i="101"/>
  <c r="G112" i="101"/>
  <c r="G113" i="101"/>
  <c r="G114" i="101"/>
  <c r="G115" i="101"/>
  <c r="G116" i="101"/>
  <c r="G117" i="101"/>
  <c r="G118" i="101"/>
  <c r="G119" i="101"/>
  <c r="G120" i="101"/>
  <c r="G121" i="101"/>
  <c r="G122" i="101"/>
  <c r="G123" i="101"/>
  <c r="G124" i="101"/>
  <c r="G125" i="101"/>
  <c r="G126" i="101"/>
  <c r="G127" i="101"/>
  <c r="G128" i="101"/>
  <c r="G129" i="101"/>
  <c r="G130" i="101"/>
  <c r="G131" i="101"/>
  <c r="G132" i="101"/>
  <c r="G133" i="101"/>
  <c r="G134" i="101"/>
  <c r="G135" i="101"/>
  <c r="G136" i="101"/>
  <c r="G137" i="101"/>
  <c r="G138" i="101"/>
  <c r="G139" i="101"/>
  <c r="G140" i="101"/>
  <c r="G141" i="101"/>
  <c r="G142" i="101"/>
  <c r="G143" i="101"/>
  <c r="G144" i="101"/>
  <c r="G145" i="101"/>
  <c r="G146" i="101"/>
  <c r="G147" i="101"/>
  <c r="G148" i="101"/>
  <c r="G149" i="101"/>
  <c r="G150" i="101"/>
  <c r="G7" i="101"/>
  <c r="E54" i="128"/>
  <c r="D54" i="128"/>
  <c r="C54" i="128"/>
  <c r="B54" i="128"/>
  <c r="E54" i="113"/>
  <c r="D54" i="113"/>
  <c r="C54" i="113"/>
  <c r="B54" i="113"/>
  <c r="F54" i="93"/>
  <c r="E54" i="93"/>
  <c r="D54" i="93"/>
  <c r="C54" i="93"/>
  <c r="B54" i="93"/>
  <c r="I54" i="66"/>
  <c r="H54" i="66"/>
  <c r="G54" i="66"/>
  <c r="F54" i="66"/>
  <c r="E54" i="66"/>
  <c r="D54" i="66"/>
  <c r="C54" i="66"/>
  <c r="B54" i="66"/>
  <c r="I55" i="100"/>
  <c r="H55" i="100"/>
  <c r="G55" i="100"/>
  <c r="F55" i="100"/>
  <c r="E55" i="100"/>
  <c r="D55" i="100"/>
  <c r="C55" i="100"/>
  <c r="B55" i="100"/>
  <c r="I58" i="68"/>
  <c r="H58" i="68"/>
  <c r="G58" i="68"/>
  <c r="F58" i="68"/>
  <c r="E58" i="68"/>
  <c r="D58" i="68"/>
  <c r="C58" i="68"/>
  <c r="B58" i="68"/>
  <c r="D47" i="145"/>
  <c r="E47" i="145"/>
  <c r="F47" i="145"/>
  <c r="C47" i="145"/>
  <c r="D46" i="145"/>
  <c r="D45" i="145"/>
  <c r="D44" i="145"/>
  <c r="D43" i="145"/>
  <c r="D42" i="145"/>
  <c r="D41" i="145"/>
  <c r="D40" i="145"/>
  <c r="D39" i="145"/>
  <c r="D38" i="145"/>
  <c r="D37" i="145"/>
  <c r="D36" i="145"/>
  <c r="D35" i="145"/>
  <c r="D34" i="145"/>
  <c r="D33" i="145"/>
  <c r="D32" i="145"/>
  <c r="D31" i="145"/>
  <c r="D30" i="145"/>
  <c r="D29" i="145"/>
  <c r="D28" i="145"/>
  <c r="D27" i="145"/>
  <c r="D26" i="145"/>
  <c r="D25" i="145"/>
  <c r="D24" i="145"/>
  <c r="D23" i="145"/>
  <c r="D22" i="145"/>
  <c r="D21" i="145"/>
  <c r="D20" i="145"/>
  <c r="D19" i="145"/>
  <c r="D18" i="145"/>
  <c r="D17" i="145"/>
  <c r="D16" i="145"/>
  <c r="D15" i="145"/>
  <c r="D14" i="145"/>
  <c r="D13" i="145"/>
  <c r="D12" i="145"/>
  <c r="D11" i="145"/>
  <c r="F8" i="145"/>
  <c r="F9" i="145"/>
  <c r="F10" i="145"/>
  <c r="F11" i="145"/>
  <c r="F12" i="145"/>
  <c r="F13" i="145"/>
  <c r="F14" i="145"/>
  <c r="F15" i="145"/>
  <c r="F16" i="145"/>
  <c r="F17" i="145"/>
  <c r="F18" i="145"/>
  <c r="F19" i="145"/>
  <c r="F20" i="145"/>
  <c r="F21" i="145"/>
  <c r="F22" i="145"/>
  <c r="F23" i="145"/>
  <c r="F24" i="145"/>
  <c r="F25" i="145"/>
  <c r="F26" i="145"/>
  <c r="F27" i="145"/>
  <c r="F28" i="145"/>
  <c r="F29" i="145"/>
  <c r="F30" i="145"/>
  <c r="F31" i="145"/>
  <c r="F32" i="145"/>
  <c r="F33" i="145"/>
  <c r="F34" i="145"/>
  <c r="F35" i="145"/>
  <c r="F36" i="145"/>
  <c r="F37" i="145"/>
  <c r="F38" i="145"/>
  <c r="F39" i="145"/>
  <c r="F40" i="145"/>
  <c r="F41" i="145"/>
  <c r="F42" i="145"/>
  <c r="F43" i="145"/>
  <c r="F44" i="145"/>
  <c r="F45" i="145"/>
  <c r="F46" i="145"/>
  <c r="D8" i="145"/>
  <c r="F7" i="145"/>
  <c r="D7" i="145"/>
  <c r="F47" i="128"/>
  <c r="E47" i="128"/>
  <c r="D47" i="128"/>
  <c r="C47" i="128"/>
  <c r="D46" i="128"/>
  <c r="D45" i="128"/>
  <c r="D44" i="128"/>
  <c r="D43" i="128"/>
  <c r="D42" i="128"/>
  <c r="D41" i="128"/>
  <c r="D40" i="128"/>
  <c r="D39" i="128"/>
  <c r="D38" i="128"/>
  <c r="D37" i="128"/>
  <c r="D36" i="128"/>
  <c r="D35" i="128"/>
  <c r="D34" i="128"/>
  <c r="D33" i="128"/>
  <c r="D32" i="128"/>
  <c r="D31" i="128"/>
  <c r="D30" i="128"/>
  <c r="D29" i="128"/>
  <c r="D28" i="128"/>
  <c r="D27" i="128"/>
  <c r="D26" i="128"/>
  <c r="D25" i="128"/>
  <c r="D24" i="128"/>
  <c r="D23" i="128"/>
  <c r="D22" i="128"/>
  <c r="D21" i="128"/>
  <c r="D20" i="128"/>
  <c r="D19" i="128"/>
  <c r="D18" i="128"/>
  <c r="D17" i="128"/>
  <c r="D16" i="128"/>
  <c r="D15" i="128"/>
  <c r="D14" i="128"/>
  <c r="D13" i="128"/>
  <c r="D12" i="128"/>
  <c r="D11" i="128"/>
  <c r="G10" i="128"/>
  <c r="G9" i="128"/>
  <c r="G8" i="128"/>
  <c r="G46" i="128"/>
  <c r="G45" i="128"/>
  <c r="G44" i="128"/>
  <c r="G43" i="128"/>
  <c r="G42" i="128"/>
  <c r="G41" i="128"/>
  <c r="G40" i="128"/>
  <c r="G39" i="128"/>
  <c r="G38" i="128"/>
  <c r="G37" i="128"/>
  <c r="G36" i="128"/>
  <c r="G35" i="128"/>
  <c r="G34" i="128"/>
  <c r="G33" i="128"/>
  <c r="G32" i="128"/>
  <c r="G31" i="128"/>
  <c r="G30" i="128"/>
  <c r="G29" i="128"/>
  <c r="G28" i="128"/>
  <c r="G27" i="128"/>
  <c r="G26" i="128"/>
  <c r="G25" i="128"/>
  <c r="G24" i="128"/>
  <c r="G23" i="128"/>
  <c r="G22" i="128"/>
  <c r="G21" i="128"/>
  <c r="G20" i="128"/>
  <c r="G19" i="128"/>
  <c r="G18" i="128"/>
  <c r="G17" i="128"/>
  <c r="G16" i="128"/>
  <c r="G15" i="128"/>
  <c r="G14" i="128"/>
  <c r="G13" i="128"/>
  <c r="G12" i="128"/>
  <c r="G11" i="128"/>
  <c r="G7" i="128"/>
  <c r="F9" i="128"/>
  <c r="F47" i="113"/>
  <c r="E47" i="113"/>
  <c r="C47" i="113"/>
  <c r="G9" i="113"/>
  <c r="G8" i="113"/>
  <c r="G10" i="113"/>
  <c r="G11" i="113"/>
  <c r="G47" i="113" s="1"/>
  <c r="G12" i="113"/>
  <c r="G13" i="113"/>
  <c r="G14" i="113"/>
  <c r="G15" i="113"/>
  <c r="G16" i="113"/>
  <c r="G17" i="113"/>
  <c r="G18" i="113"/>
  <c r="G19" i="113"/>
  <c r="G20" i="113"/>
  <c r="G21" i="113"/>
  <c r="G22" i="113"/>
  <c r="G23" i="113"/>
  <c r="G24" i="113"/>
  <c r="G25" i="113"/>
  <c r="G26" i="113"/>
  <c r="G27" i="113"/>
  <c r="G28" i="113"/>
  <c r="G29" i="113"/>
  <c r="G30" i="113"/>
  <c r="G31" i="113"/>
  <c r="G32" i="113"/>
  <c r="G33" i="113"/>
  <c r="G34" i="113"/>
  <c r="G35" i="113"/>
  <c r="G36" i="113"/>
  <c r="G37" i="113"/>
  <c r="G38" i="113"/>
  <c r="G39" i="113"/>
  <c r="G40" i="113"/>
  <c r="G41" i="113"/>
  <c r="G42" i="113"/>
  <c r="G43" i="113"/>
  <c r="G44" i="113"/>
  <c r="G45" i="113"/>
  <c r="G46" i="113"/>
  <c r="G7" i="113"/>
  <c r="G47" i="93"/>
  <c r="F47" i="93"/>
  <c r="E47" i="93"/>
  <c r="C47" i="93"/>
  <c r="G10" i="93"/>
  <c r="G9" i="93"/>
  <c r="G8" i="93"/>
  <c r="G11" i="93"/>
  <c r="G12" i="93"/>
  <c r="G13" i="93"/>
  <c r="G14" i="93"/>
  <c r="G15" i="93"/>
  <c r="G16" i="93"/>
  <c r="G17" i="93"/>
  <c r="G18" i="93"/>
  <c r="G19" i="93"/>
  <c r="G20" i="93"/>
  <c r="G21" i="93"/>
  <c r="G22" i="93"/>
  <c r="G23" i="93"/>
  <c r="G24" i="93"/>
  <c r="G25" i="93"/>
  <c r="G26" i="93"/>
  <c r="G27" i="93"/>
  <c r="G28" i="93"/>
  <c r="G29" i="93"/>
  <c r="G30" i="93"/>
  <c r="G31" i="93"/>
  <c r="G32" i="93"/>
  <c r="G33" i="93"/>
  <c r="G34" i="93"/>
  <c r="G35" i="93"/>
  <c r="G36" i="93"/>
  <c r="G37" i="93"/>
  <c r="G38" i="93"/>
  <c r="G39" i="93"/>
  <c r="G40" i="93"/>
  <c r="G41" i="93"/>
  <c r="G42" i="93"/>
  <c r="G43" i="93"/>
  <c r="G44" i="93"/>
  <c r="G45" i="93"/>
  <c r="G46" i="93"/>
  <c r="G7" i="93"/>
  <c r="F10" i="93"/>
  <c r="F47" i="66"/>
  <c r="E47" i="66"/>
  <c r="G47" i="66"/>
  <c r="D47" i="66"/>
  <c r="C47" i="66"/>
  <c r="D46" i="66"/>
  <c r="D45" i="66"/>
  <c r="D44" i="66"/>
  <c r="D43" i="66"/>
  <c r="D42" i="66"/>
  <c r="D41" i="66"/>
  <c r="D40" i="66"/>
  <c r="D39" i="66"/>
  <c r="D38" i="66"/>
  <c r="D37" i="66"/>
  <c r="D36" i="66"/>
  <c r="D35" i="66"/>
  <c r="D34" i="66"/>
  <c r="D33" i="66"/>
  <c r="D32" i="66"/>
  <c r="D31" i="66"/>
  <c r="D30" i="66"/>
  <c r="D29" i="66"/>
  <c r="D28" i="66"/>
  <c r="D27" i="66"/>
  <c r="D26" i="66"/>
  <c r="D25" i="66"/>
  <c r="D24" i="66"/>
  <c r="D23" i="66"/>
  <c r="D22" i="66"/>
  <c r="D21" i="66"/>
  <c r="D20" i="66"/>
  <c r="D19" i="66"/>
  <c r="D18" i="66"/>
  <c r="D17" i="66"/>
  <c r="D16" i="66"/>
  <c r="D15" i="66"/>
  <c r="D14" i="66"/>
  <c r="G14" i="66"/>
  <c r="F13" i="66"/>
  <c r="G13" i="66"/>
  <c r="G12" i="66"/>
  <c r="G16" i="66"/>
  <c r="G8" i="66"/>
  <c r="G9" i="66"/>
  <c r="G10" i="66"/>
  <c r="G11" i="66"/>
  <c r="G15" i="66"/>
  <c r="G17" i="66"/>
  <c r="G18" i="66"/>
  <c r="G19" i="66"/>
  <c r="G20" i="66"/>
  <c r="G21" i="66"/>
  <c r="G22" i="66"/>
  <c r="G23" i="66"/>
  <c r="G24" i="66"/>
  <c r="G25" i="66"/>
  <c r="G26" i="66"/>
  <c r="G27" i="66"/>
  <c r="G28" i="66"/>
  <c r="G29" i="66"/>
  <c r="G30" i="66"/>
  <c r="G31" i="66"/>
  <c r="G32" i="66"/>
  <c r="G33" i="66"/>
  <c r="G34" i="66"/>
  <c r="G35" i="66"/>
  <c r="G36" i="66"/>
  <c r="G37" i="66"/>
  <c r="G38" i="66"/>
  <c r="G39" i="66"/>
  <c r="G40" i="66"/>
  <c r="G41" i="66"/>
  <c r="G42" i="66"/>
  <c r="G43" i="66"/>
  <c r="G44" i="66"/>
  <c r="G45" i="66"/>
  <c r="G46" i="66"/>
  <c r="G7" i="66"/>
  <c r="F47" i="100"/>
  <c r="E47" i="100"/>
  <c r="G13" i="100"/>
  <c r="G12" i="100"/>
  <c r="G8" i="100"/>
  <c r="G9" i="100"/>
  <c r="G10" i="100"/>
  <c r="G11" i="100"/>
  <c r="G14" i="100"/>
  <c r="G7" i="100"/>
  <c r="F47" i="68"/>
  <c r="E47" i="68"/>
  <c r="C47" i="68"/>
  <c r="D14" i="68"/>
  <c r="G14" i="68"/>
  <c r="G12" i="68"/>
  <c r="D7" i="68"/>
  <c r="G15" i="68"/>
  <c r="G47" i="68" s="1"/>
  <c r="G13" i="68"/>
  <c r="G24" i="68"/>
  <c r="G46" i="68"/>
  <c r="G45" i="68"/>
  <c r="G44" i="68"/>
  <c r="G43" i="68"/>
  <c r="G42" i="68"/>
  <c r="G41" i="68"/>
  <c r="G40" i="68"/>
  <c r="G39" i="68"/>
  <c r="G38" i="68"/>
  <c r="G37" i="68"/>
  <c r="G36" i="68"/>
  <c r="G35" i="68"/>
  <c r="G34" i="68"/>
  <c r="G33" i="68"/>
  <c r="G32" i="68"/>
  <c r="G31" i="68"/>
  <c r="G30" i="68"/>
  <c r="G29" i="68"/>
  <c r="G28" i="68"/>
  <c r="G27" i="68"/>
  <c r="G26" i="68"/>
  <c r="G25" i="68"/>
  <c r="G23" i="68"/>
  <c r="G22" i="68"/>
  <c r="G21" i="68"/>
  <c r="G20" i="68"/>
  <c r="G19" i="68"/>
  <c r="G18" i="68"/>
  <c r="G17" i="68"/>
  <c r="G16" i="68"/>
  <c r="G11" i="68"/>
  <c r="G10" i="68"/>
  <c r="G9" i="68"/>
  <c r="G8" i="68"/>
  <c r="G7" i="68"/>
  <c r="Y20" i="146" l="1"/>
  <c r="B158" i="136"/>
  <c r="E158" i="135"/>
  <c r="D158" i="135"/>
  <c r="C158" i="135"/>
  <c r="B158" i="135"/>
  <c r="F165" i="111"/>
  <c r="E165" i="111"/>
  <c r="D165" i="111"/>
  <c r="C165" i="111"/>
  <c r="B165" i="111"/>
  <c r="J158" i="111"/>
  <c r="I158" i="111"/>
  <c r="H158" i="111"/>
  <c r="G158" i="111"/>
  <c r="F158" i="111"/>
  <c r="E158" i="111"/>
  <c r="D158" i="111"/>
  <c r="C158" i="111"/>
  <c r="B158" i="111"/>
  <c r="I63" i="31"/>
  <c r="H63" i="31"/>
  <c r="G63" i="31"/>
  <c r="F63" i="31"/>
  <c r="E63" i="31"/>
  <c r="D63" i="31"/>
  <c r="C63" i="31"/>
  <c r="B63" i="31"/>
  <c r="K63" i="33"/>
  <c r="J63" i="33"/>
  <c r="I63" i="33"/>
  <c r="H63" i="33"/>
  <c r="G63" i="33"/>
  <c r="F63" i="33"/>
  <c r="E63" i="33"/>
  <c r="D63" i="33"/>
  <c r="C63" i="33"/>
  <c r="B63" i="33"/>
  <c r="K64" i="32"/>
  <c r="J64" i="32"/>
  <c r="I64" i="32"/>
  <c r="H64" i="32"/>
  <c r="G64" i="32"/>
  <c r="F64" i="32"/>
  <c r="E64" i="32"/>
  <c r="D64" i="32"/>
  <c r="C64" i="32"/>
  <c r="B64" i="32"/>
  <c r="B72" i="30"/>
  <c r="K63" i="30"/>
  <c r="J63" i="30"/>
  <c r="I63" i="30"/>
  <c r="H63" i="30"/>
  <c r="G63" i="30"/>
  <c r="F63" i="30"/>
  <c r="E63" i="30"/>
  <c r="D63" i="30"/>
  <c r="C63" i="30"/>
  <c r="B63" i="30"/>
  <c r="C73" i="2"/>
  <c r="B73" i="2"/>
  <c r="L64" i="2"/>
  <c r="K64" i="2"/>
  <c r="J64" i="2"/>
  <c r="I64" i="2"/>
  <c r="H64" i="2"/>
  <c r="G64" i="2"/>
  <c r="F64" i="2"/>
  <c r="E64" i="2"/>
  <c r="D64" i="2"/>
  <c r="C64" i="2"/>
  <c r="B64" i="2"/>
  <c r="E158" i="136"/>
  <c r="D158" i="136"/>
  <c r="C158" i="136"/>
  <c r="E151" i="136"/>
  <c r="C151" i="136"/>
  <c r="F150" i="136"/>
  <c r="F149" i="136"/>
  <c r="F148" i="136"/>
  <c r="F147" i="136"/>
  <c r="F146" i="136"/>
  <c r="F145" i="136"/>
  <c r="F144" i="136"/>
  <c r="F143" i="136"/>
  <c r="F142" i="136"/>
  <c r="F141" i="136"/>
  <c r="F140" i="136"/>
  <c r="F139" i="136"/>
  <c r="F138" i="136"/>
  <c r="F137" i="136"/>
  <c r="F136" i="136"/>
  <c r="F135" i="136"/>
  <c r="F134" i="136"/>
  <c r="F133" i="136"/>
  <c r="F132" i="136"/>
  <c r="F131" i="136"/>
  <c r="F130" i="136"/>
  <c r="F129" i="136"/>
  <c r="F128" i="136"/>
  <c r="F127" i="136"/>
  <c r="F126" i="136"/>
  <c r="F125" i="136"/>
  <c r="F124" i="136"/>
  <c r="F123" i="136"/>
  <c r="F122" i="136"/>
  <c r="F121" i="136"/>
  <c r="F120" i="136"/>
  <c r="F119" i="136"/>
  <c r="F118" i="136"/>
  <c r="F117" i="136"/>
  <c r="F116" i="136"/>
  <c r="F115" i="136"/>
  <c r="F114" i="136"/>
  <c r="F113" i="136"/>
  <c r="F112" i="136"/>
  <c r="F111" i="136"/>
  <c r="F110" i="136"/>
  <c r="F109" i="136"/>
  <c r="F108" i="136"/>
  <c r="F107" i="136"/>
  <c r="F106" i="136"/>
  <c r="F105" i="136"/>
  <c r="F104" i="136"/>
  <c r="F103" i="136"/>
  <c r="F102" i="136"/>
  <c r="F101" i="136"/>
  <c r="F100" i="136"/>
  <c r="F99" i="136"/>
  <c r="F98" i="136"/>
  <c r="F97" i="136"/>
  <c r="F96" i="136"/>
  <c r="F95" i="136"/>
  <c r="F94" i="136"/>
  <c r="F93" i="136"/>
  <c r="F92" i="136"/>
  <c r="F91" i="136"/>
  <c r="F90" i="136"/>
  <c r="F89" i="136"/>
  <c r="F88" i="136"/>
  <c r="F87" i="136"/>
  <c r="F86" i="136"/>
  <c r="F85" i="136"/>
  <c r="F84" i="136"/>
  <c r="F83" i="136"/>
  <c r="F82" i="136"/>
  <c r="F81" i="136"/>
  <c r="F80" i="136"/>
  <c r="F79" i="136"/>
  <c r="F78" i="136"/>
  <c r="F77" i="136"/>
  <c r="F76" i="136"/>
  <c r="F75" i="136"/>
  <c r="F74" i="136"/>
  <c r="F73" i="136"/>
  <c r="F72" i="136"/>
  <c r="F71" i="136"/>
  <c r="F70" i="136"/>
  <c r="F69" i="136"/>
  <c r="F68" i="136"/>
  <c r="F67" i="136"/>
  <c r="F66" i="136"/>
  <c r="F65" i="136"/>
  <c r="F64" i="136"/>
  <c r="F63" i="136"/>
  <c r="F62" i="136"/>
  <c r="F61" i="136"/>
  <c r="F60" i="136"/>
  <c r="F59" i="136"/>
  <c r="F58" i="136"/>
  <c r="F57" i="136"/>
  <c r="F56" i="136"/>
  <c r="F55" i="136"/>
  <c r="F54" i="136"/>
  <c r="F53" i="136"/>
  <c r="F52" i="136"/>
  <c r="F51" i="136"/>
  <c r="F50" i="136"/>
  <c r="F49" i="136"/>
  <c r="F48" i="136"/>
  <c r="F47" i="136"/>
  <c r="F46" i="136"/>
  <c r="F45" i="136"/>
  <c r="F44" i="136"/>
  <c r="F43" i="136"/>
  <c r="F42" i="136"/>
  <c r="F41" i="136"/>
  <c r="F40" i="136"/>
  <c r="F39" i="136"/>
  <c r="F38" i="136"/>
  <c r="F37" i="136"/>
  <c r="F36" i="136"/>
  <c r="F35" i="136"/>
  <c r="F34" i="136"/>
  <c r="F33" i="136"/>
  <c r="F32" i="136"/>
  <c r="F31" i="136"/>
  <c r="F30" i="136"/>
  <c r="F29" i="136"/>
  <c r="F28" i="136"/>
  <c r="F27" i="136"/>
  <c r="F26" i="136"/>
  <c r="F25" i="136"/>
  <c r="F24" i="136"/>
  <c r="F23" i="136"/>
  <c r="F22" i="136"/>
  <c r="F21" i="136"/>
  <c r="F20" i="136"/>
  <c r="F19" i="136"/>
  <c r="F18" i="136"/>
  <c r="F17" i="136"/>
  <c r="F16" i="136"/>
  <c r="F15" i="136"/>
  <c r="F14" i="136"/>
  <c r="F13" i="136"/>
  <c r="F12" i="136"/>
  <c r="F11" i="136"/>
  <c r="F151" i="136" s="1"/>
  <c r="F10" i="136"/>
  <c r="F9" i="136"/>
  <c r="F8" i="136"/>
  <c r="F7" i="136"/>
  <c r="E151" i="135"/>
  <c r="C151" i="135"/>
  <c r="B157" i="135"/>
  <c r="D7" i="135"/>
  <c r="F150" i="135"/>
  <c r="F149" i="135"/>
  <c r="F148" i="135"/>
  <c r="F147" i="135"/>
  <c r="F146" i="135"/>
  <c r="F145" i="135"/>
  <c r="F144" i="135"/>
  <c r="F143" i="135"/>
  <c r="F142" i="135"/>
  <c r="F141" i="135"/>
  <c r="F140" i="135"/>
  <c r="F139" i="135"/>
  <c r="F138" i="135"/>
  <c r="F137" i="135"/>
  <c r="F136" i="135"/>
  <c r="F135" i="135"/>
  <c r="F134" i="135"/>
  <c r="F133" i="135"/>
  <c r="F132" i="135"/>
  <c r="F131" i="135"/>
  <c r="F130" i="135"/>
  <c r="F129" i="135"/>
  <c r="F128" i="135"/>
  <c r="F127" i="135"/>
  <c r="F126" i="135"/>
  <c r="F125" i="135"/>
  <c r="F124" i="135"/>
  <c r="F123" i="135"/>
  <c r="F122" i="135"/>
  <c r="F121" i="135"/>
  <c r="F120" i="135"/>
  <c r="F119" i="135"/>
  <c r="F118" i="135"/>
  <c r="F117" i="135"/>
  <c r="F116" i="135"/>
  <c r="F115" i="135"/>
  <c r="F114" i="135"/>
  <c r="F113" i="135"/>
  <c r="F112" i="135"/>
  <c r="F111" i="135"/>
  <c r="F110" i="135"/>
  <c r="F109" i="135"/>
  <c r="F108" i="135"/>
  <c r="F107" i="135"/>
  <c r="F106" i="135"/>
  <c r="F105" i="135"/>
  <c r="F104" i="135"/>
  <c r="F103" i="135"/>
  <c r="F102" i="135"/>
  <c r="F101" i="135"/>
  <c r="F100" i="135"/>
  <c r="F99" i="135"/>
  <c r="F98" i="135"/>
  <c r="F97" i="135"/>
  <c r="F96" i="135"/>
  <c r="F95" i="135"/>
  <c r="F94" i="135"/>
  <c r="F93" i="135"/>
  <c r="F92" i="135"/>
  <c r="F91" i="135"/>
  <c r="F90" i="135"/>
  <c r="F89" i="135"/>
  <c r="F88" i="135"/>
  <c r="F87" i="135"/>
  <c r="F86" i="135"/>
  <c r="F85" i="135"/>
  <c r="F84" i="135"/>
  <c r="F83" i="135"/>
  <c r="F82" i="135"/>
  <c r="F81" i="135"/>
  <c r="F80" i="135"/>
  <c r="F79" i="135"/>
  <c r="F78" i="135"/>
  <c r="F77" i="135"/>
  <c r="F76" i="135"/>
  <c r="F75" i="135"/>
  <c r="F74" i="135"/>
  <c r="F73" i="135"/>
  <c r="F72" i="135"/>
  <c r="F71" i="135"/>
  <c r="F70" i="135"/>
  <c r="F69" i="135"/>
  <c r="F68" i="135"/>
  <c r="F67" i="135"/>
  <c r="F66" i="135"/>
  <c r="F65" i="135"/>
  <c r="F64" i="135"/>
  <c r="F63" i="135"/>
  <c r="F62" i="135"/>
  <c r="F61" i="135"/>
  <c r="F60" i="135"/>
  <c r="F59" i="135"/>
  <c r="F58" i="135"/>
  <c r="F57" i="135"/>
  <c r="F56" i="135"/>
  <c r="F55" i="135"/>
  <c r="F54" i="135"/>
  <c r="F53" i="135"/>
  <c r="F52" i="135"/>
  <c r="F51" i="135"/>
  <c r="F50" i="135"/>
  <c r="F49" i="135"/>
  <c r="F48" i="135"/>
  <c r="F47" i="135"/>
  <c r="F46" i="135"/>
  <c r="F45" i="135"/>
  <c r="F44" i="135"/>
  <c r="F43" i="135"/>
  <c r="F42" i="135"/>
  <c r="F41" i="135"/>
  <c r="F40" i="135"/>
  <c r="F39" i="135"/>
  <c r="F38" i="135"/>
  <c r="F37" i="135"/>
  <c r="F36" i="135"/>
  <c r="F35" i="135"/>
  <c r="F34" i="135"/>
  <c r="F33" i="135"/>
  <c r="F32" i="135"/>
  <c r="F31" i="135"/>
  <c r="F30" i="135"/>
  <c r="F29" i="135"/>
  <c r="F28" i="135"/>
  <c r="F27" i="135"/>
  <c r="F26" i="135"/>
  <c r="F25" i="135"/>
  <c r="F24" i="135"/>
  <c r="F23" i="135"/>
  <c r="F22" i="135"/>
  <c r="F21" i="135"/>
  <c r="F20" i="135"/>
  <c r="F19" i="135"/>
  <c r="F18" i="135"/>
  <c r="F17" i="135"/>
  <c r="F16" i="135"/>
  <c r="F15" i="135"/>
  <c r="F14" i="135"/>
  <c r="F13" i="135"/>
  <c r="F12" i="135"/>
  <c r="F11" i="135"/>
  <c r="F151" i="135" s="1"/>
  <c r="F10" i="135"/>
  <c r="F9" i="135"/>
  <c r="F8" i="135"/>
  <c r="F7" i="135"/>
  <c r="G7" i="111"/>
  <c r="F151" i="111"/>
  <c r="E151" i="111"/>
  <c r="C151" i="111"/>
  <c r="D20" i="111"/>
  <c r="D11" i="111"/>
  <c r="D7" i="111"/>
  <c r="B164" i="111"/>
  <c r="G150" i="111"/>
  <c r="G149" i="111"/>
  <c r="G148" i="111"/>
  <c r="G147" i="111"/>
  <c r="G146" i="111"/>
  <c r="G145" i="111"/>
  <c r="G144" i="111"/>
  <c r="G143" i="111"/>
  <c r="G142" i="111"/>
  <c r="G141" i="111"/>
  <c r="G140" i="111"/>
  <c r="G139" i="111"/>
  <c r="G138" i="111"/>
  <c r="G137" i="111"/>
  <c r="G136" i="111"/>
  <c r="G135" i="111"/>
  <c r="G134" i="111"/>
  <c r="G133" i="111"/>
  <c r="G132" i="111"/>
  <c r="G131" i="111"/>
  <c r="G130" i="111"/>
  <c r="G129" i="111"/>
  <c r="G128" i="111"/>
  <c r="G127" i="111"/>
  <c r="G126" i="111"/>
  <c r="G125" i="111"/>
  <c r="G124" i="111"/>
  <c r="G123" i="111"/>
  <c r="G122" i="111"/>
  <c r="G121" i="111"/>
  <c r="G120" i="111"/>
  <c r="G119" i="111"/>
  <c r="G118" i="111"/>
  <c r="G117" i="111"/>
  <c r="G116" i="111"/>
  <c r="G115" i="111"/>
  <c r="G114" i="111"/>
  <c r="G113" i="111"/>
  <c r="G112" i="111"/>
  <c r="G111" i="111"/>
  <c r="G110" i="111"/>
  <c r="G109" i="111"/>
  <c r="G108" i="111"/>
  <c r="G107" i="111"/>
  <c r="G106" i="111"/>
  <c r="G105" i="111"/>
  <c r="G104" i="111"/>
  <c r="G103" i="111"/>
  <c r="G102" i="111"/>
  <c r="G101" i="111"/>
  <c r="G100" i="111"/>
  <c r="G99" i="111"/>
  <c r="G98" i="111"/>
  <c r="G97" i="111"/>
  <c r="G96" i="111"/>
  <c r="G95" i="111"/>
  <c r="G94" i="111"/>
  <c r="G93" i="111"/>
  <c r="G92" i="111"/>
  <c r="G91" i="111"/>
  <c r="G90" i="111"/>
  <c r="G89" i="111"/>
  <c r="G88" i="111"/>
  <c r="G87" i="111"/>
  <c r="G86" i="111"/>
  <c r="G85" i="111"/>
  <c r="G84" i="111"/>
  <c r="G83" i="111"/>
  <c r="G82" i="111"/>
  <c r="G81" i="111"/>
  <c r="G80" i="111"/>
  <c r="G79" i="111"/>
  <c r="G78" i="111"/>
  <c r="G77" i="111"/>
  <c r="G76" i="111"/>
  <c r="G75" i="111"/>
  <c r="G74" i="111"/>
  <c r="G73" i="111"/>
  <c r="G72" i="111"/>
  <c r="G71" i="111"/>
  <c r="G70" i="111"/>
  <c r="G69" i="111"/>
  <c r="G68" i="111"/>
  <c r="G67" i="111"/>
  <c r="G66" i="111"/>
  <c r="G65" i="111"/>
  <c r="G64" i="111"/>
  <c r="G63" i="111"/>
  <c r="G62" i="111"/>
  <c r="G61" i="111"/>
  <c r="G60" i="111"/>
  <c r="G59" i="111"/>
  <c r="G58" i="111"/>
  <c r="G57" i="111"/>
  <c r="G56" i="111"/>
  <c r="G55" i="111"/>
  <c r="G54" i="111"/>
  <c r="G53" i="111"/>
  <c r="G52" i="111"/>
  <c r="G51" i="111"/>
  <c r="G50" i="111"/>
  <c r="G49" i="111"/>
  <c r="G48" i="111"/>
  <c r="G47" i="111"/>
  <c r="G46" i="111"/>
  <c r="G45" i="111"/>
  <c r="G44" i="111"/>
  <c r="G43" i="111"/>
  <c r="G42" i="111"/>
  <c r="G41" i="111"/>
  <c r="G40" i="111"/>
  <c r="G39" i="111"/>
  <c r="G38" i="111"/>
  <c r="G37" i="111"/>
  <c r="G36" i="111"/>
  <c r="G35" i="111"/>
  <c r="G34" i="111"/>
  <c r="G33" i="111"/>
  <c r="G32" i="111"/>
  <c r="G31" i="111"/>
  <c r="G30" i="111"/>
  <c r="G29" i="111"/>
  <c r="G28" i="111"/>
  <c r="G27" i="111"/>
  <c r="G26" i="111"/>
  <c r="G25" i="111"/>
  <c r="G24" i="111"/>
  <c r="G23" i="111"/>
  <c r="G22" i="111"/>
  <c r="G21" i="111"/>
  <c r="G151" i="111" s="1"/>
  <c r="G20" i="111"/>
  <c r="G19" i="111"/>
  <c r="G18" i="111"/>
  <c r="G11" i="111"/>
  <c r="G10" i="111"/>
  <c r="G9" i="111"/>
  <c r="G8" i="111"/>
  <c r="F55" i="31"/>
  <c r="E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11" i="31"/>
  <c r="D10" i="31"/>
  <c r="D9" i="31"/>
  <c r="D8" i="31"/>
  <c r="D7" i="31"/>
  <c r="L61" i="31"/>
  <c r="K61" i="31"/>
  <c r="J61" i="31"/>
  <c r="I61" i="31"/>
  <c r="H61" i="31"/>
  <c r="G61" i="31"/>
  <c r="F61" i="31"/>
  <c r="E61" i="31"/>
  <c r="D61" i="31"/>
  <c r="C61" i="31"/>
  <c r="B61" i="31"/>
  <c r="G14" i="31"/>
  <c r="G13" i="31"/>
  <c r="G12" i="31"/>
  <c r="G54" i="31"/>
  <c r="G53" i="31"/>
  <c r="G52" i="31"/>
  <c r="G51" i="31"/>
  <c r="G50" i="31"/>
  <c r="G49" i="31"/>
  <c r="G48" i="31"/>
  <c r="G47" i="31"/>
  <c r="G46" i="31"/>
  <c r="G45" i="31"/>
  <c r="G44" i="31"/>
  <c r="G43" i="31"/>
  <c r="G42" i="31"/>
  <c r="G41" i="31"/>
  <c r="G40" i="31"/>
  <c r="G39" i="31"/>
  <c r="G38" i="31"/>
  <c r="G37" i="31"/>
  <c r="G36" i="31"/>
  <c r="G35" i="31"/>
  <c r="G34" i="31"/>
  <c r="G33" i="31"/>
  <c r="G32" i="31"/>
  <c r="G31" i="31"/>
  <c r="G30" i="31"/>
  <c r="G29" i="31"/>
  <c r="G28" i="31"/>
  <c r="G27" i="31"/>
  <c r="G26" i="31"/>
  <c r="G25" i="31"/>
  <c r="G24" i="31"/>
  <c r="G23" i="31"/>
  <c r="G22" i="31"/>
  <c r="G21" i="31"/>
  <c r="G20" i="31"/>
  <c r="G19" i="31"/>
  <c r="G18" i="31"/>
  <c r="G17" i="31"/>
  <c r="G16" i="31"/>
  <c r="G15" i="31"/>
  <c r="G11" i="31"/>
  <c r="G10" i="31"/>
  <c r="G9" i="31"/>
  <c r="G8" i="31"/>
  <c r="G7" i="31"/>
  <c r="F13" i="31"/>
  <c r="F55" i="33"/>
  <c r="E55" i="33"/>
  <c r="D55" i="33"/>
  <c r="C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7" i="33"/>
  <c r="D26" i="33"/>
  <c r="D25" i="33"/>
  <c r="D24" i="33"/>
  <c r="D23" i="33"/>
  <c r="D22" i="33"/>
  <c r="D21" i="33"/>
  <c r="D20" i="33"/>
  <c r="D19" i="33"/>
  <c r="D18" i="33"/>
  <c r="D17" i="33"/>
  <c r="G16" i="33"/>
  <c r="D16" i="33"/>
  <c r="D15" i="33"/>
  <c r="D14" i="33"/>
  <c r="D13" i="33"/>
  <c r="D12" i="33"/>
  <c r="D11" i="33"/>
  <c r="D10" i="33"/>
  <c r="D9" i="33"/>
  <c r="D8" i="33"/>
  <c r="D7" i="33"/>
  <c r="N61" i="33"/>
  <c r="M61" i="33"/>
  <c r="L61" i="33"/>
  <c r="K61" i="33"/>
  <c r="J61" i="33"/>
  <c r="I61" i="33"/>
  <c r="H61" i="33"/>
  <c r="G61" i="33"/>
  <c r="F61" i="33"/>
  <c r="E61" i="33"/>
  <c r="D61" i="33"/>
  <c r="C61" i="33"/>
  <c r="B61" i="33"/>
  <c r="G15" i="33"/>
  <c r="G14" i="33"/>
  <c r="G8" i="33"/>
  <c r="G9" i="33"/>
  <c r="G10" i="33"/>
  <c r="G11" i="33"/>
  <c r="G12" i="33"/>
  <c r="G13"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49" i="33"/>
  <c r="G50" i="33"/>
  <c r="G51" i="33"/>
  <c r="G52" i="33"/>
  <c r="G53" i="33"/>
  <c r="G54" i="33"/>
  <c r="G7" i="33"/>
  <c r="G15" i="32"/>
  <c r="G14"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3" i="32"/>
  <c r="G12" i="32"/>
  <c r="G11" i="32"/>
  <c r="G10" i="32"/>
  <c r="G9" i="32"/>
  <c r="G8" i="32"/>
  <c r="G7" i="32"/>
  <c r="C55" i="32" l="1"/>
  <c r="F55" i="32"/>
  <c r="E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F62" i="32"/>
  <c r="E62" i="32"/>
  <c r="D62" i="32"/>
  <c r="C62" i="32"/>
  <c r="B62" i="32"/>
  <c r="D7" i="32" s="1"/>
  <c r="F15" i="32"/>
  <c r="F55" i="30" l="1"/>
  <c r="E55" i="30"/>
  <c r="D55" i="30"/>
  <c r="C55" i="30"/>
  <c r="G54" i="30"/>
  <c r="D54" i="30"/>
  <c r="D53" i="30"/>
  <c r="D52" i="30"/>
  <c r="D51" i="30"/>
  <c r="D50" i="30"/>
  <c r="D49" i="30"/>
  <c r="D48" i="30"/>
  <c r="D47" i="30"/>
  <c r="D46" i="30"/>
  <c r="D45" i="30"/>
  <c r="D44" i="30"/>
  <c r="D43" i="30"/>
  <c r="D42" i="30"/>
  <c r="D41" i="30"/>
  <c r="D40" i="30"/>
  <c r="D39"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D13" i="30"/>
  <c r="D12" i="30"/>
  <c r="D11" i="30"/>
  <c r="D10" i="30"/>
  <c r="D9" i="30"/>
  <c r="D8" i="30"/>
  <c r="D7" i="30"/>
  <c r="E70" i="30"/>
  <c r="D70" i="30"/>
  <c r="C70" i="30"/>
  <c r="B70" i="30"/>
  <c r="K61" i="30"/>
  <c r="J61" i="30"/>
  <c r="I61" i="30"/>
  <c r="H61" i="30"/>
  <c r="G61" i="30"/>
  <c r="F61" i="30"/>
  <c r="E61" i="30"/>
  <c r="D61" i="30"/>
  <c r="C61" i="30"/>
  <c r="B61" i="30"/>
  <c r="B62" i="30"/>
  <c r="G17" i="30"/>
  <c r="G16" i="30"/>
  <c r="G15" i="30"/>
  <c r="G7"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4" i="30"/>
  <c r="G13" i="30"/>
  <c r="G12" i="30"/>
  <c r="G11" i="30"/>
  <c r="G10" i="30"/>
  <c r="G9" i="30"/>
  <c r="G8" i="30"/>
  <c r="G37" i="2"/>
  <c r="D12" i="2"/>
  <c r="D11" i="2"/>
  <c r="D10" i="2"/>
  <c r="D9" i="2"/>
  <c r="D8" i="2"/>
  <c r="D7" i="2"/>
  <c r="B62" i="2" l="1"/>
  <c r="G21" i="2"/>
  <c r="F21" i="2" l="1"/>
  <c r="G22" i="2"/>
  <c r="G13" i="2"/>
  <c r="G8" i="2"/>
  <c r="G9" i="2"/>
  <c r="G10" i="2"/>
  <c r="G11" i="2"/>
  <c r="G12" i="2"/>
  <c r="G14" i="2"/>
  <c r="G15" i="2"/>
  <c r="G24" i="2"/>
  <c r="G25" i="2"/>
  <c r="G26" i="2"/>
  <c r="G27" i="2"/>
  <c r="G28" i="2"/>
  <c r="G29" i="2"/>
  <c r="G30" i="2"/>
  <c r="G31" i="2"/>
  <c r="G32" i="2"/>
  <c r="G33" i="2"/>
  <c r="G34" i="2"/>
  <c r="G35" i="2"/>
  <c r="G36" i="2"/>
  <c r="G38" i="2"/>
  <c r="G39" i="2"/>
  <c r="G40" i="2"/>
  <c r="G41" i="2"/>
  <c r="G42" i="2"/>
  <c r="G43" i="2"/>
  <c r="G44" i="2"/>
  <c r="G45" i="2"/>
  <c r="G46" i="2"/>
  <c r="G47" i="2"/>
  <c r="G48" i="2"/>
  <c r="G49" i="2"/>
  <c r="G50" i="2"/>
  <c r="G51" i="2"/>
  <c r="G52" i="2"/>
  <c r="G53" i="2"/>
  <c r="G54" i="2"/>
  <c r="G55" i="2"/>
  <c r="G7" i="2"/>
  <c r="H169" i="114" l="1"/>
  <c r="G169" i="114"/>
  <c r="F169" i="114"/>
  <c r="H168" i="114"/>
  <c r="G168" i="114"/>
  <c r="F168" i="114"/>
  <c r="K170" i="105"/>
  <c r="J170" i="105"/>
  <c r="I170" i="105"/>
  <c r="K169" i="105"/>
  <c r="J169" i="105"/>
  <c r="I169" i="105"/>
  <c r="L170" i="101"/>
  <c r="K170" i="101"/>
  <c r="L169" i="101"/>
  <c r="K169" i="101"/>
  <c r="J170" i="101"/>
  <c r="J169" i="101"/>
  <c r="L53" i="66"/>
  <c r="K53" i="66"/>
  <c r="J53" i="66"/>
  <c r="M54" i="100"/>
  <c r="L54" i="100"/>
  <c r="K54" i="100"/>
  <c r="M57" i="68"/>
  <c r="L57" i="68"/>
  <c r="M56" i="68"/>
  <c r="L56" i="68"/>
  <c r="K57" i="68"/>
  <c r="K56" i="68"/>
  <c r="J164" i="111"/>
  <c r="I164" i="111"/>
  <c r="H164" i="111"/>
  <c r="L62" i="31"/>
  <c r="K62" i="31"/>
  <c r="J62" i="31"/>
  <c r="N62" i="33"/>
  <c r="M62" i="33"/>
  <c r="L62" i="33"/>
  <c r="N63" i="32"/>
  <c r="N62" i="32"/>
  <c r="M63" i="32"/>
  <c r="M62" i="32"/>
  <c r="L63" i="32"/>
  <c r="L62" i="32"/>
  <c r="E71" i="30"/>
  <c r="D71" i="30"/>
  <c r="I70" i="2"/>
  <c r="I71" i="2" s="1"/>
  <c r="H70" i="2"/>
  <c r="H71" i="2" s="1"/>
  <c r="D39" i="114" l="1"/>
  <c r="D38" i="114"/>
  <c r="D37" i="114"/>
  <c r="D36" i="114"/>
  <c r="D40" i="114"/>
  <c r="D43" i="114"/>
  <c r="D35" i="114"/>
  <c r="D42" i="114"/>
  <c r="D34" i="114"/>
  <c r="D41" i="114"/>
  <c r="D33" i="114"/>
  <c r="D32" i="114"/>
  <c r="D31" i="114"/>
  <c r="D23" i="114"/>
  <c r="D30" i="114"/>
  <c r="D22" i="114"/>
  <c r="D29" i="114"/>
  <c r="D21" i="114"/>
  <c r="D28" i="114"/>
  <c r="D27" i="114"/>
  <c r="D26" i="114"/>
  <c r="D25" i="114"/>
  <c r="D24" i="114"/>
  <c r="D143" i="114"/>
  <c r="D135" i="114"/>
  <c r="D127" i="114"/>
  <c r="D119" i="114"/>
  <c r="D111" i="114"/>
  <c r="D103" i="114"/>
  <c r="D95" i="114"/>
  <c r="D87" i="114"/>
  <c r="D79" i="114"/>
  <c r="D71" i="114"/>
  <c r="D63" i="114"/>
  <c r="D55" i="114"/>
  <c r="D47" i="114"/>
  <c r="D48" i="114"/>
  <c r="D150" i="114"/>
  <c r="D142" i="114"/>
  <c r="D134" i="114"/>
  <c r="D126" i="114"/>
  <c r="D118" i="114"/>
  <c r="D110" i="114"/>
  <c r="D102" i="114"/>
  <c r="D94" i="114"/>
  <c r="D86" i="114"/>
  <c r="D78" i="114"/>
  <c r="D70" i="114"/>
  <c r="D62" i="114"/>
  <c r="D54" i="114"/>
  <c r="D46" i="114"/>
  <c r="D149" i="114"/>
  <c r="D141" i="114"/>
  <c r="D133" i="114"/>
  <c r="D125" i="114"/>
  <c r="D117" i="114"/>
  <c r="D109" i="114"/>
  <c r="D101" i="114"/>
  <c r="D93" i="114"/>
  <c r="D85" i="114"/>
  <c r="D77" i="114"/>
  <c r="D69" i="114"/>
  <c r="D61" i="114"/>
  <c r="D53" i="114"/>
  <c r="D45" i="114"/>
  <c r="D148" i="114"/>
  <c r="D140" i="114"/>
  <c r="D132" i="114"/>
  <c r="D124" i="114"/>
  <c r="D116" i="114"/>
  <c r="D108" i="114"/>
  <c r="D100" i="114"/>
  <c r="D92" i="114"/>
  <c r="D84" i="114"/>
  <c r="D76" i="114"/>
  <c r="D68" i="114"/>
  <c r="D60" i="114"/>
  <c r="D52" i="114"/>
  <c r="D44" i="114"/>
  <c r="D144" i="114"/>
  <c r="D136" i="114"/>
  <c r="D128" i="114"/>
  <c r="D120" i="114"/>
  <c r="D104" i="114"/>
  <c r="D88" i="114"/>
  <c r="D80" i="114"/>
  <c r="D64" i="114"/>
  <c r="D147" i="114"/>
  <c r="D139" i="114"/>
  <c r="D131" i="114"/>
  <c r="D123" i="114"/>
  <c r="D115" i="114"/>
  <c r="D107" i="114"/>
  <c r="D99" i="114"/>
  <c r="D91" i="114"/>
  <c r="D83" i="114"/>
  <c r="D75" i="114"/>
  <c r="D67" i="114"/>
  <c r="D59" i="114"/>
  <c r="D51" i="114"/>
  <c r="D112" i="114"/>
  <c r="D146" i="114"/>
  <c r="D138" i="114"/>
  <c r="D130" i="114"/>
  <c r="D122" i="114"/>
  <c r="D114" i="114"/>
  <c r="D106" i="114"/>
  <c r="D98" i="114"/>
  <c r="D90" i="114"/>
  <c r="D82" i="114"/>
  <c r="D74" i="114"/>
  <c r="D66" i="114"/>
  <c r="D58" i="114"/>
  <c r="D50" i="114"/>
  <c r="D145" i="114"/>
  <c r="D137" i="114"/>
  <c r="D129" i="114"/>
  <c r="D121" i="114"/>
  <c r="D113" i="114"/>
  <c r="D105" i="114"/>
  <c r="D97" i="114"/>
  <c r="D89" i="114"/>
  <c r="D81" i="114"/>
  <c r="D73" i="114"/>
  <c r="D65" i="114"/>
  <c r="D57" i="114"/>
  <c r="D49" i="114"/>
  <c r="D96" i="114"/>
  <c r="D72" i="114"/>
  <c r="D56" i="114"/>
  <c r="D146" i="101"/>
  <c r="D138" i="101"/>
  <c r="D130" i="101"/>
  <c r="D122" i="101"/>
  <c r="D114" i="101"/>
  <c r="D106" i="101"/>
  <c r="D98" i="101"/>
  <c r="D90" i="101"/>
  <c r="D82" i="101"/>
  <c r="D74" i="101"/>
  <c r="D66" i="101"/>
  <c r="D58" i="101"/>
  <c r="D50" i="101"/>
  <c r="D139" i="101"/>
  <c r="D123" i="101"/>
  <c r="D99" i="101"/>
  <c r="D83" i="101"/>
  <c r="D67" i="101"/>
  <c r="D145" i="101"/>
  <c r="D137" i="101"/>
  <c r="D129" i="101"/>
  <c r="D121" i="101"/>
  <c r="D113" i="101"/>
  <c r="D105" i="101"/>
  <c r="D97" i="101"/>
  <c r="D89" i="101"/>
  <c r="D81" i="101"/>
  <c r="D73" i="101"/>
  <c r="D65" i="101"/>
  <c r="D57" i="101"/>
  <c r="D49" i="101"/>
  <c r="D144" i="101"/>
  <c r="D136" i="101"/>
  <c r="D128" i="101"/>
  <c r="D120" i="101"/>
  <c r="D112" i="101"/>
  <c r="D104" i="101"/>
  <c r="D96" i="101"/>
  <c r="D88" i="101"/>
  <c r="D80" i="101"/>
  <c r="D72" i="101"/>
  <c r="D64" i="101"/>
  <c r="D56" i="101"/>
  <c r="D48" i="101"/>
  <c r="D143" i="101"/>
  <c r="D135" i="101"/>
  <c r="D127" i="101"/>
  <c r="D119" i="101"/>
  <c r="D111" i="101"/>
  <c r="D103" i="101"/>
  <c r="D95" i="101"/>
  <c r="D87" i="101"/>
  <c r="D79" i="101"/>
  <c r="D71" i="101"/>
  <c r="D63" i="101"/>
  <c r="D55" i="101"/>
  <c r="D147" i="101"/>
  <c r="D115" i="101"/>
  <c r="D91" i="101"/>
  <c r="D75" i="101"/>
  <c r="D59" i="101"/>
  <c r="D150" i="101"/>
  <c r="D142" i="101"/>
  <c r="D134" i="101"/>
  <c r="D126" i="101"/>
  <c r="D118" i="101"/>
  <c r="D110" i="101"/>
  <c r="D102" i="101"/>
  <c r="D94" i="101"/>
  <c r="D86" i="101"/>
  <c r="D78" i="101"/>
  <c r="D70" i="101"/>
  <c r="D62" i="101"/>
  <c r="D54" i="101"/>
  <c r="D131" i="101"/>
  <c r="D149" i="101"/>
  <c r="D141" i="101"/>
  <c r="D133" i="101"/>
  <c r="D125" i="101"/>
  <c r="D117" i="101"/>
  <c r="D109" i="101"/>
  <c r="D101" i="101"/>
  <c r="D93" i="101"/>
  <c r="D85" i="101"/>
  <c r="D77" i="101"/>
  <c r="D69" i="101"/>
  <c r="D61" i="101"/>
  <c r="D53" i="101"/>
  <c r="D51" i="101"/>
  <c r="D148" i="101"/>
  <c r="D140" i="101"/>
  <c r="D132" i="101"/>
  <c r="D124" i="101"/>
  <c r="D116" i="101"/>
  <c r="D108" i="101"/>
  <c r="D100" i="101"/>
  <c r="D92" i="101"/>
  <c r="D84" i="101"/>
  <c r="D76" i="101"/>
  <c r="D68" i="101"/>
  <c r="D60" i="101"/>
  <c r="D52" i="101"/>
  <c r="D107" i="101"/>
  <c r="D34" i="101"/>
  <c r="D26" i="101"/>
  <c r="D27" i="101"/>
  <c r="D33" i="101"/>
  <c r="D25" i="101"/>
  <c r="D32" i="101"/>
  <c r="D31" i="101"/>
  <c r="D35" i="101"/>
  <c r="D30" i="101"/>
  <c r="D29" i="101"/>
  <c r="D28" i="101"/>
  <c r="D42" i="101"/>
  <c r="D43" i="101"/>
  <c r="D41" i="101"/>
  <c r="D40" i="101"/>
  <c r="D47" i="101"/>
  <c r="D39" i="101"/>
  <c r="D46" i="101"/>
  <c r="D38" i="101"/>
  <c r="D45" i="101"/>
  <c r="D37" i="101"/>
  <c r="D44" i="101"/>
  <c r="D36" i="101"/>
  <c r="D41" i="113"/>
  <c r="D33" i="113"/>
  <c r="D25" i="113"/>
  <c r="D40" i="113"/>
  <c r="D32" i="113"/>
  <c r="D24" i="113"/>
  <c r="D34" i="113"/>
  <c r="D39" i="113"/>
  <c r="D31" i="113"/>
  <c r="D23" i="113"/>
  <c r="D46" i="113"/>
  <c r="D38" i="113"/>
  <c r="D30" i="113"/>
  <c r="D22" i="113"/>
  <c r="D45" i="113"/>
  <c r="D37" i="113"/>
  <c r="D29" i="113"/>
  <c r="D21" i="113"/>
  <c r="D44" i="113"/>
  <c r="D36" i="113"/>
  <c r="D28" i="113"/>
  <c r="D20" i="113"/>
  <c r="D42" i="113"/>
  <c r="D26" i="113"/>
  <c r="D43" i="113"/>
  <c r="D35" i="113"/>
  <c r="D27" i="113"/>
  <c r="D19" i="113"/>
  <c r="D17" i="113"/>
  <c r="D16" i="113"/>
  <c r="D15" i="113"/>
  <c r="D18" i="113"/>
  <c r="D17" i="93"/>
  <c r="D16" i="93"/>
  <c r="D19" i="93"/>
  <c r="D18" i="93"/>
  <c r="D41" i="93"/>
  <c r="D33" i="93"/>
  <c r="D25" i="93"/>
  <c r="D40" i="93"/>
  <c r="D32" i="93"/>
  <c r="D24" i="93"/>
  <c r="D45" i="93"/>
  <c r="D37" i="93"/>
  <c r="D29" i="93"/>
  <c r="D21" i="93"/>
  <c r="D39" i="93"/>
  <c r="D31" i="93"/>
  <c r="D23" i="93"/>
  <c r="D46" i="93"/>
  <c r="D38" i="93"/>
  <c r="D30" i="93"/>
  <c r="D22" i="93"/>
  <c r="D44" i="93"/>
  <c r="O15" i="146" s="1"/>
  <c r="D36" i="93"/>
  <c r="D28" i="93"/>
  <c r="D20" i="93"/>
  <c r="D43" i="93"/>
  <c r="D35" i="93"/>
  <c r="D27" i="93"/>
  <c r="D42" i="93"/>
  <c r="D34" i="93"/>
  <c r="D26" i="93"/>
  <c r="D20" i="68"/>
  <c r="D19" i="68"/>
  <c r="D22" i="68"/>
  <c r="D21" i="68"/>
  <c r="D42" i="68"/>
  <c r="D34" i="68"/>
  <c r="D26" i="68"/>
  <c r="D28" i="68"/>
  <c r="D41" i="68"/>
  <c r="D33" i="68"/>
  <c r="D25" i="68"/>
  <c r="D35" i="68"/>
  <c r="D40" i="68"/>
  <c r="D32" i="68"/>
  <c r="D24" i="68"/>
  <c r="D44" i="68"/>
  <c r="D43" i="68"/>
  <c r="D27" i="68"/>
  <c r="D39" i="68"/>
  <c r="D31" i="68"/>
  <c r="D23" i="68"/>
  <c r="D46" i="68"/>
  <c r="D38" i="68"/>
  <c r="D30" i="68"/>
  <c r="D45" i="68"/>
  <c r="D37" i="68"/>
  <c r="D29" i="68"/>
  <c r="D36" i="68"/>
  <c r="D18" i="68"/>
  <c r="D17" i="68"/>
  <c r="D16" i="68"/>
  <c r="D149" i="111"/>
  <c r="D141" i="111"/>
  <c r="D133" i="111"/>
  <c r="D125" i="111"/>
  <c r="D117" i="111"/>
  <c r="D109" i="111"/>
  <c r="D101" i="111"/>
  <c r="D93" i="111"/>
  <c r="D85" i="111"/>
  <c r="D77" i="111"/>
  <c r="D69" i="111"/>
  <c r="D61" i="111"/>
  <c r="D53" i="111"/>
  <c r="D45" i="111"/>
  <c r="D148" i="111"/>
  <c r="D140" i="111"/>
  <c r="D132" i="111"/>
  <c r="D124" i="111"/>
  <c r="D116" i="111"/>
  <c r="D108" i="111"/>
  <c r="D100" i="111"/>
  <c r="D92" i="111"/>
  <c r="D84" i="111"/>
  <c r="D76" i="111"/>
  <c r="D68" i="111"/>
  <c r="D60" i="111"/>
  <c r="D52" i="111"/>
  <c r="D70" i="111"/>
  <c r="D147" i="111"/>
  <c r="D139" i="111"/>
  <c r="D131" i="111"/>
  <c r="D123" i="111"/>
  <c r="D115" i="111"/>
  <c r="D107" i="111"/>
  <c r="D99" i="111"/>
  <c r="D91" i="111"/>
  <c r="D83" i="111"/>
  <c r="D75" i="111"/>
  <c r="D67" i="111"/>
  <c r="D59" i="111"/>
  <c r="D51" i="111"/>
  <c r="D142" i="111"/>
  <c r="D118" i="111"/>
  <c r="D102" i="111"/>
  <c r="D86" i="111"/>
  <c r="D54" i="111"/>
  <c r="D146" i="111"/>
  <c r="D138" i="111"/>
  <c r="D130" i="111"/>
  <c r="D122" i="111"/>
  <c r="D114" i="111"/>
  <c r="D106" i="111"/>
  <c r="D98" i="111"/>
  <c r="D90" i="111"/>
  <c r="D82" i="111"/>
  <c r="D74" i="111"/>
  <c r="D66" i="111"/>
  <c r="D58" i="111"/>
  <c r="D50" i="111"/>
  <c r="D134" i="111"/>
  <c r="D145" i="111"/>
  <c r="D137" i="111"/>
  <c r="D129" i="111"/>
  <c r="D121" i="111"/>
  <c r="D113" i="111"/>
  <c r="D105" i="111"/>
  <c r="D97" i="111"/>
  <c r="D89" i="111"/>
  <c r="D81" i="111"/>
  <c r="D73" i="111"/>
  <c r="D65" i="111"/>
  <c r="D57" i="111"/>
  <c r="D49" i="111"/>
  <c r="D62" i="111"/>
  <c r="D144" i="111"/>
  <c r="D136" i="111"/>
  <c r="D128" i="111"/>
  <c r="D120" i="111"/>
  <c r="D112" i="111"/>
  <c r="D104" i="111"/>
  <c r="D96" i="111"/>
  <c r="D88" i="111"/>
  <c r="D80" i="111"/>
  <c r="D72" i="111"/>
  <c r="D64" i="111"/>
  <c r="D56" i="111"/>
  <c r="D48" i="111"/>
  <c r="D143" i="111"/>
  <c r="D135" i="111"/>
  <c r="D127" i="111"/>
  <c r="D119" i="111"/>
  <c r="D111" i="111"/>
  <c r="D103" i="111"/>
  <c r="D95" i="111"/>
  <c r="D87" i="111"/>
  <c r="D79" i="111"/>
  <c r="D71" i="111"/>
  <c r="D63" i="111"/>
  <c r="D55" i="111"/>
  <c r="D47" i="111"/>
  <c r="D150" i="111"/>
  <c r="D126" i="111"/>
  <c r="D110" i="111"/>
  <c r="D94" i="111"/>
  <c r="D78" i="111"/>
  <c r="D46" i="111"/>
  <c r="D29" i="111"/>
  <c r="D28" i="111"/>
  <c r="D27" i="111"/>
  <c r="D22" i="111"/>
  <c r="D26" i="111"/>
  <c r="D25" i="111"/>
  <c r="D32" i="111"/>
  <c r="D24" i="111"/>
  <c r="D31" i="111"/>
  <c r="D23" i="111"/>
  <c r="D30" i="111"/>
  <c r="D37" i="111"/>
  <c r="D44" i="111"/>
  <c r="D36" i="111"/>
  <c r="D43" i="111"/>
  <c r="D35" i="111"/>
  <c r="D38" i="111"/>
  <c r="D42" i="111"/>
  <c r="D34" i="111"/>
  <c r="D41" i="111"/>
  <c r="D33" i="111"/>
  <c r="D40" i="111"/>
  <c r="D39" i="111"/>
  <c r="C15" i="145"/>
  <c r="A7" i="145"/>
  <c r="J53" i="145"/>
  <c r="I53" i="145"/>
  <c r="H53" i="145"/>
  <c r="G53" i="145"/>
  <c r="F53" i="145"/>
  <c r="E53" i="145"/>
  <c r="D53" i="145"/>
  <c r="C53" i="145"/>
  <c r="B53" i="145"/>
  <c r="C46" i="145"/>
  <c r="C45" i="145"/>
  <c r="C44" i="145"/>
  <c r="C43" i="145"/>
  <c r="C42" i="145"/>
  <c r="C41" i="145"/>
  <c r="C40" i="145"/>
  <c r="C39" i="145"/>
  <c r="C38" i="145"/>
  <c r="C37" i="145"/>
  <c r="C36" i="145"/>
  <c r="C35" i="145"/>
  <c r="C34" i="145"/>
  <c r="C33" i="145"/>
  <c r="C32" i="145"/>
  <c r="C31" i="145"/>
  <c r="C30" i="145"/>
  <c r="C29" i="145"/>
  <c r="C28" i="145"/>
  <c r="C27" i="145"/>
  <c r="C26" i="145"/>
  <c r="C25" i="145"/>
  <c r="C24" i="145"/>
  <c r="C23" i="145"/>
  <c r="C22" i="145"/>
  <c r="C21" i="145"/>
  <c r="C20" i="145"/>
  <c r="C19" i="145"/>
  <c r="C18" i="145"/>
  <c r="C17" i="145"/>
  <c r="C16" i="145"/>
  <c r="G7" i="145"/>
  <c r="G8" i="145" s="1"/>
  <c r="D9" i="145" s="1"/>
  <c r="A8" i="145"/>
  <c r="A9" i="145" s="1"/>
  <c r="A10" i="145" s="1"/>
  <c r="A11" i="145" s="1"/>
  <c r="A12" i="145" s="1"/>
  <c r="A13" i="145" s="1"/>
  <c r="A14" i="145" s="1"/>
  <c r="A15" i="145" s="1"/>
  <c r="A16" i="145" s="1"/>
  <c r="A17" i="145" s="1"/>
  <c r="A18" i="145" s="1"/>
  <c r="A19" i="145" s="1"/>
  <c r="A20" i="145" s="1"/>
  <c r="A21" i="145" s="1"/>
  <c r="A22" i="145" s="1"/>
  <c r="A23" i="145" s="1"/>
  <c r="A24" i="145" s="1"/>
  <c r="A25" i="145" s="1"/>
  <c r="A26" i="145" s="1"/>
  <c r="A27" i="145" s="1"/>
  <c r="A28" i="145" s="1"/>
  <c r="A29" i="145" s="1"/>
  <c r="A30" i="145" s="1"/>
  <c r="A31" i="145" s="1"/>
  <c r="A32" i="145" s="1"/>
  <c r="A33" i="145" s="1"/>
  <c r="A34" i="145" s="1"/>
  <c r="A35" i="145" s="1"/>
  <c r="A36" i="145" s="1"/>
  <c r="A37" i="145" s="1"/>
  <c r="A38" i="145" s="1"/>
  <c r="A39" i="145" s="1"/>
  <c r="A40" i="145" s="1"/>
  <c r="A41" i="145" s="1"/>
  <c r="A42" i="145" s="1"/>
  <c r="A43" i="145" s="1"/>
  <c r="A44" i="145" s="1"/>
  <c r="A45" i="145" s="1"/>
  <c r="A46" i="145" s="1"/>
  <c r="R15" i="146" l="1"/>
  <c r="D151" i="114"/>
  <c r="D151" i="101"/>
  <c r="D47" i="68"/>
  <c r="D151" i="111"/>
  <c r="I54" i="145"/>
  <c r="G54" i="145"/>
  <c r="H54" i="145"/>
  <c r="F54" i="145"/>
  <c r="J54" i="145"/>
  <c r="G9" i="145"/>
  <c r="D10" i="145" s="1"/>
  <c r="G10" i="145" l="1"/>
  <c r="G11" i="145" s="1"/>
  <c r="G12" i="145" s="1"/>
  <c r="G13" i="145" s="1"/>
  <c r="G14" i="145" s="1"/>
  <c r="G15" i="145" s="1"/>
  <c r="G16" i="145" s="1"/>
  <c r="G17" i="145" s="1"/>
  <c r="G18" i="145" s="1"/>
  <c r="G19" i="145" s="1"/>
  <c r="G20" i="145" s="1"/>
  <c r="G21" i="145" s="1"/>
  <c r="G22" i="145" s="1"/>
  <c r="G23" i="145" s="1"/>
  <c r="G24" i="145" s="1"/>
  <c r="G25" i="145" s="1"/>
  <c r="G26" i="145" s="1"/>
  <c r="G27" i="145" s="1"/>
  <c r="G28" i="145" s="1"/>
  <c r="G29" i="145" s="1"/>
  <c r="G30" i="145" s="1"/>
  <c r="G31" i="145" s="1"/>
  <c r="G32" i="145" s="1"/>
  <c r="G33" i="145" s="1"/>
  <c r="G34" i="145" s="1"/>
  <c r="G35" i="145" s="1"/>
  <c r="G36" i="145" s="1"/>
  <c r="G37" i="145" s="1"/>
  <c r="G38" i="145" s="1"/>
  <c r="G39" i="145" s="1"/>
  <c r="G40" i="145" s="1"/>
  <c r="G41" i="145" s="1"/>
  <c r="G42" i="145" s="1"/>
  <c r="G43" i="145" s="1"/>
  <c r="G44" i="145" s="1"/>
  <c r="G45" i="145" s="1"/>
  <c r="G46" i="145" s="1"/>
  <c r="E54" i="145" l="1"/>
  <c r="D53" i="128" l="1"/>
  <c r="H170" i="101" l="1"/>
  <c r="H169" i="101"/>
  <c r="G170" i="105"/>
  <c r="G169" i="105"/>
  <c r="F164" i="111" l="1"/>
  <c r="D169" i="114" l="1"/>
  <c r="D168" i="114"/>
  <c r="K63" i="32" l="1"/>
  <c r="J161" i="101" l="1"/>
  <c r="H62" i="31"/>
  <c r="G62" i="31"/>
  <c r="I62" i="31"/>
  <c r="F17" i="30"/>
  <c r="G70" i="2"/>
  <c r="G71" i="2" s="1"/>
  <c r="C70" i="2"/>
  <c r="G170" i="101" l="1"/>
  <c r="G169" i="101"/>
  <c r="F13" i="100" l="1"/>
  <c r="I54" i="100"/>
  <c r="F170" i="105" l="1"/>
  <c r="F169" i="105"/>
  <c r="E164" i="111" l="1"/>
  <c r="C71" i="30" l="1"/>
  <c r="B71" i="30"/>
  <c r="F18" i="114" l="1"/>
  <c r="K62" i="30" l="1"/>
  <c r="I62" i="30"/>
  <c r="J62" i="30"/>
  <c r="F170" i="101" l="1"/>
  <c r="F169" i="101"/>
  <c r="E53" i="128" l="1"/>
  <c r="C169" i="114"/>
  <c r="C168" i="114"/>
  <c r="I161" i="114"/>
  <c r="B169" i="114"/>
  <c r="J151" i="111" l="1"/>
  <c r="I157" i="111"/>
  <c r="F18" i="111"/>
  <c r="F10" i="113" l="1"/>
  <c r="F53" i="93" l="1"/>
  <c r="E53" i="93"/>
  <c r="G62" i="32" l="1"/>
  <c r="H62" i="32"/>
  <c r="I62" i="32"/>
  <c r="J62" i="32"/>
  <c r="K62" i="32"/>
  <c r="E170" i="105" l="1"/>
  <c r="E169" i="105"/>
  <c r="D164" i="111"/>
  <c r="E53" i="113"/>
  <c r="D53" i="113"/>
  <c r="H57" i="68"/>
  <c r="J63" i="32" l="1"/>
  <c r="H54" i="100"/>
  <c r="B168" i="114" l="1"/>
  <c r="K161" i="114"/>
  <c r="K160" i="114"/>
  <c r="J161" i="114"/>
  <c r="J160" i="114"/>
  <c r="C53" i="128"/>
  <c r="H161" i="114" l="1"/>
  <c r="C15" i="100" l="1"/>
  <c r="G15" i="100" l="1"/>
  <c r="D170" i="105"/>
  <c r="D169" i="105"/>
  <c r="C170" i="105"/>
  <c r="C169" i="105"/>
  <c r="B170" i="105"/>
  <c r="B169" i="105"/>
  <c r="J161" i="105"/>
  <c r="J160" i="105"/>
  <c r="A7" i="138" l="1"/>
  <c r="A8" i="138" s="1"/>
  <c r="B169" i="101" l="1"/>
  <c r="E170" i="101"/>
  <c r="E169" i="101"/>
  <c r="D170" i="101"/>
  <c r="D169" i="101"/>
  <c r="C170" i="101"/>
  <c r="C169" i="101"/>
  <c r="B170" i="101"/>
  <c r="G157" i="111" l="1"/>
  <c r="D12" i="111" l="1"/>
  <c r="C164" i="111"/>
  <c r="J157" i="111"/>
  <c r="D15" i="111" s="1"/>
  <c r="D14" i="111"/>
  <c r="I161" i="138" l="1"/>
  <c r="H161" i="138"/>
  <c r="G161" i="138"/>
  <c r="E161" i="138"/>
  <c r="D161" i="138"/>
  <c r="B161" i="138"/>
  <c r="I160" i="138"/>
  <c r="H160" i="138"/>
  <c r="G160" i="138"/>
  <c r="E160" i="138"/>
  <c r="D10" i="138" s="1"/>
  <c r="D160" i="138"/>
  <c r="C160" i="138"/>
  <c r="B160" i="138"/>
  <c r="D7" i="138" s="1"/>
  <c r="G7" i="138"/>
  <c r="A9" i="138"/>
  <c r="I161" i="137"/>
  <c r="H161" i="137"/>
  <c r="G161" i="137"/>
  <c r="E161" i="137"/>
  <c r="D161" i="137"/>
  <c r="B161" i="137"/>
  <c r="I160" i="137"/>
  <c r="H160" i="137"/>
  <c r="G160" i="137"/>
  <c r="E160" i="137"/>
  <c r="D160" i="137"/>
  <c r="C160" i="137"/>
  <c r="B160" i="137"/>
  <c r="D7" i="137" s="1"/>
  <c r="G7" i="137"/>
  <c r="G8" i="137" s="1"/>
  <c r="A7" i="137"/>
  <c r="A8" i="137" s="1"/>
  <c r="A9" i="137" s="1"/>
  <c r="A10" i="137" s="1"/>
  <c r="A11" i="137" s="1"/>
  <c r="A12" i="137" s="1"/>
  <c r="A13" i="137" s="1"/>
  <c r="A14" i="137" s="1"/>
  <c r="A15" i="137" s="1"/>
  <c r="A16" i="137" s="1"/>
  <c r="A17" i="137" s="1"/>
  <c r="A18" i="137" s="1"/>
  <c r="A19" i="137" s="1"/>
  <c r="A20" i="137" s="1"/>
  <c r="A21" i="137" s="1"/>
  <c r="A22" i="137" s="1"/>
  <c r="A23" i="137" s="1"/>
  <c r="A24" i="137" s="1"/>
  <c r="C31" i="136"/>
  <c r="A7" i="136"/>
  <c r="A8" i="136" s="1"/>
  <c r="A9" i="136" s="1"/>
  <c r="A10" i="136" s="1"/>
  <c r="A11" i="136" s="1"/>
  <c r="A12" i="136" s="1"/>
  <c r="A13" i="136" s="1"/>
  <c r="A14" i="136" s="1"/>
  <c r="A15" i="136" s="1"/>
  <c r="A16" i="136" s="1"/>
  <c r="A17" i="136" s="1"/>
  <c r="A18" i="136" s="1"/>
  <c r="A19" i="136" s="1"/>
  <c r="A20" i="136" s="1"/>
  <c r="A21" i="136" s="1"/>
  <c r="A22" i="136" s="1"/>
  <c r="A23" i="136" s="1"/>
  <c r="A24" i="136" s="1"/>
  <c r="A25" i="136" s="1"/>
  <c r="A26" i="136" s="1"/>
  <c r="A27" i="136" s="1"/>
  <c r="A28" i="136" s="1"/>
  <c r="A29" i="136" s="1"/>
  <c r="A30" i="136" s="1"/>
  <c r="A31" i="136" s="1"/>
  <c r="A32" i="136" s="1"/>
  <c r="A33" i="136" s="1"/>
  <c r="A34" i="136" s="1"/>
  <c r="A35" i="136" s="1"/>
  <c r="A36" i="136" s="1"/>
  <c r="A37" i="136" s="1"/>
  <c r="A38" i="136" s="1"/>
  <c r="A39" i="136" s="1"/>
  <c r="A40" i="136" s="1"/>
  <c r="A41" i="136" s="1"/>
  <c r="A42" i="136" s="1"/>
  <c r="A43" i="136" s="1"/>
  <c r="A44" i="136" s="1"/>
  <c r="A45" i="136" s="1"/>
  <c r="A46" i="136" s="1"/>
  <c r="A47" i="136" s="1"/>
  <c r="A48" i="136" s="1"/>
  <c r="A49" i="136" s="1"/>
  <c r="A50" i="136" s="1"/>
  <c r="A51" i="136" s="1"/>
  <c r="A52" i="136" s="1"/>
  <c r="A53" i="136" s="1"/>
  <c r="A54" i="136" s="1"/>
  <c r="A55" i="136" s="1"/>
  <c r="A56" i="136" s="1"/>
  <c r="A57" i="136" s="1"/>
  <c r="A58" i="136" s="1"/>
  <c r="A59" i="136" s="1"/>
  <c r="A60" i="136" s="1"/>
  <c r="A61" i="136" s="1"/>
  <c r="A62" i="136" s="1"/>
  <c r="A63" i="136" s="1"/>
  <c r="A64" i="136" s="1"/>
  <c r="A65" i="136" s="1"/>
  <c r="A66" i="136" s="1"/>
  <c r="A67" i="136" s="1"/>
  <c r="A68" i="136" s="1"/>
  <c r="A69" i="136" s="1"/>
  <c r="A70" i="136" s="1"/>
  <c r="A71" i="136" s="1"/>
  <c r="A72" i="136" s="1"/>
  <c r="A73" i="136" s="1"/>
  <c r="A74" i="136" s="1"/>
  <c r="A75" i="136" s="1"/>
  <c r="A76" i="136" s="1"/>
  <c r="A77" i="136" s="1"/>
  <c r="A78" i="136" s="1"/>
  <c r="A79" i="136" s="1"/>
  <c r="A80" i="136" s="1"/>
  <c r="A81" i="136" s="1"/>
  <c r="A82" i="136" s="1"/>
  <c r="A83" i="136" s="1"/>
  <c r="A84" i="136" s="1"/>
  <c r="A85" i="136" s="1"/>
  <c r="A86" i="136" s="1"/>
  <c r="A87" i="136" s="1"/>
  <c r="A88" i="136" s="1"/>
  <c r="A89" i="136" s="1"/>
  <c r="A90" i="136" s="1"/>
  <c r="A91" i="136" s="1"/>
  <c r="A92" i="136" s="1"/>
  <c r="A93" i="136" s="1"/>
  <c r="A94" i="136" s="1"/>
  <c r="A95" i="136" s="1"/>
  <c r="A96" i="136" s="1"/>
  <c r="A97" i="136" s="1"/>
  <c r="A98" i="136" s="1"/>
  <c r="A99" i="136" s="1"/>
  <c r="A100" i="136" s="1"/>
  <c r="A101" i="136" s="1"/>
  <c r="A102" i="136" s="1"/>
  <c r="A103" i="136" s="1"/>
  <c r="A104" i="136" s="1"/>
  <c r="A105" i="136" s="1"/>
  <c r="A106" i="136" s="1"/>
  <c r="A107" i="136" s="1"/>
  <c r="A108" i="136" s="1"/>
  <c r="A109" i="136" s="1"/>
  <c r="A110" i="136" s="1"/>
  <c r="A111" i="136" s="1"/>
  <c r="A112" i="136" s="1"/>
  <c r="A113" i="136" s="1"/>
  <c r="A114" i="136" s="1"/>
  <c r="A115" i="136" s="1"/>
  <c r="A116" i="136" s="1"/>
  <c r="A117" i="136" s="1"/>
  <c r="A118" i="136" s="1"/>
  <c r="A119" i="136" s="1"/>
  <c r="A120" i="136" s="1"/>
  <c r="A121" i="136" s="1"/>
  <c r="A122" i="136" s="1"/>
  <c r="A123" i="136" s="1"/>
  <c r="A124" i="136" s="1"/>
  <c r="A125" i="136" s="1"/>
  <c r="A126" i="136" s="1"/>
  <c r="A127" i="136" s="1"/>
  <c r="A128" i="136" s="1"/>
  <c r="A129" i="136" s="1"/>
  <c r="A130" i="136" s="1"/>
  <c r="A131" i="136" s="1"/>
  <c r="A132" i="136" s="1"/>
  <c r="A133" i="136" s="1"/>
  <c r="A134" i="136" s="1"/>
  <c r="A135" i="136" s="1"/>
  <c r="A136" i="136" s="1"/>
  <c r="A137" i="136" s="1"/>
  <c r="A138" i="136" s="1"/>
  <c r="A139" i="136" s="1"/>
  <c r="A140" i="136" s="1"/>
  <c r="A141" i="136" s="1"/>
  <c r="A142" i="136" s="1"/>
  <c r="A143" i="136" s="1"/>
  <c r="A144" i="136" s="1"/>
  <c r="A145" i="136" s="1"/>
  <c r="A146" i="136" s="1"/>
  <c r="A147" i="136" s="1"/>
  <c r="A148" i="136" s="1"/>
  <c r="A149" i="136" s="1"/>
  <c r="A150" i="136" s="1"/>
  <c r="G7" i="136"/>
  <c r="G8" i="136" s="1"/>
  <c r="G9" i="136" s="1"/>
  <c r="G10" i="136" s="1"/>
  <c r="G11" i="136" s="1"/>
  <c r="G12" i="136" s="1"/>
  <c r="G13" i="136" s="1"/>
  <c r="G14" i="136" s="1"/>
  <c r="G15" i="136" s="1"/>
  <c r="G16" i="136" s="1"/>
  <c r="G17" i="136" s="1"/>
  <c r="G18" i="136" s="1"/>
  <c r="G19" i="136" s="1"/>
  <c r="G20" i="136" s="1"/>
  <c r="G21" i="136" s="1"/>
  <c r="G22" i="136" s="1"/>
  <c r="G23" i="136" s="1"/>
  <c r="G24" i="136" s="1"/>
  <c r="G25" i="136" s="1"/>
  <c r="G26" i="136" s="1"/>
  <c r="G27" i="136" s="1"/>
  <c r="G28" i="136" s="1"/>
  <c r="G29" i="136" s="1"/>
  <c r="G30" i="136" s="1"/>
  <c r="G7" i="135"/>
  <c r="C31" i="135"/>
  <c r="S162" i="136"/>
  <c r="S159" i="136"/>
  <c r="I157" i="136"/>
  <c r="H157" i="136"/>
  <c r="G157" i="136"/>
  <c r="E157" i="136"/>
  <c r="D10" i="136" s="1"/>
  <c r="D157" i="136"/>
  <c r="C157" i="136"/>
  <c r="B157" i="136"/>
  <c r="D7" i="136" s="1"/>
  <c r="S162" i="135"/>
  <c r="S159" i="135"/>
  <c r="I157" i="135"/>
  <c r="H157" i="135"/>
  <c r="G157" i="135"/>
  <c r="E157" i="135"/>
  <c r="D10" i="135" s="1"/>
  <c r="D157" i="135"/>
  <c r="C157" i="135"/>
  <c r="A7" i="135"/>
  <c r="A8" i="135" s="1"/>
  <c r="A9" i="135" s="1"/>
  <c r="A10" i="135" s="1"/>
  <c r="A11" i="135" s="1"/>
  <c r="D21" i="137" l="1"/>
  <c r="D13" i="137"/>
  <c r="D20" i="137"/>
  <c r="D12" i="137"/>
  <c r="D19" i="137"/>
  <c r="D18" i="137"/>
  <c r="D17" i="137"/>
  <c r="D14" i="137"/>
  <c r="D16" i="137"/>
  <c r="D22" i="137"/>
  <c r="D15" i="137"/>
  <c r="D29" i="137"/>
  <c r="D28" i="137"/>
  <c r="D27" i="137"/>
  <c r="D34" i="137"/>
  <c r="D26" i="137"/>
  <c r="D30" i="137"/>
  <c r="D33" i="137"/>
  <c r="D25" i="137"/>
  <c r="D32" i="137"/>
  <c r="D24" i="137"/>
  <c r="D31" i="137"/>
  <c r="D23" i="137"/>
  <c r="D149" i="137"/>
  <c r="D141" i="137"/>
  <c r="D133" i="137"/>
  <c r="D125" i="137"/>
  <c r="D117" i="137"/>
  <c r="D109" i="137"/>
  <c r="D101" i="137"/>
  <c r="D93" i="137"/>
  <c r="D85" i="137"/>
  <c r="D77" i="137"/>
  <c r="D69" i="137"/>
  <c r="D61" i="137"/>
  <c r="D53" i="137"/>
  <c r="D45" i="137"/>
  <c r="D37" i="137"/>
  <c r="D142" i="137"/>
  <c r="D94" i="137"/>
  <c r="D54" i="137"/>
  <c r="D148" i="137"/>
  <c r="D140" i="137"/>
  <c r="D132" i="137"/>
  <c r="D124" i="137"/>
  <c r="D116" i="137"/>
  <c r="D108" i="137"/>
  <c r="D100" i="137"/>
  <c r="D92" i="137"/>
  <c r="D84" i="137"/>
  <c r="D76" i="137"/>
  <c r="D68" i="137"/>
  <c r="D60" i="137"/>
  <c r="D52" i="137"/>
  <c r="D44" i="137"/>
  <c r="D36" i="137"/>
  <c r="D118" i="137"/>
  <c r="D46" i="137"/>
  <c r="D147" i="137"/>
  <c r="D139" i="137"/>
  <c r="D131" i="137"/>
  <c r="D123" i="137"/>
  <c r="D115" i="137"/>
  <c r="D107" i="137"/>
  <c r="D99" i="137"/>
  <c r="D91" i="137"/>
  <c r="D83" i="137"/>
  <c r="D75" i="137"/>
  <c r="D67" i="137"/>
  <c r="D59" i="137"/>
  <c r="D51" i="137"/>
  <c r="D43" i="137"/>
  <c r="D35" i="137"/>
  <c r="D126" i="137"/>
  <c r="D70" i="137"/>
  <c r="D38" i="137"/>
  <c r="D146" i="137"/>
  <c r="D138" i="137"/>
  <c r="D130" i="137"/>
  <c r="D122" i="137"/>
  <c r="D114" i="137"/>
  <c r="D106" i="137"/>
  <c r="D98" i="137"/>
  <c r="D90" i="137"/>
  <c r="D82" i="137"/>
  <c r="D74" i="137"/>
  <c r="D66" i="137"/>
  <c r="D58" i="137"/>
  <c r="D50" i="137"/>
  <c r="D42" i="137"/>
  <c r="D150" i="137"/>
  <c r="D134" i="137"/>
  <c r="D86" i="137"/>
  <c r="D62" i="137"/>
  <c r="D145" i="137"/>
  <c r="D137" i="137"/>
  <c r="D129" i="137"/>
  <c r="D121" i="137"/>
  <c r="D113" i="137"/>
  <c r="D105" i="137"/>
  <c r="D97" i="137"/>
  <c r="D89" i="137"/>
  <c r="D81" i="137"/>
  <c r="D73" i="137"/>
  <c r="D65" i="137"/>
  <c r="D57" i="137"/>
  <c r="D49" i="137"/>
  <c r="D41" i="137"/>
  <c r="D102" i="137"/>
  <c r="D144" i="137"/>
  <c r="D136" i="137"/>
  <c r="D128" i="137"/>
  <c r="D120" i="137"/>
  <c r="D112" i="137"/>
  <c r="D104" i="137"/>
  <c r="D96" i="137"/>
  <c r="D88" i="137"/>
  <c r="D80" i="137"/>
  <c r="D72" i="137"/>
  <c r="D64" i="137"/>
  <c r="D56" i="137"/>
  <c r="D48" i="137"/>
  <c r="D40" i="137"/>
  <c r="D110" i="137"/>
  <c r="D143" i="137"/>
  <c r="D135" i="137"/>
  <c r="D127" i="137"/>
  <c r="D119" i="137"/>
  <c r="D111" i="137"/>
  <c r="D103" i="137"/>
  <c r="D95" i="137"/>
  <c r="D87" i="137"/>
  <c r="D79" i="137"/>
  <c r="D71" i="137"/>
  <c r="D63" i="137"/>
  <c r="D55" i="137"/>
  <c r="D47" i="137"/>
  <c r="D39" i="137"/>
  <c r="D78" i="137"/>
  <c r="D30" i="138"/>
  <c r="D29" i="138"/>
  <c r="D31" i="138"/>
  <c r="D28" i="138"/>
  <c r="D27" i="138"/>
  <c r="D23" i="138"/>
  <c r="D34" i="138"/>
  <c r="D26" i="138"/>
  <c r="D32" i="138"/>
  <c r="D33" i="138"/>
  <c r="D25" i="138"/>
  <c r="D24" i="138"/>
  <c r="D150" i="138"/>
  <c r="D142" i="138"/>
  <c r="D134" i="138"/>
  <c r="D126" i="138"/>
  <c r="D118" i="138"/>
  <c r="D110" i="138"/>
  <c r="D102" i="138"/>
  <c r="D94" i="138"/>
  <c r="D86" i="138"/>
  <c r="D78" i="138"/>
  <c r="D70" i="138"/>
  <c r="D62" i="138"/>
  <c r="D54" i="138"/>
  <c r="D46" i="138"/>
  <c r="D38" i="138"/>
  <c r="D103" i="138"/>
  <c r="D149" i="138"/>
  <c r="D141" i="138"/>
  <c r="D133" i="138"/>
  <c r="D125" i="138"/>
  <c r="D117" i="138"/>
  <c r="D109" i="138"/>
  <c r="D101" i="138"/>
  <c r="D93" i="138"/>
  <c r="D85" i="138"/>
  <c r="D77" i="138"/>
  <c r="D69" i="138"/>
  <c r="D61" i="138"/>
  <c r="D53" i="138"/>
  <c r="D45" i="138"/>
  <c r="D37" i="138"/>
  <c r="D87" i="138"/>
  <c r="D148" i="138"/>
  <c r="D140" i="138"/>
  <c r="D132" i="138"/>
  <c r="D124" i="138"/>
  <c r="D116" i="138"/>
  <c r="D108" i="138"/>
  <c r="D100" i="138"/>
  <c r="D92" i="138"/>
  <c r="D84" i="138"/>
  <c r="D76" i="138"/>
  <c r="D68" i="138"/>
  <c r="D60" i="138"/>
  <c r="D52" i="138"/>
  <c r="D44" i="138"/>
  <c r="D36" i="138"/>
  <c r="D147" i="138"/>
  <c r="D139" i="138"/>
  <c r="D131" i="138"/>
  <c r="U17" i="146" s="1"/>
  <c r="X17" i="146" s="1"/>
  <c r="D123" i="138"/>
  <c r="D115" i="138"/>
  <c r="D107" i="138"/>
  <c r="D99" i="138"/>
  <c r="D91" i="138"/>
  <c r="D83" i="138"/>
  <c r="D75" i="138"/>
  <c r="D67" i="138"/>
  <c r="D59" i="138"/>
  <c r="D51" i="138"/>
  <c r="D43" i="138"/>
  <c r="D35" i="138"/>
  <c r="D144" i="138"/>
  <c r="D136" i="138"/>
  <c r="D120" i="138"/>
  <c r="D104" i="138"/>
  <c r="D88" i="138"/>
  <c r="D64" i="138"/>
  <c r="D40" i="138"/>
  <c r="D143" i="138"/>
  <c r="D127" i="138"/>
  <c r="D111" i="138"/>
  <c r="D79" i="138"/>
  <c r="D63" i="138"/>
  <c r="D47" i="138"/>
  <c r="D146" i="138"/>
  <c r="D138" i="138"/>
  <c r="D130" i="138"/>
  <c r="D122" i="138"/>
  <c r="D114" i="138"/>
  <c r="D106" i="138"/>
  <c r="D98" i="138"/>
  <c r="D90" i="138"/>
  <c r="D82" i="138"/>
  <c r="D74" i="138"/>
  <c r="D66" i="138"/>
  <c r="D58" i="138"/>
  <c r="D50" i="138"/>
  <c r="D42" i="138"/>
  <c r="D112" i="138"/>
  <c r="D80" i="138"/>
  <c r="D56" i="138"/>
  <c r="D119" i="138"/>
  <c r="D55" i="138"/>
  <c r="D145" i="138"/>
  <c r="D137" i="138"/>
  <c r="D129" i="138"/>
  <c r="D121" i="138"/>
  <c r="D113" i="138"/>
  <c r="D105" i="138"/>
  <c r="D97" i="138"/>
  <c r="D89" i="138"/>
  <c r="D81" i="138"/>
  <c r="D73" i="138"/>
  <c r="D65" i="138"/>
  <c r="D57" i="138"/>
  <c r="D49" i="138"/>
  <c r="D41" i="138"/>
  <c r="D128" i="138"/>
  <c r="D96" i="138"/>
  <c r="D72" i="138"/>
  <c r="D48" i="138"/>
  <c r="D135" i="138"/>
  <c r="D95" i="138"/>
  <c r="D71" i="138"/>
  <c r="D39" i="138"/>
  <c r="D22" i="138"/>
  <c r="D14" i="138"/>
  <c r="D21" i="138"/>
  <c r="D13" i="138"/>
  <c r="D20" i="138"/>
  <c r="D12" i="138"/>
  <c r="D19" i="138"/>
  <c r="U7" i="146"/>
  <c r="X7" i="146" s="1"/>
  <c r="D16" i="138"/>
  <c r="D18" i="138"/>
  <c r="D17" i="138"/>
  <c r="D15" i="138"/>
  <c r="D19" i="136"/>
  <c r="D14" i="136"/>
  <c r="J158" i="136" s="1"/>
  <c r="D12" i="136"/>
  <c r="D18" i="136"/>
  <c r="D17" i="136"/>
  <c r="D22" i="136"/>
  <c r="D16" i="136"/>
  <c r="L158" i="136" s="1"/>
  <c r="D15" i="136"/>
  <c r="K158" i="136" s="1"/>
  <c r="D21" i="136"/>
  <c r="D13" i="136"/>
  <c r="D20" i="136"/>
  <c r="D27" i="136"/>
  <c r="D34" i="136"/>
  <c r="D26" i="136"/>
  <c r="D30" i="136"/>
  <c r="D33" i="136"/>
  <c r="D25" i="136"/>
  <c r="D28" i="136"/>
  <c r="D32" i="136"/>
  <c r="D24" i="136"/>
  <c r="D31" i="136"/>
  <c r="D23" i="136"/>
  <c r="D29" i="136"/>
  <c r="D147" i="136"/>
  <c r="D139" i="136"/>
  <c r="D131" i="136"/>
  <c r="D123" i="136"/>
  <c r="D115" i="136"/>
  <c r="D107" i="136"/>
  <c r="D99" i="136"/>
  <c r="D91" i="136"/>
  <c r="D83" i="136"/>
  <c r="D75" i="136"/>
  <c r="D67" i="136"/>
  <c r="D59" i="136"/>
  <c r="D51" i="136"/>
  <c r="D43" i="136"/>
  <c r="D35" i="136"/>
  <c r="D142" i="136"/>
  <c r="D126" i="136"/>
  <c r="D110" i="136"/>
  <c r="D86" i="136"/>
  <c r="D62" i="136"/>
  <c r="D38" i="136"/>
  <c r="D60" i="136"/>
  <c r="D146" i="136"/>
  <c r="D138" i="136"/>
  <c r="D130" i="136"/>
  <c r="D122" i="136"/>
  <c r="D114" i="136"/>
  <c r="D106" i="136"/>
  <c r="D98" i="136"/>
  <c r="D90" i="136"/>
  <c r="D82" i="136"/>
  <c r="D74" i="136"/>
  <c r="D66" i="136"/>
  <c r="D58" i="136"/>
  <c r="D50" i="136"/>
  <c r="D42" i="136"/>
  <c r="D150" i="136"/>
  <c r="D134" i="136"/>
  <c r="D118" i="136"/>
  <c r="D102" i="136"/>
  <c r="D78" i="136"/>
  <c r="D54" i="136"/>
  <c r="D68" i="136"/>
  <c r="D145" i="136"/>
  <c r="D137" i="136"/>
  <c r="D129" i="136"/>
  <c r="D121" i="136"/>
  <c r="D113" i="136"/>
  <c r="D105" i="136"/>
  <c r="D97" i="136"/>
  <c r="D89" i="136"/>
  <c r="D81" i="136"/>
  <c r="D73" i="136"/>
  <c r="D65" i="136"/>
  <c r="D57" i="136"/>
  <c r="D49" i="136"/>
  <c r="D41" i="136"/>
  <c r="D70" i="136"/>
  <c r="D144" i="136"/>
  <c r="D136" i="136"/>
  <c r="D128" i="136"/>
  <c r="D120" i="136"/>
  <c r="D112" i="136"/>
  <c r="D104" i="136"/>
  <c r="D96" i="136"/>
  <c r="D88" i="136"/>
  <c r="D80" i="136"/>
  <c r="D72" i="136"/>
  <c r="D64" i="136"/>
  <c r="D56" i="136"/>
  <c r="D48" i="136"/>
  <c r="D40" i="136"/>
  <c r="D94" i="136"/>
  <c r="D46" i="136"/>
  <c r="D44" i="136"/>
  <c r="D143" i="136"/>
  <c r="D135" i="136"/>
  <c r="D127" i="136"/>
  <c r="D119" i="136"/>
  <c r="D111" i="136"/>
  <c r="D103" i="136"/>
  <c r="D95" i="136"/>
  <c r="D87" i="136"/>
  <c r="D79" i="136"/>
  <c r="D71" i="136"/>
  <c r="D63" i="136"/>
  <c r="D55" i="136"/>
  <c r="D47" i="136"/>
  <c r="D39" i="136"/>
  <c r="D149" i="136"/>
  <c r="D141" i="136"/>
  <c r="D133" i="136"/>
  <c r="D125" i="136"/>
  <c r="D117" i="136"/>
  <c r="D109" i="136"/>
  <c r="D101" i="136"/>
  <c r="D93" i="136"/>
  <c r="D85" i="136"/>
  <c r="D77" i="136"/>
  <c r="D69" i="136"/>
  <c r="D61" i="136"/>
  <c r="D53" i="136"/>
  <c r="D45" i="136"/>
  <c r="D37" i="136"/>
  <c r="D148" i="136"/>
  <c r="D140" i="136"/>
  <c r="D132" i="136"/>
  <c r="D124" i="136"/>
  <c r="D116" i="136"/>
  <c r="D108" i="136"/>
  <c r="D100" i="136"/>
  <c r="D92" i="136"/>
  <c r="D84" i="136"/>
  <c r="D76" i="136"/>
  <c r="D52" i="136"/>
  <c r="D36" i="136"/>
  <c r="D34" i="135"/>
  <c r="D26" i="135"/>
  <c r="D33" i="135"/>
  <c r="D25" i="135"/>
  <c r="D32" i="135"/>
  <c r="D24" i="135"/>
  <c r="D30" i="135"/>
  <c r="D31" i="135"/>
  <c r="D23" i="135"/>
  <c r="D28" i="135"/>
  <c r="D27" i="135"/>
  <c r="D29" i="135"/>
  <c r="D18" i="135"/>
  <c r="D17" i="135"/>
  <c r="D22" i="135"/>
  <c r="D14" i="135"/>
  <c r="J158" i="135" s="1"/>
  <c r="D21" i="135"/>
  <c r="D16" i="135"/>
  <c r="L158" i="135" s="1"/>
  <c r="D15" i="135"/>
  <c r="K158" i="135" s="1"/>
  <c r="D20" i="135"/>
  <c r="D12" i="135"/>
  <c r="D19" i="135"/>
  <c r="I7" i="146"/>
  <c r="L7" i="146" s="1"/>
  <c r="D13" i="135"/>
  <c r="D146" i="135"/>
  <c r="D138" i="135"/>
  <c r="D130" i="135"/>
  <c r="D122" i="135"/>
  <c r="D114" i="135"/>
  <c r="D106" i="135"/>
  <c r="D98" i="135"/>
  <c r="D90" i="135"/>
  <c r="D82" i="135"/>
  <c r="D74" i="135"/>
  <c r="D66" i="135"/>
  <c r="D58" i="135"/>
  <c r="D50" i="135"/>
  <c r="D42" i="135"/>
  <c r="D62" i="135"/>
  <c r="D145" i="135"/>
  <c r="D137" i="135"/>
  <c r="D129" i="135"/>
  <c r="D121" i="135"/>
  <c r="D113" i="135"/>
  <c r="D105" i="135"/>
  <c r="D97" i="135"/>
  <c r="D89" i="135"/>
  <c r="D81" i="135"/>
  <c r="D73" i="135"/>
  <c r="D65" i="135"/>
  <c r="D57" i="135"/>
  <c r="D49" i="135"/>
  <c r="D41" i="135"/>
  <c r="D150" i="135"/>
  <c r="D142" i="135"/>
  <c r="D134" i="135"/>
  <c r="D126" i="135"/>
  <c r="D118" i="135"/>
  <c r="D102" i="135"/>
  <c r="D94" i="135"/>
  <c r="D86" i="135"/>
  <c r="D78" i="135"/>
  <c r="D54" i="135"/>
  <c r="D46" i="135"/>
  <c r="D38" i="135"/>
  <c r="D149" i="135"/>
  <c r="D133" i="135"/>
  <c r="D109" i="135"/>
  <c r="D93" i="135"/>
  <c r="D77" i="135"/>
  <c r="D69" i="135"/>
  <c r="D53" i="135"/>
  <c r="D37" i="135"/>
  <c r="D144" i="135"/>
  <c r="D136" i="135"/>
  <c r="D128" i="135"/>
  <c r="D120" i="135"/>
  <c r="D112" i="135"/>
  <c r="D104" i="135"/>
  <c r="D96" i="135"/>
  <c r="D88" i="135"/>
  <c r="D80" i="135"/>
  <c r="D72" i="135"/>
  <c r="D64" i="135"/>
  <c r="D56" i="135"/>
  <c r="D48" i="135"/>
  <c r="D40" i="135"/>
  <c r="D110" i="135"/>
  <c r="D143" i="135"/>
  <c r="D135" i="135"/>
  <c r="D127" i="135"/>
  <c r="D119" i="135"/>
  <c r="D111" i="135"/>
  <c r="D103" i="135"/>
  <c r="D95" i="135"/>
  <c r="D87" i="135"/>
  <c r="D79" i="135"/>
  <c r="D71" i="135"/>
  <c r="I12" i="146" s="1"/>
  <c r="L12" i="146" s="1"/>
  <c r="D63" i="135"/>
  <c r="D55" i="135"/>
  <c r="D47" i="135"/>
  <c r="D39" i="135"/>
  <c r="D70" i="135"/>
  <c r="D148" i="135"/>
  <c r="D140" i="135"/>
  <c r="D132" i="135"/>
  <c r="D124" i="135"/>
  <c r="D116" i="135"/>
  <c r="D108" i="135"/>
  <c r="D100" i="135"/>
  <c r="D92" i="135"/>
  <c r="D84" i="135"/>
  <c r="D76" i="135"/>
  <c r="D68" i="135"/>
  <c r="D60" i="135"/>
  <c r="D52" i="135"/>
  <c r="D44" i="135"/>
  <c r="D36" i="135"/>
  <c r="D147" i="135"/>
  <c r="D139" i="135"/>
  <c r="D131" i="135"/>
  <c r="D123" i="135"/>
  <c r="D115" i="135"/>
  <c r="D107" i="135"/>
  <c r="D99" i="135"/>
  <c r="D91" i="135"/>
  <c r="D83" i="135"/>
  <c r="I13" i="146" s="1"/>
  <c r="L13" i="146" s="1"/>
  <c r="D75" i="135"/>
  <c r="D67" i="135"/>
  <c r="D59" i="135"/>
  <c r="D51" i="135"/>
  <c r="D43" i="135"/>
  <c r="D35" i="135"/>
  <c r="D141" i="135"/>
  <c r="D125" i="135"/>
  <c r="D117" i="135"/>
  <c r="D101" i="135"/>
  <c r="D85" i="135"/>
  <c r="D61" i="135"/>
  <c r="D45" i="135"/>
  <c r="A10" i="138"/>
  <c r="A11" i="138" s="1"/>
  <c r="A12" i="138" s="1"/>
  <c r="A13" i="138" s="1"/>
  <c r="A14" i="138" s="1"/>
  <c r="A15" i="138" s="1"/>
  <c r="A16" i="138" s="1"/>
  <c r="A17" i="138" s="1"/>
  <c r="A18" i="138" s="1"/>
  <c r="A19" i="138" s="1"/>
  <c r="A20" i="138" s="1"/>
  <c r="A21" i="138" s="1"/>
  <c r="A22" i="138" s="1"/>
  <c r="A23" i="138" s="1"/>
  <c r="A24" i="138" s="1"/>
  <c r="D9" i="136"/>
  <c r="D9" i="137"/>
  <c r="D151" i="137" s="1"/>
  <c r="G8" i="138"/>
  <c r="G9" i="138" s="1"/>
  <c r="D8" i="138"/>
  <c r="D8" i="136"/>
  <c r="D151" i="136" s="1"/>
  <c r="G8" i="135"/>
  <c r="G9" i="135" s="1"/>
  <c r="G10" i="135" s="1"/>
  <c r="G11" i="135" s="1"/>
  <c r="G12" i="135" s="1"/>
  <c r="G13" i="135" s="1"/>
  <c r="G14" i="135" s="1"/>
  <c r="G15" i="135" s="1"/>
  <c r="G16" i="135" s="1"/>
  <c r="G17" i="135" s="1"/>
  <c r="G18" i="135" s="1"/>
  <c r="G19" i="135" s="1"/>
  <c r="G20" i="135" s="1"/>
  <c r="G21" i="135" s="1"/>
  <c r="G22" i="135" s="1"/>
  <c r="G23" i="135" s="1"/>
  <c r="G24" i="135" s="1"/>
  <c r="G25" i="135" s="1"/>
  <c r="G26" i="135" s="1"/>
  <c r="G27" i="135" s="1"/>
  <c r="G28" i="135" s="1"/>
  <c r="G29" i="135" s="1"/>
  <c r="G30" i="135" s="1"/>
  <c r="G31" i="135" s="1"/>
  <c r="G32" i="135" s="1"/>
  <c r="G33" i="135" s="1"/>
  <c r="G34" i="135" s="1"/>
  <c r="G35" i="135" s="1"/>
  <c r="G36" i="135" s="1"/>
  <c r="G37" i="135" s="1"/>
  <c r="G38" i="135" s="1"/>
  <c r="G39" i="135" s="1"/>
  <c r="G40" i="135" s="1"/>
  <c r="G41" i="135" s="1"/>
  <c r="G42" i="135" s="1"/>
  <c r="G43" i="135" s="1"/>
  <c r="G44" i="135" s="1"/>
  <c r="G45" i="135" s="1"/>
  <c r="G46" i="135" s="1"/>
  <c r="G47" i="135" s="1"/>
  <c r="G48" i="135" s="1"/>
  <c r="G49" i="135" s="1"/>
  <c r="G50" i="135" s="1"/>
  <c r="G51" i="135" s="1"/>
  <c r="G52" i="135" s="1"/>
  <c r="G53" i="135" s="1"/>
  <c r="G54" i="135" s="1"/>
  <c r="G55" i="135" s="1"/>
  <c r="G56" i="135" s="1"/>
  <c r="G57" i="135" s="1"/>
  <c r="G58" i="135" s="1"/>
  <c r="G59" i="135" s="1"/>
  <c r="G60" i="135" s="1"/>
  <c r="G61" i="135" s="1"/>
  <c r="G62" i="135" s="1"/>
  <c r="G63" i="135" s="1"/>
  <c r="G64" i="135" s="1"/>
  <c r="G65" i="135" s="1"/>
  <c r="G66" i="135" s="1"/>
  <c r="G67" i="135" s="1"/>
  <c r="G68" i="135" s="1"/>
  <c r="G69" i="135" s="1"/>
  <c r="G70" i="135" s="1"/>
  <c r="G71" i="135" s="1"/>
  <c r="G72" i="135" s="1"/>
  <c r="G73" i="135" s="1"/>
  <c r="G74" i="135" s="1"/>
  <c r="G75" i="135" s="1"/>
  <c r="G76" i="135" s="1"/>
  <c r="G77" i="135" s="1"/>
  <c r="G78" i="135" s="1"/>
  <c r="G79" i="135" s="1"/>
  <c r="G80" i="135" s="1"/>
  <c r="G81" i="135" s="1"/>
  <c r="G82" i="135" s="1"/>
  <c r="G83" i="135" s="1"/>
  <c r="G84" i="135" s="1"/>
  <c r="G85" i="135" s="1"/>
  <c r="G86" i="135" s="1"/>
  <c r="G87" i="135" s="1"/>
  <c r="G88" i="135" s="1"/>
  <c r="G89" i="135" s="1"/>
  <c r="G90" i="135" s="1"/>
  <c r="G91" i="135" s="1"/>
  <c r="G92" i="135" s="1"/>
  <c r="G93" i="135" s="1"/>
  <c r="G94" i="135" s="1"/>
  <c r="G95" i="135" s="1"/>
  <c r="G96" i="135" s="1"/>
  <c r="G97" i="135" s="1"/>
  <c r="G98" i="135" s="1"/>
  <c r="G99" i="135" s="1"/>
  <c r="G100" i="135" s="1"/>
  <c r="G101" i="135" s="1"/>
  <c r="G102" i="135" s="1"/>
  <c r="G103" i="135" s="1"/>
  <c r="G104" i="135" s="1"/>
  <c r="G105" i="135" s="1"/>
  <c r="G106" i="135" s="1"/>
  <c r="G107" i="135" s="1"/>
  <c r="G108" i="135" s="1"/>
  <c r="G109" i="135" s="1"/>
  <c r="G110" i="135" s="1"/>
  <c r="G111" i="135" s="1"/>
  <c r="G112" i="135" s="1"/>
  <c r="G113" i="135" s="1"/>
  <c r="G114" i="135" s="1"/>
  <c r="G115" i="135" s="1"/>
  <c r="G116" i="135" s="1"/>
  <c r="G117" i="135" s="1"/>
  <c r="G118" i="135" s="1"/>
  <c r="G119" i="135" s="1"/>
  <c r="G120" i="135" s="1"/>
  <c r="G121" i="135" s="1"/>
  <c r="G122" i="135" s="1"/>
  <c r="G123" i="135" s="1"/>
  <c r="G124" i="135" s="1"/>
  <c r="G125" i="135" s="1"/>
  <c r="G126" i="135" s="1"/>
  <c r="G127" i="135" s="1"/>
  <c r="G128" i="135" s="1"/>
  <c r="G129" i="135" s="1"/>
  <c r="G130" i="135" s="1"/>
  <c r="G131" i="135" s="1"/>
  <c r="G132" i="135" s="1"/>
  <c r="G133" i="135" s="1"/>
  <c r="G134" i="135" s="1"/>
  <c r="G135" i="135" s="1"/>
  <c r="G136" i="135" s="1"/>
  <c r="G137" i="135" s="1"/>
  <c r="G138" i="135" s="1"/>
  <c r="G139" i="135" s="1"/>
  <c r="G140" i="135" s="1"/>
  <c r="G141" i="135" s="1"/>
  <c r="G142" i="135" s="1"/>
  <c r="G143" i="135" s="1"/>
  <c r="G144" i="135" s="1"/>
  <c r="G145" i="135" s="1"/>
  <c r="G146" i="135" s="1"/>
  <c r="G147" i="135" s="1"/>
  <c r="G148" i="135" s="1"/>
  <c r="G149" i="135" s="1"/>
  <c r="G150" i="135" s="1"/>
  <c r="D8" i="135"/>
  <c r="C161" i="137"/>
  <c r="D8" i="137"/>
  <c r="C161" i="138"/>
  <c r="G9" i="137"/>
  <c r="D10" i="137" s="1"/>
  <c r="A25" i="137"/>
  <c r="A26" i="137" s="1"/>
  <c r="A27" i="137" s="1"/>
  <c r="A28" i="137" s="1"/>
  <c r="A29" i="137" s="1"/>
  <c r="A30" i="137" s="1"/>
  <c r="A31" i="137" s="1"/>
  <c r="A32" i="137" s="1"/>
  <c r="A33" i="137" s="1"/>
  <c r="A34" i="137" s="1"/>
  <c r="A35" i="137" s="1"/>
  <c r="A36" i="137" s="1"/>
  <c r="A37" i="137" s="1"/>
  <c r="A38" i="137" s="1"/>
  <c r="A39" i="137" s="1"/>
  <c r="A40" i="137" s="1"/>
  <c r="G31" i="136"/>
  <c r="G32" i="136" s="1"/>
  <c r="G33" i="136" s="1"/>
  <c r="G34" i="136" s="1"/>
  <c r="G35" i="136" s="1"/>
  <c r="G36" i="136" s="1"/>
  <c r="G37" i="136" s="1"/>
  <c r="G38" i="136" s="1"/>
  <c r="G39" i="136" s="1"/>
  <c r="G40" i="136" s="1"/>
  <c r="G41" i="136" s="1"/>
  <c r="G42" i="136" s="1"/>
  <c r="G43" i="136" s="1"/>
  <c r="G44" i="136" s="1"/>
  <c r="G45" i="136" s="1"/>
  <c r="G46" i="136" s="1"/>
  <c r="G47" i="136" s="1"/>
  <c r="G48" i="136" s="1"/>
  <c r="G49" i="136" s="1"/>
  <c r="G50" i="136" s="1"/>
  <c r="G51" i="136" s="1"/>
  <c r="G52" i="136" s="1"/>
  <c r="G53" i="136" s="1"/>
  <c r="G54" i="136" s="1"/>
  <c r="G55" i="136" s="1"/>
  <c r="G56" i="136" s="1"/>
  <c r="G57" i="136" s="1"/>
  <c r="G58" i="136" s="1"/>
  <c r="G59" i="136" s="1"/>
  <c r="G60" i="136" s="1"/>
  <c r="G61" i="136" s="1"/>
  <c r="G62" i="136" s="1"/>
  <c r="G63" i="136" s="1"/>
  <c r="G64" i="136" s="1"/>
  <c r="G65" i="136" s="1"/>
  <c r="G66" i="136" s="1"/>
  <c r="G67" i="136" s="1"/>
  <c r="G68" i="136" s="1"/>
  <c r="G69" i="136" s="1"/>
  <c r="G70" i="136" s="1"/>
  <c r="G71" i="136" s="1"/>
  <c r="G72" i="136" s="1"/>
  <c r="G73" i="136" s="1"/>
  <c r="G74" i="136" s="1"/>
  <c r="G75" i="136" s="1"/>
  <c r="G76" i="136" s="1"/>
  <c r="G77" i="136" s="1"/>
  <c r="G78" i="136" s="1"/>
  <c r="G79" i="136" s="1"/>
  <c r="G80" i="136" s="1"/>
  <c r="G81" i="136" s="1"/>
  <c r="G82" i="136" s="1"/>
  <c r="G83" i="136" s="1"/>
  <c r="G84" i="136" s="1"/>
  <c r="G85" i="136" s="1"/>
  <c r="G86" i="136" s="1"/>
  <c r="G87" i="136" s="1"/>
  <c r="G88" i="136" s="1"/>
  <c r="G89" i="136" s="1"/>
  <c r="G90" i="136" s="1"/>
  <c r="G91" i="136" s="1"/>
  <c r="G92" i="136" s="1"/>
  <c r="G93" i="136" s="1"/>
  <c r="G94" i="136" s="1"/>
  <c r="G95" i="136" s="1"/>
  <c r="G96" i="136" s="1"/>
  <c r="G97" i="136" s="1"/>
  <c r="G98" i="136" s="1"/>
  <c r="G99" i="136" s="1"/>
  <c r="G100" i="136" s="1"/>
  <c r="G101" i="136" s="1"/>
  <c r="G102" i="136" s="1"/>
  <c r="G103" i="136" s="1"/>
  <c r="G104" i="136" s="1"/>
  <c r="G105" i="136" s="1"/>
  <c r="G106" i="136" s="1"/>
  <c r="G107" i="136" s="1"/>
  <c r="G108" i="136" s="1"/>
  <c r="G109" i="136" s="1"/>
  <c r="G110" i="136" s="1"/>
  <c r="G111" i="136" s="1"/>
  <c r="G112" i="136" s="1"/>
  <c r="G113" i="136" s="1"/>
  <c r="G114" i="136" s="1"/>
  <c r="G115" i="136" s="1"/>
  <c r="G116" i="136" s="1"/>
  <c r="G117" i="136" s="1"/>
  <c r="G118" i="136" s="1"/>
  <c r="G119" i="136" s="1"/>
  <c r="G120" i="136" s="1"/>
  <c r="G121" i="136" s="1"/>
  <c r="G122" i="136" s="1"/>
  <c r="G123" i="136" s="1"/>
  <c r="G124" i="136" s="1"/>
  <c r="G125" i="136" s="1"/>
  <c r="G126" i="136" s="1"/>
  <c r="G127" i="136" s="1"/>
  <c r="G128" i="136" s="1"/>
  <c r="G129" i="136" s="1"/>
  <c r="G130" i="136" s="1"/>
  <c r="G131" i="136" s="1"/>
  <c r="G132" i="136" s="1"/>
  <c r="G133" i="136" s="1"/>
  <c r="G134" i="136" s="1"/>
  <c r="G135" i="136" s="1"/>
  <c r="G136" i="136" s="1"/>
  <c r="G137" i="136" s="1"/>
  <c r="G138" i="136" s="1"/>
  <c r="G139" i="136" s="1"/>
  <c r="G140" i="136" s="1"/>
  <c r="G141" i="136" s="1"/>
  <c r="G142" i="136" s="1"/>
  <c r="G143" i="136" s="1"/>
  <c r="G144" i="136" s="1"/>
  <c r="G145" i="136" s="1"/>
  <c r="G146" i="136" s="1"/>
  <c r="G147" i="136" s="1"/>
  <c r="G148" i="136" s="1"/>
  <c r="G149" i="136" s="1"/>
  <c r="G150" i="136" s="1"/>
  <c r="A12" i="135"/>
  <c r="U12" i="146" l="1"/>
  <c r="X12" i="146" s="1"/>
  <c r="U10" i="146"/>
  <c r="X10" i="146" s="1"/>
  <c r="U11" i="146"/>
  <c r="X11" i="146" s="1"/>
  <c r="U8" i="146"/>
  <c r="X8" i="146" s="1"/>
  <c r="U13" i="146"/>
  <c r="X13" i="146" s="1"/>
  <c r="U14" i="146"/>
  <c r="X14" i="146" s="1"/>
  <c r="U18" i="146"/>
  <c r="X18" i="146" s="1"/>
  <c r="U9" i="146"/>
  <c r="X9" i="146" s="1"/>
  <c r="U16" i="146"/>
  <c r="X16" i="146" s="1"/>
  <c r="U15" i="146"/>
  <c r="X15" i="146" s="1"/>
  <c r="I14" i="146"/>
  <c r="L14" i="146" s="1"/>
  <c r="I17" i="146"/>
  <c r="L17" i="146" s="1"/>
  <c r="I10" i="146"/>
  <c r="L10" i="146" s="1"/>
  <c r="I9" i="146"/>
  <c r="L9" i="146" s="1"/>
  <c r="I15" i="146"/>
  <c r="L15" i="146" s="1"/>
  <c r="I16" i="146"/>
  <c r="L16" i="146" s="1"/>
  <c r="I11" i="146"/>
  <c r="L11" i="146" s="1"/>
  <c r="I18" i="146"/>
  <c r="L18" i="146" s="1"/>
  <c r="I8" i="146"/>
  <c r="L8" i="146" s="1"/>
  <c r="G10" i="138"/>
  <c r="G11" i="138" s="1"/>
  <c r="G12" i="138" s="1"/>
  <c r="G13" i="138" s="1"/>
  <c r="C31" i="138" s="1"/>
  <c r="A25" i="138"/>
  <c r="A26" i="138" s="1"/>
  <c r="A27" i="138" s="1"/>
  <c r="A28" i="138" s="1"/>
  <c r="D9" i="138"/>
  <c r="D9" i="135"/>
  <c r="I6" i="146" s="1"/>
  <c r="A13" i="135"/>
  <c r="A14" i="135" s="1"/>
  <c r="A15" i="135" s="1"/>
  <c r="A16" i="135" s="1"/>
  <c r="G10" i="137"/>
  <c r="U6" i="146" l="1"/>
  <c r="D151" i="138"/>
  <c r="L6" i="146"/>
  <c r="L20" i="146" s="1"/>
  <c r="I20" i="146"/>
  <c r="D151" i="135"/>
  <c r="G14" i="138"/>
  <c r="G15" i="138" s="1"/>
  <c r="G16" i="138" s="1"/>
  <c r="G17" i="138" s="1"/>
  <c r="G18" i="138" s="1"/>
  <c r="G19" i="138" s="1"/>
  <c r="G20" i="138" s="1"/>
  <c r="G21" i="138" s="1"/>
  <c r="G22" i="138" s="1"/>
  <c r="G23" i="138" s="1"/>
  <c r="G24" i="138" s="1"/>
  <c r="G25" i="138" s="1"/>
  <c r="G26" i="138" s="1"/>
  <c r="G27" i="138" s="1"/>
  <c r="G28" i="138" s="1"/>
  <c r="G29" i="138" s="1"/>
  <c r="G30" i="138" s="1"/>
  <c r="G31" i="138" s="1"/>
  <c r="G32" i="138" s="1"/>
  <c r="A17" i="135"/>
  <c r="A18" i="135" s="1"/>
  <c r="A19" i="135" s="1"/>
  <c r="A20" i="135" s="1"/>
  <c r="A21" i="135" s="1"/>
  <c r="G11" i="137"/>
  <c r="X6" i="146" l="1"/>
  <c r="X20" i="146" s="1"/>
  <c r="U20" i="146"/>
  <c r="G33" i="138"/>
  <c r="A22" i="135"/>
  <c r="A23" i="135" s="1"/>
  <c r="A24" i="135" s="1"/>
  <c r="G12" i="137"/>
  <c r="G13" i="137" s="1"/>
  <c r="F50" i="138" l="1"/>
  <c r="G34" i="138"/>
  <c r="F51" i="138"/>
  <c r="A25" i="135"/>
  <c r="A26" i="135" s="1"/>
  <c r="A27" i="135" s="1"/>
  <c r="A28" i="135" s="1"/>
  <c r="G14" i="137"/>
  <c r="G15" i="137" s="1"/>
  <c r="G16" i="137" s="1"/>
  <c r="G17" i="137" s="1"/>
  <c r="G18" i="137" s="1"/>
  <c r="G19" i="137" s="1"/>
  <c r="G20" i="137" s="1"/>
  <c r="G21" i="137" s="1"/>
  <c r="G22" i="137" s="1"/>
  <c r="G23" i="137" s="1"/>
  <c r="G24" i="137" s="1"/>
  <c r="G25" i="137" s="1"/>
  <c r="G26" i="137" s="1"/>
  <c r="G27" i="137" s="1"/>
  <c r="G28" i="137" s="1"/>
  <c r="G29" i="137" s="1"/>
  <c r="G30" i="137" s="1"/>
  <c r="G35" i="138" l="1"/>
  <c r="F52" i="138"/>
  <c r="G31" i="137"/>
  <c r="G32" i="137" s="1"/>
  <c r="G33" i="137" s="1"/>
  <c r="G34" i="137" s="1"/>
  <c r="G35" i="137" s="1"/>
  <c r="G36" i="137" s="1"/>
  <c r="G37" i="137" s="1"/>
  <c r="G38" i="137" s="1"/>
  <c r="G39" i="137" s="1"/>
  <c r="G40" i="137" s="1"/>
  <c r="G41" i="137" s="1"/>
  <c r="G42" i="137" s="1"/>
  <c r="G43" i="137" s="1"/>
  <c r="G44" i="137" s="1"/>
  <c r="G45" i="137" s="1"/>
  <c r="G46" i="137" s="1"/>
  <c r="G47" i="137" s="1"/>
  <c r="G48" i="137" s="1"/>
  <c r="G49" i="137" s="1"/>
  <c r="G50" i="137" s="1"/>
  <c r="G51" i="137" s="1"/>
  <c r="G52" i="137" s="1"/>
  <c r="G53" i="137" s="1"/>
  <c r="G54" i="137" s="1"/>
  <c r="G55" i="137" s="1"/>
  <c r="G56" i="137" s="1"/>
  <c r="G57" i="137" s="1"/>
  <c r="G58" i="137" s="1"/>
  <c r="G59" i="137" s="1"/>
  <c r="G60" i="137" s="1"/>
  <c r="G61" i="137" s="1"/>
  <c r="G62" i="137" s="1"/>
  <c r="G63" i="137" s="1"/>
  <c r="G64" i="137" s="1"/>
  <c r="G65" i="137" s="1"/>
  <c r="G66" i="137" s="1"/>
  <c r="G67" i="137" s="1"/>
  <c r="G68" i="137" s="1"/>
  <c r="G69" i="137" s="1"/>
  <c r="G70" i="137" s="1"/>
  <c r="G71" i="137" s="1"/>
  <c r="G72" i="137" s="1"/>
  <c r="G73" i="137" s="1"/>
  <c r="G74" i="137" s="1"/>
  <c r="G75" i="137" s="1"/>
  <c r="G76" i="137" s="1"/>
  <c r="G77" i="137" s="1"/>
  <c r="G78" i="137" s="1"/>
  <c r="G79" i="137" s="1"/>
  <c r="G80" i="137" s="1"/>
  <c r="G81" i="137" s="1"/>
  <c r="G82" i="137" s="1"/>
  <c r="G83" i="137" s="1"/>
  <c r="G84" i="137" s="1"/>
  <c r="G85" i="137" s="1"/>
  <c r="G86" i="137" s="1"/>
  <c r="G87" i="137" s="1"/>
  <c r="G88" i="137" s="1"/>
  <c r="G89" i="137" s="1"/>
  <c r="G90" i="137" s="1"/>
  <c r="G91" i="137" s="1"/>
  <c r="G92" i="137" s="1"/>
  <c r="G93" i="137" s="1"/>
  <c r="G94" i="137" s="1"/>
  <c r="G95" i="137" s="1"/>
  <c r="G96" i="137" s="1"/>
  <c r="G97" i="137" s="1"/>
  <c r="G98" i="137" s="1"/>
  <c r="G99" i="137" s="1"/>
  <c r="G100" i="137" s="1"/>
  <c r="G101" i="137" s="1"/>
  <c r="G102" i="137" s="1"/>
  <c r="G103" i="137" s="1"/>
  <c r="G104" i="137" s="1"/>
  <c r="G105" i="137" s="1"/>
  <c r="G106" i="137" s="1"/>
  <c r="G107" i="137" s="1"/>
  <c r="G108" i="137" s="1"/>
  <c r="G109" i="137" s="1"/>
  <c r="G110" i="137" s="1"/>
  <c r="G111" i="137" s="1"/>
  <c r="G112" i="137" s="1"/>
  <c r="G113" i="137" s="1"/>
  <c r="G114" i="137" s="1"/>
  <c r="G115" i="137" s="1"/>
  <c r="G116" i="137" s="1"/>
  <c r="G117" i="137" s="1"/>
  <c r="G118" i="137" s="1"/>
  <c r="G119" i="137" s="1"/>
  <c r="G120" i="137" s="1"/>
  <c r="G121" i="137" s="1"/>
  <c r="G122" i="137" s="1"/>
  <c r="G123" i="137" s="1"/>
  <c r="G124" i="137" s="1"/>
  <c r="G125" i="137" s="1"/>
  <c r="G126" i="137" s="1"/>
  <c r="G127" i="137" s="1"/>
  <c r="G128" i="137" s="1"/>
  <c r="G129" i="137" s="1"/>
  <c r="G130" i="137" s="1"/>
  <c r="G131" i="137" s="1"/>
  <c r="G132" i="137" s="1"/>
  <c r="G133" i="137" s="1"/>
  <c r="G134" i="137" s="1"/>
  <c r="G135" i="137" s="1"/>
  <c r="G136" i="137" s="1"/>
  <c r="G137" i="137" s="1"/>
  <c r="G138" i="137" s="1"/>
  <c r="G139" i="137" s="1"/>
  <c r="G140" i="137" s="1"/>
  <c r="G141" i="137" s="1"/>
  <c r="G142" i="137" s="1"/>
  <c r="G143" i="137" s="1"/>
  <c r="G144" i="137" s="1"/>
  <c r="G145" i="137" s="1"/>
  <c r="G146" i="137" s="1"/>
  <c r="G147" i="137" s="1"/>
  <c r="G148" i="137" s="1"/>
  <c r="G149" i="137" s="1"/>
  <c r="G150" i="137" s="1"/>
  <c r="A29" i="135"/>
  <c r="A30" i="135" s="1"/>
  <c r="A31" i="135" s="1"/>
  <c r="A32" i="135" s="1"/>
  <c r="A33" i="135" s="1"/>
  <c r="G36" i="138" l="1"/>
  <c r="A34" i="135"/>
  <c r="A35" i="135" s="1"/>
  <c r="A36" i="135" s="1"/>
  <c r="K161" i="101"/>
  <c r="K160" i="101"/>
  <c r="H157" i="111"/>
  <c r="F53" i="138" l="1"/>
  <c r="G37" i="138"/>
  <c r="F54" i="138"/>
  <c r="A37" i="135"/>
  <c r="A38" i="135" s="1"/>
  <c r="A39" i="135" s="1"/>
  <c r="A40" i="135" s="1"/>
  <c r="D13" i="111"/>
  <c r="G38" i="138" l="1"/>
  <c r="F55" i="138"/>
  <c r="A41" i="135"/>
  <c r="A42" i="135" s="1"/>
  <c r="A43" i="135" s="1"/>
  <c r="A44" i="135" s="1"/>
  <c r="A45" i="135" s="1"/>
  <c r="H161" i="105"/>
  <c r="H160" i="105"/>
  <c r="G39" i="138" l="1"/>
  <c r="A46" i="135"/>
  <c r="A47" i="135" s="1"/>
  <c r="A48" i="135" s="1"/>
  <c r="F56" i="138" l="1"/>
  <c r="G40" i="138"/>
  <c r="F57" i="138"/>
  <c r="A49" i="135"/>
  <c r="A50" i="135" s="1"/>
  <c r="A51" i="135" s="1"/>
  <c r="A52" i="135" s="1"/>
  <c r="G41" i="138" l="1"/>
  <c r="F58" i="138"/>
  <c r="A53" i="135"/>
  <c r="A54" i="135" s="1"/>
  <c r="A55" i="135" s="1"/>
  <c r="A56" i="135" s="1"/>
  <c r="A57" i="135" s="1"/>
  <c r="G61" i="2"/>
  <c r="G62" i="2" s="1"/>
  <c r="G42" i="138" l="1"/>
  <c r="F59" i="138"/>
  <c r="A58" i="135"/>
  <c r="A59" i="135" s="1"/>
  <c r="A60" i="135" s="1"/>
  <c r="G43" i="138" l="1"/>
  <c r="F60" i="138"/>
  <c r="A61" i="135"/>
  <c r="A62" i="135" s="1"/>
  <c r="A63" i="135" s="1"/>
  <c r="A64" i="135" s="1"/>
  <c r="G44" i="138" l="1"/>
  <c r="F61" i="138"/>
  <c r="A65" i="135"/>
  <c r="A66" i="135" s="1"/>
  <c r="A67" i="135" s="1"/>
  <c r="A68" i="135" s="1"/>
  <c r="A69" i="135" s="1"/>
  <c r="G45" i="138" l="1"/>
  <c r="F62" i="138"/>
  <c r="A70" i="135"/>
  <c r="A71" i="135" s="1"/>
  <c r="A72" i="135" s="1"/>
  <c r="G46" i="138" l="1"/>
  <c r="F63" i="138"/>
  <c r="A73" i="135"/>
  <c r="A74" i="135" s="1"/>
  <c r="A75" i="135" s="1"/>
  <c r="A76" i="135" s="1"/>
  <c r="G47" i="138" l="1"/>
  <c r="F64" i="138"/>
  <c r="A77" i="135"/>
  <c r="A78" i="135" s="1"/>
  <c r="A79" i="135" s="1"/>
  <c r="A80" i="135" s="1"/>
  <c r="A81" i="135" s="1"/>
  <c r="G48" i="138" l="1"/>
  <c r="F65" i="138"/>
  <c r="A82" i="135"/>
  <c r="A83" i="135" s="1"/>
  <c r="A84" i="135" s="1"/>
  <c r="G49" i="138" l="1"/>
  <c r="F66" i="138"/>
  <c r="A85" i="135"/>
  <c r="A86" i="135" s="1"/>
  <c r="A87" i="135" s="1"/>
  <c r="A88" i="135" s="1"/>
  <c r="F62" i="30"/>
  <c r="G50" i="138" l="1"/>
  <c r="G51" i="138" s="1"/>
  <c r="G52" i="138" s="1"/>
  <c r="G53" i="138" s="1"/>
  <c r="G54" i="138" s="1"/>
  <c r="G55" i="138" s="1"/>
  <c r="G56" i="138" s="1"/>
  <c r="G57" i="138" s="1"/>
  <c r="G58" i="138" s="1"/>
  <c r="G59" i="138" s="1"/>
  <c r="G60" i="138" s="1"/>
  <c r="G61" i="138" s="1"/>
  <c r="G62" i="138" s="1"/>
  <c r="G63" i="138" s="1"/>
  <c r="G64" i="138" s="1"/>
  <c r="G65" i="138" s="1"/>
  <c r="G66" i="138" s="1"/>
  <c r="G67" i="138" s="1"/>
  <c r="G68" i="138" s="1"/>
  <c r="G69" i="138" s="1"/>
  <c r="G70" i="138" s="1"/>
  <c r="G71" i="138" s="1"/>
  <c r="G72" i="138" s="1"/>
  <c r="G73" i="138" s="1"/>
  <c r="G74" i="138" s="1"/>
  <c r="G75" i="138" s="1"/>
  <c r="G76" i="138" s="1"/>
  <c r="G77" i="138" s="1"/>
  <c r="G78" i="138" s="1"/>
  <c r="G79" i="138" s="1"/>
  <c r="G80" i="138" s="1"/>
  <c r="G81" i="138" s="1"/>
  <c r="G82" i="138" s="1"/>
  <c r="G83" i="138" s="1"/>
  <c r="G84" i="138" s="1"/>
  <c r="G85" i="138" s="1"/>
  <c r="G86" i="138" s="1"/>
  <c r="G87" i="138" s="1"/>
  <c r="G88" i="138" s="1"/>
  <c r="G89" i="138" s="1"/>
  <c r="G90" i="138" s="1"/>
  <c r="G91" i="138" s="1"/>
  <c r="G92" i="138" s="1"/>
  <c r="G93" i="138" s="1"/>
  <c r="G94" i="138" s="1"/>
  <c r="G95" i="138" s="1"/>
  <c r="G96" i="138" s="1"/>
  <c r="G97" i="138" s="1"/>
  <c r="G98" i="138" s="1"/>
  <c r="G99" i="138" s="1"/>
  <c r="G100" i="138" s="1"/>
  <c r="G101" i="138" s="1"/>
  <c r="G102" i="138" s="1"/>
  <c r="G103" i="138" s="1"/>
  <c r="G104" i="138" s="1"/>
  <c r="G105" i="138" s="1"/>
  <c r="G106" i="138" s="1"/>
  <c r="G107" i="138" s="1"/>
  <c r="G108" i="138" s="1"/>
  <c r="G109" i="138" s="1"/>
  <c r="G110" i="138" s="1"/>
  <c r="G111" i="138" s="1"/>
  <c r="G112" i="138" s="1"/>
  <c r="G113" i="138" s="1"/>
  <c r="G114" i="138" s="1"/>
  <c r="G115" i="138" s="1"/>
  <c r="G116" i="138" s="1"/>
  <c r="G117" i="138" s="1"/>
  <c r="G118" i="138" s="1"/>
  <c r="G119" i="138" s="1"/>
  <c r="G120" i="138" s="1"/>
  <c r="G121" i="138" s="1"/>
  <c r="G122" i="138" s="1"/>
  <c r="G123" i="138" s="1"/>
  <c r="G124" i="138" s="1"/>
  <c r="G125" i="138" s="1"/>
  <c r="G126" i="138" s="1"/>
  <c r="G127" i="138" s="1"/>
  <c r="G128" i="138" s="1"/>
  <c r="G129" i="138" s="1"/>
  <c r="G130" i="138" s="1"/>
  <c r="G131" i="138" s="1"/>
  <c r="G132" i="138" s="1"/>
  <c r="G133" i="138" s="1"/>
  <c r="G134" i="138" s="1"/>
  <c r="G135" i="138" s="1"/>
  <c r="G136" i="138" s="1"/>
  <c r="G137" i="138" s="1"/>
  <c r="G138" i="138" s="1"/>
  <c r="G139" i="138" s="1"/>
  <c r="G140" i="138" s="1"/>
  <c r="G141" i="138" s="1"/>
  <c r="G142" i="138" s="1"/>
  <c r="G143" i="138" s="1"/>
  <c r="G144" i="138" s="1"/>
  <c r="G145" i="138" s="1"/>
  <c r="G146" i="138" s="1"/>
  <c r="G147" i="138" s="1"/>
  <c r="G148" i="138" s="1"/>
  <c r="G149" i="138" s="1"/>
  <c r="G150" i="138" s="1"/>
  <c r="A89" i="135"/>
  <c r="A90" i="135" s="1"/>
  <c r="A91" i="135" s="1"/>
  <c r="A92" i="135" s="1"/>
  <c r="A93" i="135" s="1"/>
  <c r="F67" i="138" l="1"/>
  <c r="A94" i="135"/>
  <c r="A95" i="135" s="1"/>
  <c r="A96" i="135" s="1"/>
  <c r="A97" i="135" l="1"/>
  <c r="A98" i="135" s="1"/>
  <c r="A99" i="135" s="1"/>
  <c r="A100" i="135" s="1"/>
  <c r="G54" i="100"/>
  <c r="A101" i="135" l="1"/>
  <c r="A102" i="135" s="1"/>
  <c r="A103" i="135" s="1"/>
  <c r="A104" i="135" s="1"/>
  <c r="A105" i="135" s="1"/>
  <c r="J160" i="101"/>
  <c r="A106" i="135" l="1"/>
  <c r="A107" i="135" s="1"/>
  <c r="A108" i="135" s="1"/>
  <c r="D53" i="93"/>
  <c r="A109" i="135" l="1"/>
  <c r="A110" i="135" s="1"/>
  <c r="A111" i="135" s="1"/>
  <c r="A112" i="135" s="1"/>
  <c r="A113" i="135" l="1"/>
  <c r="A114" i="135" s="1"/>
  <c r="A115" i="135" l="1"/>
  <c r="A116" i="135" s="1"/>
  <c r="A117" i="135" s="1"/>
  <c r="A118" i="135" l="1"/>
  <c r="A119" i="135" s="1"/>
  <c r="A120" i="135" s="1"/>
  <c r="A121" i="135" l="1"/>
  <c r="A122" i="135" s="1"/>
  <c r="A123" i="135" s="1"/>
  <c r="A124" i="135" s="1"/>
  <c r="A125" i="135" l="1"/>
  <c r="A126" i="135" s="1"/>
  <c r="A127" i="135" s="1"/>
  <c r="A128" i="135" s="1"/>
  <c r="A129" i="135" s="1"/>
  <c r="A130" i="135" l="1"/>
  <c r="A131" i="135" s="1"/>
  <c r="A132" i="135" s="1"/>
  <c r="A133" i="135" l="1"/>
  <c r="A134" i="135" s="1"/>
  <c r="A135" i="135" s="1"/>
  <c r="A136" i="135" s="1"/>
  <c r="A137" i="135" s="1"/>
  <c r="A138" i="135" s="1"/>
  <c r="A139" i="135" s="1"/>
  <c r="A140" i="135" s="1"/>
  <c r="A141" i="135" s="1"/>
  <c r="A142" i="135" l="1"/>
  <c r="A143" i="135" s="1"/>
  <c r="A144" i="135" s="1"/>
  <c r="A145" i="135" l="1"/>
  <c r="A146" i="135" s="1"/>
  <c r="A147" i="135" s="1"/>
  <c r="A148" i="135" s="1"/>
  <c r="A149" i="135" s="1"/>
  <c r="A150" i="135" s="1"/>
  <c r="B161" i="114" l="1"/>
  <c r="B160" i="114"/>
  <c r="D7" i="114" s="1"/>
  <c r="C151" i="105" l="1"/>
  <c r="C71" i="2" l="1"/>
  <c r="C53" i="113"/>
  <c r="I161" i="101" l="1"/>
  <c r="G160" i="105"/>
  <c r="G161" i="105"/>
  <c r="A7" i="128"/>
  <c r="A8" i="128" s="1"/>
  <c r="F62" i="31"/>
  <c r="F157" i="111"/>
  <c r="H161" i="101" l="1"/>
  <c r="F54" i="100"/>
  <c r="F161" i="105" l="1"/>
  <c r="E157" i="111"/>
  <c r="D10" i="111" s="1"/>
  <c r="C15" i="128" l="1"/>
  <c r="H53" i="128"/>
  <c r="G53" i="128"/>
  <c r="F53" i="128"/>
  <c r="B53" i="128"/>
  <c r="D7" i="128" s="1"/>
  <c r="C46" i="128"/>
  <c r="C45" i="128"/>
  <c r="C44" i="128"/>
  <c r="C43" i="128"/>
  <c r="C42" i="128"/>
  <c r="C41" i="128"/>
  <c r="C40" i="128"/>
  <c r="C39" i="128"/>
  <c r="C38" i="128"/>
  <c r="C37" i="128"/>
  <c r="C36" i="128"/>
  <c r="C35" i="128"/>
  <c r="C34" i="128"/>
  <c r="C33" i="128"/>
  <c r="C32" i="128"/>
  <c r="C31" i="128"/>
  <c r="C30" i="128"/>
  <c r="C29" i="128"/>
  <c r="C28" i="128"/>
  <c r="C27" i="128"/>
  <c r="C26" i="128"/>
  <c r="C25" i="128"/>
  <c r="C24" i="128"/>
  <c r="C23" i="128"/>
  <c r="C22" i="128"/>
  <c r="C21" i="128"/>
  <c r="C20" i="128"/>
  <c r="C19" i="128"/>
  <c r="C18" i="128"/>
  <c r="C17" i="128"/>
  <c r="C16" i="128"/>
  <c r="H7" i="128"/>
  <c r="D8" i="128" s="1"/>
  <c r="A9" i="128"/>
  <c r="H8" i="128" l="1"/>
  <c r="D9" i="128" s="1"/>
  <c r="A10" i="128"/>
  <c r="A11" i="128" s="1"/>
  <c r="A12" i="128" s="1"/>
  <c r="A13" i="128" s="1"/>
  <c r="A14" i="128" s="1"/>
  <c r="A15" i="128" s="1"/>
  <c r="A16" i="128" s="1"/>
  <c r="A17" i="128" s="1"/>
  <c r="A18" i="128" s="1"/>
  <c r="A19" i="128" s="1"/>
  <c r="A20" i="128" s="1"/>
  <c r="H9" i="128" l="1"/>
  <c r="D10" i="128" s="1"/>
  <c r="F8" i="128"/>
  <c r="A21" i="128"/>
  <c r="A22" i="128" s="1"/>
  <c r="A23" i="128" s="1"/>
  <c r="A24" i="128" s="1"/>
  <c r="H10" i="128" l="1"/>
  <c r="H11" i="128" s="1"/>
  <c r="H12" i="128" s="1"/>
  <c r="H13" i="128" s="1"/>
  <c r="H14" i="128" s="1"/>
  <c r="H15" i="128" s="1"/>
  <c r="H16" i="128" s="1"/>
  <c r="H17" i="128" s="1"/>
  <c r="H18" i="128" s="1"/>
  <c r="H19" i="128" s="1"/>
  <c r="H20" i="128" s="1"/>
  <c r="H21" i="128" s="1"/>
  <c r="H22" i="128" s="1"/>
  <c r="H23" i="128" s="1"/>
  <c r="H24" i="128" s="1"/>
  <c r="H25" i="128" s="1"/>
  <c r="H26" i="128" s="1"/>
  <c r="H27" i="128" s="1"/>
  <c r="H28" i="128" s="1"/>
  <c r="H29" i="128" s="1"/>
  <c r="H30" i="128" s="1"/>
  <c r="H31" i="128" s="1"/>
  <c r="H32" i="128" s="1"/>
  <c r="H33" i="128" s="1"/>
  <c r="H34" i="128" s="1"/>
  <c r="H35" i="128" s="1"/>
  <c r="H36" i="128" s="1"/>
  <c r="H37" i="128" s="1"/>
  <c r="H38" i="128" s="1"/>
  <c r="H39" i="128" s="1"/>
  <c r="H40" i="128" s="1"/>
  <c r="H41" i="128" s="1"/>
  <c r="H42" i="128" s="1"/>
  <c r="H43" i="128" s="1"/>
  <c r="H44" i="128" s="1"/>
  <c r="H45" i="128" s="1"/>
  <c r="H46" i="128" s="1"/>
  <c r="A25" i="128"/>
  <c r="A26" i="128" s="1"/>
  <c r="A27" i="128" s="1"/>
  <c r="A28" i="128" s="1"/>
  <c r="G47" i="128" l="1"/>
  <c r="A29" i="128"/>
  <c r="A30" i="128" s="1"/>
  <c r="A31" i="128" s="1"/>
  <c r="A32" i="128" s="1"/>
  <c r="G161" i="101"/>
  <c r="G160" i="101"/>
  <c r="A33" i="128" l="1"/>
  <c r="A34" i="128" s="1"/>
  <c r="A35" i="128" s="1"/>
  <c r="A36" i="128" s="1"/>
  <c r="A37" i="128" l="1"/>
  <c r="A38" i="128" s="1"/>
  <c r="A39" i="128" s="1"/>
  <c r="A40" i="128" s="1"/>
  <c r="A41" i="128" l="1"/>
  <c r="A42" i="128" s="1"/>
  <c r="A43" i="128" s="1"/>
  <c r="A44" i="128" s="1"/>
  <c r="A45" i="128" l="1"/>
  <c r="A46" i="128" s="1"/>
  <c r="D157" i="111" l="1"/>
  <c r="D9" i="111" s="1"/>
  <c r="C53" i="93" l="1"/>
  <c r="F57" i="68"/>
  <c r="B70" i="2" l="1"/>
  <c r="B71" i="2" s="1"/>
  <c r="J61" i="2"/>
  <c r="K61" i="2"/>
  <c r="L62" i="2"/>
  <c r="E62" i="31" l="1"/>
  <c r="C157" i="111"/>
  <c r="D8" i="111" s="1"/>
  <c r="E53" i="66" l="1"/>
  <c r="F53" i="66"/>
  <c r="G53" i="66"/>
  <c r="H53" i="66"/>
  <c r="I53" i="66"/>
  <c r="G62" i="33"/>
  <c r="H62" i="33"/>
  <c r="I62" i="33"/>
  <c r="J62" i="33"/>
  <c r="K62" i="33"/>
  <c r="G63" i="32"/>
  <c r="H63" i="32"/>
  <c r="I63" i="32"/>
  <c r="G161" i="114" l="1"/>
  <c r="F161" i="114"/>
  <c r="E161" i="114"/>
  <c r="D161" i="114"/>
  <c r="I160" i="114"/>
  <c r="H160" i="114"/>
  <c r="G160" i="114"/>
  <c r="F160" i="114"/>
  <c r="E160" i="114"/>
  <c r="D160" i="114"/>
  <c r="C160" i="114"/>
  <c r="H7" i="114"/>
  <c r="H8" i="114" s="1"/>
  <c r="H9" i="114" s="1"/>
  <c r="A7" i="114"/>
  <c r="A8" i="114" s="1"/>
  <c r="H10" i="114" l="1"/>
  <c r="H11" i="114" s="1"/>
  <c r="H12" i="114" s="1"/>
  <c r="D10" i="114"/>
  <c r="D9" i="114"/>
  <c r="D8" i="114"/>
  <c r="C161" i="114"/>
  <c r="A9" i="114"/>
  <c r="A10" i="114" s="1"/>
  <c r="A11" i="114" s="1"/>
  <c r="H13" i="114" l="1"/>
  <c r="C31" i="114" s="1"/>
  <c r="G31" i="114" s="1"/>
  <c r="D13" i="114"/>
  <c r="D12" i="114"/>
  <c r="D11" i="114"/>
  <c r="A12" i="114"/>
  <c r="A13" i="114" s="1"/>
  <c r="A14" i="114" s="1"/>
  <c r="A15" i="114" s="1"/>
  <c r="H14" i="114" l="1"/>
  <c r="D14" i="114"/>
  <c r="A16" i="114"/>
  <c r="A17" i="114" s="1"/>
  <c r="A18" i="114" s="1"/>
  <c r="A19" i="114" s="1"/>
  <c r="A20" i="114" s="1"/>
  <c r="H15" i="114" l="1"/>
  <c r="D15" i="114"/>
  <c r="A21" i="114"/>
  <c r="A22" i="114" s="1"/>
  <c r="A23" i="114" s="1"/>
  <c r="A24" i="114" s="1"/>
  <c r="H16" i="114" l="1"/>
  <c r="D16" i="114"/>
  <c r="A25" i="114"/>
  <c r="A26" i="114" s="1"/>
  <c r="A27" i="114" s="1"/>
  <c r="A28" i="114" s="1"/>
  <c r="H17" i="114" l="1"/>
  <c r="D17" i="114"/>
  <c r="A29" i="114"/>
  <c r="A30" i="114" s="1"/>
  <c r="A31" i="114" s="1"/>
  <c r="A32" i="114" s="1"/>
  <c r="A33" i="114" s="1"/>
  <c r="A34" i="114" l="1"/>
  <c r="A35" i="114" s="1"/>
  <c r="A36" i="114" s="1"/>
  <c r="H18" i="114"/>
  <c r="D19" i="114" s="1"/>
  <c r="D18" i="114"/>
  <c r="A7" i="113"/>
  <c r="A8" i="113" s="1"/>
  <c r="A9" i="113" s="1"/>
  <c r="A10" i="113" s="1"/>
  <c r="A11" i="113" s="1"/>
  <c r="A12" i="113" s="1"/>
  <c r="A13" i="113" s="1"/>
  <c r="A14" i="113" s="1"/>
  <c r="A15" i="113" s="1"/>
  <c r="A16" i="113" s="1"/>
  <c r="A17" i="113" s="1"/>
  <c r="A18" i="113" s="1"/>
  <c r="A19" i="113" s="1"/>
  <c r="A20" i="113" s="1"/>
  <c r="A21" i="113" s="1"/>
  <c r="A22" i="113" s="1"/>
  <c r="A23" i="113" s="1"/>
  <c r="A24" i="113" s="1"/>
  <c r="A25" i="113" s="1"/>
  <c r="A26" i="113" s="1"/>
  <c r="A27" i="113" s="1"/>
  <c r="A28" i="113" s="1"/>
  <c r="A29" i="113" s="1"/>
  <c r="A30" i="113" s="1"/>
  <c r="A31" i="113" s="1"/>
  <c r="A32" i="113" s="1"/>
  <c r="A33" i="113" s="1"/>
  <c r="A34" i="113" s="1"/>
  <c r="A35" i="113" s="1"/>
  <c r="A36" i="113" s="1"/>
  <c r="A37" i="113" s="1"/>
  <c r="A38" i="113" s="1"/>
  <c r="A39" i="113" s="1"/>
  <c r="A40" i="113" s="1"/>
  <c r="A41" i="113" s="1"/>
  <c r="A42" i="113" s="1"/>
  <c r="A43" i="113" s="1"/>
  <c r="A44" i="113" s="1"/>
  <c r="A45" i="113" s="1"/>
  <c r="A46" i="113" s="1"/>
  <c r="B53" i="113"/>
  <c r="D7" i="113" s="1"/>
  <c r="C46" i="113"/>
  <c r="C45" i="113"/>
  <c r="C44" i="113"/>
  <c r="C43" i="113"/>
  <c r="C42" i="113"/>
  <c r="C41" i="113"/>
  <c r="C40" i="113"/>
  <c r="C39" i="113"/>
  <c r="C38" i="113"/>
  <c r="C37" i="113"/>
  <c r="C36" i="113"/>
  <c r="C35" i="113"/>
  <c r="C34" i="113"/>
  <c r="C33" i="113"/>
  <c r="C32" i="113"/>
  <c r="C31" i="113"/>
  <c r="C30" i="113"/>
  <c r="C29" i="113"/>
  <c r="C28" i="113"/>
  <c r="C27" i="113"/>
  <c r="C26" i="113"/>
  <c r="C25" i="113"/>
  <c r="C24" i="113"/>
  <c r="C23" i="113"/>
  <c r="C22" i="113"/>
  <c r="C21" i="113"/>
  <c r="C20" i="113"/>
  <c r="C19" i="113"/>
  <c r="C18" i="113"/>
  <c r="C17" i="113"/>
  <c r="C16" i="113"/>
  <c r="C15" i="113"/>
  <c r="H7" i="113"/>
  <c r="D14" i="113" l="1"/>
  <c r="D13" i="113"/>
  <c r="D12" i="113"/>
  <c r="D47" i="113"/>
  <c r="H19" i="114"/>
  <c r="H20" i="114" s="1"/>
  <c r="H21" i="114" s="1"/>
  <c r="H22" i="114" s="1"/>
  <c r="H23" i="114" s="1"/>
  <c r="H24" i="114" s="1"/>
  <c r="H25" i="114" s="1"/>
  <c r="H26" i="114" s="1"/>
  <c r="H27" i="114" s="1"/>
  <c r="H28" i="114" s="1"/>
  <c r="H29" i="114" s="1"/>
  <c r="H30" i="114" s="1"/>
  <c r="H31" i="114" s="1"/>
  <c r="H32" i="114" s="1"/>
  <c r="H33" i="114" s="1"/>
  <c r="H34" i="114" s="1"/>
  <c r="H35" i="114" s="1"/>
  <c r="H36" i="114" s="1"/>
  <c r="H37" i="114" s="1"/>
  <c r="H38" i="114" s="1"/>
  <c r="H39" i="114" s="1"/>
  <c r="H40" i="114" s="1"/>
  <c r="H41" i="114" s="1"/>
  <c r="H42" i="114" s="1"/>
  <c r="H43" i="114" s="1"/>
  <c r="H44" i="114" s="1"/>
  <c r="H45" i="114" s="1"/>
  <c r="H46" i="114" s="1"/>
  <c r="H47" i="114" s="1"/>
  <c r="H48" i="114" s="1"/>
  <c r="H49" i="114" s="1"/>
  <c r="H50" i="114" s="1"/>
  <c r="H51" i="114" s="1"/>
  <c r="H52" i="114" s="1"/>
  <c r="H53" i="114" s="1"/>
  <c r="H54" i="114" s="1"/>
  <c r="H55" i="114" s="1"/>
  <c r="H56" i="114" s="1"/>
  <c r="H57" i="114" s="1"/>
  <c r="H58" i="114" s="1"/>
  <c r="H59" i="114" s="1"/>
  <c r="H60" i="114" s="1"/>
  <c r="H61" i="114" s="1"/>
  <c r="H62" i="114" s="1"/>
  <c r="H63" i="114" s="1"/>
  <c r="H64" i="114" s="1"/>
  <c r="H65" i="114" s="1"/>
  <c r="H66" i="114" s="1"/>
  <c r="H67" i="114" s="1"/>
  <c r="H68" i="114" s="1"/>
  <c r="H69" i="114" s="1"/>
  <c r="H70" i="114" s="1"/>
  <c r="H71" i="114" s="1"/>
  <c r="H72" i="114" s="1"/>
  <c r="H73" i="114" s="1"/>
  <c r="H74" i="114" s="1"/>
  <c r="H75" i="114" s="1"/>
  <c r="H76" i="114" s="1"/>
  <c r="H77" i="114" s="1"/>
  <c r="H78" i="114" s="1"/>
  <c r="H79" i="114" s="1"/>
  <c r="H80" i="114" s="1"/>
  <c r="H81" i="114" s="1"/>
  <c r="H82" i="114" s="1"/>
  <c r="H83" i="114" s="1"/>
  <c r="H84" i="114" s="1"/>
  <c r="H85" i="114" s="1"/>
  <c r="H86" i="114" s="1"/>
  <c r="H87" i="114" s="1"/>
  <c r="H88" i="114" s="1"/>
  <c r="H89" i="114" s="1"/>
  <c r="H90" i="114" s="1"/>
  <c r="H91" i="114" s="1"/>
  <c r="H92" i="114" s="1"/>
  <c r="H93" i="114" s="1"/>
  <c r="H94" i="114" s="1"/>
  <c r="H95" i="114" s="1"/>
  <c r="H96" i="114" s="1"/>
  <c r="H97" i="114" s="1"/>
  <c r="H98" i="114" s="1"/>
  <c r="H99" i="114" s="1"/>
  <c r="H100" i="114" s="1"/>
  <c r="H101" i="114" s="1"/>
  <c r="H102" i="114" s="1"/>
  <c r="H103" i="114" s="1"/>
  <c r="H104" i="114" s="1"/>
  <c r="H105" i="114" s="1"/>
  <c r="H106" i="114" s="1"/>
  <c r="H107" i="114" s="1"/>
  <c r="H108" i="114" s="1"/>
  <c r="H109" i="114" s="1"/>
  <c r="H110" i="114" s="1"/>
  <c r="H111" i="114" s="1"/>
  <c r="H112" i="114" s="1"/>
  <c r="H113" i="114" s="1"/>
  <c r="H114" i="114" s="1"/>
  <c r="H115" i="114" s="1"/>
  <c r="H116" i="114" s="1"/>
  <c r="H117" i="114" s="1"/>
  <c r="H118" i="114" s="1"/>
  <c r="H119" i="114" s="1"/>
  <c r="H120" i="114" s="1"/>
  <c r="H121" i="114" s="1"/>
  <c r="H122" i="114" s="1"/>
  <c r="H123" i="114" s="1"/>
  <c r="H124" i="114" s="1"/>
  <c r="H125" i="114" s="1"/>
  <c r="H126" i="114" s="1"/>
  <c r="H127" i="114" s="1"/>
  <c r="H128" i="114" s="1"/>
  <c r="H129" i="114" s="1"/>
  <c r="H130" i="114" s="1"/>
  <c r="H131" i="114" s="1"/>
  <c r="H132" i="114" s="1"/>
  <c r="H133" i="114" s="1"/>
  <c r="H134" i="114" s="1"/>
  <c r="H135" i="114" s="1"/>
  <c r="H136" i="114" s="1"/>
  <c r="H137" i="114" s="1"/>
  <c r="H138" i="114" s="1"/>
  <c r="H139" i="114" s="1"/>
  <c r="H140" i="114" s="1"/>
  <c r="H141" i="114" s="1"/>
  <c r="H142" i="114" s="1"/>
  <c r="H143" i="114" s="1"/>
  <c r="H144" i="114" s="1"/>
  <c r="H145" i="114" s="1"/>
  <c r="H146" i="114" s="1"/>
  <c r="H147" i="114" s="1"/>
  <c r="H148" i="114" s="1"/>
  <c r="H149" i="114" s="1"/>
  <c r="H150" i="114" s="1"/>
  <c r="A37" i="114"/>
  <c r="A38" i="114" s="1"/>
  <c r="H8" i="113"/>
  <c r="D8" i="113"/>
  <c r="A39" i="114" l="1"/>
  <c r="A40" i="114" s="1"/>
  <c r="A41" i="114" s="1"/>
  <c r="H9" i="113"/>
  <c r="D10" i="113" s="1"/>
  <c r="D9" i="113"/>
  <c r="F8" i="113" s="1"/>
  <c r="D70" i="2"/>
  <c r="D71" i="2" s="1"/>
  <c r="E70" i="2"/>
  <c r="E71" i="2" s="1"/>
  <c r="A42" i="114" l="1"/>
  <c r="A43" i="114" s="1"/>
  <c r="A44" i="114" s="1"/>
  <c r="A45" i="114" s="1"/>
  <c r="A46" i="114" s="1"/>
  <c r="A47" i="114" s="1"/>
  <c r="A48" i="114" s="1"/>
  <c r="A49" i="114" s="1"/>
  <c r="A50" i="114" s="1"/>
  <c r="A51" i="114" s="1"/>
  <c r="A52" i="114" s="1"/>
  <c r="A53" i="114" s="1"/>
  <c r="A54" i="114" s="1"/>
  <c r="A55" i="114" s="1"/>
  <c r="A56" i="114" s="1"/>
  <c r="A57" i="114" s="1"/>
  <c r="A58" i="114" s="1"/>
  <c r="A59" i="114" s="1"/>
  <c r="A60" i="114" s="1"/>
  <c r="A61" i="114" s="1"/>
  <c r="A62" i="114" s="1"/>
  <c r="A63" i="114" s="1"/>
  <c r="A64" i="114" s="1"/>
  <c r="A65" i="114" s="1"/>
  <c r="A66" i="114" s="1"/>
  <c r="A67" i="114" s="1"/>
  <c r="A68" i="114" s="1"/>
  <c r="A69" i="114" s="1"/>
  <c r="A70" i="114" s="1"/>
  <c r="A71" i="114" s="1"/>
  <c r="A72" i="114" s="1"/>
  <c r="A73" i="114" s="1"/>
  <c r="A74" i="114" s="1"/>
  <c r="A75" i="114" s="1"/>
  <c r="A76" i="114" s="1"/>
  <c r="A77" i="114" s="1"/>
  <c r="H10" i="113"/>
  <c r="H11" i="113" s="1"/>
  <c r="H12" i="113" s="1"/>
  <c r="H13" i="113" s="1"/>
  <c r="H14" i="113" s="1"/>
  <c r="H15" i="113" s="1"/>
  <c r="H16" i="113" s="1"/>
  <c r="H17" i="113" s="1"/>
  <c r="H18" i="113" s="1"/>
  <c r="H19" i="113" s="1"/>
  <c r="H20" i="113" s="1"/>
  <c r="H21" i="113" s="1"/>
  <c r="H22" i="113" s="1"/>
  <c r="H23" i="113" s="1"/>
  <c r="H24" i="113" s="1"/>
  <c r="H25" i="113" s="1"/>
  <c r="H26" i="113" s="1"/>
  <c r="H27" i="113" s="1"/>
  <c r="H28" i="113" s="1"/>
  <c r="H29" i="113" s="1"/>
  <c r="H30" i="113" s="1"/>
  <c r="H31" i="113" s="1"/>
  <c r="H32" i="113" s="1"/>
  <c r="H33" i="113" s="1"/>
  <c r="H34" i="113" s="1"/>
  <c r="H35" i="113" s="1"/>
  <c r="H36" i="113" s="1"/>
  <c r="H37" i="113" s="1"/>
  <c r="H38" i="113" s="1"/>
  <c r="H39" i="113" s="1"/>
  <c r="H40" i="113" s="1"/>
  <c r="H41" i="113" s="1"/>
  <c r="H42" i="113" s="1"/>
  <c r="H43" i="113" s="1"/>
  <c r="H44" i="113" s="1"/>
  <c r="H45" i="113" s="1"/>
  <c r="H46" i="113" s="1"/>
  <c r="B157" i="111" l="1"/>
  <c r="A7" i="111"/>
  <c r="A8" i="111" s="1"/>
  <c r="A9" i="111" s="1"/>
  <c r="A10" i="111" s="1"/>
  <c r="A11" i="111" s="1"/>
  <c r="A12" i="111" s="1"/>
  <c r="A13" i="111" l="1"/>
  <c r="H15" i="111"/>
  <c r="D16" i="111" s="1"/>
  <c r="E62" i="30"/>
  <c r="H16" i="111" l="1"/>
  <c r="A14" i="111"/>
  <c r="A15" i="111" s="1"/>
  <c r="C62" i="2"/>
  <c r="D17" i="111" l="1"/>
  <c r="H17" i="111"/>
  <c r="A16" i="111"/>
  <c r="A17" i="111" s="1"/>
  <c r="A18" i="111" s="1"/>
  <c r="A19" i="111" s="1"/>
  <c r="A20" i="111" s="1"/>
  <c r="A21" i="111" s="1"/>
  <c r="A22" i="111" s="1"/>
  <c r="D18" i="111" l="1"/>
  <c r="H18" i="111"/>
  <c r="A23" i="111"/>
  <c r="A24" i="111" s="1"/>
  <c r="A25" i="111" s="1"/>
  <c r="H19" i="111" l="1"/>
  <c r="D19" i="111"/>
  <c r="A26" i="111"/>
  <c r="A27" i="111" s="1"/>
  <c r="A28" i="111" s="1"/>
  <c r="A29" i="111" s="1"/>
  <c r="A30" i="111" s="1"/>
  <c r="A31" i="111" s="1"/>
  <c r="A32" i="111" s="1"/>
  <c r="A33" i="111" s="1"/>
  <c r="A34" i="111" s="1"/>
  <c r="A35" i="111" s="1"/>
  <c r="A36" i="111" s="1"/>
  <c r="A37" i="111" s="1"/>
  <c r="A38" i="111" s="1"/>
  <c r="A39" i="111" s="1"/>
  <c r="A40" i="111" s="1"/>
  <c r="A41" i="111" s="1"/>
  <c r="A42" i="111" s="1"/>
  <c r="A43" i="111" s="1"/>
  <c r="A44" i="111" s="1"/>
  <c r="A45" i="111" s="1"/>
  <c r="A46" i="111" s="1"/>
  <c r="A47" i="111" s="1"/>
  <c r="A48" i="111" s="1"/>
  <c r="A49" i="111" s="1"/>
  <c r="A50" i="111" s="1"/>
  <c r="A51" i="111" s="1"/>
  <c r="A52" i="111" s="1"/>
  <c r="A53" i="111" s="1"/>
  <c r="A54" i="111" s="1"/>
  <c r="A55" i="111" s="1"/>
  <c r="H20" i="111" l="1"/>
  <c r="A56" i="111"/>
  <c r="A57" i="111" s="1"/>
  <c r="A58" i="111" s="1"/>
  <c r="H21" i="111"/>
  <c r="A59" i="111" l="1"/>
  <c r="A60" i="111" s="1"/>
  <c r="H22" i="111"/>
  <c r="R162" i="111"/>
  <c r="S159" i="111"/>
  <c r="A61" i="111" l="1"/>
  <c r="A62" i="111" s="1"/>
  <c r="H23" i="111"/>
  <c r="A63" i="111" l="1"/>
  <c r="A64" i="111" s="1"/>
  <c r="A65" i="111" s="1"/>
  <c r="H24" i="111"/>
  <c r="H25" i="111" s="1"/>
  <c r="H26" i="111" s="1"/>
  <c r="H27" i="111" s="1"/>
  <c r="H28" i="111" s="1"/>
  <c r="H29" i="111" s="1"/>
  <c r="H30" i="111" s="1"/>
  <c r="H31" i="111" s="1"/>
  <c r="H32" i="111" s="1"/>
  <c r="H33" i="111" s="1"/>
  <c r="H34" i="111" s="1"/>
  <c r="H35" i="111" s="1"/>
  <c r="H36" i="111" s="1"/>
  <c r="H37" i="111" s="1"/>
  <c r="H38" i="111" s="1"/>
  <c r="H39" i="111" s="1"/>
  <c r="H40" i="111" s="1"/>
  <c r="H41" i="111" s="1"/>
  <c r="H42" i="111" s="1"/>
  <c r="H43" i="111" s="1"/>
  <c r="H44" i="111" s="1"/>
  <c r="H45" i="111" s="1"/>
  <c r="H46" i="111" s="1"/>
  <c r="H47" i="111" s="1"/>
  <c r="H48" i="111" s="1"/>
  <c r="H49" i="111" s="1"/>
  <c r="H50" i="111" s="1"/>
  <c r="H51" i="111" s="1"/>
  <c r="H52" i="111" s="1"/>
  <c r="H53" i="111" s="1"/>
  <c r="H54" i="111" s="1"/>
  <c r="H55" i="111" s="1"/>
  <c r="H56" i="111" s="1"/>
  <c r="H57" i="111" s="1"/>
  <c r="H58" i="111" s="1"/>
  <c r="H59" i="111" s="1"/>
  <c r="H60" i="111" s="1"/>
  <c r="H61" i="111" s="1"/>
  <c r="H62" i="111" s="1"/>
  <c r="H63" i="111" s="1"/>
  <c r="H64" i="111" s="1"/>
  <c r="H65" i="111" s="1"/>
  <c r="H66" i="111" s="1"/>
  <c r="H67" i="111" s="1"/>
  <c r="H68" i="111" s="1"/>
  <c r="H69" i="111" s="1"/>
  <c r="H70" i="111" s="1"/>
  <c r="H71" i="111" s="1"/>
  <c r="H72" i="111" s="1"/>
  <c r="H73" i="111" s="1"/>
  <c r="H74" i="111" s="1"/>
  <c r="H75" i="111" s="1"/>
  <c r="H76" i="111" s="1"/>
  <c r="H77" i="111" s="1"/>
  <c r="H78" i="111" s="1"/>
  <c r="H79" i="111" s="1"/>
  <c r="H80" i="111" s="1"/>
  <c r="H81" i="111" s="1"/>
  <c r="H82" i="111" s="1"/>
  <c r="H83" i="111" s="1"/>
  <c r="H84" i="111" s="1"/>
  <c r="H85" i="111" s="1"/>
  <c r="H86" i="111" s="1"/>
  <c r="H87" i="111" s="1"/>
  <c r="H88" i="111" s="1"/>
  <c r="H89" i="111" s="1"/>
  <c r="H90" i="111" s="1"/>
  <c r="H91" i="111" s="1"/>
  <c r="H92" i="111" s="1"/>
  <c r="H93" i="111" s="1"/>
  <c r="H94" i="111" s="1"/>
  <c r="H95" i="111" s="1"/>
  <c r="H96" i="111" s="1"/>
  <c r="H97" i="111" s="1"/>
  <c r="H98" i="111" s="1"/>
  <c r="H99" i="111" s="1"/>
  <c r="H100" i="111" s="1"/>
  <c r="H101" i="111" s="1"/>
  <c r="H102" i="111" s="1"/>
  <c r="H103" i="111" s="1"/>
  <c r="H104" i="111" s="1"/>
  <c r="H105" i="111" s="1"/>
  <c r="H106" i="111" s="1"/>
  <c r="H107" i="111" s="1"/>
  <c r="H108" i="111" s="1"/>
  <c r="H109" i="111" s="1"/>
  <c r="H110" i="111" s="1"/>
  <c r="H111" i="111" s="1"/>
  <c r="H112" i="111" s="1"/>
  <c r="H113" i="111" s="1"/>
  <c r="H114" i="111" s="1"/>
  <c r="H115" i="111" s="1"/>
  <c r="H116" i="111" s="1"/>
  <c r="H117" i="111" s="1"/>
  <c r="H118" i="111" s="1"/>
  <c r="H119" i="111" s="1"/>
  <c r="H120" i="111" s="1"/>
  <c r="H121" i="111" s="1"/>
  <c r="H122" i="111" s="1"/>
  <c r="H123" i="111" s="1"/>
  <c r="H124" i="111" s="1"/>
  <c r="H125" i="111" s="1"/>
  <c r="H126" i="111" s="1"/>
  <c r="H127" i="111" s="1"/>
  <c r="H128" i="111" s="1"/>
  <c r="H129" i="111" s="1"/>
  <c r="H130" i="111" s="1"/>
  <c r="H131" i="111" s="1"/>
  <c r="H132" i="111" s="1"/>
  <c r="H133" i="111" s="1"/>
  <c r="H134" i="111" s="1"/>
  <c r="H135" i="111" s="1"/>
  <c r="H136" i="111" s="1"/>
  <c r="H137" i="111" s="1"/>
  <c r="H138" i="111" s="1"/>
  <c r="H139" i="111" s="1"/>
  <c r="H140" i="111" s="1"/>
  <c r="H141" i="111" s="1"/>
  <c r="H142" i="111" s="1"/>
  <c r="H143" i="111" s="1"/>
  <c r="H144" i="111" s="1"/>
  <c r="H145" i="111" s="1"/>
  <c r="H146" i="111" s="1"/>
  <c r="H147" i="111" s="1"/>
  <c r="H148" i="111" s="1"/>
  <c r="H149" i="111" s="1"/>
  <c r="H150" i="111" s="1"/>
  <c r="A66" i="111" l="1"/>
  <c r="A67" i="111" l="1"/>
  <c r="A68" i="111" s="1"/>
  <c r="A69" i="111" l="1"/>
  <c r="A70" i="111" s="1"/>
  <c r="A71" i="111" s="1"/>
  <c r="A72" i="111" s="1"/>
  <c r="A73" i="111" s="1"/>
  <c r="A74" i="111" l="1"/>
  <c r="A75" i="111" s="1"/>
  <c r="A76" i="111" l="1"/>
  <c r="A77" i="111" s="1"/>
  <c r="A78" i="111" s="1"/>
  <c r="A79" i="111" l="1"/>
  <c r="A80" i="111" s="1"/>
  <c r="A81" i="111" l="1"/>
  <c r="A82" i="111" s="1"/>
  <c r="A83" i="111" s="1"/>
  <c r="A84" i="111" s="1"/>
  <c r="A85" i="111" s="1"/>
  <c r="A86" i="111" s="1"/>
  <c r="A87" i="111" s="1"/>
  <c r="A88" i="111" l="1"/>
  <c r="A89" i="111" s="1"/>
  <c r="A90" i="111" s="1"/>
  <c r="A91" i="111" l="1"/>
  <c r="A92" i="111" s="1"/>
  <c r="A93" i="111" l="1"/>
  <c r="A94" i="111" s="1"/>
  <c r="A95" i="111" s="1"/>
  <c r="A96" i="111" s="1"/>
  <c r="A97" i="111" s="1"/>
  <c r="A98" i="111" l="1"/>
  <c r="A99" i="111" s="1"/>
  <c r="A100" i="111" l="1"/>
  <c r="A101" i="111" s="1"/>
  <c r="A102" i="111" s="1"/>
  <c r="A7" i="105"/>
  <c r="A8" i="105" s="1"/>
  <c r="A9" i="105" s="1"/>
  <c r="A10" i="105" s="1"/>
  <c r="I161" i="105"/>
  <c r="E161" i="105"/>
  <c r="D161" i="105"/>
  <c r="B161" i="105"/>
  <c r="I160" i="105"/>
  <c r="F160" i="105"/>
  <c r="E160" i="105"/>
  <c r="D160" i="105"/>
  <c r="C160" i="105"/>
  <c r="B160" i="105"/>
  <c r="D7" i="105" s="1"/>
  <c r="H7" i="105"/>
  <c r="C161" i="105" l="1"/>
  <c r="D8" i="105"/>
  <c r="A103" i="111"/>
  <c r="A104" i="111" s="1"/>
  <c r="A11" i="105"/>
  <c r="B162" i="105"/>
  <c r="H8" i="105"/>
  <c r="H9" i="105" s="1"/>
  <c r="H10" i="105" l="1"/>
  <c r="D10" i="105"/>
  <c r="C162" i="105"/>
  <c r="D9" i="105"/>
  <c r="A105" i="111"/>
  <c r="A106" i="111" s="1"/>
  <c r="A107" i="111" s="1"/>
  <c r="A108" i="111" s="1"/>
  <c r="A109" i="111" s="1"/>
  <c r="A12" i="105"/>
  <c r="A13" i="105" s="1"/>
  <c r="A14" i="105" s="1"/>
  <c r="A15" i="105" s="1"/>
  <c r="A16" i="105" s="1"/>
  <c r="A17" i="105" s="1"/>
  <c r="A18" i="105" s="1"/>
  <c r="E162" i="105" l="1"/>
  <c r="H11" i="105"/>
  <c r="D11" i="105"/>
  <c r="D162" i="105"/>
  <c r="A110" i="111"/>
  <c r="A111" i="111" s="1"/>
  <c r="A19" i="105"/>
  <c r="A20" i="105" s="1"/>
  <c r="A21" i="105" s="1"/>
  <c r="A22" i="105" s="1"/>
  <c r="A23" i="105" s="1"/>
  <c r="A24" i="105" s="1"/>
  <c r="D12" i="105" l="1"/>
  <c r="G162" i="105" s="1"/>
  <c r="F162" i="105"/>
  <c r="H12" i="105"/>
  <c r="D13" i="105" s="1"/>
  <c r="A112" i="111"/>
  <c r="A113" i="111" s="1"/>
  <c r="A114" i="111" s="1"/>
  <c r="A115" i="111" s="1"/>
  <c r="A116" i="111" s="1"/>
  <c r="A25" i="105"/>
  <c r="A26" i="105" s="1"/>
  <c r="A27" i="105" s="1"/>
  <c r="A28" i="105" s="1"/>
  <c r="A29" i="105" s="1"/>
  <c r="A30" i="105" s="1"/>
  <c r="A31" i="105" s="1"/>
  <c r="H13" i="105" l="1"/>
  <c r="A32" i="105"/>
  <c r="A33" i="105" s="1"/>
  <c r="A117" i="111"/>
  <c r="A118" i="111" s="1"/>
  <c r="A119" i="111" s="1"/>
  <c r="A120" i="111" s="1"/>
  <c r="A121" i="111" s="1"/>
  <c r="H14" i="105" l="1"/>
  <c r="D14" i="105"/>
  <c r="H162" i="105"/>
  <c r="A34" i="105"/>
  <c r="A35" i="105" s="1"/>
  <c r="A36" i="105" s="1"/>
  <c r="A37" i="105" s="1"/>
  <c r="A38" i="105" s="1"/>
  <c r="A122" i="111"/>
  <c r="A123" i="111" s="1"/>
  <c r="A124" i="111" s="1"/>
  <c r="A125" i="111" s="1"/>
  <c r="A126" i="111" s="1"/>
  <c r="I162" i="105" l="1"/>
  <c r="H15" i="105"/>
  <c r="D15" i="105"/>
  <c r="A39" i="105"/>
  <c r="A40" i="105" s="1"/>
  <c r="A127" i="111"/>
  <c r="A128" i="111" s="1"/>
  <c r="J162" i="105" l="1"/>
  <c r="H16" i="105"/>
  <c r="D16" i="105"/>
  <c r="A41" i="105"/>
  <c r="A42" i="105" s="1"/>
  <c r="A43" i="105" s="1"/>
  <c r="A129" i="111"/>
  <c r="A130" i="111" s="1"/>
  <c r="B171" i="105" l="1"/>
  <c r="H17" i="105"/>
  <c r="D17" i="105"/>
  <c r="A44" i="105"/>
  <c r="A45" i="105" s="1"/>
  <c r="A131" i="111"/>
  <c r="A132" i="111" s="1"/>
  <c r="A133" i="111" s="1"/>
  <c r="A134" i="111" s="1"/>
  <c r="A135" i="111" s="1"/>
  <c r="A136" i="111" s="1"/>
  <c r="A137" i="111" s="1"/>
  <c r="A138" i="111" s="1"/>
  <c r="A139" i="111" s="1"/>
  <c r="A140" i="111" s="1"/>
  <c r="A141" i="111" s="1"/>
  <c r="A142" i="111" s="1"/>
  <c r="A143" i="111" s="1"/>
  <c r="A144" i="111" s="1"/>
  <c r="A145" i="111" s="1"/>
  <c r="A146" i="111" s="1"/>
  <c r="A147" i="111" s="1"/>
  <c r="A148" i="111" s="1"/>
  <c r="A149" i="111" s="1"/>
  <c r="A150" i="111" s="1"/>
  <c r="C171" i="105" l="1"/>
  <c r="H18" i="105"/>
  <c r="D18" i="105"/>
  <c r="A46" i="105"/>
  <c r="A47" i="105" s="1"/>
  <c r="H19" i="105" l="1"/>
  <c r="D20" i="105" s="1"/>
  <c r="D19" i="105"/>
  <c r="D171" i="105"/>
  <c r="A48" i="105"/>
  <c r="H20" i="105" l="1"/>
  <c r="E171" i="105"/>
  <c r="A49" i="105"/>
  <c r="A50" i="105" s="1"/>
  <c r="H21" i="105" l="1"/>
  <c r="H22" i="105" s="1"/>
  <c r="H23" i="105" s="1"/>
  <c r="H24" i="105" s="1"/>
  <c r="H25" i="105" s="1"/>
  <c r="H26" i="105" s="1"/>
  <c r="H27" i="105" s="1"/>
  <c r="H28" i="105" s="1"/>
  <c r="H29" i="105" s="1"/>
  <c r="H30" i="105" s="1"/>
  <c r="H31" i="105" s="1"/>
  <c r="H32" i="105" s="1"/>
  <c r="H33" i="105" s="1"/>
  <c r="H34" i="105" s="1"/>
  <c r="H35" i="105" s="1"/>
  <c r="H36" i="105" s="1"/>
  <c r="H37" i="105" s="1"/>
  <c r="H38" i="105" s="1"/>
  <c r="H39" i="105" s="1"/>
  <c r="H40" i="105" s="1"/>
  <c r="H41" i="105" s="1"/>
  <c r="H42" i="105" s="1"/>
  <c r="H43" i="105" s="1"/>
  <c r="H44" i="105" s="1"/>
  <c r="H45" i="105" s="1"/>
  <c r="H46" i="105" s="1"/>
  <c r="H47" i="105" s="1"/>
  <c r="H48" i="105" s="1"/>
  <c r="H49" i="105" s="1"/>
  <c r="H50" i="105" s="1"/>
  <c r="H51" i="105" s="1"/>
  <c r="H52" i="105" s="1"/>
  <c r="H53" i="105" s="1"/>
  <c r="H54" i="105" s="1"/>
  <c r="H55" i="105" s="1"/>
  <c r="H56" i="105" s="1"/>
  <c r="H57" i="105" s="1"/>
  <c r="H58" i="105" s="1"/>
  <c r="H59" i="105" s="1"/>
  <c r="H60" i="105" s="1"/>
  <c r="H61" i="105" s="1"/>
  <c r="H62" i="105" s="1"/>
  <c r="H63" i="105" s="1"/>
  <c r="H64" i="105" s="1"/>
  <c r="H65" i="105" s="1"/>
  <c r="H66" i="105" s="1"/>
  <c r="H67" i="105" s="1"/>
  <c r="H68" i="105" s="1"/>
  <c r="H69" i="105" s="1"/>
  <c r="H70" i="105" s="1"/>
  <c r="H71" i="105" s="1"/>
  <c r="H72" i="105" s="1"/>
  <c r="H73" i="105" s="1"/>
  <c r="H74" i="105" s="1"/>
  <c r="H75" i="105" s="1"/>
  <c r="H76" i="105" s="1"/>
  <c r="H77" i="105" s="1"/>
  <c r="H78" i="105" s="1"/>
  <c r="H79" i="105" s="1"/>
  <c r="H80" i="105" s="1"/>
  <c r="H81" i="105" s="1"/>
  <c r="H82" i="105" s="1"/>
  <c r="H83" i="105" s="1"/>
  <c r="H84" i="105" s="1"/>
  <c r="H85" i="105" s="1"/>
  <c r="H86" i="105" s="1"/>
  <c r="H87" i="105" s="1"/>
  <c r="H88" i="105" s="1"/>
  <c r="H89" i="105" s="1"/>
  <c r="H90" i="105" s="1"/>
  <c r="H91" i="105" s="1"/>
  <c r="H92" i="105" s="1"/>
  <c r="H93" i="105" s="1"/>
  <c r="H94" i="105" s="1"/>
  <c r="H95" i="105" s="1"/>
  <c r="H96" i="105" s="1"/>
  <c r="H97" i="105" s="1"/>
  <c r="H98" i="105" s="1"/>
  <c r="H99" i="105" s="1"/>
  <c r="H100" i="105" s="1"/>
  <c r="H101" i="105" s="1"/>
  <c r="H102" i="105" s="1"/>
  <c r="H103" i="105" s="1"/>
  <c r="H104" i="105" s="1"/>
  <c r="H105" i="105" s="1"/>
  <c r="H106" i="105" s="1"/>
  <c r="H107" i="105" s="1"/>
  <c r="H108" i="105" s="1"/>
  <c r="H109" i="105" s="1"/>
  <c r="H110" i="105" s="1"/>
  <c r="H111" i="105" s="1"/>
  <c r="H112" i="105" s="1"/>
  <c r="H113" i="105" s="1"/>
  <c r="H114" i="105" s="1"/>
  <c r="H115" i="105" s="1"/>
  <c r="H116" i="105" s="1"/>
  <c r="H117" i="105" s="1"/>
  <c r="H118" i="105" s="1"/>
  <c r="H119" i="105" s="1"/>
  <c r="H120" i="105" s="1"/>
  <c r="H121" i="105" s="1"/>
  <c r="H122" i="105" s="1"/>
  <c r="H123" i="105" s="1"/>
  <c r="H124" i="105" s="1"/>
  <c r="H125" i="105" s="1"/>
  <c r="H126" i="105" s="1"/>
  <c r="H127" i="105" s="1"/>
  <c r="H128" i="105" s="1"/>
  <c r="H129" i="105" s="1"/>
  <c r="H130" i="105" s="1"/>
  <c r="H131" i="105" s="1"/>
  <c r="H132" i="105" s="1"/>
  <c r="H133" i="105" s="1"/>
  <c r="H134" i="105" s="1"/>
  <c r="H135" i="105" s="1"/>
  <c r="H136" i="105" s="1"/>
  <c r="H137" i="105" s="1"/>
  <c r="H138" i="105" s="1"/>
  <c r="H139" i="105" s="1"/>
  <c r="H140" i="105" s="1"/>
  <c r="H141" i="105" s="1"/>
  <c r="H142" i="105" s="1"/>
  <c r="H143" i="105" s="1"/>
  <c r="H144" i="105" s="1"/>
  <c r="H145" i="105" s="1"/>
  <c r="H146" i="105" s="1"/>
  <c r="H147" i="105" s="1"/>
  <c r="H148" i="105" s="1"/>
  <c r="H149" i="105" s="1"/>
  <c r="H150" i="105" s="1"/>
  <c r="F171" i="105"/>
  <c r="A51" i="105"/>
  <c r="A52" i="105" s="1"/>
  <c r="G171" i="105" l="1"/>
  <c r="A53" i="105"/>
  <c r="A54" i="105" s="1"/>
  <c r="A55" i="105" s="1"/>
  <c r="A56" i="105" s="1"/>
  <c r="A57" i="105" s="1"/>
  <c r="A58" i="105" l="1"/>
  <c r="A59" i="105" s="1"/>
  <c r="A60" i="105" s="1"/>
  <c r="A61" i="105" s="1"/>
  <c r="A62" i="105" s="1"/>
  <c r="A63" i="105" l="1"/>
  <c r="A64" i="105" s="1"/>
  <c r="A65" i="105" l="1"/>
  <c r="A66" i="105" s="1"/>
  <c r="A67" i="105" s="1"/>
  <c r="A68" i="105" l="1"/>
  <c r="A69" i="105" s="1"/>
  <c r="A70" i="105" l="1"/>
  <c r="A71" i="105" s="1"/>
  <c r="A72" i="105" s="1"/>
  <c r="A73" i="105" s="1"/>
  <c r="A74" i="105" s="1"/>
  <c r="A75" i="105" l="1"/>
  <c r="A76" i="105" s="1"/>
  <c r="A77" i="105" l="1"/>
  <c r="A78" i="105" s="1"/>
  <c r="A79" i="105" s="1"/>
  <c r="A80" i="105" l="1"/>
  <c r="A81" i="105" s="1"/>
  <c r="A82" i="105" l="1"/>
  <c r="A83" i="105" s="1"/>
  <c r="A84" i="105" s="1"/>
  <c r="A85" i="105" s="1"/>
  <c r="A86" i="105" s="1"/>
  <c r="I61" i="2"/>
  <c r="A87" i="105" l="1"/>
  <c r="A88" i="105" s="1"/>
  <c r="J62" i="2"/>
  <c r="K62" i="2"/>
  <c r="A89" i="105" l="1"/>
  <c r="A90" i="105" s="1"/>
  <c r="A91" i="105" s="1"/>
  <c r="A92" i="105" l="1"/>
  <c r="A93" i="105" s="1"/>
  <c r="A94" i="105" l="1"/>
  <c r="A95" i="105" s="1"/>
  <c r="A96" i="105" s="1"/>
  <c r="A97" i="105" s="1"/>
  <c r="A98" i="105" s="1"/>
  <c r="A99" i="105" l="1"/>
  <c r="A100" i="105" s="1"/>
  <c r="A101" i="105" l="1"/>
  <c r="A102" i="105" s="1"/>
  <c r="A103" i="105" s="1"/>
  <c r="A104" i="105" l="1"/>
  <c r="A105" i="105" s="1"/>
  <c r="A106" i="105" l="1"/>
  <c r="A107" i="105" s="1"/>
  <c r="A108" i="105" s="1"/>
  <c r="A109" i="105" s="1"/>
  <c r="A110" i="105" s="1"/>
  <c r="C63" i="32"/>
  <c r="B63" i="32"/>
  <c r="A111" i="105" l="1"/>
  <c r="A112" i="105" s="1"/>
  <c r="A113" i="105" l="1"/>
  <c r="A114" i="105" s="1"/>
  <c r="A115" i="105" s="1"/>
  <c r="G151" i="105"/>
  <c r="D151" i="105"/>
  <c r="A116" i="105" l="1"/>
  <c r="A117" i="105" s="1"/>
  <c r="A118" i="105" l="1"/>
  <c r="A119" i="105" s="1"/>
  <c r="A120" i="105" s="1"/>
  <c r="A121" i="105" s="1"/>
  <c r="A122" i="105" s="1"/>
  <c r="F63" i="32"/>
  <c r="A123" i="105" l="1"/>
  <c r="A124" i="105" s="1"/>
  <c r="A125" i="105" l="1"/>
  <c r="A126" i="105" s="1"/>
  <c r="A127" i="105" s="1"/>
  <c r="A128" i="105" l="1"/>
  <c r="A129" i="105" s="1"/>
  <c r="A7" i="93"/>
  <c r="A130" i="105" l="1"/>
  <c r="A131" i="105" s="1"/>
  <c r="A132" i="105" s="1"/>
  <c r="A133" i="105" s="1"/>
  <c r="A134" i="105" s="1"/>
  <c r="A135" i="105" l="1"/>
  <c r="A136" i="105" s="1"/>
  <c r="A137" i="105" l="1"/>
  <c r="A138" i="105" s="1"/>
  <c r="A139" i="105" s="1"/>
  <c r="D53" i="66"/>
  <c r="C53" i="66"/>
  <c r="D62" i="31"/>
  <c r="F161" i="101"/>
  <c r="E161" i="101"/>
  <c r="D161" i="101"/>
  <c r="B161" i="101"/>
  <c r="I160" i="101"/>
  <c r="H160" i="101"/>
  <c r="F160" i="101"/>
  <c r="E160" i="101"/>
  <c r="D160" i="101"/>
  <c r="C160" i="101"/>
  <c r="B160" i="101"/>
  <c r="D7" i="101" s="1"/>
  <c r="H7" i="101"/>
  <c r="H8" i="101" s="1"/>
  <c r="A8" i="101"/>
  <c r="A9" i="101" s="1"/>
  <c r="A10" i="101" s="1"/>
  <c r="A11" i="101" s="1"/>
  <c r="A12" i="101" s="1"/>
  <c r="A13" i="101" s="1"/>
  <c r="A14" i="101" s="1"/>
  <c r="A15" i="101" s="1"/>
  <c r="A16" i="101" s="1"/>
  <c r="A17" i="101" s="1"/>
  <c r="A18" i="101" s="1"/>
  <c r="A140" i="105" l="1"/>
  <c r="A141" i="105" s="1"/>
  <c r="D9" i="101"/>
  <c r="A19" i="101"/>
  <c r="D8" i="101"/>
  <c r="C161" i="101"/>
  <c r="H9" i="101"/>
  <c r="D10" i="101" s="1"/>
  <c r="E62" i="33"/>
  <c r="E63" i="32"/>
  <c r="A142" i="105" l="1"/>
  <c r="A143" i="105" s="1"/>
  <c r="A144" i="105" s="1"/>
  <c r="A145" i="105" s="1"/>
  <c r="A146" i="105" s="1"/>
  <c r="A20" i="101"/>
  <c r="A21" i="101" s="1"/>
  <c r="H10" i="101"/>
  <c r="D11" i="101" s="1"/>
  <c r="A147" i="105" l="1"/>
  <c r="A148" i="105" s="1"/>
  <c r="A149" i="105" s="1"/>
  <c r="A150" i="105" s="1"/>
  <c r="A22" i="101"/>
  <c r="A23" i="101" s="1"/>
  <c r="H11" i="101"/>
  <c r="D12" i="101" s="1"/>
  <c r="H12" i="101" l="1"/>
  <c r="D13" i="101" s="1"/>
  <c r="H13" i="101" l="1"/>
  <c r="D14" i="101" s="1"/>
  <c r="H14" i="101" l="1"/>
  <c r="D15" i="101" s="1"/>
  <c r="H15" i="101" l="1"/>
  <c r="D16" i="101" l="1"/>
  <c r="H16" i="101"/>
  <c r="D17" i="101" s="1"/>
  <c r="H17" i="101" l="1"/>
  <c r="D18" i="101" s="1"/>
  <c r="H18" i="101" l="1"/>
  <c r="D19" i="101" s="1"/>
  <c r="K63" i="2"/>
  <c r="F63" i="2"/>
  <c r="C31" i="101" l="1"/>
  <c r="H19" i="101"/>
  <c r="D20" i="101" s="1"/>
  <c r="I62" i="2"/>
  <c r="H20" i="101" l="1"/>
  <c r="D21" i="101" s="1"/>
  <c r="H21" i="101" l="1"/>
  <c r="D22" i="101" s="1"/>
  <c r="C16" i="100"/>
  <c r="C17" i="100"/>
  <c r="G17" i="100" s="1"/>
  <c r="C18" i="100"/>
  <c r="G18" i="100" s="1"/>
  <c r="C19" i="100"/>
  <c r="C20" i="100"/>
  <c r="G20" i="100" s="1"/>
  <c r="C21" i="100"/>
  <c r="G21" i="100" s="1"/>
  <c r="C22" i="100"/>
  <c r="G22" i="100" s="1"/>
  <c r="C23" i="100"/>
  <c r="C24" i="100"/>
  <c r="G24" i="100" s="1"/>
  <c r="C25" i="100"/>
  <c r="G25" i="100" s="1"/>
  <c r="C26" i="100"/>
  <c r="G26" i="100" s="1"/>
  <c r="C27" i="100"/>
  <c r="C28" i="100"/>
  <c r="G28" i="100" s="1"/>
  <c r="C29" i="100"/>
  <c r="G29" i="100" s="1"/>
  <c r="C30" i="100"/>
  <c r="G30" i="100" s="1"/>
  <c r="C31" i="100"/>
  <c r="C32" i="100"/>
  <c r="G32" i="100" s="1"/>
  <c r="C33" i="100"/>
  <c r="G33" i="100" s="1"/>
  <c r="C34" i="100"/>
  <c r="G34" i="100" s="1"/>
  <c r="C35" i="100"/>
  <c r="C36" i="100"/>
  <c r="G36" i="100" s="1"/>
  <c r="C37" i="100"/>
  <c r="G37" i="100" s="1"/>
  <c r="C38" i="100"/>
  <c r="G38" i="100" s="1"/>
  <c r="C39" i="100"/>
  <c r="C40" i="100"/>
  <c r="G40" i="100" s="1"/>
  <c r="C41" i="100"/>
  <c r="G41" i="100" s="1"/>
  <c r="C42" i="100"/>
  <c r="G42" i="100" s="1"/>
  <c r="C43" i="100"/>
  <c r="C44" i="100"/>
  <c r="G44" i="100" s="1"/>
  <c r="C45" i="100"/>
  <c r="G45" i="100" s="1"/>
  <c r="C46" i="100"/>
  <c r="G46" i="100" s="1"/>
  <c r="H62" i="30"/>
  <c r="G62" i="30"/>
  <c r="N12" i="146" l="1"/>
  <c r="G35" i="100"/>
  <c r="G16" i="100"/>
  <c r="N7" i="146"/>
  <c r="C47" i="100"/>
  <c r="N14" i="146"/>
  <c r="G43" i="100"/>
  <c r="N10" i="146"/>
  <c r="G27" i="100"/>
  <c r="N8" i="146"/>
  <c r="G19" i="100"/>
  <c r="N13" i="146"/>
  <c r="G39" i="100"/>
  <c r="N11" i="146"/>
  <c r="G31" i="100"/>
  <c r="N9" i="146"/>
  <c r="G23" i="100"/>
  <c r="H22" i="101"/>
  <c r="D23" i="101" s="1"/>
  <c r="S9" i="146" l="1"/>
  <c r="S11" i="146"/>
  <c r="S7" i="146"/>
  <c r="N20" i="146"/>
  <c r="G47" i="100"/>
  <c r="S10" i="146"/>
  <c r="S14" i="146"/>
  <c r="S13" i="146"/>
  <c r="S8" i="146"/>
  <c r="S12" i="146"/>
  <c r="H23" i="101"/>
  <c r="C73" i="82"/>
  <c r="C74" i="82"/>
  <c r="C75" i="82"/>
  <c r="C76" i="82"/>
  <c r="C77" i="82"/>
  <c r="C78" i="82"/>
  <c r="C79" i="82"/>
  <c r="C80" i="82"/>
  <c r="C81" i="82"/>
  <c r="C82" i="82"/>
  <c r="C83" i="82"/>
  <c r="C84" i="82"/>
  <c r="C85" i="82"/>
  <c r="C86" i="82"/>
  <c r="C87" i="82"/>
  <c r="C88" i="82"/>
  <c r="C89" i="82"/>
  <c r="C90" i="82"/>
  <c r="C91" i="82"/>
  <c r="C92" i="82"/>
  <c r="C93" i="82"/>
  <c r="C94" i="82"/>
  <c r="C95" i="82"/>
  <c r="C96" i="82"/>
  <c r="C97" i="82"/>
  <c r="C98" i="82"/>
  <c r="C99" i="82"/>
  <c r="C100" i="82"/>
  <c r="C101" i="82"/>
  <c r="C102" i="82"/>
  <c r="C103" i="82"/>
  <c r="C104" i="82"/>
  <c r="C105" i="82"/>
  <c r="C106" i="82"/>
  <c r="C107" i="82"/>
  <c r="C108" i="82"/>
  <c r="C109" i="82"/>
  <c r="C110" i="82"/>
  <c r="C111" i="82"/>
  <c r="C112" i="82"/>
  <c r="C113" i="82"/>
  <c r="C114" i="82"/>
  <c r="C115" i="82"/>
  <c r="C116" i="82"/>
  <c r="C117" i="82"/>
  <c r="C118" i="82"/>
  <c r="C119" i="82"/>
  <c r="C120" i="82"/>
  <c r="C121" i="82"/>
  <c r="C122" i="82"/>
  <c r="C123" i="82"/>
  <c r="C124" i="82"/>
  <c r="C125" i="82"/>
  <c r="C126" i="82"/>
  <c r="C127" i="82"/>
  <c r="C128" i="82"/>
  <c r="C129" i="82"/>
  <c r="C130" i="82"/>
  <c r="C131" i="82"/>
  <c r="C132" i="82"/>
  <c r="C133" i="82"/>
  <c r="C134" i="82"/>
  <c r="C135" i="82"/>
  <c r="C136" i="82"/>
  <c r="C137" i="82"/>
  <c r="C138" i="82"/>
  <c r="C139" i="82"/>
  <c r="C140" i="82"/>
  <c r="C141" i="82"/>
  <c r="C142" i="82"/>
  <c r="C143" i="82"/>
  <c r="C144" i="82"/>
  <c r="C145" i="82"/>
  <c r="C146" i="82"/>
  <c r="C147" i="82"/>
  <c r="C148" i="82"/>
  <c r="C149" i="82"/>
  <c r="C150" i="82"/>
  <c r="C63" i="82"/>
  <c r="C64" i="82"/>
  <c r="C65" i="82"/>
  <c r="C66" i="82"/>
  <c r="C67" i="82"/>
  <c r="C68" i="82"/>
  <c r="C69" i="82"/>
  <c r="C70" i="82"/>
  <c r="C71" i="82"/>
  <c r="C72" i="82"/>
  <c r="C32" i="82"/>
  <c r="C33" i="82"/>
  <c r="C34" i="82"/>
  <c r="C35" i="82"/>
  <c r="C36" i="82"/>
  <c r="C37" i="82"/>
  <c r="C38" i="82"/>
  <c r="C39" i="82"/>
  <c r="C40" i="82"/>
  <c r="C41" i="82"/>
  <c r="C42" i="82"/>
  <c r="C43" i="82"/>
  <c r="C44" i="82"/>
  <c r="C45" i="82"/>
  <c r="C46" i="82"/>
  <c r="C47" i="82"/>
  <c r="C48" i="82"/>
  <c r="C49" i="82"/>
  <c r="C50" i="82"/>
  <c r="C51" i="82"/>
  <c r="C52" i="82"/>
  <c r="C53" i="82"/>
  <c r="C54" i="82"/>
  <c r="C55" i="82"/>
  <c r="C56" i="82"/>
  <c r="C57" i="82"/>
  <c r="C58" i="82"/>
  <c r="C59" i="82"/>
  <c r="C60" i="82"/>
  <c r="C61" i="82"/>
  <c r="C62" i="82"/>
  <c r="C31" i="82"/>
  <c r="A6" i="82"/>
  <c r="A7" i="82" s="1"/>
  <c r="A8" i="82" s="1"/>
  <c r="A9" i="82" s="1"/>
  <c r="A10" i="82" s="1"/>
  <c r="A11" i="82" s="1"/>
  <c r="A12" i="82" s="1"/>
  <c r="A13" i="82" s="1"/>
  <c r="S20" i="146" l="1"/>
  <c r="H24" i="101"/>
  <c r="A14" i="82"/>
  <c r="A15" i="82" s="1"/>
  <c r="A16" i="82" s="1"/>
  <c r="A17" i="82" s="1"/>
  <c r="A18" i="82" s="1"/>
  <c r="A19" i="82" s="1"/>
  <c r="A20" i="82" s="1"/>
  <c r="A21" i="82" s="1"/>
  <c r="A22" i="82" s="1"/>
  <c r="A23" i="82" s="1"/>
  <c r="A24" i="82" s="1"/>
  <c r="A25" i="82" s="1"/>
  <c r="A26" i="82" s="1"/>
  <c r="A27" i="82" s="1"/>
  <c r="A28" i="82" s="1"/>
  <c r="A29" i="82" s="1"/>
  <c r="A30" i="82" s="1"/>
  <c r="A31" i="82"/>
  <c r="A32" i="82" s="1"/>
  <c r="C151" i="82"/>
  <c r="H25" i="101" l="1"/>
  <c r="C151" i="101"/>
  <c r="H61" i="2"/>
  <c r="H62" i="2" s="1"/>
  <c r="H26" i="101" l="1"/>
  <c r="H27" i="101" l="1"/>
  <c r="H28" i="101" l="1"/>
  <c r="C62" i="31"/>
  <c r="B62" i="31"/>
  <c r="B62" i="33"/>
  <c r="H29" i="101" l="1"/>
  <c r="H30" i="101" l="1"/>
  <c r="H31" i="101" s="1"/>
  <c r="H32" i="101" l="1"/>
  <c r="H33" i="101" l="1"/>
  <c r="F62" i="33"/>
  <c r="H34" i="101" l="1"/>
  <c r="A7" i="100"/>
  <c r="A8" i="100" s="1"/>
  <c r="A9" i="100" s="1"/>
  <c r="A10" i="100" s="1"/>
  <c r="B54" i="100"/>
  <c r="D7" i="100" s="1"/>
  <c r="C54" i="100"/>
  <c r="D54" i="100"/>
  <c r="E54" i="100"/>
  <c r="A11" i="100" l="1"/>
  <c r="H35" i="101"/>
  <c r="H7" i="100"/>
  <c r="D8" i="100" s="1"/>
  <c r="A12" i="100" l="1"/>
  <c r="A13" i="100" s="1"/>
  <c r="A14" i="100" s="1"/>
  <c r="A15" i="100" s="1"/>
  <c r="A16" i="100" s="1"/>
  <c r="A17" i="100" s="1"/>
  <c r="A18" i="100" s="1"/>
  <c r="A19" i="100" s="1"/>
  <c r="A20" i="100" s="1"/>
  <c r="A21" i="100" s="1"/>
  <c r="A22" i="100" s="1"/>
  <c r="A23" i="100" s="1"/>
  <c r="A24" i="100" s="1"/>
  <c r="A25" i="100" s="1"/>
  <c r="A26" i="100" s="1"/>
  <c r="A27" i="100" s="1"/>
  <c r="A28" i="100" s="1"/>
  <c r="A29" i="100" s="1"/>
  <c r="A30" i="100" s="1"/>
  <c r="A31" i="100" s="1"/>
  <c r="A32" i="100" s="1"/>
  <c r="A33" i="100" s="1"/>
  <c r="A34" i="100" s="1"/>
  <c r="A35" i="100" s="1"/>
  <c r="A36" i="100" s="1"/>
  <c r="A37" i="100" s="1"/>
  <c r="A38" i="100" s="1"/>
  <c r="A39" i="100" s="1"/>
  <c r="A40" i="100" s="1"/>
  <c r="A41" i="100" s="1"/>
  <c r="A42" i="100" s="1"/>
  <c r="A43" i="100" s="1"/>
  <c r="A44" i="100" s="1"/>
  <c r="A45" i="100" s="1"/>
  <c r="A46" i="100" s="1"/>
  <c r="H8" i="100"/>
  <c r="H9" i="100" s="1"/>
  <c r="D10" i="100" s="1"/>
  <c r="H36" i="101"/>
  <c r="D9" i="100" l="1"/>
  <c r="H37" i="101"/>
  <c r="H10" i="100"/>
  <c r="O5" i="146" l="1"/>
  <c r="R5" i="146" s="1"/>
  <c r="D11" i="100"/>
  <c r="H38" i="101"/>
  <c r="H11" i="100"/>
  <c r="D12" i="100" l="1"/>
  <c r="H39" i="101"/>
  <c r="H12" i="100"/>
  <c r="D13" i="100" l="1"/>
  <c r="O6" i="146" s="1"/>
  <c r="R6" i="146" s="1"/>
  <c r="H40" i="101"/>
  <c r="H13" i="100"/>
  <c r="D14" i="100" s="1"/>
  <c r="F12" i="100" l="1"/>
  <c r="H41" i="101"/>
  <c r="H42" i="101" s="1"/>
  <c r="H43" i="101" s="1"/>
  <c r="H44" i="101" s="1"/>
  <c r="H45" i="101" s="1"/>
  <c r="H46" i="101" s="1"/>
  <c r="H47" i="101" s="1"/>
  <c r="H48" i="101" s="1"/>
  <c r="H49" i="101" s="1"/>
  <c r="H50" i="101" s="1"/>
  <c r="H51" i="101" s="1"/>
  <c r="H52" i="101" s="1"/>
  <c r="H53" i="101" s="1"/>
  <c r="H54" i="101" s="1"/>
  <c r="H55" i="101" s="1"/>
  <c r="H56" i="101" s="1"/>
  <c r="H57" i="101" s="1"/>
  <c r="H58" i="101" s="1"/>
  <c r="H59" i="101" s="1"/>
  <c r="H60" i="101" s="1"/>
  <c r="H61" i="101" s="1"/>
  <c r="H62" i="101" s="1"/>
  <c r="H63" i="101" s="1"/>
  <c r="H64" i="101" s="1"/>
  <c r="H65" i="101" s="1"/>
  <c r="H66" i="101" s="1"/>
  <c r="H67" i="101" s="1"/>
  <c r="H68" i="101" s="1"/>
  <c r="H69" i="101" s="1"/>
  <c r="H70" i="101" s="1"/>
  <c r="H71" i="101" s="1"/>
  <c r="H72" i="101" s="1"/>
  <c r="H73" i="101" s="1"/>
  <c r="H74" i="101" s="1"/>
  <c r="H75" i="101" s="1"/>
  <c r="H76" i="101" s="1"/>
  <c r="H77" i="101" s="1"/>
  <c r="H78" i="101" s="1"/>
  <c r="H79" i="101" s="1"/>
  <c r="H80" i="101" s="1"/>
  <c r="H81" i="101" s="1"/>
  <c r="H82" i="101" s="1"/>
  <c r="H83" i="101" s="1"/>
  <c r="H84" i="101" s="1"/>
  <c r="H85" i="101" s="1"/>
  <c r="H86" i="101" s="1"/>
  <c r="H87" i="101" s="1"/>
  <c r="H88" i="101" s="1"/>
  <c r="H89" i="101" s="1"/>
  <c r="H90" i="101" s="1"/>
  <c r="H91" i="101" s="1"/>
  <c r="H92" i="101" s="1"/>
  <c r="H93" i="101" s="1"/>
  <c r="H94" i="101" s="1"/>
  <c r="H95" i="101" s="1"/>
  <c r="H96" i="101" s="1"/>
  <c r="H97" i="101" s="1"/>
  <c r="H98" i="101" s="1"/>
  <c r="H99" i="101" s="1"/>
  <c r="H100" i="101" s="1"/>
  <c r="H101" i="101" s="1"/>
  <c r="H102" i="101" s="1"/>
  <c r="H103" i="101" s="1"/>
  <c r="H104" i="101" s="1"/>
  <c r="H105" i="101" s="1"/>
  <c r="H106" i="101" s="1"/>
  <c r="H107" i="101" s="1"/>
  <c r="H108" i="101" s="1"/>
  <c r="H109" i="101" s="1"/>
  <c r="H110" i="101" s="1"/>
  <c r="H111" i="101" s="1"/>
  <c r="H112" i="101" s="1"/>
  <c r="H113" i="101" s="1"/>
  <c r="H114" i="101" s="1"/>
  <c r="H115" i="101" s="1"/>
  <c r="H116" i="101" s="1"/>
  <c r="H117" i="101" s="1"/>
  <c r="H118" i="101" s="1"/>
  <c r="H119" i="101" s="1"/>
  <c r="H120" i="101" s="1"/>
  <c r="H121" i="101" s="1"/>
  <c r="H122" i="101" s="1"/>
  <c r="H123" i="101" s="1"/>
  <c r="H124" i="101" s="1"/>
  <c r="H125" i="101" s="1"/>
  <c r="H126" i="101" s="1"/>
  <c r="H127" i="101" s="1"/>
  <c r="H128" i="101" s="1"/>
  <c r="H129" i="101" s="1"/>
  <c r="H130" i="101" s="1"/>
  <c r="H131" i="101" s="1"/>
  <c r="H132" i="101" s="1"/>
  <c r="H133" i="101" s="1"/>
  <c r="H134" i="101" s="1"/>
  <c r="H135" i="101" s="1"/>
  <c r="H136" i="101" s="1"/>
  <c r="H137" i="101" s="1"/>
  <c r="H138" i="101" s="1"/>
  <c r="H139" i="101" s="1"/>
  <c r="H140" i="101" s="1"/>
  <c r="H141" i="101" s="1"/>
  <c r="H142" i="101" s="1"/>
  <c r="H143" i="101" s="1"/>
  <c r="H144" i="101" s="1"/>
  <c r="H145" i="101" s="1"/>
  <c r="H146" i="101" s="1"/>
  <c r="H147" i="101" s="1"/>
  <c r="H148" i="101" s="1"/>
  <c r="H149" i="101" s="1"/>
  <c r="H150" i="101" s="1"/>
  <c r="H14" i="100"/>
  <c r="H15" i="100" l="1"/>
  <c r="D16" i="100" s="1"/>
  <c r="B110" i="99"/>
  <c r="B111" i="99" s="1"/>
  <c r="G103" i="99"/>
  <c r="F103" i="99"/>
  <c r="E103" i="99"/>
  <c r="H16" i="100" l="1"/>
  <c r="D17" i="100" s="1"/>
  <c r="C56" i="68"/>
  <c r="H17" i="100" l="1"/>
  <c r="D18" i="100" s="1"/>
  <c r="H18" i="100" l="1"/>
  <c r="D19" i="100" s="1"/>
  <c r="C57" i="68"/>
  <c r="H19" i="100" l="1"/>
  <c r="D20" i="100" s="1"/>
  <c r="H20" i="100" l="1"/>
  <c r="D21" i="100" s="1"/>
  <c r="H21" i="100" l="1"/>
  <c r="D22" i="100" s="1"/>
  <c r="O8" i="146" s="1"/>
  <c r="R8" i="146" s="1"/>
  <c r="H22" i="100" l="1"/>
  <c r="D23" i="100" s="1"/>
  <c r="H23" i="100" l="1"/>
  <c r="D24" i="100" s="1"/>
  <c r="H24" i="100" l="1"/>
  <c r="D25" i="100" s="1"/>
  <c r="H25" i="100" l="1"/>
  <c r="D26" i="100" s="1"/>
  <c r="O9" i="146" s="1"/>
  <c r="R9" i="146" s="1"/>
  <c r="H26" i="100" l="1"/>
  <c r="D27" i="100" s="1"/>
  <c r="H27" i="100" l="1"/>
  <c r="D28" i="100" s="1"/>
  <c r="G11" i="92"/>
  <c r="F11" i="92"/>
  <c r="C54" i="37"/>
  <c r="D53" i="37"/>
  <c r="H28" i="100" l="1"/>
  <c r="D29" i="100" s="1"/>
  <c r="J5" i="90"/>
  <c r="H29" i="100" l="1"/>
  <c r="D30" i="100" s="1"/>
  <c r="O10" i="146" s="1"/>
  <c r="R10" i="146" s="1"/>
  <c r="A2" i="90"/>
  <c r="A3" i="90"/>
  <c r="A4" i="90"/>
  <c r="I5" i="90"/>
  <c r="H4" i="90"/>
  <c r="H3" i="90"/>
  <c r="H2" i="90"/>
  <c r="G3" i="90"/>
  <c r="G4" i="90"/>
  <c r="G2" i="90"/>
  <c r="H5" i="90" l="1"/>
  <c r="H30" i="100"/>
  <c r="D31" i="100" s="1"/>
  <c r="H31" i="100" l="1"/>
  <c r="D32" i="100" s="1"/>
  <c r="G31" i="99"/>
  <c r="F31" i="99"/>
  <c r="H32" i="100" l="1"/>
  <c r="D33" i="100" s="1"/>
  <c r="H80" i="99"/>
  <c r="G80" i="99"/>
  <c r="F80" i="99"/>
  <c r="H57" i="99"/>
  <c r="G57" i="99"/>
  <c r="F57" i="99"/>
  <c r="D63" i="32"/>
  <c r="H33" i="100" l="1"/>
  <c r="D34" i="100" s="1"/>
  <c r="O11" i="146" s="1"/>
  <c r="R11" i="146" s="1"/>
  <c r="H34" i="100" l="1"/>
  <c r="D35" i="100" s="1"/>
  <c r="H35" i="100" l="1"/>
  <c r="D36" i="100" s="1"/>
  <c r="B53" i="66"/>
  <c r="D62" i="33"/>
  <c r="C62" i="33"/>
  <c r="H36" i="100" l="1"/>
  <c r="D37" i="100" s="1"/>
  <c r="H37" i="100" l="1"/>
  <c r="D38" i="100" s="1"/>
  <c r="O12" i="146" s="1"/>
  <c r="R12" i="146" s="1"/>
  <c r="I31" i="99"/>
  <c r="H38" i="100" l="1"/>
  <c r="D39" i="100" s="1"/>
  <c r="H31" i="99"/>
  <c r="J7" i="99"/>
  <c r="J9" i="99" s="1"/>
  <c r="H39" i="100" l="1"/>
  <c r="D40" i="100" s="1"/>
  <c r="J31" i="99"/>
  <c r="J33" i="99" s="1"/>
  <c r="H40" i="100" l="1"/>
  <c r="D41" i="100" s="1"/>
  <c r="H41" i="100" l="1"/>
  <c r="D42" i="100" s="1"/>
  <c r="O13" i="146" s="1"/>
  <c r="R13" i="146" s="1"/>
  <c r="H42" i="100" l="1"/>
  <c r="D43" i="100" s="1"/>
  <c r="F62" i="2"/>
  <c r="H43" i="100" l="1"/>
  <c r="D44" i="100" s="1"/>
  <c r="D57" i="68"/>
  <c r="E57" i="68"/>
  <c r="G57" i="68"/>
  <c r="I57" i="68"/>
  <c r="B57" i="68"/>
  <c r="H44" i="100" l="1"/>
  <c r="D45" i="100" s="1"/>
  <c r="H45" i="100" l="1"/>
  <c r="D46" i="100" s="1"/>
  <c r="D47" i="100" l="1"/>
  <c r="O14" i="146"/>
  <c r="R14" i="146" s="1"/>
  <c r="H46" i="100"/>
  <c r="B56" i="68" l="1"/>
  <c r="H12" i="2" l="1"/>
  <c r="H13" i="2" l="1"/>
  <c r="D14" i="2" s="1"/>
  <c r="D13" i="2"/>
  <c r="H14" i="2" l="1"/>
  <c r="D15" i="2" s="1"/>
  <c r="C4" i="146"/>
  <c r="A6" i="36"/>
  <c r="A7" i="36" s="1"/>
  <c r="B73" i="36"/>
  <c r="D6" i="36" s="1"/>
  <c r="C73" i="36"/>
  <c r="F4" i="146" l="1"/>
  <c r="B53" i="93"/>
  <c r="D7" i="93" s="1"/>
  <c r="C46" i="93"/>
  <c r="C45" i="93"/>
  <c r="C44" i="93"/>
  <c r="C43" i="93"/>
  <c r="C42" i="93"/>
  <c r="C41" i="93"/>
  <c r="C40" i="93"/>
  <c r="C39" i="93"/>
  <c r="C38" i="93"/>
  <c r="C37" i="93"/>
  <c r="C36" i="93"/>
  <c r="C35" i="93"/>
  <c r="C34" i="93"/>
  <c r="C33" i="93"/>
  <c r="C32" i="93"/>
  <c r="C31" i="93"/>
  <c r="C30" i="93"/>
  <c r="C29" i="93"/>
  <c r="C28" i="93"/>
  <c r="C27" i="93"/>
  <c r="C26" i="93"/>
  <c r="C25" i="93"/>
  <c r="C24" i="93"/>
  <c r="C23" i="93"/>
  <c r="C22" i="93"/>
  <c r="C21" i="93"/>
  <c r="C20" i="93"/>
  <c r="C19" i="93"/>
  <c r="C18" i="93"/>
  <c r="C17" i="93"/>
  <c r="C16" i="93"/>
  <c r="C15" i="93"/>
  <c r="H7" i="93"/>
  <c r="D8" i="93" s="1"/>
  <c r="A8" i="93"/>
  <c r="A9" i="93" s="1"/>
  <c r="C15" i="66"/>
  <c r="D56" i="68"/>
  <c r="E56" i="68"/>
  <c r="F56" i="68"/>
  <c r="G56" i="68"/>
  <c r="H56" i="68"/>
  <c r="I56" i="68"/>
  <c r="D13" i="93" l="1"/>
  <c r="D15" i="93"/>
  <c r="D14" i="93"/>
  <c r="H8" i="93"/>
  <c r="D9" i="93" s="1"/>
  <c r="A7" i="31"/>
  <c r="A7" i="66"/>
  <c r="D47" i="93" l="1"/>
  <c r="O7" i="146"/>
  <c r="A8" i="66"/>
  <c r="B52" i="66"/>
  <c r="D7" i="66" s="1"/>
  <c r="A10" i="93"/>
  <c r="A11" i="93" s="1"/>
  <c r="H9" i="93"/>
  <c r="R7" i="146" l="1"/>
  <c r="R20" i="146" s="1"/>
  <c r="O20" i="146"/>
  <c r="D10" i="93"/>
  <c r="A12" i="93"/>
  <c r="A13" i="93" s="1"/>
  <c r="A14" i="93" s="1"/>
  <c r="A15" i="93" s="1"/>
  <c r="I80" i="99"/>
  <c r="J80" i="99" s="1"/>
  <c r="J82" i="99" s="1"/>
  <c r="A9" i="66"/>
  <c r="H10" i="93"/>
  <c r="B63" i="2"/>
  <c r="A16" i="93" l="1"/>
  <c r="A17" i="93" s="1"/>
  <c r="A18" i="93" s="1"/>
  <c r="A19" i="93" s="1"/>
  <c r="A10" i="66"/>
  <c r="H11" i="93"/>
  <c r="A20" i="93" l="1"/>
  <c r="A21" i="93" s="1"/>
  <c r="A22" i="93" s="1"/>
  <c r="A23" i="93" s="1"/>
  <c r="A11" i="66"/>
  <c r="A12" i="66" s="1"/>
  <c r="A13" i="66" s="1"/>
  <c r="A14" i="66" s="1"/>
  <c r="A15" i="66" s="1"/>
  <c r="A16" i="66" s="1"/>
  <c r="A17" i="66" s="1"/>
  <c r="A18" i="66" s="1"/>
  <c r="A19" i="66" s="1"/>
  <c r="A20" i="66" s="1"/>
  <c r="A21" i="66" s="1"/>
  <c r="A22" i="66" s="1"/>
  <c r="A23" i="66" s="1"/>
  <c r="A24" i="66" s="1"/>
  <c r="A25" i="66" s="1"/>
  <c r="A26" i="66" s="1"/>
  <c r="A27" i="66" s="1"/>
  <c r="A28" i="66" s="1"/>
  <c r="A29" i="66" s="1"/>
  <c r="A30" i="66" s="1"/>
  <c r="A31" i="66" s="1"/>
  <c r="A32" i="66" s="1"/>
  <c r="A33" i="66" s="1"/>
  <c r="A34" i="66" s="1"/>
  <c r="A35" i="66" s="1"/>
  <c r="H12" i="93"/>
  <c r="F9" i="92"/>
  <c r="F8" i="92"/>
  <c r="F7" i="92"/>
  <c r="A24" i="93" l="1"/>
  <c r="A25" i="93" s="1"/>
  <c r="A36" i="66"/>
  <c r="A37" i="66" s="1"/>
  <c r="A38" i="66" s="1"/>
  <c r="A39" i="66" s="1"/>
  <c r="A40" i="66" s="1"/>
  <c r="A41" i="66" s="1"/>
  <c r="A42" i="66" s="1"/>
  <c r="A43" i="66" s="1"/>
  <c r="A44" i="66" s="1"/>
  <c r="A45" i="66" s="1"/>
  <c r="A46" i="66" s="1"/>
  <c r="H13" i="93"/>
  <c r="A26" i="93" l="1"/>
  <c r="A27" i="93" s="1"/>
  <c r="H14" i="93"/>
  <c r="A28" i="93" l="1"/>
  <c r="A29" i="93" s="1"/>
  <c r="A30" i="93" s="1"/>
  <c r="A31" i="93" s="1"/>
  <c r="H15" i="93"/>
  <c r="A32" i="93" l="1"/>
  <c r="A33" i="93" s="1"/>
  <c r="A34" i="93" s="1"/>
  <c r="A35" i="93" s="1"/>
  <c r="H16" i="93"/>
  <c r="A36" i="93" l="1"/>
  <c r="A37" i="93" s="1"/>
  <c r="A38" i="93" s="1"/>
  <c r="A39" i="93" s="1"/>
  <c r="H17" i="93"/>
  <c r="A40" i="93" l="1"/>
  <c r="A41" i="93" s="1"/>
  <c r="H18" i="93"/>
  <c r="H19" i="93" l="1"/>
  <c r="A42" i="93" l="1"/>
  <c r="A43" i="93" s="1"/>
  <c r="H20" i="93"/>
  <c r="A44" i="93" l="1"/>
  <c r="A45" i="93" s="1"/>
  <c r="A46" i="93" s="1"/>
  <c r="H21" i="93"/>
  <c r="H22" i="93" l="1"/>
  <c r="H23" i="93" l="1"/>
  <c r="H24" i="93" l="1"/>
  <c r="H25" i="93" l="1"/>
  <c r="H26" i="93" l="1"/>
  <c r="H27" i="93" l="1"/>
  <c r="D62" i="30"/>
  <c r="H28" i="93" l="1"/>
  <c r="H29" i="93" l="1"/>
  <c r="B70" i="23"/>
  <c r="H30" i="93" l="1"/>
  <c r="H31" i="93" l="1"/>
  <c r="H32" i="93" l="1"/>
  <c r="H33" i="93" l="1"/>
  <c r="A6" i="37"/>
  <c r="H34" i="93" l="1"/>
  <c r="H35" i="93" l="1"/>
  <c r="H36" i="93" l="1"/>
  <c r="H37" i="93" l="1"/>
  <c r="H38" i="93" l="1"/>
  <c r="H39" i="93" l="1"/>
  <c r="C15" i="36"/>
  <c r="C16" i="36"/>
  <c r="C17" i="36"/>
  <c r="C18" i="36"/>
  <c r="C19" i="36"/>
  <c r="C20" i="36"/>
  <c r="C21" i="36"/>
  <c r="C22" i="36"/>
  <c r="C23" i="36"/>
  <c r="C24" i="36"/>
  <c r="C25" i="36"/>
  <c r="C26" i="36"/>
  <c r="C27" i="36"/>
  <c r="C28" i="36"/>
  <c r="C29" i="36"/>
  <c r="C30" i="36"/>
  <c r="C31" i="36"/>
  <c r="C32" i="36"/>
  <c r="C33" i="36"/>
  <c r="C14" i="36"/>
  <c r="H40" i="93" l="1"/>
  <c r="G14" i="36"/>
  <c r="H41" i="93" l="1"/>
  <c r="H42" i="93" l="1"/>
  <c r="C69" i="23"/>
  <c r="D69" i="23"/>
  <c r="E69" i="23"/>
  <c r="F69" i="23"/>
  <c r="G69" i="23"/>
  <c r="H69" i="23"/>
  <c r="I69" i="23"/>
  <c r="J69" i="23"/>
  <c r="K69" i="23"/>
  <c r="L69" i="23"/>
  <c r="M69" i="23"/>
  <c r="N69" i="23"/>
  <c r="B69" i="23"/>
  <c r="C69" i="47"/>
  <c r="D69" i="47"/>
  <c r="E69" i="47"/>
  <c r="F69" i="47"/>
  <c r="G69" i="47"/>
  <c r="H69" i="47"/>
  <c r="I69" i="47"/>
  <c r="J69" i="47"/>
  <c r="K69" i="47"/>
  <c r="L69" i="47"/>
  <c r="M69" i="47"/>
  <c r="N69" i="47"/>
  <c r="B69" i="47"/>
  <c r="H43" i="93" l="1"/>
  <c r="H44" i="93" l="1"/>
  <c r="H45" i="93" l="1"/>
  <c r="A7" i="37"/>
  <c r="A8" i="37" s="1"/>
  <c r="A6" i="25"/>
  <c r="H46" i="93" l="1"/>
  <c r="C66" i="29" l="1"/>
  <c r="D66" i="29"/>
  <c r="B61" i="32"/>
  <c r="A7" i="25" l="1"/>
  <c r="A8" i="25" l="1"/>
  <c r="A9" i="25" s="1"/>
  <c r="A10" i="25" l="1"/>
  <c r="A11" i="25" l="1"/>
  <c r="A8" i="31"/>
  <c r="A7" i="33"/>
  <c r="A12" i="25" l="1"/>
  <c r="A9" i="31"/>
  <c r="B60" i="31"/>
  <c r="A8" i="33"/>
  <c r="C62" i="30"/>
  <c r="A7" i="32"/>
  <c r="E62" i="2"/>
  <c r="A10" i="31" l="1"/>
  <c r="A11" i="31" s="1"/>
  <c r="A12" i="31" s="1"/>
  <c r="A13" i="31" s="1"/>
  <c r="A14" i="31" s="1"/>
  <c r="A15" i="31" s="1"/>
  <c r="A16" i="31" s="1"/>
  <c r="A17" i="31" s="1"/>
  <c r="I57" i="99"/>
  <c r="J57" i="99" s="1"/>
  <c r="J59" i="99" s="1"/>
  <c r="A9" i="33"/>
  <c r="A8" i="32"/>
  <c r="A10" i="33" l="1"/>
  <c r="A18" i="31"/>
  <c r="A19" i="31" s="1"/>
  <c r="A20" i="31" s="1"/>
  <c r="A21" i="31" s="1"/>
  <c r="A9" i="32"/>
  <c r="A11" i="33" l="1"/>
  <c r="A10" i="32"/>
  <c r="A22" i="31"/>
  <c r="A23" i="31" s="1"/>
  <c r="A24" i="31" s="1"/>
  <c r="A25" i="31" s="1"/>
  <c r="A26" i="31" s="1"/>
  <c r="A27" i="31" s="1"/>
  <c r="A28" i="31" s="1"/>
  <c r="A29" i="31" s="1"/>
  <c r="C174" i="82"/>
  <c r="C170" i="82"/>
  <c r="C181" i="82"/>
  <c r="B181" i="82"/>
  <c r="Q178" i="82"/>
  <c r="Q175" i="82"/>
  <c r="D174" i="82"/>
  <c r="B174" i="82"/>
  <c r="F173" i="82"/>
  <c r="G173" i="82" s="1"/>
  <c r="H173" i="82" s="1"/>
  <c r="I173" i="82" s="1"/>
  <c r="J173" i="82" s="1"/>
  <c r="K173" i="82" s="1"/>
  <c r="L173" i="82" s="1"/>
  <c r="M173" i="82" s="1"/>
  <c r="N173" i="82" s="1"/>
  <c r="O173" i="82" s="1"/>
  <c r="P173" i="82" s="1"/>
  <c r="F171" i="82"/>
  <c r="G171" i="82" s="1"/>
  <c r="H171" i="82" s="1"/>
  <c r="I171" i="82" s="1"/>
  <c r="J171" i="82" s="1"/>
  <c r="K171" i="82" s="1"/>
  <c r="L171" i="82" s="1"/>
  <c r="M171" i="82" s="1"/>
  <c r="N171" i="82" s="1"/>
  <c r="O171" i="82" s="1"/>
  <c r="P171" i="82" s="1"/>
  <c r="P170" i="82"/>
  <c r="O170" i="82"/>
  <c r="N170" i="82"/>
  <c r="M170" i="82"/>
  <c r="L170" i="82"/>
  <c r="K170" i="82"/>
  <c r="J170" i="82"/>
  <c r="I170" i="82"/>
  <c r="H170" i="82"/>
  <c r="G170" i="82"/>
  <c r="F170" i="82"/>
  <c r="E170" i="82"/>
  <c r="D170" i="82"/>
  <c r="B170" i="82"/>
  <c r="D6" i="82" s="1"/>
  <c r="E6" i="82" s="1"/>
  <c r="D165" i="82"/>
  <c r="D163" i="82"/>
  <c r="C163" i="82"/>
  <c r="H158" i="82" s="1"/>
  <c r="I158" i="82" s="1"/>
  <c r="G62" i="82"/>
  <c r="G61" i="82"/>
  <c r="G59" i="82"/>
  <c r="G58" i="82"/>
  <c r="G57" i="82"/>
  <c r="G56" i="82"/>
  <c r="G55" i="82"/>
  <c r="G54" i="82"/>
  <c r="G53" i="82"/>
  <c r="G51" i="82"/>
  <c r="G50" i="82"/>
  <c r="G49" i="82"/>
  <c r="G48" i="82"/>
  <c r="G47" i="82"/>
  <c r="G46" i="82"/>
  <c r="G45" i="82"/>
  <c r="G43" i="82"/>
  <c r="G42" i="82"/>
  <c r="G41" i="82"/>
  <c r="G40" i="82"/>
  <c r="G39" i="82"/>
  <c r="G38" i="82"/>
  <c r="G37" i="82"/>
  <c r="G35" i="82"/>
  <c r="G34" i="82"/>
  <c r="G33" i="82"/>
  <c r="G31" i="82"/>
  <c r="G13" i="82"/>
  <c r="G12" i="82"/>
  <c r="G11" i="82"/>
  <c r="G10" i="82"/>
  <c r="G9" i="82"/>
  <c r="G8" i="82"/>
  <c r="G7" i="82"/>
  <c r="H6" i="82"/>
  <c r="H7" i="82" s="1"/>
  <c r="G6" i="82"/>
  <c r="G5" i="82"/>
  <c r="C69" i="37"/>
  <c r="B67" i="37"/>
  <c r="D18" i="82" l="1"/>
  <c r="D22" i="82"/>
  <c r="D26" i="82"/>
  <c r="D30" i="82"/>
  <c r="D15" i="82"/>
  <c r="D19" i="82"/>
  <c r="D23" i="82"/>
  <c r="D27" i="82"/>
  <c r="D16" i="82"/>
  <c r="D20" i="82"/>
  <c r="D24" i="82"/>
  <c r="D28" i="82"/>
  <c r="D17" i="82"/>
  <c r="D21" i="82"/>
  <c r="D25" i="82"/>
  <c r="D29" i="82"/>
  <c r="A11" i="32"/>
  <c r="A12" i="33"/>
  <c r="A30" i="31"/>
  <c r="A31" i="31" s="1"/>
  <c r="A32" i="31" s="1"/>
  <c r="A33" i="31" s="1"/>
  <c r="B172" i="82"/>
  <c r="G174" i="82"/>
  <c r="H174" i="82"/>
  <c r="I174" i="82"/>
  <c r="G32" i="82"/>
  <c r="G36" i="82"/>
  <c r="D8" i="82"/>
  <c r="H8" i="82"/>
  <c r="D7" i="82"/>
  <c r="C172" i="82" s="1"/>
  <c r="K174" i="82"/>
  <c r="F174" i="82"/>
  <c r="J174" i="82"/>
  <c r="G44" i="82"/>
  <c r="L174" i="82"/>
  <c r="G52" i="82"/>
  <c r="N174" i="82"/>
  <c r="G60" i="82"/>
  <c r="M174" i="82"/>
  <c r="A12" i="32" l="1"/>
  <c r="A13" i="33"/>
  <c r="A14" i="33" s="1"/>
  <c r="A15" i="33" s="1"/>
  <c r="A16" i="33" s="1"/>
  <c r="A17" i="33" s="1"/>
  <c r="A18" i="33" s="1"/>
  <c r="A19" i="33" s="1"/>
  <c r="A20" i="33" s="1"/>
  <c r="A21" i="33" s="1"/>
  <c r="A22" i="33" s="1"/>
  <c r="A23" i="33" s="1"/>
  <c r="A24" i="33" s="1"/>
  <c r="A25" i="33" s="1"/>
  <c r="A26" i="33" s="1"/>
  <c r="A27" i="33" s="1"/>
  <c r="A28" i="33" s="1"/>
  <c r="A29" i="33" s="1"/>
  <c r="A30" i="33" s="1"/>
  <c r="A31" i="33" s="1"/>
  <c r="A34" i="31"/>
  <c r="A35" i="31" s="1"/>
  <c r="A36" i="31" s="1"/>
  <c r="A37" i="31" s="1"/>
  <c r="E8" i="82"/>
  <c r="D172" i="82"/>
  <c r="E7" i="82"/>
  <c r="H9" i="82"/>
  <c r="D9" i="82"/>
  <c r="A13" i="32" l="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38" i="31"/>
  <c r="A39" i="31" s="1"/>
  <c r="A40" i="31" s="1"/>
  <c r="A41" i="31" s="1"/>
  <c r="A32" i="33"/>
  <c r="A33" i="33" s="1"/>
  <c r="A34" i="33" s="1"/>
  <c r="A35" i="33" s="1"/>
  <c r="E9" i="82"/>
  <c r="D10" i="82"/>
  <c r="E10" i="82" s="1"/>
  <c r="H10" i="82"/>
  <c r="A42" i="31" l="1"/>
  <c r="A43" i="31" s="1"/>
  <c r="A44" i="31" s="1"/>
  <c r="A45" i="31" s="1"/>
  <c r="A46" i="31" s="1"/>
  <c r="A42" i="32"/>
  <c r="A43" i="32" s="1"/>
  <c r="A44" i="32" s="1"/>
  <c r="A45" i="32" s="1"/>
  <c r="A46" i="32" s="1"/>
  <c r="A47" i="32" s="1"/>
  <c r="A48" i="32" s="1"/>
  <c r="A49" i="32" s="1"/>
  <c r="A36" i="33"/>
  <c r="A37" i="33" s="1"/>
  <c r="A38" i="33" s="1"/>
  <c r="A39" i="33" s="1"/>
  <c r="A33" i="82"/>
  <c r="A34" i="82" s="1"/>
  <c r="A35" i="82" s="1"/>
  <c r="A36" i="82" s="1"/>
  <c r="A37" i="82" s="1"/>
  <c r="E174" i="82"/>
  <c r="H11" i="82"/>
  <c r="D11" i="82"/>
  <c r="A47" i="31" l="1"/>
  <c r="A48" i="31" s="1"/>
  <c r="A49" i="31" s="1"/>
  <c r="A50" i="31" s="1"/>
  <c r="A51" i="31" s="1"/>
  <c r="A52" i="31" s="1"/>
  <c r="A53" i="31" s="1"/>
  <c r="A54" i="31" s="1"/>
  <c r="A40" i="33"/>
  <c r="A41" i="33" s="1"/>
  <c r="A42" i="33" s="1"/>
  <c r="A43" i="33" s="1"/>
  <c r="A50" i="32"/>
  <c r="A51" i="32" s="1"/>
  <c r="A52" i="32" s="1"/>
  <c r="A53" i="32" s="1"/>
  <c r="A54" i="32" s="1"/>
  <c r="D12" i="82"/>
  <c r="E172" i="82" s="1"/>
  <c r="H12" i="82"/>
  <c r="E11" i="82"/>
  <c r="A44" i="33" l="1"/>
  <c r="A45" i="33" s="1"/>
  <c r="A46" i="33" s="1"/>
  <c r="A47" i="33" s="1"/>
  <c r="H13" i="82"/>
  <c r="D14" i="82" s="1"/>
  <c r="D13" i="82"/>
  <c r="E12" i="82"/>
  <c r="A48" i="33" l="1"/>
  <c r="A49" i="33" s="1"/>
  <c r="A50" i="33" s="1"/>
  <c r="A51" i="33" s="1"/>
  <c r="H31" i="82"/>
  <c r="D31" i="82"/>
  <c r="E13" i="82"/>
  <c r="A52" i="33" l="1"/>
  <c r="A53" i="33" s="1"/>
  <c r="A54" i="33" s="1"/>
  <c r="E31" i="82"/>
  <c r="H32" i="82"/>
  <c r="D32" i="82"/>
  <c r="H33" i="82" l="1"/>
  <c r="D33" i="82"/>
  <c r="E33" i="82" s="1"/>
  <c r="E32" i="82"/>
  <c r="F172" i="82" l="1"/>
  <c r="H34" i="82"/>
  <c r="D34" i="82"/>
  <c r="E34" i="82" l="1"/>
  <c r="H35" i="82"/>
  <c r="D35" i="82"/>
  <c r="E35" i="82" s="1"/>
  <c r="H36" i="82" l="1"/>
  <c r="D36" i="82"/>
  <c r="H37" i="82" l="1"/>
  <c r="D37" i="82"/>
  <c r="E37" i="82" s="1"/>
  <c r="E36" i="82"/>
  <c r="G172" i="82" l="1"/>
  <c r="H38" i="82"/>
  <c r="D38" i="82"/>
  <c r="A38" i="82" l="1"/>
  <c r="A39" i="82" s="1"/>
  <c r="A40" i="82" s="1"/>
  <c r="A41" i="82" s="1"/>
  <c r="A42" i="82" s="1"/>
  <c r="A43" i="82" s="1"/>
  <c r="A44" i="82" s="1"/>
  <c r="A45" i="82" s="1"/>
  <c r="A46" i="82" s="1"/>
  <c r="A47" i="82" s="1"/>
  <c r="A48" i="82" s="1"/>
  <c r="A49" i="82" s="1"/>
  <c r="A50" i="82" s="1"/>
  <c r="A51" i="82" s="1"/>
  <c r="E38" i="82"/>
  <c r="H39" i="82"/>
  <c r="D39" i="82"/>
  <c r="E39" i="82" s="1"/>
  <c r="H40" i="82" l="1"/>
  <c r="D40" i="82"/>
  <c r="H41" i="82" l="1"/>
  <c r="D41" i="82"/>
  <c r="E41" i="82" s="1"/>
  <c r="E40" i="82"/>
  <c r="H172" i="82" l="1"/>
  <c r="D42" i="82"/>
  <c r="H42" i="82"/>
  <c r="E42" i="82" l="1"/>
  <c r="D43" i="82"/>
  <c r="E43" i="82" s="1"/>
  <c r="H43" i="82"/>
  <c r="D44" i="82" l="1"/>
  <c r="H44" i="82"/>
  <c r="D45" i="82" l="1"/>
  <c r="H45" i="82"/>
  <c r="E44" i="82"/>
  <c r="E45" i="82" l="1"/>
  <c r="I172" i="82"/>
  <c r="D46" i="82"/>
  <c r="H46" i="82"/>
  <c r="D47" i="82" l="1"/>
  <c r="E47" i="82" s="1"/>
  <c r="H47" i="82"/>
  <c r="E46" i="82"/>
  <c r="D48" i="82" l="1"/>
  <c r="H48" i="82"/>
  <c r="D49" i="82" l="1"/>
  <c r="E49" i="82" s="1"/>
  <c r="H49" i="82"/>
  <c r="E48" i="82"/>
  <c r="B73" i="29"/>
  <c r="J172" i="82" l="1"/>
  <c r="D50" i="82"/>
  <c r="H50" i="82"/>
  <c r="D62" i="2"/>
  <c r="D51" i="82" l="1"/>
  <c r="E51" i="82" s="1"/>
  <c r="H51" i="82"/>
  <c r="E50" i="82"/>
  <c r="D52" i="82" l="1"/>
  <c r="H52" i="82"/>
  <c r="A52" i="82" l="1"/>
  <c r="A53" i="82" s="1"/>
  <c r="A54" i="82" s="1"/>
  <c r="A55" i="82" s="1"/>
  <c r="A56" i="82" s="1"/>
  <c r="A57" i="82" s="1"/>
  <c r="A58" i="82" s="1"/>
  <c r="A59" i="82" s="1"/>
  <c r="A60" i="82" s="1"/>
  <c r="A61" i="82" s="1"/>
  <c r="A62" i="82" s="1"/>
  <c r="D53" i="82"/>
  <c r="H53" i="82"/>
  <c r="E52" i="82"/>
  <c r="E53" i="82" l="1"/>
  <c r="K172" i="82"/>
  <c r="D54" i="82"/>
  <c r="H54" i="82"/>
  <c r="D55" i="82" l="1"/>
  <c r="E55" i="82" s="1"/>
  <c r="H55" i="82"/>
  <c r="E54" i="82"/>
  <c r="C16" i="66"/>
  <c r="C17" i="66"/>
  <c r="C18" i="66"/>
  <c r="C19" i="66"/>
  <c r="C20" i="66"/>
  <c r="C21" i="66"/>
  <c r="C22" i="66"/>
  <c r="C23" i="66"/>
  <c r="C24" i="66"/>
  <c r="C25" i="66"/>
  <c r="C26" i="66"/>
  <c r="C27" i="66"/>
  <c r="C28" i="66"/>
  <c r="C29" i="66"/>
  <c r="C30" i="66"/>
  <c r="C31" i="66"/>
  <c r="C32" i="66"/>
  <c r="C33" i="66"/>
  <c r="C34" i="66"/>
  <c r="C35" i="66"/>
  <c r="C36" i="66"/>
  <c r="C37" i="66"/>
  <c r="C38" i="66"/>
  <c r="C39" i="66"/>
  <c r="C40" i="66"/>
  <c r="C41" i="66"/>
  <c r="C42" i="66"/>
  <c r="C43" i="66"/>
  <c r="C44" i="66"/>
  <c r="C45" i="66"/>
  <c r="C46" i="66"/>
  <c r="C16" i="68"/>
  <c r="C17" i="68"/>
  <c r="C18" i="68"/>
  <c r="C19" i="68"/>
  <c r="C20" i="68"/>
  <c r="C21" i="68"/>
  <c r="C22" i="68"/>
  <c r="C23" i="68"/>
  <c r="C24" i="68"/>
  <c r="C25" i="68"/>
  <c r="C26" i="68"/>
  <c r="C27" i="68"/>
  <c r="C28" i="68"/>
  <c r="C29" i="68"/>
  <c r="C30" i="68"/>
  <c r="C31" i="68"/>
  <c r="C32" i="68"/>
  <c r="C33" i="68"/>
  <c r="C34" i="68"/>
  <c r="C35" i="68"/>
  <c r="C36" i="68"/>
  <c r="C37" i="68"/>
  <c r="C38" i="68"/>
  <c r="C39" i="68"/>
  <c r="C40" i="68"/>
  <c r="C41" i="68"/>
  <c r="C42" i="68"/>
  <c r="C43" i="68"/>
  <c r="C44" i="68"/>
  <c r="C45" i="68"/>
  <c r="C46" i="68"/>
  <c r="C15" i="68"/>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14" i="37"/>
  <c r="D56" i="82" l="1"/>
  <c r="H56" i="82"/>
  <c r="C46" i="37"/>
  <c r="E69" i="37"/>
  <c r="M69" i="37"/>
  <c r="L69" i="37"/>
  <c r="K69" i="37"/>
  <c r="J69" i="37"/>
  <c r="I69" i="37"/>
  <c r="H69" i="37"/>
  <c r="G69" i="37"/>
  <c r="F69" i="37"/>
  <c r="D57" i="82" l="1"/>
  <c r="E57" i="82" s="1"/>
  <c r="H57" i="82"/>
  <c r="E56" i="82"/>
  <c r="L172" i="82" l="1"/>
  <c r="D58" i="82"/>
  <c r="H58" i="82"/>
  <c r="D59" i="82" l="1"/>
  <c r="E59" i="82" s="1"/>
  <c r="H59" i="82"/>
  <c r="E58" i="82"/>
  <c r="C77" i="36"/>
  <c r="B77" i="36"/>
  <c r="N73" i="36"/>
  <c r="B69" i="37"/>
  <c r="H7" i="66"/>
  <c r="D8" i="66" s="1"/>
  <c r="H7" i="68"/>
  <c r="D8" i="68" s="1"/>
  <c r="D77" i="25"/>
  <c r="C77" i="25"/>
  <c r="B77" i="25"/>
  <c r="D76" i="25"/>
  <c r="E76" i="25" s="1"/>
  <c r="F76" i="25" s="1"/>
  <c r="G76" i="25" s="1"/>
  <c r="H76" i="25" s="1"/>
  <c r="I76" i="25" s="1"/>
  <c r="J76" i="25" s="1"/>
  <c r="K76" i="25" s="1"/>
  <c r="L76" i="25" s="1"/>
  <c r="M76" i="25" s="1"/>
  <c r="N76" i="25" s="1"/>
  <c r="O76" i="25" s="1"/>
  <c r="E68" i="37"/>
  <c r="F68" i="37" s="1"/>
  <c r="G68" i="37" s="1"/>
  <c r="H68" i="37" s="1"/>
  <c r="I68" i="37" s="1"/>
  <c r="J68" i="37" s="1"/>
  <c r="K68" i="37" s="1"/>
  <c r="L68" i="37" s="1"/>
  <c r="M68" i="37" s="1"/>
  <c r="N68" i="37" s="1"/>
  <c r="O68" i="37" s="1"/>
  <c r="C76" i="37"/>
  <c r="B76" i="37"/>
  <c r="Q73" i="37"/>
  <c r="Q70" i="37"/>
  <c r="E66" i="37"/>
  <c r="F66" i="37" s="1"/>
  <c r="G66" i="37" s="1"/>
  <c r="H66" i="37" s="1"/>
  <c r="I66" i="37" s="1"/>
  <c r="J66" i="37" s="1"/>
  <c r="K66" i="37" s="1"/>
  <c r="L66" i="37" s="1"/>
  <c r="M66" i="37" s="1"/>
  <c r="N66" i="37" s="1"/>
  <c r="O66" i="37" s="1"/>
  <c r="O65" i="37"/>
  <c r="N65" i="37"/>
  <c r="M65" i="37"/>
  <c r="L65" i="37"/>
  <c r="K65" i="37"/>
  <c r="J65" i="37"/>
  <c r="I65" i="37"/>
  <c r="H65" i="37"/>
  <c r="G65" i="37"/>
  <c r="F65" i="37"/>
  <c r="E65" i="37"/>
  <c r="D65" i="37"/>
  <c r="C65" i="37"/>
  <c r="B65" i="37"/>
  <c r="C58" i="37"/>
  <c r="G45" i="37"/>
  <c r="G44" i="37"/>
  <c r="G42" i="37"/>
  <c r="G41" i="37"/>
  <c r="G40" i="37"/>
  <c r="G39" i="37"/>
  <c r="G38" i="37"/>
  <c r="G37" i="37"/>
  <c r="G36" i="37"/>
  <c r="G35" i="37"/>
  <c r="G34" i="37"/>
  <c r="G33" i="37"/>
  <c r="G32" i="37"/>
  <c r="G30" i="37"/>
  <c r="G29" i="37"/>
  <c r="G28" i="37"/>
  <c r="G26" i="37"/>
  <c r="G24" i="37"/>
  <c r="G23" i="37"/>
  <c r="G22" i="37"/>
  <c r="G21" i="37"/>
  <c r="G20" i="37"/>
  <c r="G19" i="37"/>
  <c r="G18" i="37"/>
  <c r="G17" i="37"/>
  <c r="G16" i="37"/>
  <c r="G15" i="37"/>
  <c r="G13" i="37"/>
  <c r="G12" i="37"/>
  <c r="G11" i="37"/>
  <c r="G10" i="37"/>
  <c r="G9" i="37"/>
  <c r="G8" i="37"/>
  <c r="G7" i="37"/>
  <c r="H6" i="37"/>
  <c r="H7" i="37" s="1"/>
  <c r="G6" i="37"/>
  <c r="G5" i="37"/>
  <c r="D6" i="37" l="1"/>
  <c r="C67" i="37" s="1"/>
  <c r="D60" i="82"/>
  <c r="H60" i="82"/>
  <c r="A7" i="68"/>
  <c r="D8" i="37"/>
  <c r="H8" i="66"/>
  <c r="D9" i="66" s="1"/>
  <c r="H8" i="68"/>
  <c r="D7" i="37"/>
  <c r="G25" i="37"/>
  <c r="G31" i="37"/>
  <c r="H8" i="37"/>
  <c r="G14" i="37"/>
  <c r="G27" i="37"/>
  <c r="G43" i="37"/>
  <c r="C74" i="47"/>
  <c r="B74" i="47"/>
  <c r="N70" i="47"/>
  <c r="A6" i="47"/>
  <c r="A7" i="47" s="1"/>
  <c r="C69" i="17"/>
  <c r="D69" i="17" s="1"/>
  <c r="E69" i="17" s="1"/>
  <c r="F69" i="17" s="1"/>
  <c r="G69" i="17" s="1"/>
  <c r="H69" i="17" s="1"/>
  <c r="I69" i="17" s="1"/>
  <c r="J69" i="17" s="1"/>
  <c r="K69" i="17" s="1"/>
  <c r="L69" i="17" s="1"/>
  <c r="M69" i="17" s="1"/>
  <c r="N69" i="17" s="1"/>
  <c r="F74" i="29"/>
  <c r="G74" i="29" s="1"/>
  <c r="H74" i="29" s="1"/>
  <c r="I74" i="29" s="1"/>
  <c r="J74" i="29" s="1"/>
  <c r="K74" i="29" s="1"/>
  <c r="L74" i="29" s="1"/>
  <c r="M74" i="29" s="1"/>
  <c r="N74" i="29" s="1"/>
  <c r="O74" i="29" s="1"/>
  <c r="P74" i="29" s="1"/>
  <c r="A6" i="17"/>
  <c r="A6" i="29"/>
  <c r="A7" i="29" s="1"/>
  <c r="D9" i="68" l="1"/>
  <c r="E6" i="37"/>
  <c r="A8" i="47"/>
  <c r="D61" i="82"/>
  <c r="E61" i="82" s="1"/>
  <c r="H61" i="82"/>
  <c r="E60" i="82"/>
  <c r="A9" i="68"/>
  <c r="A8" i="68"/>
  <c r="E7" i="37"/>
  <c r="E8" i="37"/>
  <c r="A9" i="37"/>
  <c r="A10" i="37" s="1"/>
  <c r="H9" i="66"/>
  <c r="D10" i="66" s="1"/>
  <c r="H9" i="68"/>
  <c r="D10" i="68" s="1"/>
  <c r="H9" i="37"/>
  <c r="D9" i="37"/>
  <c r="A6" i="23"/>
  <c r="A9" i="47" l="1"/>
  <c r="M172" i="82"/>
  <c r="D62" i="82"/>
  <c r="N172" i="82" s="1"/>
  <c r="H62" i="82"/>
  <c r="A10" i="68"/>
  <c r="H10" i="66"/>
  <c r="D11" i="66" s="1"/>
  <c r="H10" i="68"/>
  <c r="D11" i="68" s="1"/>
  <c r="D10" i="37"/>
  <c r="H10" i="37"/>
  <c r="E9" i="37"/>
  <c r="H103" i="99" l="1"/>
  <c r="I103" i="99" s="1"/>
  <c r="I105" i="99" s="1"/>
  <c r="E62" i="82"/>
  <c r="E151" i="82" s="1"/>
  <c r="D151" i="82"/>
  <c r="G151" i="82" s="1"/>
  <c r="Q172" i="82"/>
  <c r="R172" i="82" s="1"/>
  <c r="A11" i="68"/>
  <c r="E10" i="37"/>
  <c r="D69" i="37"/>
  <c r="D67" i="37"/>
  <c r="A11" i="37"/>
  <c r="A12" i="37" s="1"/>
  <c r="H11" i="66"/>
  <c r="D12" i="66" s="1"/>
  <c r="H11" i="68"/>
  <c r="D12" i="68" s="1"/>
  <c r="H11" i="37"/>
  <c r="D12" i="37" s="1"/>
  <c r="D11" i="37"/>
  <c r="A12" i="68" l="1"/>
  <c r="H12" i="66"/>
  <c r="D13" i="66" s="1"/>
  <c r="H12" i="68"/>
  <c r="E11" i="37"/>
  <c r="E12" i="37"/>
  <c r="H12" i="37"/>
  <c r="D13" i="37" s="1"/>
  <c r="F12" i="66" l="1"/>
  <c r="D13" i="68"/>
  <c r="A13" i="68"/>
  <c r="A13" i="37"/>
  <c r="A14" i="37" s="1"/>
  <c r="H13" i="66"/>
  <c r="H13" i="68"/>
  <c r="H13" i="37"/>
  <c r="D14" i="37" s="1"/>
  <c r="E67" i="37" s="1"/>
  <c r="E13" i="37"/>
  <c r="A14" i="68" l="1"/>
  <c r="A15" i="37"/>
  <c r="A16" i="37" s="1"/>
  <c r="H14" i="66"/>
  <c r="H14" i="68"/>
  <c r="H14" i="37"/>
  <c r="D15" i="37" s="1"/>
  <c r="E14" i="37"/>
  <c r="A15" i="68" l="1"/>
  <c r="H15" i="66"/>
  <c r="H15" i="68"/>
  <c r="H15" i="37"/>
  <c r="D16" i="37" s="1"/>
  <c r="E15" i="37"/>
  <c r="A16" i="68" l="1"/>
  <c r="H16" i="66"/>
  <c r="H16" i="68"/>
  <c r="E16" i="37"/>
  <c r="H16" i="37"/>
  <c r="D17" i="37" s="1"/>
  <c r="A17" i="68" l="1"/>
  <c r="A17" i="37"/>
  <c r="A18" i="37" s="1"/>
  <c r="H17" i="66"/>
  <c r="H17" i="68"/>
  <c r="E17" i="37"/>
  <c r="H17" i="37"/>
  <c r="D18" i="37" s="1"/>
  <c r="F67" i="37" s="1"/>
  <c r="A18" i="68" l="1"/>
  <c r="A19" i="37"/>
  <c r="A20" i="37" s="1"/>
  <c r="H18" i="66"/>
  <c r="H18" i="68"/>
  <c r="H18" i="37"/>
  <c r="D19" i="37" s="1"/>
  <c r="E18" i="37"/>
  <c r="A19" i="68" l="1"/>
  <c r="H19" i="66"/>
  <c r="H19" i="68"/>
  <c r="H19" i="37"/>
  <c r="D20" i="37" s="1"/>
  <c r="E19" i="37"/>
  <c r="A20" i="68" l="1"/>
  <c r="H20" i="66"/>
  <c r="H20" i="68"/>
  <c r="E20" i="37"/>
  <c r="H20" i="37"/>
  <c r="D21" i="37" s="1"/>
  <c r="A21" i="68" l="1"/>
  <c r="A21" i="37"/>
  <c r="A22" i="37" s="1"/>
  <c r="H21" i="66"/>
  <c r="H21" i="68"/>
  <c r="E21" i="37"/>
  <c r="H21" i="37"/>
  <c r="D22" i="37" s="1"/>
  <c r="G67" i="37" s="1"/>
  <c r="A22" i="68" l="1"/>
  <c r="A23" i="37"/>
  <c r="A24" i="37" s="1"/>
  <c r="H22" i="66"/>
  <c r="H22" i="68"/>
  <c r="H22" i="37"/>
  <c r="D23" i="37" s="1"/>
  <c r="E22" i="37"/>
  <c r="A23" i="68" l="1"/>
  <c r="H23" i="66"/>
  <c r="H23" i="68"/>
  <c r="H23" i="37"/>
  <c r="D24" i="37" s="1"/>
  <c r="E23" i="37"/>
  <c r="A24" i="68" l="1"/>
  <c r="H24" i="66"/>
  <c r="H24" i="68"/>
  <c r="E24" i="37"/>
  <c r="H24" i="37"/>
  <c r="D25" i="37" s="1"/>
  <c r="A25" i="68" l="1"/>
  <c r="A25" i="37"/>
  <c r="A26" i="37" s="1"/>
  <c r="H25" i="66"/>
  <c r="H25" i="68"/>
  <c r="E25" i="37"/>
  <c r="H25" i="37"/>
  <c r="D26" i="37" s="1"/>
  <c r="H67" i="37" s="1"/>
  <c r="A26" i="68" l="1"/>
  <c r="H26" i="66"/>
  <c r="H26" i="68"/>
  <c r="E26" i="37"/>
  <c r="H26" i="37"/>
  <c r="D27" i="37" s="1"/>
  <c r="A27" i="68" l="1"/>
  <c r="A27" i="37"/>
  <c r="A28" i="37" s="1"/>
  <c r="H27" i="66"/>
  <c r="H27" i="68"/>
  <c r="H27" i="37"/>
  <c r="D28" i="37" s="1"/>
  <c r="E27" i="37"/>
  <c r="A28" i="68" l="1"/>
  <c r="H28" i="66"/>
  <c r="H28" i="68"/>
  <c r="H28" i="37"/>
  <c r="D29" i="37" s="1"/>
  <c r="E28" i="37"/>
  <c r="A29" i="68" l="1"/>
  <c r="A29" i="37"/>
  <c r="A30" i="37" s="1"/>
  <c r="H29" i="66"/>
  <c r="H29" i="68"/>
  <c r="E29" i="37"/>
  <c r="H29" i="37"/>
  <c r="D30" i="37" s="1"/>
  <c r="I67" i="37" s="1"/>
  <c r="A30" i="68" l="1"/>
  <c r="A31" i="37"/>
  <c r="A32" i="37" s="1"/>
  <c r="H30" i="66"/>
  <c r="H30" i="68"/>
  <c r="E30" i="37"/>
  <c r="H30" i="37"/>
  <c r="D31" i="37" s="1"/>
  <c r="A31" i="68" l="1"/>
  <c r="H31" i="66"/>
  <c r="H31" i="68"/>
  <c r="H31" i="37"/>
  <c r="D32" i="37" s="1"/>
  <c r="E31" i="37"/>
  <c r="A32" i="68" l="1"/>
  <c r="H32" i="66"/>
  <c r="H32" i="68"/>
  <c r="H32" i="37"/>
  <c r="D33" i="37" s="1"/>
  <c r="E32" i="37"/>
  <c r="A33" i="68" l="1"/>
  <c r="A33" i="37"/>
  <c r="A34" i="37" s="1"/>
  <c r="H33" i="66"/>
  <c r="H33" i="68"/>
  <c r="E33" i="37"/>
  <c r="H33" i="37"/>
  <c r="D34" i="37" s="1"/>
  <c r="J67" i="37" s="1"/>
  <c r="A34" i="68" l="1"/>
  <c r="A35" i="37"/>
  <c r="A36" i="37" s="1"/>
  <c r="H34" i="66"/>
  <c r="H34" i="68"/>
  <c r="E34" i="37"/>
  <c r="H34" i="37"/>
  <c r="D35" i="37" s="1"/>
  <c r="A35" i="68" l="1"/>
  <c r="H35" i="66"/>
  <c r="H35" i="68"/>
  <c r="H35" i="37"/>
  <c r="D36" i="37" s="1"/>
  <c r="E35" i="37"/>
  <c r="A36" i="68" l="1"/>
  <c r="H36" i="66"/>
  <c r="H36" i="68"/>
  <c r="H36" i="37"/>
  <c r="D37" i="37" s="1"/>
  <c r="E36" i="37"/>
  <c r="A37" i="68" l="1"/>
  <c r="A37" i="37"/>
  <c r="A38" i="37" s="1"/>
  <c r="H37" i="66"/>
  <c r="H37" i="68"/>
  <c r="E37" i="37"/>
  <c r="H37" i="37"/>
  <c r="D38" i="37" s="1"/>
  <c r="K67" i="37" s="1"/>
  <c r="A38" i="68" l="1"/>
  <c r="A39" i="37"/>
  <c r="A40" i="37" s="1"/>
  <c r="H38" i="66"/>
  <c r="H38" i="68"/>
  <c r="E38" i="37"/>
  <c r="H38" i="37"/>
  <c r="D39" i="37" s="1"/>
  <c r="A39" i="68" l="1"/>
  <c r="H39" i="66"/>
  <c r="H39" i="68"/>
  <c r="E39" i="37"/>
  <c r="H39" i="37"/>
  <c r="D40" i="37" s="1"/>
  <c r="A40" i="68" l="1"/>
  <c r="H40" i="66"/>
  <c r="H40" i="68"/>
  <c r="H40" i="37"/>
  <c r="D41" i="37" s="1"/>
  <c r="E40" i="37"/>
  <c r="A41" i="68" l="1"/>
  <c r="A41" i="37"/>
  <c r="A42" i="37" s="1"/>
  <c r="H41" i="66"/>
  <c r="H41" i="68"/>
  <c r="E41" i="37"/>
  <c r="H41" i="37"/>
  <c r="D42" i="37" s="1"/>
  <c r="L67" i="37" s="1"/>
  <c r="A42" i="68" l="1"/>
  <c r="H42" i="66"/>
  <c r="H42" i="68"/>
  <c r="E42" i="37"/>
  <c r="H42" i="37"/>
  <c r="D43" i="37" s="1"/>
  <c r="A43" i="68" l="1"/>
  <c r="A43" i="37"/>
  <c r="A44" i="37" s="1"/>
  <c r="H43" i="66"/>
  <c r="H43" i="68"/>
  <c r="E43" i="37"/>
  <c r="H43" i="37"/>
  <c r="D44" i="37" s="1"/>
  <c r="M70" i="47"/>
  <c r="L70" i="47"/>
  <c r="K70" i="47"/>
  <c r="J70" i="47"/>
  <c r="I70" i="47"/>
  <c r="H70" i="47"/>
  <c r="G70" i="47"/>
  <c r="F70" i="47"/>
  <c r="E70" i="47"/>
  <c r="D70" i="47"/>
  <c r="C70" i="47"/>
  <c r="B70" i="47"/>
  <c r="D6" i="47" s="1"/>
  <c r="D62" i="47"/>
  <c r="C62" i="47"/>
  <c r="J57" i="47" s="1"/>
  <c r="K57" i="47" s="1"/>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O13" i="47"/>
  <c r="N13" i="47"/>
  <c r="H6" i="47"/>
  <c r="D7" i="47" l="1"/>
  <c r="B72" i="47" s="1"/>
  <c r="N74" i="47"/>
  <c r="E74" i="47"/>
  <c r="G74" i="47"/>
  <c r="I74" i="47"/>
  <c r="J74" i="47"/>
  <c r="K74" i="47"/>
  <c r="L74" i="47"/>
  <c r="M74" i="47"/>
  <c r="F74" i="47"/>
  <c r="H74" i="47"/>
  <c r="D74" i="47"/>
  <c r="A44" i="68"/>
  <c r="H44" i="66"/>
  <c r="H44" i="68"/>
  <c r="H44" i="37"/>
  <c r="D45" i="37" s="1"/>
  <c r="M67" i="37" s="1"/>
  <c r="E44" i="37"/>
  <c r="E6" i="47"/>
  <c r="H7" i="47"/>
  <c r="D8" i="47" s="1"/>
  <c r="C54" i="47"/>
  <c r="A45" i="68" l="1"/>
  <c r="A45" i="37"/>
  <c r="H45" i="66"/>
  <c r="H45" i="68"/>
  <c r="E45" i="37"/>
  <c r="H45" i="37"/>
  <c r="P74" i="47"/>
  <c r="Q74" i="47" s="1"/>
  <c r="E8" i="47"/>
  <c r="H8" i="47"/>
  <c r="D9" i="47" s="1"/>
  <c r="E7" i="47"/>
  <c r="A46" i="68" l="1"/>
  <c r="A10" i="47"/>
  <c r="H46" i="66"/>
  <c r="H46" i="68"/>
  <c r="H9" i="47"/>
  <c r="D10" i="47" s="1"/>
  <c r="A11" i="47" l="1"/>
  <c r="E9" i="47"/>
  <c r="H10" i="47"/>
  <c r="E10" i="47"/>
  <c r="A12" i="47" l="1"/>
  <c r="D11" i="47"/>
  <c r="C72" i="47" s="1"/>
  <c r="H11" i="47"/>
  <c r="D12" i="47" s="1"/>
  <c r="A13" i="47" l="1"/>
  <c r="E11" i="47"/>
  <c r="H12" i="47"/>
  <c r="D13" i="47" s="1"/>
  <c r="A14" i="47" l="1"/>
  <c r="H13" i="47"/>
  <c r="D14" i="47" s="1"/>
  <c r="E12" i="47"/>
  <c r="G10" i="92"/>
  <c r="H11" i="31"/>
  <c r="I5" i="29"/>
  <c r="C15" i="31"/>
  <c r="A15" i="47" l="1"/>
  <c r="H12" i="31"/>
  <c r="E13" i="47"/>
  <c r="H14" i="47"/>
  <c r="E14" i="47"/>
  <c r="M73" i="36"/>
  <c r="L73" i="36"/>
  <c r="K73" i="36"/>
  <c r="J73" i="36"/>
  <c r="I73" i="36"/>
  <c r="H73" i="36"/>
  <c r="G73" i="36"/>
  <c r="F73" i="36"/>
  <c r="E73" i="36"/>
  <c r="D73" i="36"/>
  <c r="D66" i="36"/>
  <c r="C66" i="36"/>
  <c r="H61" i="36" s="1"/>
  <c r="I61" i="36" s="1"/>
  <c r="G32" i="36"/>
  <c r="G30" i="36"/>
  <c r="G28" i="36"/>
  <c r="G26" i="36"/>
  <c r="G24" i="36"/>
  <c r="G22" i="36"/>
  <c r="G20" i="36"/>
  <c r="G18" i="36"/>
  <c r="G16" i="36"/>
  <c r="G15" i="36"/>
  <c r="G13" i="36"/>
  <c r="G12" i="36"/>
  <c r="G11" i="36"/>
  <c r="G10" i="36"/>
  <c r="G9" i="36"/>
  <c r="G8" i="36"/>
  <c r="G7" i="36"/>
  <c r="H6" i="36"/>
  <c r="G6" i="36"/>
  <c r="G5" i="36"/>
  <c r="A16" i="47" l="1"/>
  <c r="G9" i="92"/>
  <c r="G8" i="92"/>
  <c r="D15" i="47"/>
  <c r="D72" i="47" s="1"/>
  <c r="D7" i="36"/>
  <c r="E7" i="36" s="1"/>
  <c r="D77" i="36"/>
  <c r="G17" i="36"/>
  <c r="E77" i="36"/>
  <c r="G21" i="36"/>
  <c r="F77" i="36"/>
  <c r="G25" i="36"/>
  <c r="G77" i="36"/>
  <c r="G29" i="36"/>
  <c r="H77" i="36"/>
  <c r="G33" i="36"/>
  <c r="I77" i="36"/>
  <c r="J77" i="36"/>
  <c r="K77" i="36"/>
  <c r="L77" i="36"/>
  <c r="M77" i="36"/>
  <c r="N77" i="36"/>
  <c r="G31" i="36"/>
  <c r="G23" i="36"/>
  <c r="G19" i="36"/>
  <c r="G27" i="36"/>
  <c r="H15" i="47"/>
  <c r="D16" i="47" s="1"/>
  <c r="H7" i="36"/>
  <c r="E6" i="36"/>
  <c r="C54" i="36"/>
  <c r="C73" i="25"/>
  <c r="O73" i="25"/>
  <c r="N73" i="25"/>
  <c r="M73" i="25"/>
  <c r="L73" i="25"/>
  <c r="K73" i="25"/>
  <c r="J73" i="25"/>
  <c r="I73" i="25"/>
  <c r="H73" i="25"/>
  <c r="G73" i="25"/>
  <c r="F73" i="25"/>
  <c r="E73" i="25"/>
  <c r="D73" i="25"/>
  <c r="B73" i="25"/>
  <c r="D6" i="25" s="1"/>
  <c r="D66" i="25"/>
  <c r="C66" i="25"/>
  <c r="H61" i="25" s="1"/>
  <c r="I61" i="25" s="1"/>
  <c r="C53" i="25"/>
  <c r="G53" i="25" s="1"/>
  <c r="C52" i="25"/>
  <c r="C51" i="25"/>
  <c r="G51" i="25" s="1"/>
  <c r="C50" i="25"/>
  <c r="G50" i="25" s="1"/>
  <c r="C49" i="25"/>
  <c r="G49" i="25" s="1"/>
  <c r="C48" i="25"/>
  <c r="C47" i="25"/>
  <c r="G47" i="25" s="1"/>
  <c r="C46" i="25"/>
  <c r="G46" i="25" s="1"/>
  <c r="C45" i="25"/>
  <c r="G45" i="25" s="1"/>
  <c r="C44" i="25"/>
  <c r="C43" i="25"/>
  <c r="G43" i="25" s="1"/>
  <c r="C42" i="25"/>
  <c r="G42" i="25" s="1"/>
  <c r="C41" i="25"/>
  <c r="G41" i="25" s="1"/>
  <c r="C40" i="25"/>
  <c r="C39" i="25"/>
  <c r="G39" i="25" s="1"/>
  <c r="C38" i="25"/>
  <c r="G38" i="25" s="1"/>
  <c r="C37" i="25"/>
  <c r="G37" i="25" s="1"/>
  <c r="C36" i="25"/>
  <c r="C35" i="25"/>
  <c r="G35" i="25" s="1"/>
  <c r="C34" i="25"/>
  <c r="G34" i="25" s="1"/>
  <c r="C33" i="25"/>
  <c r="G33" i="25" s="1"/>
  <c r="C32" i="25"/>
  <c r="C31" i="25"/>
  <c r="G31" i="25" s="1"/>
  <c r="C30" i="25"/>
  <c r="G30" i="25" s="1"/>
  <c r="C29" i="25"/>
  <c r="G29" i="25" s="1"/>
  <c r="C28" i="25"/>
  <c r="C27" i="25"/>
  <c r="G27" i="25" s="1"/>
  <c r="C26" i="25"/>
  <c r="G26" i="25" s="1"/>
  <c r="C25" i="25"/>
  <c r="G25" i="25" s="1"/>
  <c r="C24" i="25"/>
  <c r="C23" i="25"/>
  <c r="G23" i="25" s="1"/>
  <c r="C22" i="25"/>
  <c r="G22" i="25" s="1"/>
  <c r="C21" i="25"/>
  <c r="G21" i="25" s="1"/>
  <c r="C20" i="25"/>
  <c r="C19" i="25"/>
  <c r="G19" i="25" s="1"/>
  <c r="C18" i="25"/>
  <c r="C17" i="25"/>
  <c r="G17" i="25" s="1"/>
  <c r="C16" i="25"/>
  <c r="C15" i="25"/>
  <c r="G15" i="25" s="1"/>
  <c r="C14" i="25"/>
  <c r="G13" i="25"/>
  <c r="G12" i="25"/>
  <c r="G11" i="25"/>
  <c r="G10" i="25"/>
  <c r="G9" i="25"/>
  <c r="G8" i="25"/>
  <c r="G7" i="25"/>
  <c r="H6" i="25"/>
  <c r="G6" i="25"/>
  <c r="G5" i="25"/>
  <c r="C73" i="29"/>
  <c r="D73" i="29"/>
  <c r="S66" i="33"/>
  <c r="S67" i="31"/>
  <c r="S64" i="31"/>
  <c r="F12"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A6" i="30"/>
  <c r="H7" i="30"/>
  <c r="D6" i="29"/>
  <c r="E73" i="29"/>
  <c r="C84" i="29"/>
  <c r="B84" i="29"/>
  <c r="Q81" i="29"/>
  <c r="Q78" i="29"/>
  <c r="N77" i="29"/>
  <c r="B77" i="29"/>
  <c r="P73" i="29"/>
  <c r="O73" i="29"/>
  <c r="N73" i="29"/>
  <c r="M73" i="29"/>
  <c r="L73" i="29"/>
  <c r="K73" i="29"/>
  <c r="J73" i="29"/>
  <c r="I73" i="29"/>
  <c r="H73" i="29"/>
  <c r="G73" i="29"/>
  <c r="F73" i="29"/>
  <c r="H61" i="29"/>
  <c r="I61" i="29" s="1"/>
  <c r="C53" i="29"/>
  <c r="G53" i="29" s="1"/>
  <c r="C52" i="29"/>
  <c r="G52" i="29" s="1"/>
  <c r="C51" i="29"/>
  <c r="C50" i="29"/>
  <c r="G50" i="29" s="1"/>
  <c r="C49" i="29"/>
  <c r="G49" i="29" s="1"/>
  <c r="C48" i="29"/>
  <c r="G48" i="29" s="1"/>
  <c r="C47" i="29"/>
  <c r="C46" i="29"/>
  <c r="G46" i="29" s="1"/>
  <c r="C45" i="29"/>
  <c r="G45" i="29" s="1"/>
  <c r="C44" i="29"/>
  <c r="G44" i="29" s="1"/>
  <c r="C43" i="29"/>
  <c r="C42" i="29"/>
  <c r="G42" i="29" s="1"/>
  <c r="C41" i="29"/>
  <c r="G41" i="29" s="1"/>
  <c r="C40" i="29"/>
  <c r="G40" i="29" s="1"/>
  <c r="C39" i="29"/>
  <c r="C38" i="29"/>
  <c r="G38" i="29" s="1"/>
  <c r="C37" i="29"/>
  <c r="G37" i="29" s="1"/>
  <c r="C36" i="29"/>
  <c r="G36" i="29" s="1"/>
  <c r="C35" i="29"/>
  <c r="C34" i="29"/>
  <c r="G34" i="29" s="1"/>
  <c r="C33" i="29"/>
  <c r="G33" i="29" s="1"/>
  <c r="C32" i="29"/>
  <c r="G32" i="29" s="1"/>
  <c r="C31" i="29"/>
  <c r="C30" i="29"/>
  <c r="G30" i="29" s="1"/>
  <c r="C29" i="29"/>
  <c r="G29" i="29" s="1"/>
  <c r="C28" i="29"/>
  <c r="G28" i="29" s="1"/>
  <c r="C27" i="29"/>
  <c r="L26" i="29"/>
  <c r="C26" i="29"/>
  <c r="G26" i="29" s="1"/>
  <c r="C25" i="29"/>
  <c r="G25" i="29" s="1"/>
  <c r="C24" i="29"/>
  <c r="G24" i="29" s="1"/>
  <c r="C23" i="29"/>
  <c r="C22" i="29"/>
  <c r="G22" i="29" s="1"/>
  <c r="C21" i="29"/>
  <c r="G21" i="29" s="1"/>
  <c r="C20" i="29"/>
  <c r="G20" i="29" s="1"/>
  <c r="C19" i="29"/>
  <c r="G19" i="29" s="1"/>
  <c r="C18" i="29"/>
  <c r="G18" i="29" s="1"/>
  <c r="C17" i="29"/>
  <c r="G17" i="29" s="1"/>
  <c r="C16" i="29"/>
  <c r="G16" i="29" s="1"/>
  <c r="C15" i="29"/>
  <c r="G15" i="29" s="1"/>
  <c r="C14" i="29"/>
  <c r="C77" i="29" s="1"/>
  <c r="O13" i="29"/>
  <c r="N13" i="29"/>
  <c r="G13" i="29"/>
  <c r="G12" i="29"/>
  <c r="G11" i="29"/>
  <c r="G10" i="29"/>
  <c r="G9" i="29"/>
  <c r="G8" i="29"/>
  <c r="G7" i="29"/>
  <c r="K6" i="29"/>
  <c r="K7" i="29" s="1"/>
  <c r="K8" i="29" s="1"/>
  <c r="K9" i="29" s="1"/>
  <c r="K10" i="29" s="1"/>
  <c r="K11" i="29" s="1"/>
  <c r="K12" i="29" s="1"/>
  <c r="K13" i="29" s="1"/>
  <c r="K14" i="29" s="1"/>
  <c r="K15" i="29" s="1"/>
  <c r="K16" i="29" s="1"/>
  <c r="K17" i="29" s="1"/>
  <c r="K18" i="29" s="1"/>
  <c r="K19" i="29" s="1"/>
  <c r="K20" i="29" s="1"/>
  <c r="K21" i="29" s="1"/>
  <c r="K22" i="29" s="1"/>
  <c r="K23" i="29" s="1"/>
  <c r="K24" i="29" s="1"/>
  <c r="K25" i="29" s="1"/>
  <c r="K26" i="29" s="1"/>
  <c r="K27" i="29" s="1"/>
  <c r="K28" i="29" s="1"/>
  <c r="K29" i="29" s="1"/>
  <c r="K30" i="29" s="1"/>
  <c r="K31" i="29" s="1"/>
  <c r="K32" i="29" s="1"/>
  <c r="K33" i="29" s="1"/>
  <c r="K34" i="29" s="1"/>
  <c r="K35" i="29" s="1"/>
  <c r="K36" i="29" s="1"/>
  <c r="K37" i="29" s="1"/>
  <c r="K38" i="29" s="1"/>
  <c r="K39" i="29" s="1"/>
  <c r="K40" i="29" s="1"/>
  <c r="K41" i="29" s="1"/>
  <c r="K42" i="29" s="1"/>
  <c r="K43" i="29" s="1"/>
  <c r="K44" i="29" s="1"/>
  <c r="K45" i="29" s="1"/>
  <c r="K46" i="29" s="1"/>
  <c r="K47" i="29" s="1"/>
  <c r="K48" i="29" s="1"/>
  <c r="K49" i="29" s="1"/>
  <c r="K50" i="29" s="1"/>
  <c r="K51" i="29" s="1"/>
  <c r="K52" i="29" s="1"/>
  <c r="K53" i="29" s="1"/>
  <c r="H6" i="29"/>
  <c r="G6" i="29"/>
  <c r="G5" i="29"/>
  <c r="A17" i="47" l="1"/>
  <c r="I11" i="92"/>
  <c r="J11" i="92" s="1"/>
  <c r="A8" i="36"/>
  <c r="H7" i="25"/>
  <c r="D8" i="25" s="1"/>
  <c r="D7" i="25"/>
  <c r="C75" i="25" s="1"/>
  <c r="G14" i="25"/>
  <c r="E77" i="25"/>
  <c r="G16" i="25"/>
  <c r="F77" i="25"/>
  <c r="G20" i="25"/>
  <c r="G77" i="25"/>
  <c r="G24" i="25"/>
  <c r="H77" i="25"/>
  <c r="G28" i="25"/>
  <c r="I77" i="25"/>
  <c r="G32" i="25"/>
  <c r="J77" i="25"/>
  <c r="G36" i="25"/>
  <c r="K77" i="25"/>
  <c r="G40" i="25"/>
  <c r="L77" i="25"/>
  <c r="G44" i="25"/>
  <c r="M77" i="25"/>
  <c r="G48" i="25"/>
  <c r="N77" i="25"/>
  <c r="G52" i="25"/>
  <c r="O77" i="25"/>
  <c r="E6" i="25"/>
  <c r="B75" i="25"/>
  <c r="D7" i="29"/>
  <c r="A7" i="17"/>
  <c r="H16" i="47"/>
  <c r="D17" i="47" s="1"/>
  <c r="E16" i="47"/>
  <c r="E15" i="47"/>
  <c r="H8" i="36"/>
  <c r="D9" i="36" s="1"/>
  <c r="D8" i="36"/>
  <c r="G18" i="25"/>
  <c r="C54" i="25"/>
  <c r="C55" i="31"/>
  <c r="H9" i="33"/>
  <c r="H8" i="32"/>
  <c r="A7" i="30"/>
  <c r="H8" i="30"/>
  <c r="E6" i="29"/>
  <c r="G14" i="29"/>
  <c r="J77" i="29"/>
  <c r="K77" i="29"/>
  <c r="H7" i="29"/>
  <c r="D8" i="29" s="1"/>
  <c r="H77" i="29"/>
  <c r="L77" i="29"/>
  <c r="G31" i="29"/>
  <c r="G39" i="29"/>
  <c r="G47" i="29"/>
  <c r="G77" i="29"/>
  <c r="G27" i="29"/>
  <c r="G35" i="29"/>
  <c r="I77" i="29"/>
  <c r="G23" i="29"/>
  <c r="F77" i="29"/>
  <c r="D77" i="29"/>
  <c r="G43" i="29"/>
  <c r="G51" i="29"/>
  <c r="E77" i="29"/>
  <c r="C54" i="29"/>
  <c r="F16" i="33" l="1"/>
  <c r="I8" i="92"/>
  <c r="J8" i="92" s="1"/>
  <c r="G7" i="92"/>
  <c r="I9" i="92"/>
  <c r="J9" i="92" s="1"/>
  <c r="A9" i="36"/>
  <c r="E7" i="25"/>
  <c r="E8" i="25"/>
  <c r="B75" i="29"/>
  <c r="E7" i="29"/>
  <c r="H8" i="25"/>
  <c r="H9" i="25" s="1"/>
  <c r="A8" i="17"/>
  <c r="A18" i="47"/>
  <c r="B75" i="36"/>
  <c r="D46" i="37"/>
  <c r="G46" i="37" s="1"/>
  <c r="A8" i="29"/>
  <c r="A8" i="30"/>
  <c r="H17" i="47"/>
  <c r="D18" i="47" s="1"/>
  <c r="E17" i="47"/>
  <c r="E8" i="36"/>
  <c r="E9" i="36"/>
  <c r="H9" i="36"/>
  <c r="D10" i="36" s="1"/>
  <c r="E8" i="29"/>
  <c r="H10" i="33"/>
  <c r="H9" i="32"/>
  <c r="H9" i="30"/>
  <c r="H8" i="29"/>
  <c r="D9" i="29" s="1"/>
  <c r="M77" i="29"/>
  <c r="O77" i="29" s="1"/>
  <c r="A10" i="36" l="1"/>
  <c r="A19" i="47"/>
  <c r="D9" i="25"/>
  <c r="E9" i="25" s="1"/>
  <c r="I7" i="92"/>
  <c r="J7" i="92" s="1"/>
  <c r="A9" i="17"/>
  <c r="A10" i="17" s="1"/>
  <c r="I6" i="29"/>
  <c r="A9" i="29"/>
  <c r="A10" i="29" s="1"/>
  <c r="A9" i="30"/>
  <c r="P67" i="37"/>
  <c r="Q67" i="37" s="1"/>
  <c r="E46" i="37"/>
  <c r="H18" i="47"/>
  <c r="E18" i="47"/>
  <c r="H10" i="36"/>
  <c r="D11" i="36" s="1"/>
  <c r="D10" i="25"/>
  <c r="H10" i="25"/>
  <c r="H11" i="33"/>
  <c r="H10" i="32"/>
  <c r="H10" i="30"/>
  <c r="H9" i="29"/>
  <c r="E9" i="29"/>
  <c r="A20" i="47" l="1"/>
  <c r="A11" i="36"/>
  <c r="D19" i="47"/>
  <c r="E72" i="47" s="1"/>
  <c r="A10" i="30"/>
  <c r="P77" i="29"/>
  <c r="D10" i="29"/>
  <c r="E10" i="29" s="1"/>
  <c r="A11" i="29"/>
  <c r="H19" i="47"/>
  <c r="D20" i="47" s="1"/>
  <c r="H11" i="36"/>
  <c r="D12" i="36" s="1"/>
  <c r="C75" i="36" s="1"/>
  <c r="E10" i="36"/>
  <c r="H11" i="25"/>
  <c r="D12" i="25" s="1"/>
  <c r="D11" i="25"/>
  <c r="D75" i="25" s="1"/>
  <c r="E10" i="25"/>
  <c r="A11" i="30"/>
  <c r="H12" i="33"/>
  <c r="H11" i="32"/>
  <c r="H11" i="30"/>
  <c r="H10" i="29"/>
  <c r="D11" i="29" s="1"/>
  <c r="A21" i="47" l="1"/>
  <c r="A12" i="36"/>
  <c r="E11" i="36"/>
  <c r="A11" i="17"/>
  <c r="E19" i="47"/>
  <c r="H20" i="47"/>
  <c r="D21" i="47" s="1"/>
  <c r="E20" i="47"/>
  <c r="H12" i="36"/>
  <c r="D13" i="36" s="1"/>
  <c r="E12" i="36"/>
  <c r="H12" i="25"/>
  <c r="D13" i="25" s="1"/>
  <c r="E11" i="25"/>
  <c r="A12" i="29"/>
  <c r="A13" i="30" s="1"/>
  <c r="H13" i="33"/>
  <c r="H12" i="32"/>
  <c r="A12" i="30"/>
  <c r="H11" i="29"/>
  <c r="H12" i="30"/>
  <c r="E11" i="29"/>
  <c r="A13" i="36" l="1"/>
  <c r="A13" i="25"/>
  <c r="A22" i="47"/>
  <c r="D12" i="29"/>
  <c r="E12" i="29" s="1"/>
  <c r="E75" i="29" s="1"/>
  <c r="A13" i="29"/>
  <c r="A14" i="30" s="1"/>
  <c r="A12" i="17"/>
  <c r="A13" i="17" s="1"/>
  <c r="H21" i="47"/>
  <c r="D22" i="47" s="1"/>
  <c r="H13" i="36"/>
  <c r="D14" i="36" s="1"/>
  <c r="E13" i="36"/>
  <c r="H13" i="25"/>
  <c r="D14" i="25" s="1"/>
  <c r="E12" i="25"/>
  <c r="H14" i="33"/>
  <c r="H13" i="31"/>
  <c r="H13" i="32"/>
  <c r="H12" i="29"/>
  <c r="D13" i="29" s="1"/>
  <c r="H13" i="30"/>
  <c r="F14" i="33" l="1"/>
  <c r="A14" i="25"/>
  <c r="A15" i="25" s="1"/>
  <c r="A14" i="17"/>
  <c r="A23" i="47"/>
  <c r="A14" i="29"/>
  <c r="A15" i="29" s="1"/>
  <c r="A16" i="29" s="1"/>
  <c r="A14" i="36"/>
  <c r="H22" i="47"/>
  <c r="D23" i="47" s="1"/>
  <c r="E22" i="47"/>
  <c r="E21" i="47"/>
  <c r="H14" i="36"/>
  <c r="D15" i="36" s="1"/>
  <c r="E14" i="25"/>
  <c r="H14" i="25"/>
  <c r="D15" i="25" s="1"/>
  <c r="E75" i="25" s="1"/>
  <c r="E13" i="25"/>
  <c r="H15" i="33"/>
  <c r="H14" i="31"/>
  <c r="H14" i="32"/>
  <c r="H13" i="29"/>
  <c r="H14" i="30"/>
  <c r="E13" i="29"/>
  <c r="F14" i="32" l="1"/>
  <c r="A15" i="30"/>
  <c r="A15" i="36"/>
  <c r="A24" i="47"/>
  <c r="A16" i="25"/>
  <c r="A17" i="25" s="1"/>
  <c r="A16" i="30"/>
  <c r="H14" i="29"/>
  <c r="D15" i="29" s="1"/>
  <c r="D14" i="29"/>
  <c r="H23" i="47"/>
  <c r="D24" i="47" s="1"/>
  <c r="F72" i="47"/>
  <c r="H15" i="36"/>
  <c r="D16" i="36" s="1"/>
  <c r="D75" i="36" s="1"/>
  <c r="E14" i="36"/>
  <c r="H15" i="25"/>
  <c r="D16" i="25" s="1"/>
  <c r="H16" i="33"/>
  <c r="H15" i="31"/>
  <c r="H15" i="32"/>
  <c r="A17" i="30"/>
  <c r="A17" i="29"/>
  <c r="H15" i="30"/>
  <c r="G55" i="31" l="1"/>
  <c r="F15" i="30"/>
  <c r="S67" i="32"/>
  <c r="A25" i="47"/>
  <c r="A16" i="36"/>
  <c r="H15" i="29"/>
  <c r="D16" i="29" s="1"/>
  <c r="E16" i="29" s="1"/>
  <c r="A18" i="25"/>
  <c r="A18" i="29"/>
  <c r="E15" i="36"/>
  <c r="A15" i="17"/>
  <c r="H24" i="47"/>
  <c r="D25" i="47" s="1"/>
  <c r="E24" i="47"/>
  <c r="E23" i="47"/>
  <c r="H16" i="36"/>
  <c r="D17" i="36" s="1"/>
  <c r="E16" i="36"/>
  <c r="E16" i="25"/>
  <c r="H16" i="25"/>
  <c r="D17" i="25" s="1"/>
  <c r="E15" i="25"/>
  <c r="H17" i="33"/>
  <c r="H16" i="31"/>
  <c r="H16" i="32"/>
  <c r="E14" i="29"/>
  <c r="A18" i="30"/>
  <c r="H16" i="30"/>
  <c r="E15" i="29"/>
  <c r="H16" i="29" l="1"/>
  <c r="D17" i="29" s="1"/>
  <c r="E17" i="29" s="1"/>
  <c r="A19" i="25"/>
  <c r="A17" i="36"/>
  <c r="F75" i="29"/>
  <c r="A26" i="47"/>
  <c r="A19" i="29"/>
  <c r="A16" i="17"/>
  <c r="H25" i="47"/>
  <c r="D26" i="47" s="1"/>
  <c r="H17" i="36"/>
  <c r="D18" i="36" s="1"/>
  <c r="E17" i="36"/>
  <c r="H17" i="25"/>
  <c r="D18" i="25" s="1"/>
  <c r="H18" i="33"/>
  <c r="H17" i="31"/>
  <c r="H17" i="32"/>
  <c r="A19" i="30"/>
  <c r="H17" i="30"/>
  <c r="H17" i="29" l="1"/>
  <c r="D18" i="29" s="1"/>
  <c r="A20" i="25"/>
  <c r="A18" i="36"/>
  <c r="A17" i="17"/>
  <c r="A27" i="47"/>
  <c r="H26" i="47"/>
  <c r="D27" i="47" s="1"/>
  <c r="E26" i="47"/>
  <c r="E25" i="47"/>
  <c r="H18" i="36"/>
  <c r="D19" i="36" s="1"/>
  <c r="E17" i="25"/>
  <c r="H18" i="25"/>
  <c r="D19" i="25" s="1"/>
  <c r="F75" i="25" s="1"/>
  <c r="E18" i="25"/>
  <c r="H19" i="33"/>
  <c r="H18" i="31"/>
  <c r="H18" i="32"/>
  <c r="A20" i="29"/>
  <c r="A20" i="30"/>
  <c r="H18" i="30"/>
  <c r="E18" i="29"/>
  <c r="H18" i="29"/>
  <c r="D19" i="29" s="1"/>
  <c r="A28" i="47" l="1"/>
  <c r="A19" i="36"/>
  <c r="A18" i="17"/>
  <c r="A21" i="25"/>
  <c r="H27" i="47"/>
  <c r="D28" i="47" s="1"/>
  <c r="G72" i="47"/>
  <c r="E18" i="36"/>
  <c r="H19" i="36"/>
  <c r="D20" i="36" s="1"/>
  <c r="E75" i="36" s="1"/>
  <c r="H19" i="25"/>
  <c r="D20" i="25" s="1"/>
  <c r="H20" i="33"/>
  <c r="H19" i="31"/>
  <c r="H19" i="32"/>
  <c r="A21" i="30"/>
  <c r="A21" i="29"/>
  <c r="H19" i="30"/>
  <c r="H19" i="29"/>
  <c r="D20" i="29" s="1"/>
  <c r="A22" i="25" l="1"/>
  <c r="A29" i="47"/>
  <c r="A20" i="36"/>
  <c r="E19" i="36"/>
  <c r="A19" i="17"/>
  <c r="H28" i="47"/>
  <c r="D29" i="47" s="1"/>
  <c r="E28" i="47"/>
  <c r="E27" i="47"/>
  <c r="E20" i="36"/>
  <c r="H20" i="36"/>
  <c r="D21" i="36" s="1"/>
  <c r="E19" i="25"/>
  <c r="E20" i="25"/>
  <c r="H20" i="25"/>
  <c r="D21" i="25" s="1"/>
  <c r="H21" i="33"/>
  <c r="H20" i="31"/>
  <c r="H20" i="32"/>
  <c r="A22" i="29"/>
  <c r="A22" i="30"/>
  <c r="H20" i="30"/>
  <c r="H20" i="29"/>
  <c r="D21" i="29" s="1"/>
  <c r="E20" i="29"/>
  <c r="E19" i="29"/>
  <c r="A23" i="25" l="1"/>
  <c r="A21" i="36"/>
  <c r="G75" i="29"/>
  <c r="A30" i="47"/>
  <c r="A20" i="17"/>
  <c r="H29" i="47"/>
  <c r="D30" i="47" s="1"/>
  <c r="H21" i="36"/>
  <c r="D22" i="36" s="1"/>
  <c r="H21" i="25"/>
  <c r="D22" i="25" s="1"/>
  <c r="E21" i="25"/>
  <c r="H22" i="33"/>
  <c r="H21" i="31"/>
  <c r="H21" i="32"/>
  <c r="A23" i="30"/>
  <c r="A23" i="29"/>
  <c r="H21" i="30"/>
  <c r="H21" i="29"/>
  <c r="D22" i="29" s="1"/>
  <c r="A21" i="17" l="1"/>
  <c r="A31" i="47"/>
  <c r="A22" i="36"/>
  <c r="A24" i="25"/>
  <c r="E21" i="36"/>
  <c r="H30" i="47"/>
  <c r="E30" i="47"/>
  <c r="E29" i="47"/>
  <c r="E22" i="36"/>
  <c r="H22" i="36"/>
  <c r="D23" i="36" s="1"/>
  <c r="H22" i="25"/>
  <c r="D23" i="25" s="1"/>
  <c r="G75" i="25" s="1"/>
  <c r="E22" i="25"/>
  <c r="H23" i="33"/>
  <c r="H22" i="31"/>
  <c r="H22" i="32"/>
  <c r="A24" i="29"/>
  <c r="A24" i="30"/>
  <c r="H22" i="30"/>
  <c r="E21" i="29"/>
  <c r="H22" i="29"/>
  <c r="D23" i="29" s="1"/>
  <c r="E22" i="29"/>
  <c r="A32" i="47" l="1"/>
  <c r="A25" i="25"/>
  <c r="A23" i="36"/>
  <c r="A22" i="17"/>
  <c r="D31" i="47"/>
  <c r="H72" i="47" s="1"/>
  <c r="H31" i="47"/>
  <c r="D32" i="47" s="1"/>
  <c r="H23" i="36"/>
  <c r="D24" i="36" s="1"/>
  <c r="F75" i="36" s="1"/>
  <c r="H23" i="25"/>
  <c r="D24" i="25" s="1"/>
  <c r="H24" i="33"/>
  <c r="H23" i="31"/>
  <c r="H23" i="32"/>
  <c r="A25" i="29"/>
  <c r="A25" i="30"/>
  <c r="H23" i="30"/>
  <c r="H23" i="29"/>
  <c r="D24" i="29" s="1"/>
  <c r="A26" i="25" l="1"/>
  <c r="A33" i="47"/>
  <c r="A24" i="36"/>
  <c r="A26" i="29"/>
  <c r="E23" i="36"/>
  <c r="A23" i="17"/>
  <c r="H32" i="47"/>
  <c r="D33" i="47" s="1"/>
  <c r="E32" i="47"/>
  <c r="E31" i="47"/>
  <c r="H24" i="36"/>
  <c r="D25" i="36" s="1"/>
  <c r="E24" i="36"/>
  <c r="E23" i="25"/>
  <c r="E24" i="25"/>
  <c r="H24" i="25"/>
  <c r="D25" i="25" s="1"/>
  <c r="H25" i="33"/>
  <c r="H24" i="31"/>
  <c r="H24" i="32"/>
  <c r="A26" i="30"/>
  <c r="H24" i="30"/>
  <c r="H24" i="29"/>
  <c r="D25" i="29" s="1"/>
  <c r="E24" i="29"/>
  <c r="E23" i="29"/>
  <c r="A24" i="17" l="1"/>
  <c r="A34" i="47"/>
  <c r="A27" i="25"/>
  <c r="A25" i="36"/>
  <c r="A27" i="29"/>
  <c r="H75" i="29"/>
  <c r="H33" i="47"/>
  <c r="D34" i="47" s="1"/>
  <c r="H25" i="36"/>
  <c r="D26" i="36" s="1"/>
  <c r="E25" i="25"/>
  <c r="H25" i="25"/>
  <c r="D26" i="25" s="1"/>
  <c r="H26" i="33"/>
  <c r="H25" i="31"/>
  <c r="H25" i="32"/>
  <c r="A27" i="30"/>
  <c r="H25" i="30"/>
  <c r="H25" i="29"/>
  <c r="D26" i="29" s="1"/>
  <c r="A28" i="25" l="1"/>
  <c r="A35" i="47"/>
  <c r="A26" i="36"/>
  <c r="A25" i="17"/>
  <c r="E25" i="36"/>
  <c r="H34" i="47"/>
  <c r="E34" i="47"/>
  <c r="E33" i="47"/>
  <c r="H26" i="36"/>
  <c r="D27" i="36" s="1"/>
  <c r="E26" i="25"/>
  <c r="H26" i="25"/>
  <c r="D27" i="25" s="1"/>
  <c r="H75" i="25" s="1"/>
  <c r="H27" i="33"/>
  <c r="H26" i="31"/>
  <c r="H26" i="32"/>
  <c r="A28" i="29"/>
  <c r="A28" i="30"/>
  <c r="H26" i="30"/>
  <c r="E25" i="29"/>
  <c r="E26" i="29"/>
  <c r="H26" i="29"/>
  <c r="D27" i="29" s="1"/>
  <c r="A36" i="47" l="1"/>
  <c r="A29" i="25"/>
  <c r="A27" i="36"/>
  <c r="D35" i="47"/>
  <c r="I72" i="47" s="1"/>
  <c r="A26" i="17"/>
  <c r="H35" i="47"/>
  <c r="D36" i="47" s="1"/>
  <c r="H27" i="36"/>
  <c r="D28" i="36" s="1"/>
  <c r="G75" i="36" s="1"/>
  <c r="E26" i="36"/>
  <c r="H27" i="25"/>
  <c r="D28" i="25" s="1"/>
  <c r="H28" i="33"/>
  <c r="H27" i="31"/>
  <c r="H27" i="32"/>
  <c r="A29" i="30"/>
  <c r="A29" i="29"/>
  <c r="H27" i="30"/>
  <c r="H27" i="29"/>
  <c r="D28" i="29" s="1"/>
  <c r="A27" i="17" l="1"/>
  <c r="A30" i="25"/>
  <c r="A37" i="47"/>
  <c r="A28" i="36"/>
  <c r="A30" i="29"/>
  <c r="E27" i="36"/>
  <c r="H36" i="47"/>
  <c r="D37" i="47" s="1"/>
  <c r="E36" i="47"/>
  <c r="E35" i="47"/>
  <c r="E28" i="36"/>
  <c r="H28" i="36"/>
  <c r="D29" i="36" s="1"/>
  <c r="E27" i="25"/>
  <c r="H28" i="25"/>
  <c r="D29" i="25" s="1"/>
  <c r="E28" i="25"/>
  <c r="H29" i="33"/>
  <c r="H28" i="31"/>
  <c r="H28" i="32"/>
  <c r="A30" i="30"/>
  <c r="H28" i="30"/>
  <c r="E28" i="29"/>
  <c r="H28" i="29"/>
  <c r="D29" i="29" s="1"/>
  <c r="E27" i="29"/>
  <c r="A29" i="36" l="1"/>
  <c r="A28" i="17"/>
  <c r="I75" i="29"/>
  <c r="A38" i="47"/>
  <c r="A31" i="29"/>
  <c r="H37" i="47"/>
  <c r="D38" i="47" s="1"/>
  <c r="E29" i="36"/>
  <c r="H29" i="36"/>
  <c r="D30" i="36" s="1"/>
  <c r="E29" i="25"/>
  <c r="H29" i="25"/>
  <c r="D30" i="25" s="1"/>
  <c r="H30" i="33"/>
  <c r="H29" i="31"/>
  <c r="H29" i="32"/>
  <c r="A31" i="30"/>
  <c r="H29" i="30"/>
  <c r="H29" i="29"/>
  <c r="D30" i="29" s="1"/>
  <c r="E29" i="29"/>
  <c r="A39" i="47" l="1"/>
  <c r="A29" i="17"/>
  <c r="A30" i="36"/>
  <c r="H38" i="47"/>
  <c r="E38" i="47"/>
  <c r="E37" i="47"/>
  <c r="H30" i="36"/>
  <c r="D31" i="36" s="1"/>
  <c r="H30" i="25"/>
  <c r="D31" i="25" s="1"/>
  <c r="I75" i="25" s="1"/>
  <c r="H31" i="33"/>
  <c r="H30" i="31"/>
  <c r="H30" i="32"/>
  <c r="A32" i="29"/>
  <c r="A32" i="30"/>
  <c r="H30" i="30"/>
  <c r="H30" i="29"/>
  <c r="D31" i="29" s="1"/>
  <c r="A31" i="36" l="1"/>
  <c r="A40" i="47"/>
  <c r="D39" i="47"/>
  <c r="J72" i="47" s="1"/>
  <c r="A31" i="25"/>
  <c r="A30" i="17"/>
  <c r="H39" i="47"/>
  <c r="D40" i="47" s="1"/>
  <c r="E30" i="36"/>
  <c r="H31" i="36"/>
  <c r="D32" i="36" s="1"/>
  <c r="H75" i="36" s="1"/>
  <c r="H31" i="25"/>
  <c r="D32" i="25" s="1"/>
  <c r="E30" i="25"/>
  <c r="H32" i="33"/>
  <c r="H31" i="31"/>
  <c r="H31" i="32"/>
  <c r="A33" i="30"/>
  <c r="A33" i="29"/>
  <c r="H31" i="30"/>
  <c r="E30" i="29"/>
  <c r="H31" i="29"/>
  <c r="D32" i="29" s="1"/>
  <c r="A41" i="47" l="1"/>
  <c r="A31" i="17"/>
  <c r="A32" i="36"/>
  <c r="A32" i="25"/>
  <c r="A34" i="29"/>
  <c r="E31" i="36"/>
  <c r="H40" i="47"/>
  <c r="D41" i="47" s="1"/>
  <c r="E40" i="47"/>
  <c r="E39" i="47"/>
  <c r="E32" i="36"/>
  <c r="H32" i="36"/>
  <c r="D33" i="36" s="1"/>
  <c r="H32" i="25"/>
  <c r="D33" i="25" s="1"/>
  <c r="E32" i="25"/>
  <c r="E31" i="25"/>
  <c r="H33" i="33"/>
  <c r="H32" i="31"/>
  <c r="H32" i="32"/>
  <c r="A34" i="30"/>
  <c r="H32" i="30"/>
  <c r="H32" i="29"/>
  <c r="D33" i="29" s="1"/>
  <c r="E32" i="29"/>
  <c r="E31" i="29"/>
  <c r="A33" i="36" l="1"/>
  <c r="A32" i="17"/>
  <c r="A33" i="25"/>
  <c r="J75" i="29"/>
  <c r="A42" i="47"/>
  <c r="A35" i="29"/>
  <c r="H41" i="47"/>
  <c r="D42" i="47" s="1"/>
  <c r="H33" i="36"/>
  <c r="E33" i="36"/>
  <c r="H33" i="25"/>
  <c r="D34" i="25" s="1"/>
  <c r="H34" i="33"/>
  <c r="H33" i="31"/>
  <c r="H33" i="32"/>
  <c r="A35" i="30"/>
  <c r="H33" i="30"/>
  <c r="H33" i="29"/>
  <c r="D34" i="29" s="1"/>
  <c r="A43" i="47" l="1"/>
  <c r="A33" i="17"/>
  <c r="A34" i="25"/>
  <c r="H42" i="47"/>
  <c r="E42" i="47"/>
  <c r="E41" i="47"/>
  <c r="H34" i="25"/>
  <c r="D35" i="25" s="1"/>
  <c r="J75" i="25" s="1"/>
  <c r="E34" i="25"/>
  <c r="E33" i="25"/>
  <c r="H35" i="33"/>
  <c r="H34" i="31"/>
  <c r="H34" i="32"/>
  <c r="A36" i="29"/>
  <c r="A36" i="30"/>
  <c r="H34" i="30"/>
  <c r="E34" i="29"/>
  <c r="H34" i="29"/>
  <c r="D35" i="29" s="1"/>
  <c r="E33" i="29"/>
  <c r="A35" i="25" l="1"/>
  <c r="A36" i="25" s="1"/>
  <c r="A44" i="47"/>
  <c r="D43" i="47"/>
  <c r="K72" i="47" s="1"/>
  <c r="A34" i="17"/>
  <c r="H43" i="47"/>
  <c r="D44" i="47" s="1"/>
  <c r="H35" i="25"/>
  <c r="D36" i="25" s="1"/>
  <c r="H36" i="33"/>
  <c r="H35" i="31"/>
  <c r="H35" i="32"/>
  <c r="A37" i="30"/>
  <c r="A37" i="29"/>
  <c r="H35" i="30"/>
  <c r="H35" i="29"/>
  <c r="D36" i="29" s="1"/>
  <c r="A37" i="25" l="1"/>
  <c r="A45" i="47"/>
  <c r="A35" i="17"/>
  <c r="A38" i="29"/>
  <c r="H44" i="47"/>
  <c r="D45" i="47" s="1"/>
  <c r="E44" i="47"/>
  <c r="E43" i="47"/>
  <c r="E35" i="25"/>
  <c r="H36" i="25"/>
  <c r="D37" i="25" s="1"/>
  <c r="E36" i="25"/>
  <c r="H37" i="33"/>
  <c r="H36" i="31"/>
  <c r="H36" i="32"/>
  <c r="A38" i="30"/>
  <c r="H36" i="30"/>
  <c r="E35" i="29"/>
  <c r="E36" i="29"/>
  <c r="H36" i="29"/>
  <c r="D37" i="29" s="1"/>
  <c r="A36" i="17" l="1"/>
  <c r="A38" i="25"/>
  <c r="I75" i="36"/>
  <c r="K75" i="29"/>
  <c r="A46" i="47"/>
  <c r="A39" i="29"/>
  <c r="H45" i="47"/>
  <c r="D46" i="47" s="1"/>
  <c r="H37" i="25"/>
  <c r="D38" i="25" s="1"/>
  <c r="H38" i="33"/>
  <c r="H37" i="31"/>
  <c r="H37" i="32"/>
  <c r="A39" i="30"/>
  <c r="H37" i="30"/>
  <c r="H37" i="29"/>
  <c r="D38" i="29" s="1"/>
  <c r="E37" i="29"/>
  <c r="A47" i="47" l="1"/>
  <c r="A37" i="17"/>
  <c r="A39" i="25"/>
  <c r="H46" i="47"/>
  <c r="E46" i="47"/>
  <c r="E45" i="47"/>
  <c r="E38" i="25"/>
  <c r="H38" i="25"/>
  <c r="D39" i="25" s="1"/>
  <c r="K75" i="25" s="1"/>
  <c r="E37" i="25"/>
  <c r="H39" i="33"/>
  <c r="H38" i="31"/>
  <c r="H38" i="32"/>
  <c r="A40" i="29"/>
  <c r="A40" i="30"/>
  <c r="H38" i="30"/>
  <c r="H38" i="29"/>
  <c r="D39" i="29" s="1"/>
  <c r="A48" i="47" l="1"/>
  <c r="D47" i="47"/>
  <c r="L72" i="47" s="1"/>
  <c r="A40" i="25"/>
  <c r="A38" i="17"/>
  <c r="H47" i="47"/>
  <c r="D48" i="47" s="1"/>
  <c r="H39" i="25"/>
  <c r="D40" i="25" s="1"/>
  <c r="H40" i="33"/>
  <c r="H39" i="31"/>
  <c r="H39" i="32"/>
  <c r="A41" i="30"/>
  <c r="A41" i="29"/>
  <c r="H39" i="30"/>
  <c r="H39" i="29"/>
  <c r="D40" i="29" s="1"/>
  <c r="E38" i="29"/>
  <c r="A39" i="17" l="1"/>
  <c r="A41" i="25"/>
  <c r="A49" i="47"/>
  <c r="A42" i="29"/>
  <c r="H48" i="47"/>
  <c r="D49" i="47" s="1"/>
  <c r="E48" i="47"/>
  <c r="E47" i="47"/>
  <c r="H40" i="25"/>
  <c r="D41" i="25" s="1"/>
  <c r="E40" i="25"/>
  <c r="E39" i="25"/>
  <c r="H41" i="33"/>
  <c r="H40" i="31"/>
  <c r="H40" i="32"/>
  <c r="A42" i="30"/>
  <c r="H40" i="30"/>
  <c r="H40" i="29"/>
  <c r="D41" i="29" s="1"/>
  <c r="E40" i="29"/>
  <c r="E39" i="29"/>
  <c r="A42" i="25" l="1"/>
  <c r="A40" i="17"/>
  <c r="J75" i="36"/>
  <c r="E54" i="36"/>
  <c r="L75" i="29"/>
  <c r="A50" i="47"/>
  <c r="A43" i="29"/>
  <c r="H49" i="47"/>
  <c r="D50" i="47" s="1"/>
  <c r="H41" i="25"/>
  <c r="D42" i="25" s="1"/>
  <c r="H42" i="33"/>
  <c r="H41" i="31"/>
  <c r="H41" i="32"/>
  <c r="A43" i="30"/>
  <c r="H41" i="30"/>
  <c r="H41" i="29"/>
  <c r="D42" i="29" s="1"/>
  <c r="A51" i="47" l="1"/>
  <c r="A41" i="17"/>
  <c r="A43" i="25"/>
  <c r="A44" i="25" s="1"/>
  <c r="H50" i="47"/>
  <c r="E50" i="47"/>
  <c r="E49" i="47"/>
  <c r="H42" i="25"/>
  <c r="D43" i="25" s="1"/>
  <c r="L75" i="25" s="1"/>
  <c r="E42" i="25"/>
  <c r="E41" i="25"/>
  <c r="H43" i="33"/>
  <c r="H42" i="31"/>
  <c r="H42" i="32"/>
  <c r="A44" i="29"/>
  <c r="A44" i="30"/>
  <c r="H42" i="30"/>
  <c r="E41" i="29"/>
  <c r="E42" i="29"/>
  <c r="H42" i="29"/>
  <c r="D43" i="29" s="1"/>
  <c r="A45" i="25" l="1"/>
  <c r="A52" i="47"/>
  <c r="D51" i="47"/>
  <c r="M72" i="47" s="1"/>
  <c r="A42" i="17"/>
  <c r="H51" i="47"/>
  <c r="D52" i="47" s="1"/>
  <c r="K75" i="36"/>
  <c r="H43" i="25"/>
  <c r="D44" i="25" s="1"/>
  <c r="H44" i="33"/>
  <c r="H43" i="31"/>
  <c r="H43" i="32"/>
  <c r="A45" i="30"/>
  <c r="A45" i="29"/>
  <c r="H43" i="30"/>
  <c r="H43" i="29"/>
  <c r="D44" i="29" s="1"/>
  <c r="A43" i="17" l="1"/>
  <c r="A53" i="47"/>
  <c r="A46" i="25"/>
  <c r="A46" i="29"/>
  <c r="H52" i="47"/>
  <c r="D53" i="47" s="1"/>
  <c r="E52" i="47"/>
  <c r="E51" i="47"/>
  <c r="E43" i="25"/>
  <c r="H44" i="25"/>
  <c r="D45" i="25" s="1"/>
  <c r="E44" i="25"/>
  <c r="H45" i="33"/>
  <c r="H44" i="31"/>
  <c r="H44" i="32"/>
  <c r="A46" i="30"/>
  <c r="H44" i="30"/>
  <c r="E43" i="29"/>
  <c r="E44" i="29"/>
  <c r="H44" i="29"/>
  <c r="D45" i="29" s="1"/>
  <c r="A44" i="17" l="1"/>
  <c r="M75" i="29"/>
  <c r="A47" i="29"/>
  <c r="H53" i="47"/>
  <c r="N72" i="47"/>
  <c r="H45" i="25"/>
  <c r="D46" i="25" s="1"/>
  <c r="H46" i="33"/>
  <c r="H45" i="31"/>
  <c r="H45" i="32"/>
  <c r="A47" i="30"/>
  <c r="H45" i="30"/>
  <c r="H45" i="29"/>
  <c r="D46" i="29" s="1"/>
  <c r="E45" i="29"/>
  <c r="A45" i="17" l="1"/>
  <c r="E53" i="47"/>
  <c r="E54" i="47" s="1"/>
  <c r="D54" i="47"/>
  <c r="P72" i="47"/>
  <c r="E46" i="25"/>
  <c r="H46" i="25"/>
  <c r="D47" i="25" s="1"/>
  <c r="M75" i="25" s="1"/>
  <c r="E45" i="25"/>
  <c r="H47" i="33"/>
  <c r="H46" i="31"/>
  <c r="H46" i="32"/>
  <c r="A48" i="29"/>
  <c r="A48" i="30"/>
  <c r="H46" i="30"/>
  <c r="H46" i="29"/>
  <c r="D47" i="29" s="1"/>
  <c r="A47" i="25" l="1"/>
  <c r="A46" i="17"/>
  <c r="Q72" i="47"/>
  <c r="L75" i="36"/>
  <c r="H47" i="25"/>
  <c r="D48" i="25" s="1"/>
  <c r="H48" i="33"/>
  <c r="H47" i="31"/>
  <c r="H47" i="32"/>
  <c r="A49" i="30"/>
  <c r="A49" i="29"/>
  <c r="H47" i="30"/>
  <c r="H47" i="29"/>
  <c r="D48" i="29" s="1"/>
  <c r="E46" i="29"/>
  <c r="A47" i="17" l="1"/>
  <c r="A48" i="25"/>
  <c r="A50" i="29"/>
  <c r="H48" i="25"/>
  <c r="D49" i="25" s="1"/>
  <c r="E48" i="25"/>
  <c r="E47" i="25"/>
  <c r="H49" i="33"/>
  <c r="H48" i="31"/>
  <c r="H48" i="32"/>
  <c r="A50" i="30"/>
  <c r="H48" i="30"/>
  <c r="H48" i="29"/>
  <c r="D49" i="29" s="1"/>
  <c r="E48" i="29"/>
  <c r="E47" i="29"/>
  <c r="A49" i="25" l="1"/>
  <c r="A50" i="25" s="1"/>
  <c r="A48" i="17"/>
  <c r="N75" i="29"/>
  <c r="A51" i="29"/>
  <c r="H49" i="25"/>
  <c r="D50" i="25" s="1"/>
  <c r="H50" i="33"/>
  <c r="H49" i="31"/>
  <c r="H49" i="32"/>
  <c r="A51" i="30"/>
  <c r="H49" i="30"/>
  <c r="H49" i="29"/>
  <c r="D50" i="29" s="1"/>
  <c r="A51" i="25" l="1"/>
  <c r="A52" i="25" s="1"/>
  <c r="A49" i="17"/>
  <c r="H50" i="25"/>
  <c r="D51" i="25" s="1"/>
  <c r="N75" i="25" s="1"/>
  <c r="E50" i="25"/>
  <c r="E49" i="25"/>
  <c r="H51" i="33"/>
  <c r="H50" i="31"/>
  <c r="H50" i="32"/>
  <c r="A52" i="29"/>
  <c r="A52" i="30"/>
  <c r="H50" i="30"/>
  <c r="E49" i="29"/>
  <c r="E50" i="29"/>
  <c r="H50" i="29"/>
  <c r="D51" i="29" s="1"/>
  <c r="A53" i="25" l="1"/>
  <c r="A50" i="17"/>
  <c r="M75" i="36"/>
  <c r="H51" i="25"/>
  <c r="D52" i="25" s="1"/>
  <c r="H52" i="33"/>
  <c r="H51" i="31"/>
  <c r="H51" i="32"/>
  <c r="A53" i="29"/>
  <c r="A53" i="30"/>
  <c r="H51" i="30"/>
  <c r="H51" i="29"/>
  <c r="D52" i="29" s="1"/>
  <c r="A51" i="17" l="1"/>
  <c r="E51" i="25"/>
  <c r="H52" i="25"/>
  <c r="D53" i="25" s="1"/>
  <c r="O75" i="25" s="1"/>
  <c r="E52" i="25"/>
  <c r="A54" i="30"/>
  <c r="H53" i="33"/>
  <c r="H52" i="31"/>
  <c r="H52" i="32"/>
  <c r="H52" i="30"/>
  <c r="E51" i="29"/>
  <c r="E52" i="29"/>
  <c r="H52" i="29"/>
  <c r="D53" i="29" s="1"/>
  <c r="A52" i="17" l="1"/>
  <c r="N75" i="36"/>
  <c r="O75" i="29"/>
  <c r="H53" i="25"/>
  <c r="H54" i="33"/>
  <c r="H53" i="31"/>
  <c r="H53" i="32"/>
  <c r="H53" i="30"/>
  <c r="H53" i="29"/>
  <c r="A53" i="17" l="1"/>
  <c r="G55" i="33"/>
  <c r="D54" i="36"/>
  <c r="G54" i="36" s="1"/>
  <c r="E53" i="25"/>
  <c r="D54" i="25"/>
  <c r="H54" i="31"/>
  <c r="H54" i="32"/>
  <c r="H54" i="30"/>
  <c r="E53" i="29"/>
  <c r="D54" i="29"/>
  <c r="E54" i="29" l="1"/>
  <c r="P75" i="29"/>
  <c r="Q75" i="29" s="1"/>
  <c r="R75" i="29" s="1"/>
  <c r="G55" i="32"/>
  <c r="O75" i="36"/>
  <c r="G54" i="25"/>
  <c r="E54" i="25"/>
  <c r="D55" i="31"/>
  <c r="D55" i="32"/>
  <c r="G54" i="29"/>
  <c r="B68" i="17" l="1"/>
  <c r="D6" i="17" s="1"/>
  <c r="C74" i="23" l="1"/>
  <c r="B74" i="23"/>
  <c r="N70" i="23"/>
  <c r="M70" i="23"/>
  <c r="L70" i="23"/>
  <c r="K70" i="23"/>
  <c r="J70" i="23"/>
  <c r="I70" i="23"/>
  <c r="H70" i="23"/>
  <c r="G70" i="23"/>
  <c r="F70" i="23"/>
  <c r="E70" i="23"/>
  <c r="D70" i="23"/>
  <c r="C70" i="23"/>
  <c r="D6" i="23"/>
  <c r="D62" i="23"/>
  <c r="C62" i="23"/>
  <c r="H57" i="23" s="1"/>
  <c r="I57" i="23" s="1"/>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D74" i="23" s="1"/>
  <c r="F6" i="23"/>
  <c r="F7" i="23" l="1"/>
  <c r="D8" i="23" s="1"/>
  <c r="E8" i="23" s="1"/>
  <c r="C54" i="23"/>
  <c r="K74" i="23"/>
  <c r="E74" i="23"/>
  <c r="G74" i="23"/>
  <c r="B72" i="23"/>
  <c r="E6" i="23"/>
  <c r="I74" i="23"/>
  <c r="D7" i="23"/>
  <c r="F74" i="23"/>
  <c r="H74" i="23"/>
  <c r="J74" i="23"/>
  <c r="L74" i="23"/>
  <c r="N74" i="23"/>
  <c r="M74" i="23"/>
  <c r="F8" i="23" l="1"/>
  <c r="F9" i="23" s="1"/>
  <c r="O74" i="23"/>
  <c r="P74" i="23" s="1"/>
  <c r="E7" i="23"/>
  <c r="D9" i="23" l="1"/>
  <c r="E9" i="23" s="1"/>
  <c r="F10" i="23"/>
  <c r="D10" i="23"/>
  <c r="E10" i="23" s="1"/>
  <c r="C72" i="23" l="1"/>
  <c r="D11" i="23"/>
  <c r="F11" i="23"/>
  <c r="D12" i="23" l="1"/>
  <c r="E12" i="23" s="1"/>
  <c r="F12" i="23"/>
  <c r="E11" i="23"/>
  <c r="D13" i="23" l="1"/>
  <c r="F13" i="23"/>
  <c r="D14" i="23" l="1"/>
  <c r="E14" i="23" s="1"/>
  <c r="F14" i="23"/>
  <c r="E13" i="23"/>
  <c r="D72" i="23" l="1"/>
  <c r="F15" i="23"/>
  <c r="D15" i="23"/>
  <c r="E15" i="23" l="1"/>
  <c r="D16" i="23"/>
  <c r="E16" i="23" s="1"/>
  <c r="F16" i="23"/>
  <c r="F17" i="23" l="1"/>
  <c r="D17" i="23"/>
  <c r="E17" i="23" s="1"/>
  <c r="D18" i="23" l="1"/>
  <c r="F18" i="23"/>
  <c r="C68" i="17"/>
  <c r="D19" i="23" l="1"/>
  <c r="F19" i="23"/>
  <c r="E18" i="23"/>
  <c r="E72" i="23"/>
  <c r="N70" i="17"/>
  <c r="N68" i="17"/>
  <c r="M68" i="17"/>
  <c r="L68" i="17"/>
  <c r="K68" i="17"/>
  <c r="J68" i="17"/>
  <c r="I68" i="17"/>
  <c r="H68" i="17"/>
  <c r="G68" i="17"/>
  <c r="F68" i="17"/>
  <c r="E68" i="17"/>
  <c r="D68" i="17"/>
  <c r="C53" i="17"/>
  <c r="G53" i="17" s="1"/>
  <c r="C52" i="17"/>
  <c r="G52" i="17" s="1"/>
  <c r="C51" i="17"/>
  <c r="G51" i="17" s="1"/>
  <c r="C50" i="17"/>
  <c r="G50" i="17" s="1"/>
  <c r="C49" i="17"/>
  <c r="G49" i="17" s="1"/>
  <c r="C48" i="17"/>
  <c r="G48" i="17" s="1"/>
  <c r="C47" i="17"/>
  <c r="G47" i="17" s="1"/>
  <c r="C46" i="17"/>
  <c r="G46" i="17" s="1"/>
  <c r="C45" i="17"/>
  <c r="G45" i="17" s="1"/>
  <c r="C44" i="17"/>
  <c r="G44" i="17" s="1"/>
  <c r="C43" i="17"/>
  <c r="G43" i="17" s="1"/>
  <c r="C42" i="17"/>
  <c r="G42" i="17" s="1"/>
  <c r="C41" i="17"/>
  <c r="G41" i="17" s="1"/>
  <c r="C40" i="17"/>
  <c r="G40" i="17" s="1"/>
  <c r="C39" i="17"/>
  <c r="G39" i="17" s="1"/>
  <c r="C38" i="17"/>
  <c r="G38" i="17" s="1"/>
  <c r="C37" i="17"/>
  <c r="G37" i="17" s="1"/>
  <c r="C36" i="17"/>
  <c r="G36" i="17" s="1"/>
  <c r="C35" i="17"/>
  <c r="G35" i="17" s="1"/>
  <c r="C34" i="17"/>
  <c r="G34" i="17" s="1"/>
  <c r="C33" i="17"/>
  <c r="G33" i="17" s="1"/>
  <c r="C32" i="17"/>
  <c r="G32" i="17" s="1"/>
  <c r="C31" i="17"/>
  <c r="G31" i="17" s="1"/>
  <c r="C30" i="17"/>
  <c r="G30" i="17" s="1"/>
  <c r="C29" i="17"/>
  <c r="G29" i="17" s="1"/>
  <c r="C28" i="17"/>
  <c r="G28" i="17" s="1"/>
  <c r="C27" i="17"/>
  <c r="G27" i="17" s="1"/>
  <c r="C26" i="17"/>
  <c r="G26" i="17" s="1"/>
  <c r="C25" i="17"/>
  <c r="G25" i="17" s="1"/>
  <c r="C24" i="17"/>
  <c r="G24" i="17" s="1"/>
  <c r="C23" i="17"/>
  <c r="G23" i="17" s="1"/>
  <c r="C22" i="17"/>
  <c r="G22" i="17" s="1"/>
  <c r="C21" i="17"/>
  <c r="G21" i="17" s="1"/>
  <c r="C20" i="17"/>
  <c r="G20" i="17" s="1"/>
  <c r="C19" i="17"/>
  <c r="G19" i="17" s="1"/>
  <c r="C18" i="17"/>
  <c r="G18" i="17" s="1"/>
  <c r="C17" i="17"/>
  <c r="G17" i="17" s="1"/>
  <c r="C16" i="17"/>
  <c r="G16" i="17" s="1"/>
  <c r="C15" i="17"/>
  <c r="C14" i="17"/>
  <c r="G14" i="17" s="1"/>
  <c r="G13" i="17"/>
  <c r="G12" i="17"/>
  <c r="G11" i="17"/>
  <c r="G10" i="17"/>
  <c r="G9" i="17"/>
  <c r="G8" i="17"/>
  <c r="G7" i="17"/>
  <c r="H6" i="17"/>
  <c r="G6" i="17"/>
  <c r="G5" i="17"/>
  <c r="D20" i="23" l="1"/>
  <c r="E20" i="23" s="1"/>
  <c r="F20" i="23"/>
  <c r="E19" i="23"/>
  <c r="D7" i="17"/>
  <c r="H7" i="17"/>
  <c r="H8" i="17" s="1"/>
  <c r="G15" i="17"/>
  <c r="C54" i="17"/>
  <c r="E6" i="17"/>
  <c r="E7" i="17" l="1"/>
  <c r="D21" i="23"/>
  <c r="F21" i="23"/>
  <c r="D8" i="17"/>
  <c r="E8" i="17" s="1"/>
  <c r="D9" i="17"/>
  <c r="H9" i="17"/>
  <c r="E9" i="17" l="1"/>
  <c r="B70" i="17"/>
  <c r="D22" i="23"/>
  <c r="E22" i="23" s="1"/>
  <c r="F22" i="23"/>
  <c r="E21" i="23"/>
  <c r="D10" i="17"/>
  <c r="H10" i="17"/>
  <c r="F72" i="23" l="1"/>
  <c r="L13" i="23"/>
  <c r="F23" i="23"/>
  <c r="D23" i="23"/>
  <c r="D11" i="17"/>
  <c r="E11" i="17" s="1"/>
  <c r="H11" i="17"/>
  <c r="E10" i="17"/>
  <c r="E23" i="23" l="1"/>
  <c r="D24" i="23"/>
  <c r="E24" i="23" s="1"/>
  <c r="F24" i="23"/>
  <c r="H12" i="17"/>
  <c r="D12" i="17"/>
  <c r="E12" i="17" s="1"/>
  <c r="C70" i="17" l="1"/>
  <c r="F25" i="23"/>
  <c r="D25" i="23"/>
  <c r="E25" i="23" s="1"/>
  <c r="D13" i="17"/>
  <c r="E13" i="17" s="1"/>
  <c r="H13" i="17"/>
  <c r="D26" i="23" l="1"/>
  <c r="E26" i="23" s="1"/>
  <c r="F26" i="23"/>
  <c r="H14" i="17"/>
  <c r="D14" i="17"/>
  <c r="E14" i="17" s="1"/>
  <c r="F27" i="23" l="1"/>
  <c r="D27" i="23"/>
  <c r="G72" i="23"/>
  <c r="H15" i="17"/>
  <c r="D15" i="17"/>
  <c r="E15" i="17" s="1"/>
  <c r="E27" i="23" l="1"/>
  <c r="D28" i="23"/>
  <c r="E28" i="23" s="1"/>
  <c r="F28" i="23"/>
  <c r="D16" i="17"/>
  <c r="E16" i="17" s="1"/>
  <c r="D70" i="17" s="1"/>
  <c r="H16" i="17"/>
  <c r="D29" i="23" l="1"/>
  <c r="E29" i="23" s="1"/>
  <c r="F29" i="23"/>
  <c r="H17" i="17"/>
  <c r="D17" i="17"/>
  <c r="E17" i="17" s="1"/>
  <c r="D30" i="23" l="1"/>
  <c r="F30" i="23"/>
  <c r="D18" i="17"/>
  <c r="E18" i="17" s="1"/>
  <c r="H18" i="17"/>
  <c r="F31" i="23" l="1"/>
  <c r="D31" i="23"/>
  <c r="E30" i="23"/>
  <c r="H72" i="23"/>
  <c r="D19" i="17"/>
  <c r="E19" i="17" s="1"/>
  <c r="H19" i="17"/>
  <c r="E31" i="23" l="1"/>
  <c r="D32" i="23"/>
  <c r="E32" i="23" s="1"/>
  <c r="F32" i="23"/>
  <c r="H20" i="17"/>
  <c r="D20" i="17"/>
  <c r="E20" i="17" s="1"/>
  <c r="F33" i="23" l="1"/>
  <c r="D33" i="23"/>
  <c r="E33" i="23" s="1"/>
  <c r="D21" i="17"/>
  <c r="E21" i="17" s="1"/>
  <c r="H21" i="17"/>
  <c r="D34" i="23" l="1"/>
  <c r="F34" i="23"/>
  <c r="H22" i="17"/>
  <c r="D22" i="17"/>
  <c r="E22" i="17" s="1"/>
  <c r="D35" i="23" l="1"/>
  <c r="F35" i="23"/>
  <c r="E34" i="23"/>
  <c r="I72" i="23"/>
  <c r="E70" i="17"/>
  <c r="D23" i="17"/>
  <c r="E23" i="17" s="1"/>
  <c r="H23" i="17"/>
  <c r="D36" i="23" l="1"/>
  <c r="E36" i="23" s="1"/>
  <c r="F36" i="23"/>
  <c r="E35" i="23"/>
  <c r="D24" i="17"/>
  <c r="E24" i="17" s="1"/>
  <c r="H24" i="17"/>
  <c r="D37" i="23" l="1"/>
  <c r="F37" i="23"/>
  <c r="H25" i="17"/>
  <c r="D25" i="17"/>
  <c r="E25" i="17" s="1"/>
  <c r="D38" i="23" l="1"/>
  <c r="E38" i="23" s="1"/>
  <c r="F38" i="23"/>
  <c r="E37" i="23"/>
  <c r="D26" i="17"/>
  <c r="E26" i="17" s="1"/>
  <c r="H26" i="17"/>
  <c r="J72" i="23" l="1"/>
  <c r="D39" i="23"/>
  <c r="F39" i="23"/>
  <c r="H27" i="17"/>
  <c r="D27" i="17"/>
  <c r="E27" i="17" s="1"/>
  <c r="F70" i="17"/>
  <c r="E39" i="23" l="1"/>
  <c r="D40" i="23"/>
  <c r="E40" i="23" s="1"/>
  <c r="F40" i="23"/>
  <c r="D28" i="17"/>
  <c r="E28" i="17" s="1"/>
  <c r="H28" i="17"/>
  <c r="D41" i="23" l="1"/>
  <c r="E41" i="23" s="1"/>
  <c r="F41" i="23"/>
  <c r="H29" i="17"/>
  <c r="D29" i="17"/>
  <c r="E29" i="17" s="1"/>
  <c r="D42" i="23" l="1"/>
  <c r="E42" i="23" s="1"/>
  <c r="F42" i="23"/>
  <c r="D30" i="17"/>
  <c r="E30" i="17" s="1"/>
  <c r="H30" i="17"/>
  <c r="K72" i="23" l="1"/>
  <c r="D43" i="23"/>
  <c r="F43" i="23"/>
  <c r="H31" i="17"/>
  <c r="D31" i="17"/>
  <c r="E31" i="17" s="1"/>
  <c r="G70" i="17"/>
  <c r="D44" i="23" l="1"/>
  <c r="E44" i="23" s="1"/>
  <c r="F44" i="23"/>
  <c r="E43" i="23"/>
  <c r="H32" i="17"/>
  <c r="D32" i="17"/>
  <c r="E32" i="17" s="1"/>
  <c r="D45" i="23" l="1"/>
  <c r="F45" i="23"/>
  <c r="H33" i="17"/>
  <c r="D33" i="17"/>
  <c r="E33" i="17" s="1"/>
  <c r="D46" i="23" l="1"/>
  <c r="E46" i="23" s="1"/>
  <c r="F46" i="23"/>
  <c r="E45" i="23"/>
  <c r="H34" i="17"/>
  <c r="D34" i="17"/>
  <c r="L72" i="23" l="1"/>
  <c r="D47" i="23"/>
  <c r="F47" i="23"/>
  <c r="E34" i="17"/>
  <c r="H70" i="17"/>
  <c r="D35" i="17"/>
  <c r="E35" i="17" s="1"/>
  <c r="H35" i="17"/>
  <c r="D48" i="23" l="1"/>
  <c r="E48" i="23" s="1"/>
  <c r="F48" i="23"/>
  <c r="E47" i="23"/>
  <c r="D36" i="17"/>
  <c r="E36" i="17" s="1"/>
  <c r="H36" i="17"/>
  <c r="D49" i="23" l="1"/>
  <c r="E49" i="23" s="1"/>
  <c r="F49" i="23"/>
  <c r="H37" i="17"/>
  <c r="D37" i="17"/>
  <c r="E37" i="17" s="1"/>
  <c r="D50" i="23" l="1"/>
  <c r="M72" i="23" s="1"/>
  <c r="F50" i="23"/>
  <c r="D38" i="17"/>
  <c r="E38" i="17" s="1"/>
  <c r="H38" i="17"/>
  <c r="D51" i="23" l="1"/>
  <c r="F51" i="23"/>
  <c r="E50" i="23"/>
  <c r="D39" i="17"/>
  <c r="E39" i="17" s="1"/>
  <c r="H39" i="17"/>
  <c r="I70" i="17"/>
  <c r="D52" i="23" l="1"/>
  <c r="E52" i="23" s="1"/>
  <c r="F52" i="23"/>
  <c r="E51" i="23"/>
  <c r="H40" i="17"/>
  <c r="D40" i="17"/>
  <c r="E40" i="17" s="1"/>
  <c r="M13" i="23" l="1"/>
  <c r="D53" i="23"/>
  <c r="F53" i="23"/>
  <c r="H41" i="17"/>
  <c r="D41" i="17"/>
  <c r="E41" i="17" s="1"/>
  <c r="E53" i="23" l="1"/>
  <c r="E54" i="23" s="1"/>
  <c r="D54" i="23"/>
  <c r="N72" i="23"/>
  <c r="O72" i="23" s="1"/>
  <c r="D42" i="17"/>
  <c r="E42" i="17" s="1"/>
  <c r="H42" i="17"/>
  <c r="P72" i="23" l="1"/>
  <c r="D43" i="17"/>
  <c r="E43" i="17" s="1"/>
  <c r="H43" i="17"/>
  <c r="J70" i="17"/>
  <c r="D44" i="17" l="1"/>
  <c r="E44" i="17" s="1"/>
  <c r="H44" i="17"/>
  <c r="H45" i="17" l="1"/>
  <c r="D45" i="17"/>
  <c r="E45" i="17" s="1"/>
  <c r="D46" i="17" l="1"/>
  <c r="E46" i="17" s="1"/>
  <c r="H46" i="17"/>
  <c r="D47" i="17" l="1"/>
  <c r="E47" i="17" s="1"/>
  <c r="H47" i="17"/>
  <c r="K70" i="17"/>
  <c r="D48" i="17" l="1"/>
  <c r="E48" i="17" s="1"/>
  <c r="H48" i="17"/>
  <c r="H49" i="17" l="1"/>
  <c r="D49" i="17"/>
  <c r="E49" i="17" s="1"/>
  <c r="D50" i="17" l="1"/>
  <c r="E50" i="17" s="1"/>
  <c r="H50" i="17"/>
  <c r="L70" i="17" l="1"/>
  <c r="H51" i="17"/>
  <c r="D51" i="17"/>
  <c r="E51" i="17" s="1"/>
  <c r="D52" i="17" l="1"/>
  <c r="E52" i="17" s="1"/>
  <c r="H52" i="17"/>
  <c r="D53" i="17" l="1"/>
  <c r="H53" i="17"/>
  <c r="E53" i="17" l="1"/>
  <c r="D54" i="17"/>
  <c r="G54" i="17" s="1"/>
  <c r="E54" i="17" l="1"/>
  <c r="M70" i="17"/>
  <c r="O70" i="17" s="1"/>
  <c r="P70" i="17" s="1"/>
  <c r="H7" i="2" l="1"/>
  <c r="H8" i="2" l="1"/>
  <c r="H9" i="2" l="1"/>
  <c r="H10" i="2" l="1"/>
  <c r="H15" i="2" l="1"/>
  <c r="C20" i="2" l="1"/>
  <c r="G20" i="2" s="1"/>
  <c r="D16" i="2"/>
  <c r="C18" i="2"/>
  <c r="G18" i="2" s="1"/>
  <c r="C19" i="2"/>
  <c r="C17" i="2"/>
  <c r="G17" i="2" s="1"/>
  <c r="C16" i="2"/>
  <c r="B6" i="146" l="1"/>
  <c r="G19" i="2"/>
  <c r="B5" i="146"/>
  <c r="G16" i="2"/>
  <c r="H16" i="2"/>
  <c r="D17" i="2" s="1"/>
  <c r="G5" i="146" l="1"/>
  <c r="G6" i="146"/>
  <c r="H17" i="2"/>
  <c r="D18" i="2" s="1"/>
  <c r="C5" i="146" l="1"/>
  <c r="H18" i="2"/>
  <c r="H19" i="2" l="1"/>
  <c r="D20" i="2" s="1"/>
  <c r="D19" i="2"/>
  <c r="F5" i="146"/>
  <c r="H20" i="2"/>
  <c r="D21" i="2" s="1"/>
  <c r="D73" i="2" l="1"/>
  <c r="C23" i="2"/>
  <c r="H21" i="2"/>
  <c r="D22" i="2" s="1"/>
  <c r="B7" i="146" l="1"/>
  <c r="G23" i="2"/>
  <c r="C6" i="146"/>
  <c r="H22" i="2"/>
  <c r="D23" i="2" s="1"/>
  <c r="F23" i="2"/>
  <c r="H23" i="2" l="1"/>
  <c r="D24" i="2" s="1"/>
  <c r="F6" i="146"/>
  <c r="G7" i="146"/>
  <c r="G20" i="146" s="1"/>
  <c r="B20" i="146"/>
  <c r="H24" i="2"/>
  <c r="D25" i="2" s="1"/>
  <c r="H25" i="2" l="1"/>
  <c r="D26" i="2" s="1"/>
  <c r="C7" i="146" l="1"/>
  <c r="H26" i="2"/>
  <c r="D27" i="2" s="1"/>
  <c r="F7" i="146" l="1"/>
  <c r="H27" i="2"/>
  <c r="D28" i="2" s="1"/>
  <c r="H28" i="2" l="1"/>
  <c r="D29" i="2" s="1"/>
  <c r="H29" i="2" l="1"/>
  <c r="D30" i="2" s="1"/>
  <c r="C8" i="146" l="1"/>
  <c r="H30" i="2"/>
  <c r="D31" i="2" s="1"/>
  <c r="F8" i="146" l="1"/>
  <c r="H31" i="2"/>
  <c r="D32" i="2" s="1"/>
  <c r="H32" i="2" l="1"/>
  <c r="D33" i="2" s="1"/>
  <c r="H33" i="2" l="1"/>
  <c r="D34" i="2" s="1"/>
  <c r="C9" i="146" l="1"/>
  <c r="F9" i="146" s="1"/>
  <c r="H34" i="2"/>
  <c r="D35" i="2" s="1"/>
  <c r="H35" i="2" l="1"/>
  <c r="D36" i="2" s="1"/>
  <c r="H36" i="2" l="1"/>
  <c r="D37" i="2" s="1"/>
  <c r="H37" i="2" l="1"/>
  <c r="D38" i="2" s="1"/>
  <c r="C10" i="146" l="1"/>
  <c r="F10" i="146" s="1"/>
  <c r="H38" i="2"/>
  <c r="D39" i="2" s="1"/>
  <c r="H39" i="2" l="1"/>
  <c r="D40" i="2" s="1"/>
  <c r="H40" i="2" l="1"/>
  <c r="D41" i="2" s="1"/>
  <c r="H41" i="2" l="1"/>
  <c r="D42" i="2" s="1"/>
  <c r="C11" i="146" l="1"/>
  <c r="F11" i="146" s="1"/>
  <c r="H42" i="2"/>
  <c r="D43" i="2" s="1"/>
  <c r="H43" i="2" l="1"/>
  <c r="D44" i="2" s="1"/>
  <c r="H44" i="2" l="1"/>
  <c r="D45" i="2" s="1"/>
  <c r="H45" i="2" l="1"/>
  <c r="D46" i="2" s="1"/>
  <c r="C12" i="146" l="1"/>
  <c r="F12" i="146" s="1"/>
  <c r="H46" i="2"/>
  <c r="D47" i="2" s="1"/>
  <c r="H47" i="2" l="1"/>
  <c r="D48" i="2" s="1"/>
  <c r="H48" i="2" l="1"/>
  <c r="D49" i="2" s="1"/>
  <c r="H49" i="2" l="1"/>
  <c r="D50" i="2" s="1"/>
  <c r="C13" i="146" l="1"/>
  <c r="F13" i="146" s="1"/>
  <c r="H50" i="2"/>
  <c r="D51" i="2" s="1"/>
  <c r="H51" i="2" l="1"/>
  <c r="D52" i="2" s="1"/>
  <c r="H52" i="2" l="1"/>
  <c r="C56" i="2" l="1"/>
  <c r="D53" i="2"/>
  <c r="H53" i="2"/>
  <c r="D54" i="2" s="1"/>
  <c r="C14" i="146" l="1"/>
  <c r="F14" i="146" s="1"/>
  <c r="H54" i="2"/>
  <c r="D55" i="2" s="1"/>
  <c r="C15" i="146" l="1"/>
  <c r="H55" i="2"/>
  <c r="F15" i="146" l="1"/>
  <c r="F20" i="146" s="1"/>
  <c r="C20" i="146"/>
  <c r="D56" i="2"/>
  <c r="G56" i="2" l="1"/>
  <c r="G55" i="30" l="1"/>
  <c r="I10" i="92" l="1"/>
  <c r="J10" i="92" s="1"/>
  <c r="J12" i="92" s="1"/>
</calcChain>
</file>

<file path=xl/sharedStrings.xml><?xml version="1.0" encoding="utf-8"?>
<sst xmlns="http://schemas.openxmlformats.org/spreadsheetml/2006/main" count="21133" uniqueCount="3169">
  <si>
    <t>AÑO</t>
  </si>
  <si>
    <t>INTERESES</t>
  </si>
  <si>
    <t>DEPARTAMENTO ADMINISTRATIVO DE HACIENDA Y FINANZAS PUBLICAS</t>
  </si>
  <si>
    <t xml:space="preserve">PROYECCION SERVICIO DEUDA PUBLICA - CREDITO $40.000 MILLONES </t>
  </si>
  <si>
    <t>BANCO DE OCCIDENTE</t>
  </si>
  <si>
    <t>FECHA</t>
  </si>
  <si>
    <t>CONCEPTO</t>
  </si>
  <si>
    <t>AMORTIZACION A CAPITAL</t>
  </si>
  <si>
    <t>SALDO DEUDA</t>
  </si>
  <si>
    <t>Intereses</t>
  </si>
  <si>
    <t>Capital + intereses</t>
  </si>
  <si>
    <t>Total</t>
  </si>
  <si>
    <t>Elaboró: José Fernando Castaño C.</t>
  </si>
  <si>
    <t>ENTIDAD FINANCIERA</t>
  </si>
  <si>
    <t>TIPO DE BANCA</t>
  </si>
  <si>
    <t>NIT</t>
  </si>
  <si>
    <t>SALDO A CAPITAL $</t>
  </si>
  <si>
    <t>TOTAL A PAGAR $</t>
  </si>
  <si>
    <t>Privada</t>
  </si>
  <si>
    <t>890.300.279-4</t>
  </si>
  <si>
    <t>FECHA DESEMBOLSO</t>
  </si>
  <si>
    <t>SPREAD = 0.25%</t>
  </si>
  <si>
    <t>REGISTRO MINHACIENDA</t>
  </si>
  <si>
    <t>LINEA REDESCUENTO FINDETER</t>
  </si>
  <si>
    <t>12 años y 2 años de gracia a capital</t>
  </si>
  <si>
    <t>Pago de Capital e intereses T.V.</t>
  </si>
  <si>
    <t>AÑO 2017</t>
  </si>
  <si>
    <t>AÑO 2018</t>
  </si>
  <si>
    <t>AÑO 2019</t>
  </si>
  <si>
    <t>AÑO 2020</t>
  </si>
  <si>
    <t>AÑO 2021</t>
  </si>
  <si>
    <t>AÑO 2022</t>
  </si>
  <si>
    <t>AÑO 2023</t>
  </si>
  <si>
    <t>AÑO 2024</t>
  </si>
  <si>
    <t>AÑO 2025</t>
  </si>
  <si>
    <t>AÑO 2026</t>
  </si>
  <si>
    <t>AÑO 2027</t>
  </si>
  <si>
    <t>AÑO 2028</t>
  </si>
  <si>
    <t>AÑO 2029</t>
  </si>
  <si>
    <t>VALOR $</t>
  </si>
  <si>
    <t>INTERES PROYECTADO</t>
  </si>
  <si>
    <t>INTERES PAGADO</t>
  </si>
  <si>
    <t xml:space="preserve"> </t>
  </si>
  <si>
    <t/>
  </si>
  <si>
    <t>Tasa efectiva</t>
  </si>
  <si>
    <t>Tasa nominal</t>
  </si>
  <si>
    <t>Fecha (dd/mm/aaaa)</t>
  </si>
  <si>
    <t>Excepción</t>
  </si>
  <si>
    <t>IBR</t>
  </si>
  <si>
    <t>N</t>
  </si>
  <si>
    <t>5,200 %</t>
  </si>
  <si>
    <t>5,032 %</t>
  </si>
  <si>
    <t>5,195 %</t>
  </si>
  <si>
    <t>5,027 %</t>
  </si>
  <si>
    <t>5,196 %</t>
  </si>
  <si>
    <t>5,028 %</t>
  </si>
  <si>
    <t>5,199 %</t>
  </si>
  <si>
    <t>5,216 %</t>
  </si>
  <si>
    <t>5,047 %</t>
  </si>
  <si>
    <t>5,210 %</t>
  </si>
  <si>
    <t>5,041 %</t>
  </si>
  <si>
    <t>5,208 %</t>
  </si>
  <si>
    <t>5,040 %</t>
  </si>
  <si>
    <t>5,203 %</t>
  </si>
  <si>
    <t>5,035 %</t>
  </si>
  <si>
    <t>5,146 %</t>
  </si>
  <si>
    <t>4,980 %</t>
  </si>
  <si>
    <t>5,151 %</t>
  </si>
  <si>
    <t>4,985 %</t>
  </si>
  <si>
    <t>5,167 %</t>
  </si>
  <si>
    <t>5,000 %</t>
  </si>
  <si>
    <t>5,164 %</t>
  </si>
  <si>
    <t>4,998 %</t>
  </si>
  <si>
    <t>5,157 %</t>
  </si>
  <si>
    <t>4,991 %</t>
  </si>
  <si>
    <t>5,161 %</t>
  </si>
  <si>
    <t>4,995 %</t>
  </si>
  <si>
    <t>5,154 %</t>
  </si>
  <si>
    <t>4,988 %</t>
  </si>
  <si>
    <t>5,156 %</t>
  </si>
  <si>
    <t>4,990 %</t>
  </si>
  <si>
    <t>5,145 %</t>
  </si>
  <si>
    <t>5,135 %</t>
  </si>
  <si>
    <t>4,970 %</t>
  </si>
  <si>
    <t>5,144 %</t>
  </si>
  <si>
    <t>4,978 %</t>
  </si>
  <si>
    <t>5,140 %</t>
  </si>
  <si>
    <t>4,975 %</t>
  </si>
  <si>
    <t>5,193 %</t>
  </si>
  <si>
    <t>5,025 %</t>
  </si>
  <si>
    <t>5,206 %</t>
  </si>
  <si>
    <t>5,038 %</t>
  </si>
  <si>
    <t>5,219 %</t>
  </si>
  <si>
    <t>5,050 %</t>
  </si>
  <si>
    <t>5,228 %</t>
  </si>
  <si>
    <t>5,059 %</t>
  </si>
  <si>
    <t>5,229 %</t>
  </si>
  <si>
    <t>5,060 %</t>
  </si>
  <si>
    <t>5,240 %</t>
  </si>
  <si>
    <t>5,070 %</t>
  </si>
  <si>
    <t>5,251 %</t>
  </si>
  <si>
    <t>5,080 %</t>
  </si>
  <si>
    <t>5,230 %</t>
  </si>
  <si>
    <t>5,233 %</t>
  </si>
  <si>
    <t>5,063 %</t>
  </si>
  <si>
    <t>5,239 %</t>
  </si>
  <si>
    <t>5,069 %</t>
  </si>
  <si>
    <t>5,299 %</t>
  </si>
  <si>
    <t>5,127 %</t>
  </si>
  <si>
    <t>5,305 %</t>
  </si>
  <si>
    <t>5,132 %</t>
  </si>
  <si>
    <t>5,324 %</t>
  </si>
  <si>
    <t>5,150 %</t>
  </si>
  <si>
    <t>5,345 %</t>
  </si>
  <si>
    <t>5,170 %</t>
  </si>
  <si>
    <t>5,353 %</t>
  </si>
  <si>
    <t>5,178 %</t>
  </si>
  <si>
    <t>5,330 %</t>
  </si>
  <si>
    <t>5,155 %</t>
  </si>
  <si>
    <t>5,322 %</t>
  </si>
  <si>
    <t>5,148 %</t>
  </si>
  <si>
    <t>5,314 %</t>
  </si>
  <si>
    <t>5,346 %</t>
  </si>
  <si>
    <t>5,171 %</t>
  </si>
  <si>
    <t>5,335 %</t>
  </si>
  <si>
    <t>5,160 %</t>
  </si>
  <si>
    <t>5,351 %</t>
  </si>
  <si>
    <t>5,175 %</t>
  </si>
  <si>
    <t>5,380 %</t>
  </si>
  <si>
    <t>5,369 %</t>
  </si>
  <si>
    <t>5,192 %</t>
  </si>
  <si>
    <t>5,399 %</t>
  </si>
  <si>
    <t>5,222 %</t>
  </si>
  <si>
    <t>5,375 %</t>
  </si>
  <si>
    <t>5,198 %</t>
  </si>
  <si>
    <t>5,363 %</t>
  </si>
  <si>
    <t>5,187 %</t>
  </si>
  <si>
    <t>5,382 %</t>
  </si>
  <si>
    <t>5,205 %</t>
  </si>
  <si>
    <t>5,504 %</t>
  </si>
  <si>
    <t>5,320 %</t>
  </si>
  <si>
    <t>5,502 %</t>
  </si>
  <si>
    <t>5,318 %</t>
  </si>
  <si>
    <t>5,550 %</t>
  </si>
  <si>
    <t>5,364 %</t>
  </si>
  <si>
    <t>5,567 %</t>
  </si>
  <si>
    <t>5,599 %</t>
  </si>
  <si>
    <t>5,411 %</t>
  </si>
  <si>
    <t>5,618 %</t>
  </si>
  <si>
    <t>5,428 %</t>
  </si>
  <si>
    <t>5,630 %</t>
  </si>
  <si>
    <t>5,440 %</t>
  </si>
  <si>
    <t>5,649 %</t>
  </si>
  <si>
    <t>5,458 %</t>
  </si>
  <si>
    <t>5,626 %</t>
  </si>
  <si>
    <t>5,437 %</t>
  </si>
  <si>
    <t>5,640 %</t>
  </si>
  <si>
    <t>5,449 %</t>
  </si>
  <si>
    <t>5,634 %</t>
  </si>
  <si>
    <t>5,443 %</t>
  </si>
  <si>
    <t>5,651 %</t>
  </si>
  <si>
    <t>5,460 %</t>
  </si>
  <si>
    <t>5,674 %</t>
  </si>
  <si>
    <t>5,481 %</t>
  </si>
  <si>
    <t>5,698 %</t>
  </si>
  <si>
    <t>5,505 %</t>
  </si>
  <si>
    <t>5,725 %</t>
  </si>
  <si>
    <t>5,530 %</t>
  </si>
  <si>
    <t>5,747 %</t>
  </si>
  <si>
    <t>5,776 %</t>
  </si>
  <si>
    <t>5,578 %</t>
  </si>
  <si>
    <t>5,845 %</t>
  </si>
  <si>
    <t>5,643 %</t>
  </si>
  <si>
    <t>5,862 %</t>
  </si>
  <si>
    <t>5,660 %</t>
  </si>
  <si>
    <t>5,866 %</t>
  </si>
  <si>
    <t>5,663 %</t>
  </si>
  <si>
    <t>5,870 %</t>
  </si>
  <si>
    <t>5,667 %</t>
  </si>
  <si>
    <t>5,889 %</t>
  </si>
  <si>
    <t>5,685 %</t>
  </si>
  <si>
    <t>5,843 %</t>
  </si>
  <si>
    <t>5,641 %</t>
  </si>
  <si>
    <t>5,874 %</t>
  </si>
  <si>
    <t>5,670 %</t>
  </si>
  <si>
    <t>5,926 %</t>
  </si>
  <si>
    <t>5,720 %</t>
  </si>
  <si>
    <t>5,978 %</t>
  </si>
  <si>
    <t>5,770 %</t>
  </si>
  <si>
    <t>5,979 %</t>
  </si>
  <si>
    <t>5,985 %</t>
  </si>
  <si>
    <t>5,775 %</t>
  </si>
  <si>
    <t>6,006 %</t>
  </si>
  <si>
    <t>5,795 %</t>
  </si>
  <si>
    <t>5,966 %</t>
  </si>
  <si>
    <t>5,757 %</t>
  </si>
  <si>
    <t>5,758 %</t>
  </si>
  <si>
    <t>5,959 %</t>
  </si>
  <si>
    <t>5,751 %</t>
  </si>
  <si>
    <t>5,961 %</t>
  </si>
  <si>
    <t>5,753 %</t>
  </si>
  <si>
    <t>5,992 %</t>
  </si>
  <si>
    <t>5,782 %</t>
  </si>
  <si>
    <t>5,995 %</t>
  </si>
  <si>
    <t>5,785 %</t>
  </si>
  <si>
    <t>5,999 %</t>
  </si>
  <si>
    <t>5,790 %</t>
  </si>
  <si>
    <t>6,032 %</t>
  </si>
  <si>
    <t>5,820 %</t>
  </si>
  <si>
    <t>6,030 %</t>
  </si>
  <si>
    <t>5,818 %</t>
  </si>
  <si>
    <t>6,197 %</t>
  </si>
  <si>
    <t>5,975 %</t>
  </si>
  <si>
    <t>6,278 %</t>
  </si>
  <si>
    <t>6,051 %</t>
  </si>
  <si>
    <t>6,303 %</t>
  </si>
  <si>
    <t>6,075 %</t>
  </si>
  <si>
    <t>6,287 %</t>
  </si>
  <si>
    <t>6,060 %</t>
  </si>
  <si>
    <t>6,270 %</t>
  </si>
  <si>
    <t>6,044 %</t>
  </si>
  <si>
    <t>6,309 %</t>
  </si>
  <si>
    <t>6,080 %</t>
  </si>
  <si>
    <t>6,345 %</t>
  </si>
  <si>
    <t>6,115 %</t>
  </si>
  <si>
    <t>6,326 %</t>
  </si>
  <si>
    <t>6,096 %</t>
  </si>
  <si>
    <t>6,409 %</t>
  </si>
  <si>
    <t>6,175 %</t>
  </si>
  <si>
    <t>6,530 %</t>
  </si>
  <si>
    <t>6,288 %</t>
  </si>
  <si>
    <t>6,558 %</t>
  </si>
  <si>
    <t>6,315 %</t>
  </si>
  <si>
    <t>6,564 %</t>
  </si>
  <si>
    <t>6,320 %</t>
  </si>
  <si>
    <t>6,556 %</t>
  </si>
  <si>
    <t>6,313 %</t>
  </si>
  <si>
    <t>6,574 %</t>
  </si>
  <si>
    <t>6,330 %</t>
  </si>
  <si>
    <t>6,539 %</t>
  </si>
  <si>
    <t>6,297 %</t>
  </si>
  <si>
    <t>6,585 %</t>
  </si>
  <si>
    <t>6,340 %</t>
  </si>
  <si>
    <t>6,611 %</t>
  </si>
  <si>
    <t>6,365 %</t>
  </si>
  <si>
    <t>6,623 %</t>
  </si>
  <si>
    <t>6,376 %</t>
  </si>
  <si>
    <t>6,638 %</t>
  </si>
  <si>
    <t>6,390 %</t>
  </si>
  <si>
    <t>6,645 %</t>
  </si>
  <si>
    <t>6,397 %</t>
  </si>
  <si>
    <t>6,649 %</t>
  </si>
  <si>
    <t>6,401 %</t>
  </si>
  <si>
    <t>6,655 %</t>
  </si>
  <si>
    <t>6,407 %</t>
  </si>
  <si>
    <t>6,660 %</t>
  </si>
  <si>
    <t>6,411 %</t>
  </si>
  <si>
    <t>6,567 %</t>
  </si>
  <si>
    <t>6,325 %</t>
  </si>
  <si>
    <t>6,341 %</t>
  </si>
  <si>
    <t>6,647 %</t>
  </si>
  <si>
    <t>6,399 %</t>
  </si>
  <si>
    <t>6,678 %</t>
  </si>
  <si>
    <t>6,428 %</t>
  </si>
  <si>
    <t>6,689 %</t>
  </si>
  <si>
    <t>6,440 %</t>
  </si>
  <si>
    <t>6,733 %</t>
  </si>
  <si>
    <t>6,480 %</t>
  </si>
  <si>
    <t>6,786 %</t>
  </si>
  <si>
    <t>6,854 %</t>
  </si>
  <si>
    <t>6,593 %</t>
  </si>
  <si>
    <t>6,856 %</t>
  </si>
  <si>
    <t>6,595 %</t>
  </si>
  <si>
    <t>6,872 %</t>
  </si>
  <si>
    <t>6,612 %</t>
  </si>
  <si>
    <t>6,885 %</t>
  </si>
  <si>
    <t>6,893 %</t>
  </si>
  <si>
    <t>6,630 %</t>
  </si>
  <si>
    <t>6,904 %</t>
  </si>
  <si>
    <t>6,640 %</t>
  </si>
  <si>
    <t>6,913 %</t>
  </si>
  <si>
    <t>6,987 %</t>
  </si>
  <si>
    <t>6,719 %</t>
  </si>
  <si>
    <t>7,005 %</t>
  </si>
  <si>
    <t>6,735 %</t>
  </si>
  <si>
    <t>7,021 %</t>
  </si>
  <si>
    <t>6,750 %</t>
  </si>
  <si>
    <t>7,030 %</t>
  </si>
  <si>
    <t>6,758 %</t>
  </si>
  <si>
    <t>7,019 %</t>
  </si>
  <si>
    <t>6,748 %</t>
  </si>
  <si>
    <t>7,234 %</t>
  </si>
  <si>
    <t>6,948 %</t>
  </si>
  <si>
    <t>7,215 %</t>
  </si>
  <si>
    <t>6,930 %</t>
  </si>
  <si>
    <t>7,316 %</t>
  </si>
  <si>
    <t>7,025 %</t>
  </si>
  <si>
    <t>7,331 %</t>
  </si>
  <si>
    <t>7,040 %</t>
  </si>
  <si>
    <t>7,338 %</t>
  </si>
  <si>
    <t>7,045 %</t>
  </si>
  <si>
    <t>7,347 %</t>
  </si>
  <si>
    <t>7,053 %</t>
  </si>
  <si>
    <t>7,384 %</t>
  </si>
  <si>
    <t>7,088 %</t>
  </si>
  <si>
    <t>7,364 %</t>
  </si>
  <si>
    <t>7,070 %</t>
  </si>
  <si>
    <t>7,356 %</t>
  </si>
  <si>
    <t>7,063 %</t>
  </si>
  <si>
    <t>7,322 %</t>
  </si>
  <si>
    <t>7,317 %</t>
  </si>
  <si>
    <t>7,311 %</t>
  </si>
  <si>
    <t>7,020 %</t>
  </si>
  <si>
    <t>7,305 %</t>
  </si>
  <si>
    <t>7,015 %</t>
  </si>
  <si>
    <t>7,342 %</t>
  </si>
  <si>
    <t>7,050 %</t>
  </si>
  <si>
    <t>7,304 %</t>
  </si>
  <si>
    <t>7,013 %</t>
  </si>
  <si>
    <t>7,301 %</t>
  </si>
  <si>
    <t>7,010 %</t>
  </si>
  <si>
    <t>7,321 %</t>
  </si>
  <si>
    <t>7,332 %</t>
  </si>
  <si>
    <t>7,038 %</t>
  </si>
  <si>
    <t>7,275 %</t>
  </si>
  <si>
    <t>6,985 %</t>
  </si>
  <si>
    <t>7,022 %</t>
  </si>
  <si>
    <t>7,057 %</t>
  </si>
  <si>
    <t>6,783 %</t>
  </si>
  <si>
    <t>7,049 %</t>
  </si>
  <si>
    <t>6,775 %</t>
  </si>
  <si>
    <t>7,078 %</t>
  </si>
  <si>
    <t>6,802 %</t>
  </si>
  <si>
    <t>7,087 %</t>
  </si>
  <si>
    <t>6,811 %</t>
  </si>
  <si>
    <t>7,102 %</t>
  </si>
  <si>
    <t>6,825 %</t>
  </si>
  <si>
    <t>7,114 %</t>
  </si>
  <si>
    <t>6,836 %</t>
  </si>
  <si>
    <t>7,124 %</t>
  </si>
  <si>
    <t>6,845 %</t>
  </si>
  <si>
    <t>7,115 %</t>
  </si>
  <si>
    <t>6,837 %</t>
  </si>
  <si>
    <t>7,112 %</t>
  </si>
  <si>
    <t>6,835 %</t>
  </si>
  <si>
    <t>7,100 %</t>
  </si>
  <si>
    <t>7,104 %</t>
  </si>
  <si>
    <t>6,827 %</t>
  </si>
  <si>
    <t>7,149 %</t>
  </si>
  <si>
    <t>6,869 %</t>
  </si>
  <si>
    <t>7,161 %</t>
  </si>
  <si>
    <t>6,880 %</t>
  </si>
  <si>
    <t>7,129 %</t>
  </si>
  <si>
    <t>6,850 %</t>
  </si>
  <si>
    <t>7,204 %</t>
  </si>
  <si>
    <t>6,920 %</t>
  </si>
  <si>
    <t>7,203 %</t>
  </si>
  <si>
    <t>Indicador bancario de referencia (IBR)</t>
  </si>
  <si>
    <t>1.3. Plazo tres meses para un rango de fechas dado_periodicidad diaria</t>
  </si>
  <si>
    <t>Desembolso</t>
  </si>
  <si>
    <t>Control</t>
  </si>
  <si>
    <t xml:space="preserve">Contrato </t>
  </si>
  <si>
    <t>CONTRATO DE EMPRESTITO - $40.000MM SEPTIEMBRE 2017.docx</t>
  </si>
  <si>
    <t>INFORMACIÓN CRÉDITO</t>
  </si>
  <si>
    <t>BANCO DAVIVIENDA</t>
  </si>
  <si>
    <t xml:space="preserve"> INTERESES DICIEMBRE  2017</t>
  </si>
  <si>
    <t>8 de septiembre de 2017</t>
  </si>
  <si>
    <t>Convenio interadministrativo 1098 del 14/07/2017 Mineducaciòn</t>
  </si>
  <si>
    <t>IBR PARA 3 MESES</t>
  </si>
  <si>
    <t>Infraestructura Educativa colegios Valle del Cauca</t>
  </si>
  <si>
    <t xml:space="preserve">SPREAD </t>
  </si>
  <si>
    <t>El valor  desembolsado se  consigna en Patrimonio Autonomo BBVA</t>
  </si>
  <si>
    <t>Días</t>
  </si>
  <si>
    <t>TASA EFECTIVA ANUAL</t>
  </si>
  <si>
    <t>LINEA FINDETER</t>
  </si>
  <si>
    <t xml:space="preserve">IBR EA Estimado </t>
  </si>
  <si>
    <t>SPREAD = 2,70%</t>
  </si>
  <si>
    <t>DIAS</t>
  </si>
  <si>
    <t>PROYECCION  INTERESES POR AÑOS</t>
  </si>
  <si>
    <t>Cuadre i</t>
  </si>
  <si>
    <t>PROYECCION AMORTIZACION  CAPITAL POR AÑOS</t>
  </si>
  <si>
    <t>Cuadre k</t>
  </si>
  <si>
    <t>PROYECCION INTERESES</t>
  </si>
  <si>
    <t>TOTAL SERVICIO DEUDA PROYECTADO</t>
  </si>
  <si>
    <t>TOTAL SERVICIO DEUDA REAL</t>
  </si>
  <si>
    <t>BANCO OCCIDENTE</t>
  </si>
  <si>
    <t>Información disponible a partir del 01 de agosto de 2012.</t>
  </si>
  <si>
    <t>BANAGRARIO</t>
  </si>
  <si>
    <t>BBVA Colombia</t>
  </si>
  <si>
    <t>Banco Gnb Sudameris S.A.</t>
  </si>
  <si>
    <t>CITIBANK</t>
  </si>
  <si>
    <t>BANCOLOMBIA</t>
  </si>
  <si>
    <t>BANCO CORPBANCA</t>
  </si>
  <si>
    <t>Banco Santander Colombia</t>
  </si>
  <si>
    <t>ITAU CORPBANCA</t>
  </si>
  <si>
    <t>BANCO DE BOGOTÁ</t>
  </si>
  <si>
    <t>4,989 %</t>
  </si>
  <si>
    <t>4,999 %</t>
  </si>
  <si>
    <t>5,159 %</t>
  </si>
  <si>
    <t>4,993 %</t>
  </si>
  <si>
    <t>5,008 %</t>
  </si>
  <si>
    <t>5,010 %</t>
  </si>
  <si>
    <t>4,973 %</t>
  </si>
  <si>
    <t>5,024 %</t>
  </si>
  <si>
    <t>5,147 %</t>
  </si>
  <si>
    <t>4,982 %</t>
  </si>
  <si>
    <t>4,960 %</t>
  </si>
  <si>
    <t>4,984 %</t>
  </si>
  <si>
    <t>4,950 %</t>
  </si>
  <si>
    <t>4,983 %</t>
  </si>
  <si>
    <t>5,020 %</t>
  </si>
  <si>
    <t>4,976 %</t>
  </si>
  <si>
    <t>5,166 %</t>
  </si>
  <si>
    <t>5,005 %</t>
  </si>
  <si>
    <t>5,015 %</t>
  </si>
  <si>
    <t>5,003 %</t>
  </si>
  <si>
    <t>5,006 %</t>
  </si>
  <si>
    <t>5,174 %</t>
  </si>
  <si>
    <t>5,007 %</t>
  </si>
  <si>
    <t>4,986 %</t>
  </si>
  <si>
    <t>5,177 %</t>
  </si>
  <si>
    <t>5,029 %</t>
  </si>
  <si>
    <t>5,197 %</t>
  </si>
  <si>
    <t>5,030 %</t>
  </si>
  <si>
    <t>5,033 %</t>
  </si>
  <si>
    <t>5,023 %</t>
  </si>
  <si>
    <t>5,037 %</t>
  </si>
  <si>
    <t>5,021 %</t>
  </si>
  <si>
    <t>5,019 %</t>
  </si>
  <si>
    <t>5,049 %</t>
  </si>
  <si>
    <t>5,045 %</t>
  </si>
  <si>
    <t>5,073 %</t>
  </si>
  <si>
    <t>5,042 %</t>
  </si>
  <si>
    <t>4,979 %</t>
  </si>
  <si>
    <t>5,011 %</t>
  </si>
  <si>
    <t>5,016 %</t>
  </si>
  <si>
    <t>4,997 %</t>
  </si>
  <si>
    <t>5,014 %</t>
  </si>
  <si>
    <t>4,992 %</t>
  </si>
  <si>
    <t>4,935 %</t>
  </si>
  <si>
    <t>5,004 %</t>
  </si>
  <si>
    <t>4,967 %</t>
  </si>
  <si>
    <t>4,954 %</t>
  </si>
  <si>
    <t>4,965 %</t>
  </si>
  <si>
    <t>4,969 %</t>
  </si>
  <si>
    <t>4,958 %</t>
  </si>
  <si>
    <t>4,968 %</t>
  </si>
  <si>
    <t>4,956 %</t>
  </si>
  <si>
    <t>4,920 %</t>
  </si>
  <si>
    <t>5,039 %</t>
  </si>
  <si>
    <t>5,036 %</t>
  </si>
  <si>
    <t>5,052 %</t>
  </si>
  <si>
    <t>5,065 %</t>
  </si>
  <si>
    <t>5,048 %</t>
  </si>
  <si>
    <t>5,055 %</t>
  </si>
  <si>
    <t>5,057 %</t>
  </si>
  <si>
    <t>5,051 %</t>
  </si>
  <si>
    <t>5,085 %</t>
  </si>
  <si>
    <t>5,079 %</t>
  </si>
  <si>
    <t>5,075 %</t>
  </si>
  <si>
    <t>5,090 %</t>
  </si>
  <si>
    <t>5,076 %</t>
  </si>
  <si>
    <t>5,095 %</t>
  </si>
  <si>
    <t>5,071 %</t>
  </si>
  <si>
    <t>5,044 %</t>
  </si>
  <si>
    <t>5,043 %</t>
  </si>
  <si>
    <t>5,077 %</t>
  </si>
  <si>
    <t>5,067 %</t>
  </si>
  <si>
    <t>5,068 %</t>
  </si>
  <si>
    <t>5,086 %</t>
  </si>
  <si>
    <t>5,093 %</t>
  </si>
  <si>
    <t>5,046 %</t>
  </si>
  <si>
    <t>5,034 %</t>
  </si>
  <si>
    <t>5,130 %</t>
  </si>
  <si>
    <t>5,120 %</t>
  </si>
  <si>
    <t>5,124 %</t>
  </si>
  <si>
    <t>5,133 %</t>
  </si>
  <si>
    <t>5,137 %</t>
  </si>
  <si>
    <t>5,110 %</t>
  </si>
  <si>
    <t>5,136 %</t>
  </si>
  <si>
    <t>5,142 %</t>
  </si>
  <si>
    <t>5,143 %</t>
  </si>
  <si>
    <t>5,181 %</t>
  </si>
  <si>
    <t>5,189 %</t>
  </si>
  <si>
    <t>5,180 %</t>
  </si>
  <si>
    <t>5,183 %</t>
  </si>
  <si>
    <t>5,169 %</t>
  </si>
  <si>
    <t>5,165 %</t>
  </si>
  <si>
    <t>5,149 %</t>
  </si>
  <si>
    <t>5,131 %</t>
  </si>
  <si>
    <t>5,172 %</t>
  </si>
  <si>
    <t>5,179 %</t>
  </si>
  <si>
    <t>5,162 %</t>
  </si>
  <si>
    <t>5,163 %</t>
  </si>
  <si>
    <t>5,152 %</t>
  </si>
  <si>
    <t>5,134 %</t>
  </si>
  <si>
    <t>5,182 %</t>
  </si>
  <si>
    <t>5,190 %</t>
  </si>
  <si>
    <t>5,168 %</t>
  </si>
  <si>
    <t>5,217 %</t>
  </si>
  <si>
    <t>5,215 %</t>
  </si>
  <si>
    <t>5,226 %</t>
  </si>
  <si>
    <t>5,225 %</t>
  </si>
  <si>
    <t>5,218 %</t>
  </si>
  <si>
    <t>5,173 %</t>
  </si>
  <si>
    <t>5,211 %</t>
  </si>
  <si>
    <t>5,223 %</t>
  </si>
  <si>
    <t>5,238 %</t>
  </si>
  <si>
    <t>5,325 %</t>
  </si>
  <si>
    <t>5,327 %</t>
  </si>
  <si>
    <t>5,291 %</t>
  </si>
  <si>
    <t>5,300 %</t>
  </si>
  <si>
    <t>5,310 %</t>
  </si>
  <si>
    <t>5,290 %</t>
  </si>
  <si>
    <t>5,315 %</t>
  </si>
  <si>
    <t>5,280 %</t>
  </si>
  <si>
    <t>5,321 %</t>
  </si>
  <si>
    <t>5,360 %</t>
  </si>
  <si>
    <t>5,384 %</t>
  </si>
  <si>
    <t>5,370 %</t>
  </si>
  <si>
    <t>5,368 %</t>
  </si>
  <si>
    <t>5,340 %</t>
  </si>
  <si>
    <t>5,416 %</t>
  </si>
  <si>
    <t>5,383 %</t>
  </si>
  <si>
    <t>5,373 %</t>
  </si>
  <si>
    <t>5,400 %</t>
  </si>
  <si>
    <t>5,435 %</t>
  </si>
  <si>
    <t>5,425 %</t>
  </si>
  <si>
    <t>5,420 %</t>
  </si>
  <si>
    <t>5,390 %</t>
  </si>
  <si>
    <t>5,410 %</t>
  </si>
  <si>
    <t>5,455 %</t>
  </si>
  <si>
    <t>5,436 %</t>
  </si>
  <si>
    <t>5,404 %</t>
  </si>
  <si>
    <t>5,430 %</t>
  </si>
  <si>
    <t>5,456 %</t>
  </si>
  <si>
    <t>5,451 %</t>
  </si>
  <si>
    <t>5,450 %</t>
  </si>
  <si>
    <t>5,466 %</t>
  </si>
  <si>
    <t>5,439 %</t>
  </si>
  <si>
    <t>5,447 %</t>
  </si>
  <si>
    <t>5,431 %</t>
  </si>
  <si>
    <t>5,445 %</t>
  </si>
  <si>
    <t>5,452 %</t>
  </si>
  <si>
    <t>5,478 %</t>
  </si>
  <si>
    <t>5,473 %</t>
  </si>
  <si>
    <t>5,480 %</t>
  </si>
  <si>
    <t>5,495 %</t>
  </si>
  <si>
    <t>5,485 %</t>
  </si>
  <si>
    <t>5,470 %</t>
  </si>
  <si>
    <t>5,520 %</t>
  </si>
  <si>
    <t>5,534 %</t>
  </si>
  <si>
    <t>5,529 %</t>
  </si>
  <si>
    <t>5,510 %</t>
  </si>
  <si>
    <t>5,486 %</t>
  </si>
  <si>
    <t>5,500 %</t>
  </si>
  <si>
    <t>5,562 %</t>
  </si>
  <si>
    <t>5,537 %</t>
  </si>
  <si>
    <t>5,515 %</t>
  </si>
  <si>
    <t>5,523 %</t>
  </si>
  <si>
    <t>5,564 %</t>
  </si>
  <si>
    <t>5,560 %</t>
  </si>
  <si>
    <t>5,544 %</t>
  </si>
  <si>
    <t>5,540 %</t>
  </si>
  <si>
    <t>5,555 %</t>
  </si>
  <si>
    <t>5,570 %</t>
  </si>
  <si>
    <t>5,590 %</t>
  </si>
  <si>
    <t>5,588 %</t>
  </si>
  <si>
    <t>5,580 %</t>
  </si>
  <si>
    <t>5,561 %</t>
  </si>
  <si>
    <t>5,575 %</t>
  </si>
  <si>
    <t>5,650 %</t>
  </si>
  <si>
    <t>5,635 %</t>
  </si>
  <si>
    <t>5,620 %</t>
  </si>
  <si>
    <t>5,645 %</t>
  </si>
  <si>
    <t>5,750 %</t>
  </si>
  <si>
    <t>5,669 %</t>
  </si>
  <si>
    <t>5,666 %</t>
  </si>
  <si>
    <t>5,675 %</t>
  </si>
  <si>
    <t>5,673 %</t>
  </si>
  <si>
    <t>5,689 %</t>
  </si>
  <si>
    <t>5,680 %</t>
  </si>
  <si>
    <t>5,687 %</t>
  </si>
  <si>
    <t>5,700 %</t>
  </si>
  <si>
    <t>5,710 %</t>
  </si>
  <si>
    <t>5,638 %</t>
  </si>
  <si>
    <t>5,659 %</t>
  </si>
  <si>
    <t>5,654 %</t>
  </si>
  <si>
    <t>5,646 %</t>
  </si>
  <si>
    <t>5,682 %</t>
  </si>
  <si>
    <t>5,678 %</t>
  </si>
  <si>
    <t>5,652 %</t>
  </si>
  <si>
    <t>5,665 %</t>
  </si>
  <si>
    <t>5,717 %</t>
  </si>
  <si>
    <t>5,690 %</t>
  </si>
  <si>
    <t>5,699 %</t>
  </si>
  <si>
    <t>5,738 %</t>
  </si>
  <si>
    <t>5,705 %</t>
  </si>
  <si>
    <t>5,760 %</t>
  </si>
  <si>
    <t>5,765 %</t>
  </si>
  <si>
    <t>5,780 %</t>
  </si>
  <si>
    <t>5,769 %</t>
  </si>
  <si>
    <t>5,791 %</t>
  </si>
  <si>
    <t>5,762 %</t>
  </si>
  <si>
    <t>5,787 %</t>
  </si>
  <si>
    <t>5,810 %</t>
  </si>
  <si>
    <t>5,777 %</t>
  </si>
  <si>
    <t>5,789 %</t>
  </si>
  <si>
    <t>5,800 %</t>
  </si>
  <si>
    <t>5,755 %</t>
  </si>
  <si>
    <t>5,759 %</t>
  </si>
  <si>
    <t>5,749 %</t>
  </si>
  <si>
    <t>5,752 %</t>
  </si>
  <si>
    <t>5,764 %</t>
  </si>
  <si>
    <t>5,740 %</t>
  </si>
  <si>
    <t>5,730 %</t>
  </si>
  <si>
    <t>5,773 %</t>
  </si>
  <si>
    <t>5,756 %</t>
  </si>
  <si>
    <t>5,783 %</t>
  </si>
  <si>
    <t>5,786 %</t>
  </si>
  <si>
    <t>5,804 %</t>
  </si>
  <si>
    <t>5,766 %</t>
  </si>
  <si>
    <t>5,794 %</t>
  </si>
  <si>
    <t>5,823 %</t>
  </si>
  <si>
    <t>5,821 %</t>
  </si>
  <si>
    <t>5,825 %</t>
  </si>
  <si>
    <t>5,830 %</t>
  </si>
  <si>
    <t>5,834 %</t>
  </si>
  <si>
    <t>5,840 %</t>
  </si>
  <si>
    <t>5,815 %</t>
  </si>
  <si>
    <t>5,816 %</t>
  </si>
  <si>
    <t>5,940 %</t>
  </si>
  <si>
    <t>5,990 %</t>
  </si>
  <si>
    <t>6,000 %</t>
  </si>
  <si>
    <t>5,950 %</t>
  </si>
  <si>
    <t>5,970 %</t>
  </si>
  <si>
    <t>5,980 %</t>
  </si>
  <si>
    <t>6,050 %</t>
  </si>
  <si>
    <t>6,052 %</t>
  </si>
  <si>
    <t>6,072 %</t>
  </si>
  <si>
    <t>6,040 %</t>
  </si>
  <si>
    <t>6,069 %</t>
  </si>
  <si>
    <t>6,070 %</t>
  </si>
  <si>
    <t>6,058 %</t>
  </si>
  <si>
    <t>6,100 %</t>
  </si>
  <si>
    <t>6,074 %</t>
  </si>
  <si>
    <t>6,059 %</t>
  </si>
  <si>
    <t>6,053 %</t>
  </si>
  <si>
    <t>6,088 %</t>
  </si>
  <si>
    <t>6,062 %</t>
  </si>
  <si>
    <t>6,078 %</t>
  </si>
  <si>
    <t>6,047 %</t>
  </si>
  <si>
    <t>6,085 %</t>
  </si>
  <si>
    <t>6,110 %</t>
  </si>
  <si>
    <t>6,120 %</t>
  </si>
  <si>
    <t>6,129 %</t>
  </si>
  <si>
    <t>6,130 %</t>
  </si>
  <si>
    <t>6,090 %</t>
  </si>
  <si>
    <t>6,109 %</t>
  </si>
  <si>
    <t>6,091 %</t>
  </si>
  <si>
    <t>6,108 %</t>
  </si>
  <si>
    <t>6,150 %</t>
  </si>
  <si>
    <t>6,180 %</t>
  </si>
  <si>
    <t>6,178 %</t>
  </si>
  <si>
    <t>6,171 %</t>
  </si>
  <si>
    <t>6,160 %</t>
  </si>
  <si>
    <t>6,190 %</t>
  </si>
  <si>
    <t>6,185 %</t>
  </si>
  <si>
    <t>6,300 %</t>
  </si>
  <si>
    <t>6,290 %</t>
  </si>
  <si>
    <t>6,280 %</t>
  </si>
  <si>
    <t>6,286 %</t>
  </si>
  <si>
    <t>6,310 %</t>
  </si>
  <si>
    <t>6,321 %</t>
  </si>
  <si>
    <t>6,322 %</t>
  </si>
  <si>
    <t>6,324 %</t>
  </si>
  <si>
    <t>6,335 %</t>
  </si>
  <si>
    <t>6,329 %</t>
  </si>
  <si>
    <t>6,323 %</t>
  </si>
  <si>
    <t>6,350 %</t>
  </si>
  <si>
    <t>6,338 %</t>
  </si>
  <si>
    <t>6,306 %</t>
  </si>
  <si>
    <t>6,304 %</t>
  </si>
  <si>
    <t>6,367 %</t>
  </si>
  <si>
    <t>6,339 %</t>
  </si>
  <si>
    <t>6,360 %</t>
  </si>
  <si>
    <t>6,370 %</t>
  </si>
  <si>
    <t>6,377 %</t>
  </si>
  <si>
    <t>6,363 %</t>
  </si>
  <si>
    <t>6,380 %</t>
  </si>
  <si>
    <t>6,378 %</t>
  </si>
  <si>
    <t>6,371 %</t>
  </si>
  <si>
    <t>6,375 %</t>
  </si>
  <si>
    <t>6,405 %</t>
  </si>
  <si>
    <t>6,384 %</t>
  </si>
  <si>
    <t>6,395 %</t>
  </si>
  <si>
    <t>6,400 %</t>
  </si>
  <si>
    <t>6,398 %</t>
  </si>
  <si>
    <t>6,382 %</t>
  </si>
  <si>
    <t>6,402 %</t>
  </si>
  <si>
    <t>6,410 %</t>
  </si>
  <si>
    <t>6,386 %</t>
  </si>
  <si>
    <t>6,415 %</t>
  </si>
  <si>
    <t>6,412 %</t>
  </si>
  <si>
    <t>6,403 %</t>
  </si>
  <si>
    <t>6,421 %</t>
  </si>
  <si>
    <t>6,420 %</t>
  </si>
  <si>
    <t>6,430 %</t>
  </si>
  <si>
    <t>6,311 %</t>
  </si>
  <si>
    <t>6,332 %</t>
  </si>
  <si>
    <t>6,393 %</t>
  </si>
  <si>
    <t>6,425 %</t>
  </si>
  <si>
    <t>6,419 %</t>
  </si>
  <si>
    <t>6,431 %</t>
  </si>
  <si>
    <t>6,443 %</t>
  </si>
  <si>
    <t>6,438 %</t>
  </si>
  <si>
    <t>6,465 %</t>
  </si>
  <si>
    <t>6,439 %</t>
  </si>
  <si>
    <t>6,450 %</t>
  </si>
  <si>
    <t>6,469 %</t>
  </si>
  <si>
    <t>6,482 %</t>
  </si>
  <si>
    <t>6,531 %</t>
  </si>
  <si>
    <t>6,460 %</t>
  </si>
  <si>
    <t>6,510 %</t>
  </si>
  <si>
    <t>6,508 %</t>
  </si>
  <si>
    <t>6,560 %</t>
  </si>
  <si>
    <t>6,500 %</t>
  </si>
  <si>
    <t>6,570 %</t>
  </si>
  <si>
    <t>6,580 %</t>
  </si>
  <si>
    <t>6,582 %</t>
  </si>
  <si>
    <t>6,616 %</t>
  </si>
  <si>
    <t>6,590 %</t>
  </si>
  <si>
    <t>6,602 %</t>
  </si>
  <si>
    <t>6,600 %</t>
  </si>
  <si>
    <t>6,603 %</t>
  </si>
  <si>
    <t>6,551 %</t>
  </si>
  <si>
    <t>6,610 %</t>
  </si>
  <si>
    <t>6,613 %</t>
  </si>
  <si>
    <t>6,619 %</t>
  </si>
  <si>
    <t>6,620 %</t>
  </si>
  <si>
    <t>6,625 %</t>
  </si>
  <si>
    <t>6,632 %</t>
  </si>
  <si>
    <t>6,633 %</t>
  </si>
  <si>
    <t>6,663 %</t>
  </si>
  <si>
    <t>6,650 %</t>
  </si>
  <si>
    <t>6,624 %</t>
  </si>
  <si>
    <t>6,654 %</t>
  </si>
  <si>
    <t>6,648 %</t>
  </si>
  <si>
    <t>6,720 %</t>
  </si>
  <si>
    <t>6,706 %</t>
  </si>
  <si>
    <t>6,730 %</t>
  </si>
  <si>
    <t>6,729 %</t>
  </si>
  <si>
    <t>6,710 %</t>
  </si>
  <si>
    <t>6,690 %</t>
  </si>
  <si>
    <t>6,717 %</t>
  </si>
  <si>
    <t>6,740 %</t>
  </si>
  <si>
    <t>6,747 %</t>
  </si>
  <si>
    <t>6,762 %</t>
  </si>
  <si>
    <t>6,711 %</t>
  </si>
  <si>
    <t>6,760 %</t>
  </si>
  <si>
    <t>6,751 %</t>
  </si>
  <si>
    <t>6,743 %</t>
  </si>
  <si>
    <t>6,770 %</t>
  </si>
  <si>
    <t>6,723 %</t>
  </si>
  <si>
    <t>6,755 %</t>
  </si>
  <si>
    <t>6,790 %</t>
  </si>
  <si>
    <t>6,764 %</t>
  </si>
  <si>
    <t>6,745 %</t>
  </si>
  <si>
    <t>6,960 %</t>
  </si>
  <si>
    <t>6,940 %</t>
  </si>
  <si>
    <t>6,952 %</t>
  </si>
  <si>
    <t>6,950 %</t>
  </si>
  <si>
    <t>6,945 %</t>
  </si>
  <si>
    <t>6,916 %</t>
  </si>
  <si>
    <t>6,925 %</t>
  </si>
  <si>
    <t>7,041 %</t>
  </si>
  <si>
    <t>7,012 %</t>
  </si>
  <si>
    <t>7,055 %</t>
  </si>
  <si>
    <t>7,035 %</t>
  </si>
  <si>
    <t>7,039 %</t>
  </si>
  <si>
    <t>7,036 %</t>
  </si>
  <si>
    <t>7,060 %</t>
  </si>
  <si>
    <t>7,056 %</t>
  </si>
  <si>
    <t>7,090 %</t>
  </si>
  <si>
    <t>7,085 %</t>
  </si>
  <si>
    <t>7,069 %</t>
  </si>
  <si>
    <t>7,068 %</t>
  </si>
  <si>
    <t>7,080 %</t>
  </si>
  <si>
    <t>7,066 %</t>
  </si>
  <si>
    <t>7,042 %</t>
  </si>
  <si>
    <t>7,034 %</t>
  </si>
  <si>
    <t>7,026 %</t>
  </si>
  <si>
    <t>7,000 %</t>
  </si>
  <si>
    <t>7,004 %</t>
  </si>
  <si>
    <t>6,996 %</t>
  </si>
  <si>
    <t>6,995 %</t>
  </si>
  <si>
    <t>7,001 %</t>
  </si>
  <si>
    <t>7,037 %</t>
  </si>
  <si>
    <t>6,993 %</t>
  </si>
  <si>
    <t>6,999 %</t>
  </si>
  <si>
    <t>7,044 %</t>
  </si>
  <si>
    <t>6,979 %</t>
  </si>
  <si>
    <t>6,980 %</t>
  </si>
  <si>
    <t>6,992 %</t>
  </si>
  <si>
    <t>6,990 %</t>
  </si>
  <si>
    <t>6,741 %</t>
  </si>
  <si>
    <t>6,759 %</t>
  </si>
  <si>
    <t>6,789 %</t>
  </si>
  <si>
    <t>6,800 %</t>
  </si>
  <si>
    <t>6,776 %</t>
  </si>
  <si>
    <t>6,805 %</t>
  </si>
  <si>
    <t>6,807 %</t>
  </si>
  <si>
    <t>6,761 %</t>
  </si>
  <si>
    <t>6,780 %</t>
  </si>
  <si>
    <t>6,798 %</t>
  </si>
  <si>
    <t>6,815 %</t>
  </si>
  <si>
    <t>6,812 %</t>
  </si>
  <si>
    <t>6,803 %</t>
  </si>
  <si>
    <t>6,820 %</t>
  </si>
  <si>
    <t>6,810 %</t>
  </si>
  <si>
    <t>6,813 %</t>
  </si>
  <si>
    <t>6,830 %</t>
  </si>
  <si>
    <t>6,840 %</t>
  </si>
  <si>
    <t>6,832 %</t>
  </si>
  <si>
    <t>6,829 %</t>
  </si>
  <si>
    <t>6,860 %</t>
  </si>
  <si>
    <t>6,865 %</t>
  </si>
  <si>
    <t>6,834 %</t>
  </si>
  <si>
    <t>6,799 %</t>
  </si>
  <si>
    <t>6,870 %</t>
  </si>
  <si>
    <t>6,848 %</t>
  </si>
  <si>
    <t>6,823 %</t>
  </si>
  <si>
    <t>6,847 %</t>
  </si>
  <si>
    <t>6,890 %</t>
  </si>
  <si>
    <t>6,867 %</t>
  </si>
  <si>
    <t>6,875 %</t>
  </si>
  <si>
    <t>6,859 %</t>
  </si>
  <si>
    <t>6,861 %</t>
  </si>
  <si>
    <t>6,888 %</t>
  </si>
  <si>
    <t>6,905 %</t>
  </si>
  <si>
    <t>6,852 %</t>
  </si>
  <si>
    <t>6,926 %</t>
  </si>
  <si>
    <t>6,910 %</t>
  </si>
  <si>
    <t>6,915 %</t>
  </si>
  <si>
    <t>6,922 %</t>
  </si>
  <si>
    <t>6,929 %</t>
  </si>
  <si>
    <t>6,938 %</t>
  </si>
  <si>
    <t>6,933 %</t>
  </si>
  <si>
    <t>6,935 %</t>
  </si>
  <si>
    <t>6,919 %</t>
  </si>
  <si>
    <t>7,222 %</t>
  </si>
  <si>
    <t>6,937 %</t>
  </si>
  <si>
    <t>6,924 %</t>
  </si>
  <si>
    <t>6,955 %</t>
  </si>
  <si>
    <t>7,223 %</t>
  </si>
  <si>
    <t>6,956 %</t>
  </si>
  <si>
    <t>6,946 %</t>
  </si>
  <si>
    <t>7,228 %</t>
  </si>
  <si>
    <t>6,943 %</t>
  </si>
  <si>
    <t>7,922 %</t>
  </si>
  <si>
    <t>6,970 %</t>
  </si>
  <si>
    <t>7,218 %</t>
  </si>
  <si>
    <t>6,900 %</t>
  </si>
  <si>
    <t>7,219 %</t>
  </si>
  <si>
    <t>6,934 %</t>
  </si>
  <si>
    <t>6,899 %</t>
  </si>
  <si>
    <t>6,939 %</t>
  </si>
  <si>
    <t>6,958 %</t>
  </si>
  <si>
    <t>7,224 %</t>
  </si>
  <si>
    <t>7,619 %</t>
  </si>
  <si>
    <t>7,308 %</t>
  </si>
  <si>
    <t>7,287 %</t>
  </si>
  <si>
    <t>7,298 %</t>
  </si>
  <si>
    <t>7,310 %</t>
  </si>
  <si>
    <t>7,325 %</t>
  </si>
  <si>
    <t>7,295 %</t>
  </si>
  <si>
    <t>7,320 %</t>
  </si>
  <si>
    <t>7,614 %</t>
  </si>
  <si>
    <t>7,303 %</t>
  </si>
  <si>
    <t>7,300 %</t>
  </si>
  <si>
    <t>7,274 %</t>
  </si>
  <si>
    <t>7,330 %</t>
  </si>
  <si>
    <t>7,605 %</t>
  </si>
  <si>
    <t>7,285 %</t>
  </si>
  <si>
    <t>7,290 %</t>
  </si>
  <si>
    <t>7,607 %</t>
  </si>
  <si>
    <t>7,297 %</t>
  </si>
  <si>
    <t>7,280 %</t>
  </si>
  <si>
    <t>7,294 %</t>
  </si>
  <si>
    <t>7,615 %</t>
  </si>
  <si>
    <t>7,292 %</t>
  </si>
  <si>
    <t>7,309 %</t>
  </si>
  <si>
    <t>7,340 %</t>
  </si>
  <si>
    <t>7,610 %</t>
  </si>
  <si>
    <t>7,318 %</t>
  </si>
  <si>
    <t>7,621 %</t>
  </si>
  <si>
    <t>7,632 %</t>
  </si>
  <si>
    <t>7,634 %</t>
  </si>
  <si>
    <t>7,323 %</t>
  </si>
  <si>
    <t>7,345 %</t>
  </si>
  <si>
    <t>7,637 %</t>
  </si>
  <si>
    <t>7,642 %</t>
  </si>
  <si>
    <t>7,324 %</t>
  </si>
  <si>
    <t>7,339 %</t>
  </si>
  <si>
    <t>7,350 %</t>
  </si>
  <si>
    <t>7,630 %</t>
  </si>
  <si>
    <t>7,267 %</t>
  </si>
  <si>
    <t>7,396 %</t>
  </si>
  <si>
    <t>7,315 %</t>
  </si>
  <si>
    <t>7,698 %</t>
  </si>
  <si>
    <t>7,385 %</t>
  </si>
  <si>
    <t>7,380 %</t>
  </si>
  <si>
    <t>7,390 %</t>
  </si>
  <si>
    <t>7,397 %</t>
  </si>
  <si>
    <t>7,714 %</t>
  </si>
  <si>
    <t>7,398 %</t>
  </si>
  <si>
    <t>7,395 %</t>
  </si>
  <si>
    <t>7,392 %</t>
  </si>
  <si>
    <t>7,400 %</t>
  </si>
  <si>
    <t>7,381 %</t>
  </si>
  <si>
    <t>7,716 %</t>
  </si>
  <si>
    <t>7,399 %</t>
  </si>
  <si>
    <t>7,711 %</t>
  </si>
  <si>
    <t>7,394 %</t>
  </si>
  <si>
    <t>7,704 %</t>
  </si>
  <si>
    <t>7,705 %</t>
  </si>
  <si>
    <t>7,376 %</t>
  </si>
  <si>
    <t>7,375 %</t>
  </si>
  <si>
    <t>7,360 %</t>
  </si>
  <si>
    <t>7,410 %</t>
  </si>
  <si>
    <t>7,690 %</t>
  </si>
  <si>
    <t>7,370 %</t>
  </si>
  <si>
    <t>7,377 %</t>
  </si>
  <si>
    <t>7,341 %</t>
  </si>
  <si>
    <t>7,709 %</t>
  </si>
  <si>
    <t>7,334 %</t>
  </si>
  <si>
    <t>7,673 %</t>
  </si>
  <si>
    <t>7,358 %</t>
  </si>
  <si>
    <t>7,365 %</t>
  </si>
  <si>
    <t>7,652 %</t>
  </si>
  <si>
    <t>7,335 %</t>
  </si>
  <si>
    <t>7,680 %</t>
  </si>
  <si>
    <t>7,368 %</t>
  </si>
  <si>
    <t>7,344 %</t>
  </si>
  <si>
    <t>7,387 %</t>
  </si>
  <si>
    <t>7,684 %</t>
  </si>
  <si>
    <t>7,391 %</t>
  </si>
  <si>
    <t>7,699 %</t>
  </si>
  <si>
    <t>7,378 %</t>
  </si>
  <si>
    <t>7,379 %</t>
  </si>
  <si>
    <t>7,700 %</t>
  </si>
  <si>
    <t>7,371 %</t>
  </si>
  <si>
    <t>7,388 %</t>
  </si>
  <si>
    <t>7,692 %</t>
  </si>
  <si>
    <t>7,367 %</t>
  </si>
  <si>
    <t>7,372 %</t>
  </si>
  <si>
    <t>7,366 %</t>
  </si>
  <si>
    <t>7,374 %</t>
  </si>
  <si>
    <t>7,361 %</t>
  </si>
  <si>
    <t>7,687 %</t>
  </si>
  <si>
    <t>7,373 %</t>
  </si>
  <si>
    <t>7,689 %</t>
  </si>
  <si>
    <t>7,369 %</t>
  </si>
  <si>
    <t>7,685 %</t>
  </si>
  <si>
    <t>7,694 %</t>
  </si>
  <si>
    <t>7,386 %</t>
  </si>
  <si>
    <t>7,354 %</t>
  </si>
  <si>
    <t>7,707 %</t>
  </si>
  <si>
    <t>7,393 %</t>
  </si>
  <si>
    <t>7,713 %</t>
  </si>
  <si>
    <t>7,403 %</t>
  </si>
  <si>
    <t>7,407 %</t>
  </si>
  <si>
    <t>7,721 %</t>
  </si>
  <si>
    <t>7,405 %</t>
  </si>
  <si>
    <t>7,389 %</t>
  </si>
  <si>
    <t>7,408 %</t>
  </si>
  <si>
    <t>7,409 %</t>
  </si>
  <si>
    <t>7,726 %</t>
  </si>
  <si>
    <t>7,420 %</t>
  </si>
  <si>
    <t>7,724 %</t>
  </si>
  <si>
    <t>7,419 %</t>
  </si>
  <si>
    <t>7,737 %</t>
  </si>
  <si>
    <t>7,418 %</t>
  </si>
  <si>
    <t>7,425 %</t>
  </si>
  <si>
    <t>7,736 %</t>
  </si>
  <si>
    <t>7,406 %</t>
  </si>
  <si>
    <t>7,421 %</t>
  </si>
  <si>
    <t>7,402 %</t>
  </si>
  <si>
    <t>7,415 %</t>
  </si>
  <si>
    <t>7,727 %</t>
  </si>
  <si>
    <t>7,404 %</t>
  </si>
  <si>
    <t>7,401 %</t>
  </si>
  <si>
    <t>7,706 %</t>
  </si>
  <si>
    <t>7,382 %</t>
  </si>
  <si>
    <t>7,720 %</t>
  </si>
  <si>
    <t>7,722 %</t>
  </si>
  <si>
    <t>7,431 %</t>
  </si>
  <si>
    <t>7,412 %</t>
  </si>
  <si>
    <t>7,414 %</t>
  </si>
  <si>
    <t>7,430 %</t>
  </si>
  <si>
    <t>7,738 %</t>
  </si>
  <si>
    <t>7,417 %</t>
  </si>
  <si>
    <t>7,436 %</t>
  </si>
  <si>
    <t>7,424 %</t>
  </si>
  <si>
    <t>7,422 %</t>
  </si>
  <si>
    <t>7,749 %</t>
  </si>
  <si>
    <t>7,413 %</t>
  </si>
  <si>
    <t>7,696 %</t>
  </si>
  <si>
    <t>7,744 %</t>
  </si>
  <si>
    <t>7,426 %</t>
  </si>
  <si>
    <t>7,754 %</t>
  </si>
  <si>
    <t>7,435 %</t>
  </si>
  <si>
    <t>7,440 %</t>
  </si>
  <si>
    <t>7,434 %</t>
  </si>
  <si>
    <t>7,428 %</t>
  </si>
  <si>
    <t>7,444 %</t>
  </si>
  <si>
    <t>7,824 %</t>
  </si>
  <si>
    <t>7,500 %</t>
  </si>
  <si>
    <t>7,494 %</t>
  </si>
  <si>
    <t>7,484 %</t>
  </si>
  <si>
    <t>7,515 %</t>
  </si>
  <si>
    <t>7,520 %</t>
  </si>
  <si>
    <t>7,507 %</t>
  </si>
  <si>
    <t>7,823 %</t>
  </si>
  <si>
    <t>7,488 %</t>
  </si>
  <si>
    <t>7,504 %</t>
  </si>
  <si>
    <t>7,518 %</t>
  </si>
  <si>
    <t>7,846 %</t>
  </si>
  <si>
    <t>7,521 %</t>
  </si>
  <si>
    <t>7,519 %</t>
  </si>
  <si>
    <t>7,509 %</t>
  </si>
  <si>
    <t>7,530 %</t>
  </si>
  <si>
    <t>7,525 %</t>
  </si>
  <si>
    <t>7,843 %</t>
  </si>
  <si>
    <t>7,513 %</t>
  </si>
  <si>
    <t>7,850 %</t>
  </si>
  <si>
    <t>7,524 %</t>
  </si>
  <si>
    <t>7,539 %</t>
  </si>
  <si>
    <t>7,510 %</t>
  </si>
  <si>
    <t>7,523 %</t>
  </si>
  <si>
    <t>7,540 %</t>
  </si>
  <si>
    <t>7,522 %</t>
  </si>
  <si>
    <t>7,835 %</t>
  </si>
  <si>
    <t>7,511 %</t>
  </si>
  <si>
    <t>7,512 %</t>
  </si>
  <si>
    <t>7,529 %</t>
  </si>
  <si>
    <t>7,838 %</t>
  </si>
  <si>
    <t>7,514 %</t>
  </si>
  <si>
    <t>7,492 %</t>
  </si>
  <si>
    <t>7,505 %</t>
  </si>
  <si>
    <t>7,830 %</t>
  </si>
  <si>
    <t>7,508 %</t>
  </si>
  <si>
    <t>7,495 %</t>
  </si>
  <si>
    <t>7,506 %</t>
  </si>
  <si>
    <t>7,812 %</t>
  </si>
  <si>
    <t>7,490 %</t>
  </si>
  <si>
    <t>7,485 %</t>
  </si>
  <si>
    <t>7,480 %</t>
  </si>
  <si>
    <t>7,807 %</t>
  </si>
  <si>
    <t>7,475 %</t>
  </si>
  <si>
    <t>7,454 %</t>
  </si>
  <si>
    <t>7,493 %</t>
  </si>
  <si>
    <t>7,810 %</t>
  </si>
  <si>
    <t>7,461 %</t>
  </si>
  <si>
    <t>7,818 %</t>
  </si>
  <si>
    <t>7,502 %</t>
  </si>
  <si>
    <t>7,834 %</t>
  </si>
  <si>
    <t>7,503 %</t>
  </si>
  <si>
    <t>7,778 %</t>
  </si>
  <si>
    <t>7,460 %</t>
  </si>
  <si>
    <t>7,445 %</t>
  </si>
  <si>
    <t>7,465 %</t>
  </si>
  <si>
    <t>7,470 %</t>
  </si>
  <si>
    <t>7,450 %</t>
  </si>
  <si>
    <t>7,770 %</t>
  </si>
  <si>
    <t>7,453 %</t>
  </si>
  <si>
    <t>7,437 %</t>
  </si>
  <si>
    <t>7,766 %</t>
  </si>
  <si>
    <t>7,447 %</t>
  </si>
  <si>
    <t>7,469 %</t>
  </si>
  <si>
    <t>7,775 %</t>
  </si>
  <si>
    <t>7,455 %</t>
  </si>
  <si>
    <t>7,459 %</t>
  </si>
  <si>
    <t>7,761 %</t>
  </si>
  <si>
    <t>7,442 %</t>
  </si>
  <si>
    <t>7,691 %</t>
  </si>
  <si>
    <t>7,677 %</t>
  </si>
  <si>
    <t>7,355 %</t>
  </si>
  <si>
    <t>7,411 %</t>
  </si>
  <si>
    <t>7,429 %</t>
  </si>
  <si>
    <t>7,735 %</t>
  </si>
  <si>
    <t>7,427 %</t>
  </si>
  <si>
    <t>7,730 %</t>
  </si>
  <si>
    <t>7,416 %</t>
  </si>
  <si>
    <t>7,383 %</t>
  </si>
  <si>
    <t>7,362 %</t>
  </si>
  <si>
    <t>7,351 %</t>
  </si>
  <si>
    <t>7,660 %</t>
  </si>
  <si>
    <t>7,348 %</t>
  </si>
  <si>
    <t>7,566 %</t>
  </si>
  <si>
    <t>7,260 %</t>
  </si>
  <si>
    <t>7,240 %</t>
  </si>
  <si>
    <t>7,270 %</t>
  </si>
  <si>
    <t>7,239 %</t>
  </si>
  <si>
    <t>7,252 %</t>
  </si>
  <si>
    <t>7,550 %</t>
  </si>
  <si>
    <t>7,247 %</t>
  </si>
  <si>
    <t>7,230 %</t>
  </si>
  <si>
    <t>7,250 %</t>
  </si>
  <si>
    <t>7,264 %</t>
  </si>
  <si>
    <t>7,243 %</t>
  </si>
  <si>
    <t>7,235 %</t>
  </si>
  <si>
    <t>7,231 %</t>
  </si>
  <si>
    <t>7,221 %</t>
  </si>
  <si>
    <t>7,545 %</t>
  </si>
  <si>
    <t>7,245 %</t>
  </si>
  <si>
    <t>7,571 %</t>
  </si>
  <si>
    <t>7,265 %</t>
  </si>
  <si>
    <t>7,548 %</t>
  </si>
  <si>
    <t>7,266 %</t>
  </si>
  <si>
    <t>7,210 %</t>
  </si>
  <si>
    <t>7,238 %</t>
  </si>
  <si>
    <t>7,564 %</t>
  </si>
  <si>
    <t>7,279 %</t>
  </si>
  <si>
    <t>7,558 %</t>
  </si>
  <si>
    <t>7,253 %</t>
  </si>
  <si>
    <t>7,259 %</t>
  </si>
  <si>
    <t>7,289 %</t>
  </si>
  <si>
    <t>7,255 %</t>
  </si>
  <si>
    <t>7,220 %</t>
  </si>
  <si>
    <t>7,209 %</t>
  </si>
  <si>
    <t>7,225 %</t>
  </si>
  <si>
    <t>7,217 %</t>
  </si>
  <si>
    <t>7,207 %</t>
  </si>
  <si>
    <t>7,208 %</t>
  </si>
  <si>
    <t>7,200 %</t>
  </si>
  <si>
    <t>7,201 %</t>
  </si>
  <si>
    <t>7,211 %</t>
  </si>
  <si>
    <t>7,205 %</t>
  </si>
  <si>
    <t>7,197 %</t>
  </si>
  <si>
    <t>7,498 %</t>
  </si>
  <si>
    <t>7,195 %</t>
  </si>
  <si>
    <t>7,185 %</t>
  </si>
  <si>
    <t>7,180 %</t>
  </si>
  <si>
    <t>7,198 %</t>
  </si>
  <si>
    <t>7,489 %</t>
  </si>
  <si>
    <t>7,190 %</t>
  </si>
  <si>
    <t>7,186 %</t>
  </si>
  <si>
    <t>7,226 %</t>
  </si>
  <si>
    <t>7,481 %</t>
  </si>
  <si>
    <t>7,181 %</t>
  </si>
  <si>
    <t>7,170 %</t>
  </si>
  <si>
    <t>7,171 %</t>
  </si>
  <si>
    <t>7,182 %</t>
  </si>
  <si>
    <t>7,160 %</t>
  </si>
  <si>
    <t>7,196 %</t>
  </si>
  <si>
    <t>7,179 %</t>
  </si>
  <si>
    <t>7,151 %</t>
  </si>
  <si>
    <t>7,177 %</t>
  </si>
  <si>
    <t>7,464 %</t>
  </si>
  <si>
    <t>7,165 %</t>
  </si>
  <si>
    <t>7,175 %</t>
  </si>
  <si>
    <t>7,157 %</t>
  </si>
  <si>
    <t>7,145 %</t>
  </si>
  <si>
    <t>7,163 %</t>
  </si>
  <si>
    <t>7,150 %</t>
  </si>
  <si>
    <t>7,130 %</t>
  </si>
  <si>
    <t>7,153 %</t>
  </si>
  <si>
    <t>7,167 %</t>
  </si>
  <si>
    <t>7,133 %</t>
  </si>
  <si>
    <t>7,152 %</t>
  </si>
  <si>
    <t>7,140 %</t>
  </si>
  <si>
    <t>7,123 %</t>
  </si>
  <si>
    <t>7,135 %</t>
  </si>
  <si>
    <t>7,122 %</t>
  </si>
  <si>
    <t>7,147 %</t>
  </si>
  <si>
    <t>7,120 %</t>
  </si>
  <si>
    <t>7,111 %</t>
  </si>
  <si>
    <t>7,110 %</t>
  </si>
  <si>
    <t>7,125 %</t>
  </si>
  <si>
    <t>7,142 %</t>
  </si>
  <si>
    <t>7,065 %</t>
  </si>
  <si>
    <t>7,073 %</t>
  </si>
  <si>
    <t>7,048 %</t>
  </si>
  <si>
    <t>7,084 %</t>
  </si>
  <si>
    <t>7,075 %</t>
  </si>
  <si>
    <t>7,363 %</t>
  </si>
  <si>
    <t>7,071 %</t>
  </si>
  <si>
    <t>7,054 %</t>
  </si>
  <si>
    <t>7,097 %</t>
  </si>
  <si>
    <t>7,119 %</t>
  </si>
  <si>
    <t>7,113 %</t>
  </si>
  <si>
    <t>7,138 %</t>
  </si>
  <si>
    <t>7,156 %</t>
  </si>
  <si>
    <t>7,126 %</t>
  </si>
  <si>
    <t>7,098 %</t>
  </si>
  <si>
    <t>7,095 %</t>
  </si>
  <si>
    <t>7,105 %</t>
  </si>
  <si>
    <t>7,099 %</t>
  </si>
  <si>
    <t>7,051 %</t>
  </si>
  <si>
    <t>7,326 %</t>
  </si>
  <si>
    <t>7,282 %</t>
  </si>
  <si>
    <t>6,973 %</t>
  </si>
  <si>
    <t>6,931 %</t>
  </si>
  <si>
    <t>7,227 %</t>
  </si>
  <si>
    <t>7,213 %</t>
  </si>
  <si>
    <t>6,928 %</t>
  </si>
  <si>
    <t>6,923 %</t>
  </si>
  <si>
    <t>7,206 %</t>
  </si>
  <si>
    <t>6,927 %</t>
  </si>
  <si>
    <t>6,965 %</t>
  </si>
  <si>
    <t>7,232 %</t>
  </si>
  <si>
    <t>6,957 %</t>
  </si>
  <si>
    <t>7,216 %</t>
  </si>
  <si>
    <t>6,903 %</t>
  </si>
  <si>
    <t>6,983 %</t>
  </si>
  <si>
    <t>6,714 %</t>
  </si>
  <si>
    <t>6,700 %</t>
  </si>
  <si>
    <t>6,708 %</t>
  </si>
  <si>
    <t>6,704 %</t>
  </si>
  <si>
    <t>6,968 %</t>
  </si>
  <si>
    <t>6,668 %</t>
  </si>
  <si>
    <t>6,659 %</t>
  </si>
  <si>
    <t>6,705 %</t>
  </si>
  <si>
    <t>6,944 %</t>
  </si>
  <si>
    <t>6,677 %</t>
  </si>
  <si>
    <t>6,670 %</t>
  </si>
  <si>
    <t>6,679 %</t>
  </si>
  <si>
    <t>6,685 %</t>
  </si>
  <si>
    <t>6,675 %</t>
  </si>
  <si>
    <t>6,641 %</t>
  </si>
  <si>
    <t>6,680 %</t>
  </si>
  <si>
    <t>6,673 %</t>
  </si>
  <si>
    <t>6,653 %</t>
  </si>
  <si>
    <t>6,672 %</t>
  </si>
  <si>
    <t>6,658 %</t>
  </si>
  <si>
    <t>6,674 %</t>
  </si>
  <si>
    <t>6,665 %</t>
  </si>
  <si>
    <t>6,637 %</t>
  </si>
  <si>
    <t>6,669 %</t>
  </si>
  <si>
    <t>6,936 %</t>
  </si>
  <si>
    <t>6,681 %</t>
  </si>
  <si>
    <t>6,661 %</t>
  </si>
  <si>
    <t>6,639 %</t>
  </si>
  <si>
    <t>6,651 %</t>
  </si>
  <si>
    <t>6,622 %</t>
  </si>
  <si>
    <t>6,644 %</t>
  </si>
  <si>
    <t>6,894 %</t>
  </si>
  <si>
    <t>6,605 %</t>
  </si>
  <si>
    <t>6,601 %</t>
  </si>
  <si>
    <t>6,621 %</t>
  </si>
  <si>
    <t>6,863 %</t>
  </si>
  <si>
    <t>6,864 %</t>
  </si>
  <si>
    <t>6,615 %</t>
  </si>
  <si>
    <t>6,581 %</t>
  </si>
  <si>
    <t>6,604 %</t>
  </si>
  <si>
    <t>6,592 %</t>
  </si>
  <si>
    <t>6,575 %</t>
  </si>
  <si>
    <t>6,550 %</t>
  </si>
  <si>
    <t>6,490 %</t>
  </si>
  <si>
    <t>6,606 %</t>
  </si>
  <si>
    <t>6,503 %</t>
  </si>
  <si>
    <t>6,520 %</t>
  </si>
  <si>
    <t>6,526 %</t>
  </si>
  <si>
    <t>6,505 %</t>
  </si>
  <si>
    <t>6,754 %</t>
  </si>
  <si>
    <t>6,470 %</t>
  </si>
  <si>
    <t>6,464 %</t>
  </si>
  <si>
    <t>6,467 %</t>
  </si>
  <si>
    <t>6,525 %</t>
  </si>
  <si>
    <t>6,728 %</t>
  </si>
  <si>
    <t>6,475 %</t>
  </si>
  <si>
    <t>6,452 %</t>
  </si>
  <si>
    <t>6,499 %</t>
  </si>
  <si>
    <t>6,453 %</t>
  </si>
  <si>
    <t>6,444 %</t>
  </si>
  <si>
    <t>6,726 %</t>
  </si>
  <si>
    <t>6,473 %</t>
  </si>
  <si>
    <t>6,459 %</t>
  </si>
  <si>
    <t>6,454 %</t>
  </si>
  <si>
    <t>6,683 %</t>
  </si>
  <si>
    <t>6,433 %</t>
  </si>
  <si>
    <t>6,435 %</t>
  </si>
  <si>
    <t>6,366 %</t>
  </si>
  <si>
    <t>6,374 %</t>
  </si>
  <si>
    <t>6,385 %</t>
  </si>
  <si>
    <t>6,577 %</t>
  </si>
  <si>
    <t>6,333 %</t>
  </si>
  <si>
    <t>6,349 %</t>
  </si>
  <si>
    <t>6,301 %</t>
  </si>
  <si>
    <t>6,562 %</t>
  </si>
  <si>
    <t>6,279 %</t>
  </si>
  <si>
    <t>6,327 %</t>
  </si>
  <si>
    <t>6,563 %</t>
  </si>
  <si>
    <t>6,294 %</t>
  </si>
  <si>
    <t>6,542 %</t>
  </si>
  <si>
    <t>6,269 %</t>
  </si>
  <si>
    <t>6,552 %</t>
  </si>
  <si>
    <t>6,250 %</t>
  </si>
  <si>
    <t>6,337 %</t>
  </si>
  <si>
    <t>6,355 %</t>
  </si>
  <si>
    <t>6,331 %</t>
  </si>
  <si>
    <t>6,351 %</t>
  </si>
  <si>
    <t>6,579 %</t>
  </si>
  <si>
    <t>6,316 %</t>
  </si>
  <si>
    <t>6,569 %</t>
  </si>
  <si>
    <t>6,305 %</t>
  </si>
  <si>
    <t>6,578 %</t>
  </si>
  <si>
    <t>6,573 %</t>
  </si>
  <si>
    <t>6,328 %</t>
  </si>
  <si>
    <t>6,292 %</t>
  </si>
  <si>
    <t>6,284 %</t>
  </si>
  <si>
    <t>6,289 %</t>
  </si>
  <si>
    <t>6,408 %</t>
  </si>
  <si>
    <t>6,368 %</t>
  </si>
  <si>
    <t>6,381 %</t>
  </si>
  <si>
    <t>6,628 %</t>
  </si>
  <si>
    <t>6,404 %</t>
  </si>
  <si>
    <t>6,417 %</t>
  </si>
  <si>
    <t>6,642 %</t>
  </si>
  <si>
    <t>6,414 %</t>
  </si>
  <si>
    <t>6,617 %</t>
  </si>
  <si>
    <t>6,441 %</t>
  </si>
  <si>
    <t>6,446 %</t>
  </si>
  <si>
    <t>6,379 %</t>
  </si>
  <si>
    <t>6,445 %</t>
  </si>
  <si>
    <t>6,240 %</t>
  </si>
  <si>
    <t>6,261 %</t>
  </si>
  <si>
    <t>6,225 %</t>
  </si>
  <si>
    <t>6,251 %</t>
  </si>
  <si>
    <t>6,152 %</t>
  </si>
  <si>
    <t>6,352 %</t>
  </si>
  <si>
    <t>6,123 %</t>
  </si>
  <si>
    <t>6,113 %</t>
  </si>
  <si>
    <t>6,101 %</t>
  </si>
  <si>
    <t>6,105 %</t>
  </si>
  <si>
    <t>6,114 %</t>
  </si>
  <si>
    <t>6,132 %</t>
  </si>
  <si>
    <t>6,135 %</t>
  </si>
  <si>
    <t>6,097 %</t>
  </si>
  <si>
    <t>6,125 %</t>
  </si>
  <si>
    <t>6,071 %</t>
  </si>
  <si>
    <t>6,317 %</t>
  </si>
  <si>
    <t>6,344 %</t>
  </si>
  <si>
    <t>6,144 %</t>
  </si>
  <si>
    <t>6,372 %</t>
  </si>
  <si>
    <t>6,140 %</t>
  </si>
  <si>
    <t>6,126 %</t>
  </si>
  <si>
    <t>6,141 %</t>
  </si>
  <si>
    <t>6,145 %</t>
  </si>
  <si>
    <t>6,139 %</t>
  </si>
  <si>
    <t>6,128 %</t>
  </si>
  <si>
    <t>6,099 %</t>
  </si>
  <si>
    <t>6,314 %</t>
  </si>
  <si>
    <t>6,034 %</t>
  </si>
  <si>
    <t>6,275 %</t>
  </si>
  <si>
    <t>6,048 %</t>
  </si>
  <si>
    <t>6,035 %</t>
  </si>
  <si>
    <t>6,043 %</t>
  </si>
  <si>
    <t>6,045 %</t>
  </si>
  <si>
    <t>6,079 %</t>
  </si>
  <si>
    <t>6,055 %</t>
  </si>
  <si>
    <t>6,264 %</t>
  </si>
  <si>
    <t>6,038 %</t>
  </si>
  <si>
    <t>6,009 %</t>
  </si>
  <si>
    <t>6,020 %</t>
  </si>
  <si>
    <t>6,234 %</t>
  </si>
  <si>
    <t>6,010 %</t>
  </si>
  <si>
    <t>6,019 %</t>
  </si>
  <si>
    <t>6,224 %</t>
  </si>
  <si>
    <t>6,218 %</t>
  </si>
  <si>
    <t>5,989 %</t>
  </si>
  <si>
    <t>5,987 %</t>
  </si>
  <si>
    <t>6,013 %</t>
  </si>
  <si>
    <t>5,983 %</t>
  </si>
  <si>
    <t>6,022 %</t>
  </si>
  <si>
    <t>6,015 %</t>
  </si>
  <si>
    <t>6,248 %</t>
  </si>
  <si>
    <t>6,023 %</t>
  </si>
  <si>
    <t>6,182 %</t>
  </si>
  <si>
    <t>5,920 %</t>
  </si>
  <si>
    <t>5,960 %</t>
  </si>
  <si>
    <t>5,962 %</t>
  </si>
  <si>
    <t>5,973 %</t>
  </si>
  <si>
    <t>5,932 %</t>
  </si>
  <si>
    <t>5,900 %</t>
  </si>
  <si>
    <t>5,904 %</t>
  </si>
  <si>
    <t>5,930 %</t>
  </si>
  <si>
    <t>5,933 %</t>
  </si>
  <si>
    <t>5,905 %</t>
  </si>
  <si>
    <t>5,893 %</t>
  </si>
  <si>
    <t>5,860 %</t>
  </si>
  <si>
    <t>5,902 %</t>
  </si>
  <si>
    <t>5,910 %</t>
  </si>
  <si>
    <t>5,832 %</t>
  </si>
  <si>
    <t>5,935 %</t>
  </si>
  <si>
    <t>5,884 %</t>
  </si>
  <si>
    <t>6,068 %</t>
  </si>
  <si>
    <t>5,853 %</t>
  </si>
  <si>
    <t>5,842 %</t>
  </si>
  <si>
    <t>5,867 %</t>
  </si>
  <si>
    <t>5,875 %</t>
  </si>
  <si>
    <t>5,836 %</t>
  </si>
  <si>
    <t>5,837 %</t>
  </si>
  <si>
    <t>5,865 %</t>
  </si>
  <si>
    <t>5,835 %</t>
  </si>
  <si>
    <t>6,049 %</t>
  </si>
  <si>
    <t>5,829 %</t>
  </si>
  <si>
    <t>5,824 %</t>
  </si>
  <si>
    <t>6,039 %</t>
  </si>
  <si>
    <t>5,828 %</t>
  </si>
  <si>
    <t>5,826 %</t>
  </si>
  <si>
    <t>5,831 %</t>
  </si>
  <si>
    <t>5,833 %</t>
  </si>
  <si>
    <t>5,855 %</t>
  </si>
  <si>
    <t>5,778 %</t>
  </si>
  <si>
    <t>5,838 %</t>
  </si>
  <si>
    <t>5,850 %</t>
  </si>
  <si>
    <t>5,861 %</t>
  </si>
  <si>
    <t>5,880 %</t>
  </si>
  <si>
    <t>5,876 %</t>
  </si>
  <si>
    <t>6,154 %</t>
  </si>
  <si>
    <t>5,934 %</t>
  </si>
  <si>
    <t>5,928 %</t>
  </si>
  <si>
    <t>5,938 %</t>
  </si>
  <si>
    <t>5,890 %</t>
  </si>
  <si>
    <t>5,971 %</t>
  </si>
  <si>
    <t>5,915 %</t>
  </si>
  <si>
    <t>6,165 %</t>
  </si>
  <si>
    <t>5,945 %</t>
  </si>
  <si>
    <t>6,181 %</t>
  </si>
  <si>
    <t>5,859 %</t>
  </si>
  <si>
    <t>5,936 %</t>
  </si>
  <si>
    <t>6,076 %</t>
  </si>
  <si>
    <t>5,805 %</t>
  </si>
  <si>
    <t>6,065 %</t>
  </si>
  <si>
    <t>5,941 %</t>
  </si>
  <si>
    <t>6,118 %</t>
  </si>
  <si>
    <t>5,899 %</t>
  </si>
  <si>
    <t>6,086 %</t>
  </si>
  <si>
    <t>5,953 %</t>
  </si>
  <si>
    <t>5,745 %</t>
  </si>
  <si>
    <t>5,701 %</t>
  </si>
  <si>
    <t>5,911 %</t>
  </si>
  <si>
    <t>5,595 %</t>
  </si>
  <si>
    <t>5,633 %</t>
  </si>
  <si>
    <t>5,623 %</t>
  </si>
  <si>
    <t>5,655 %</t>
  </si>
  <si>
    <t>5,827 %</t>
  </si>
  <si>
    <t>5,695 %</t>
  </si>
  <si>
    <t>5,566 %</t>
  </si>
  <si>
    <t>5,621 %</t>
  </si>
  <si>
    <t>5,600 %</t>
  </si>
  <si>
    <t>5,957 %</t>
  </si>
  <si>
    <t>5,735 %</t>
  </si>
  <si>
    <t>5,942 %</t>
  </si>
  <si>
    <t>5,729 %</t>
  </si>
  <si>
    <t>5,739 %</t>
  </si>
  <si>
    <t>5,921 %</t>
  </si>
  <si>
    <t>5,715 %</t>
  </si>
  <si>
    <t>5,681 %</t>
  </si>
  <si>
    <t>5,897 %</t>
  </si>
  <si>
    <t>5,692 %</t>
  </si>
  <si>
    <t>5,683 %</t>
  </si>
  <si>
    <t>5,885 %</t>
  </si>
  <si>
    <t>5,819 %</t>
  </si>
  <si>
    <t>5,610 %</t>
  </si>
  <si>
    <t>5,811 %</t>
  </si>
  <si>
    <t>5,611 %</t>
  </si>
  <si>
    <t>5,617 %</t>
  </si>
  <si>
    <t>5,799 %</t>
  </si>
  <si>
    <t>5,609 %</t>
  </si>
  <si>
    <t>5,605 %</t>
  </si>
  <si>
    <t>5,639 %</t>
  </si>
  <si>
    <t>5,559 %</t>
  </si>
  <si>
    <t>5,571 %</t>
  </si>
  <si>
    <t>5,625 %</t>
  </si>
  <si>
    <t>5,563 %</t>
  </si>
  <si>
    <t>5,768 %</t>
  </si>
  <si>
    <t>5,648 %</t>
  </si>
  <si>
    <t>5,671 %</t>
  </si>
  <si>
    <t>5,852 %</t>
  </si>
  <si>
    <t>5,644 %</t>
  </si>
  <si>
    <t>5,878 %</t>
  </si>
  <si>
    <t>5,479 %</t>
  </si>
  <si>
    <t>5,490 %</t>
  </si>
  <si>
    <t>5,461 %</t>
  </si>
  <si>
    <t>5,475 %</t>
  </si>
  <si>
    <t>5,662 %</t>
  </si>
  <si>
    <t>5,462 %</t>
  </si>
  <si>
    <t>5,387 %</t>
  </si>
  <si>
    <t>5,209 %</t>
  </si>
  <si>
    <t>5,220 %</t>
  </si>
  <si>
    <t>No cotizó</t>
  </si>
  <si>
    <t>5,188 %</t>
  </si>
  <si>
    <t>5,185 %</t>
  </si>
  <si>
    <t>5,359 %</t>
  </si>
  <si>
    <t>5,141 %</t>
  </si>
  <si>
    <t>5,347 %</t>
  </si>
  <si>
    <t>5,109 %</t>
  </si>
  <si>
    <t>5,100 %</t>
  </si>
  <si>
    <t>5,078 %</t>
  </si>
  <si>
    <t>5,235 %</t>
  </si>
  <si>
    <t>4,961 %</t>
  </si>
  <si>
    <t>4,938 %</t>
  </si>
  <si>
    <t>4,941 %</t>
  </si>
  <si>
    <t>4,940 %</t>
  </si>
  <si>
    <t>4,921 %</t>
  </si>
  <si>
    <t>4,942 %</t>
  </si>
  <si>
    <t>5,102 %</t>
  </si>
  <si>
    <t>4,939 %</t>
  </si>
  <si>
    <t>4,945 %</t>
  </si>
  <si>
    <t>4,930 %</t>
  </si>
  <si>
    <t>4,913 %</t>
  </si>
  <si>
    <t>4,932 %</t>
  </si>
  <si>
    <t>4,914 %</t>
  </si>
  <si>
    <t>4,910 %</t>
  </si>
  <si>
    <t>4,928 %</t>
  </si>
  <si>
    <t>5,092 %</t>
  </si>
  <si>
    <t>4,931 %</t>
  </si>
  <si>
    <t>4,936 %</t>
  </si>
  <si>
    <t>4,909 %</t>
  </si>
  <si>
    <t>5,072 %</t>
  </si>
  <si>
    <t>4,915 %</t>
  </si>
  <si>
    <t>4,900 %</t>
  </si>
  <si>
    <t>4,901 %</t>
  </si>
  <si>
    <t>4,880 %</t>
  </si>
  <si>
    <t>4,904 %</t>
  </si>
  <si>
    <t>4,839 %</t>
  </si>
  <si>
    <t>4,850 %</t>
  </si>
  <si>
    <t>4,890 %</t>
  </si>
  <si>
    <t>5,056 %</t>
  </si>
  <si>
    <t>4,895 %</t>
  </si>
  <si>
    <t>4,832 %</t>
  </si>
  <si>
    <t>4,865 %</t>
  </si>
  <si>
    <t>4,828 %</t>
  </si>
  <si>
    <t>4,830 %</t>
  </si>
  <si>
    <t>4,826 %</t>
  </si>
  <si>
    <t>4,823 %</t>
  </si>
  <si>
    <t>4,810 %</t>
  </si>
  <si>
    <t>4,829 %</t>
  </si>
  <si>
    <t>4,840 %</t>
  </si>
  <si>
    <t>4,820 %</t>
  </si>
  <si>
    <t>4,825 %</t>
  </si>
  <si>
    <t>4,800 %</t>
  </si>
  <si>
    <t>4,816 %</t>
  </si>
  <si>
    <t>4,981 %</t>
  </si>
  <si>
    <t>4,835 %</t>
  </si>
  <si>
    <t>4,849 %</t>
  </si>
  <si>
    <t>4,977 %</t>
  </si>
  <si>
    <t>4,809 %</t>
  </si>
  <si>
    <t>4,836 %</t>
  </si>
  <si>
    <t>4,795 %</t>
  </si>
  <si>
    <t>4,790 %</t>
  </si>
  <si>
    <t>4,821 %</t>
  </si>
  <si>
    <t>4,482 %</t>
  </si>
  <si>
    <t>4,765 %</t>
  </si>
  <si>
    <t>4,785 %</t>
  </si>
  <si>
    <t>4,750 %</t>
  </si>
  <si>
    <t>4,780 %</t>
  </si>
  <si>
    <t>4,625 %</t>
  </si>
  <si>
    <t>4,700 %</t>
  </si>
  <si>
    <t>4,724 %</t>
  </si>
  <si>
    <t>4,580 %</t>
  </si>
  <si>
    <t>4,550 %</t>
  </si>
  <si>
    <t>4,587 %</t>
  </si>
  <si>
    <t>4,570 %</t>
  </si>
  <si>
    <t>4,606 %</t>
  </si>
  <si>
    <t>4,540 %</t>
  </si>
  <si>
    <t>4,590 %</t>
  </si>
  <si>
    <t>4,730 %</t>
  </si>
  <si>
    <t>4,585 %</t>
  </si>
  <si>
    <t>4,589 %</t>
  </si>
  <si>
    <t>4,528 %</t>
  </si>
  <si>
    <t>4,620 %</t>
  </si>
  <si>
    <t>4,702 %</t>
  </si>
  <si>
    <t>4,558 %</t>
  </si>
  <si>
    <t>4,565 %</t>
  </si>
  <si>
    <t>4,520 %</t>
  </si>
  <si>
    <t>4,530 %</t>
  </si>
  <si>
    <t>4,551 %</t>
  </si>
  <si>
    <t>4,692 %</t>
  </si>
  <si>
    <t>4,548 %</t>
  </si>
  <si>
    <t>4,545 %</t>
  </si>
  <si>
    <t>4,510 %</t>
  </si>
  <si>
    <t>4,502 %</t>
  </si>
  <si>
    <t>4,560 %</t>
  </si>
  <si>
    <t>4,688 %</t>
  </si>
  <si>
    <t>4,501 %</t>
  </si>
  <si>
    <t>4,500 %</t>
  </si>
  <si>
    <t>4,600 %</t>
  </si>
  <si>
    <t>4,734 %</t>
  </si>
  <si>
    <t>4,588 %</t>
  </si>
  <si>
    <t>4,640 %</t>
  </si>
  <si>
    <t>4,626 %</t>
  </si>
  <si>
    <t>4,643 %</t>
  </si>
  <si>
    <t>4,630 %</t>
  </si>
  <si>
    <t>4,797 %</t>
  </si>
  <si>
    <t>4,648 %</t>
  </si>
  <si>
    <t>4,684 %</t>
  </si>
  <si>
    <t>4,660 %</t>
  </si>
  <si>
    <t>4,651 %</t>
  </si>
  <si>
    <t>4,645 %</t>
  </si>
  <si>
    <t>4,650 %</t>
  </si>
  <si>
    <t>4,642 %</t>
  </si>
  <si>
    <t>4,786 %</t>
  </si>
  <si>
    <t>4,638 %</t>
  </si>
  <si>
    <t>4,635 %</t>
  </si>
  <si>
    <t>4,783 %</t>
  </si>
  <si>
    <t>4,610 %</t>
  </si>
  <si>
    <t>4,602 %</t>
  </si>
  <si>
    <t>4,655 %</t>
  </si>
  <si>
    <t>4,641 %</t>
  </si>
  <si>
    <t>4,762 %</t>
  </si>
  <si>
    <t>4,615 %</t>
  </si>
  <si>
    <t>4,601 %</t>
  </si>
  <si>
    <t>4,654 %</t>
  </si>
  <si>
    <t>4,767 %</t>
  </si>
  <si>
    <t>4,629 %</t>
  </si>
  <si>
    <t>4,605 %</t>
  </si>
  <si>
    <t>4,656 %</t>
  </si>
  <si>
    <t>4,787 %</t>
  </si>
  <si>
    <t>4,639 %</t>
  </si>
  <si>
    <t>4,627 %</t>
  </si>
  <si>
    <t>4,779 %</t>
  </si>
  <si>
    <t>4,632 %</t>
  </si>
  <si>
    <t>4,634 %</t>
  </si>
  <si>
    <t>4,649 %</t>
  </si>
  <si>
    <t>4,691 %</t>
  </si>
  <si>
    <t>4,703 %</t>
  </si>
  <si>
    <t>4,559 %</t>
  </si>
  <si>
    <t>4,515 %</t>
  </si>
  <si>
    <t>4,563 %</t>
  </si>
  <si>
    <t>4,701 %</t>
  </si>
  <si>
    <t>4,557 %</t>
  </si>
  <si>
    <t>4,591 %</t>
  </si>
  <si>
    <t>4,480 %</t>
  </si>
  <si>
    <t>4,555 %</t>
  </si>
  <si>
    <t>4,542 %</t>
  </si>
  <si>
    <t>4,568 %</t>
  </si>
  <si>
    <t>4,699 %</t>
  </si>
  <si>
    <t>4,566 %</t>
  </si>
  <si>
    <t>4,569 %</t>
  </si>
  <si>
    <t>4,481 %</t>
  </si>
  <si>
    <t>4,715 %</t>
  </si>
  <si>
    <t>4,571 %</t>
  </si>
  <si>
    <t>4,723 %</t>
  </si>
  <si>
    <t>4,579 %</t>
  </si>
  <si>
    <t>4,575 %</t>
  </si>
  <si>
    <t>4,582 %</t>
  </si>
  <si>
    <t>4,599 %</t>
  </si>
  <si>
    <t>4,470 %</t>
  </si>
  <si>
    <t>4,731 %</t>
  </si>
  <si>
    <t>4,586 %</t>
  </si>
  <si>
    <t>4,735 %</t>
  </si>
  <si>
    <t>4,581 %</t>
  </si>
  <si>
    <t>4,733 %</t>
  </si>
  <si>
    <t>4,670 %</t>
  </si>
  <si>
    <t>4,777 %</t>
  </si>
  <si>
    <t>4,680 %</t>
  </si>
  <si>
    <t>4,754 %</t>
  </si>
  <si>
    <t>4,608 %</t>
  </si>
  <si>
    <t>4,746 %</t>
  </si>
  <si>
    <t>4,720 %</t>
  </si>
  <si>
    <t>4,562 %</t>
  </si>
  <si>
    <t>4,541 %</t>
  </si>
  <si>
    <t>4,554 %</t>
  </si>
  <si>
    <t>4,609 %</t>
  </si>
  <si>
    <t>4,697 %</t>
  </si>
  <si>
    <t>4,553 %</t>
  </si>
  <si>
    <t>4,525 %</t>
  </si>
  <si>
    <t>4,533 %</t>
  </si>
  <si>
    <t>4,669 %</t>
  </si>
  <si>
    <t>4,764 %</t>
  </si>
  <si>
    <t>4,617 %</t>
  </si>
  <si>
    <t>4,628 %</t>
  </si>
  <si>
    <t>4,664 %</t>
  </si>
  <si>
    <t>4,667 %</t>
  </si>
  <si>
    <t>4,812 %</t>
  </si>
  <si>
    <t>4,663 %</t>
  </si>
  <si>
    <t>4,690 %</t>
  </si>
  <si>
    <t>4,612 %</t>
  </si>
  <si>
    <t>4,676 %</t>
  </si>
  <si>
    <t>4,665 %</t>
  </si>
  <si>
    <t>4,757 %</t>
  </si>
  <si>
    <t>4,611 %</t>
  </si>
  <si>
    <t>4,595 %</t>
  </si>
  <si>
    <t>4,577 %</t>
  </si>
  <si>
    <t>4,683 %</t>
  </si>
  <si>
    <t>4,450 %</t>
  </si>
  <si>
    <t>4,468 %</t>
  </si>
  <si>
    <t>4,576 %</t>
  </si>
  <si>
    <t>4,469 %</t>
  </si>
  <si>
    <t>4,410 %</t>
  </si>
  <si>
    <t>4,400 %</t>
  </si>
  <si>
    <t>4,404 %</t>
  </si>
  <si>
    <t>4,419 %</t>
  </si>
  <si>
    <t>4,518 %</t>
  </si>
  <si>
    <t>4,537 %</t>
  </si>
  <si>
    <t>4,401 %</t>
  </si>
  <si>
    <t>4,406 %</t>
  </si>
  <si>
    <t>4,397 %</t>
  </si>
  <si>
    <t>4,402 %</t>
  </si>
  <si>
    <t>4,399 %</t>
  </si>
  <si>
    <t>4,425 %</t>
  </si>
  <si>
    <t>4,536 %</t>
  </si>
  <si>
    <t>4,395 %</t>
  </si>
  <si>
    <t>4,405 %</t>
  </si>
  <si>
    <t>4,393 %</t>
  </si>
  <si>
    <t>4,389 %</t>
  </si>
  <si>
    <t>4,391 %</t>
  </si>
  <si>
    <t>4,398 %</t>
  </si>
  <si>
    <t>4,403 %</t>
  </si>
  <si>
    <t>4,385 %</t>
  </si>
  <si>
    <t>4,394 %</t>
  </si>
  <si>
    <t>4,387 %</t>
  </si>
  <si>
    <t>4,411 %</t>
  </si>
  <si>
    <t>4,390 %</t>
  </si>
  <si>
    <t>4,526 %</t>
  </si>
  <si>
    <t>4,386 %</t>
  </si>
  <si>
    <t>4,388 %</t>
  </si>
  <si>
    <t>4,383 %</t>
  </si>
  <si>
    <t>4,384 %</t>
  </si>
  <si>
    <t>4,381 %</t>
  </si>
  <si>
    <t>4,521 %</t>
  </si>
  <si>
    <t>4,382 %</t>
  </si>
  <si>
    <t>4,380 %</t>
  </si>
  <si>
    <t>4,379 %</t>
  </si>
  <si>
    <t>4,375 %</t>
  </si>
  <si>
    <t>4,378 %</t>
  </si>
  <si>
    <t>4,377 %</t>
  </si>
  <si>
    <t>4,376 %</t>
  </si>
  <si>
    <t>4,516 %</t>
  </si>
  <si>
    <t>4,514 %</t>
  </si>
  <si>
    <t>4,374 %</t>
  </si>
  <si>
    <t>4,371 %</t>
  </si>
  <si>
    <t>4,513 %</t>
  </si>
  <si>
    <t>4,370 %</t>
  </si>
  <si>
    <t>4,373 %</t>
  </si>
  <si>
    <t>4,511 %</t>
  </si>
  <si>
    <t>4,512 %</t>
  </si>
  <si>
    <t>4,361 %</t>
  </si>
  <si>
    <t>4,509 %</t>
  </si>
  <si>
    <t>4,372 %</t>
  </si>
  <si>
    <t>4,360 %</t>
  </si>
  <si>
    <t>4,365 %</t>
  </si>
  <si>
    <t>4,369 %</t>
  </si>
  <si>
    <t>4,506 %</t>
  </si>
  <si>
    <t>4,368 %</t>
  </si>
  <si>
    <t>4,507 %</t>
  </si>
  <si>
    <t>4,508 %</t>
  </si>
  <si>
    <t>4,392 %</t>
  </si>
  <si>
    <t>4,517 %</t>
  </si>
  <si>
    <t>4,532 %</t>
  </si>
  <si>
    <t>4,396 %</t>
  </si>
  <si>
    <t>4,524 %</t>
  </si>
  <si>
    <t>4,522 %</t>
  </si>
  <si>
    <t>4,364 %</t>
  </si>
  <si>
    <t>4,367 %</t>
  </si>
  <si>
    <t>4,529 %</t>
  </si>
  <si>
    <t>4,430 %</t>
  </si>
  <si>
    <t>4,527 %</t>
  </si>
  <si>
    <t>4,440 %</t>
  </si>
  <si>
    <t>4,503 %</t>
  </si>
  <si>
    <t>4,436 %</t>
  </si>
  <si>
    <t>4,350 %</t>
  </si>
  <si>
    <t>4,504 %</t>
  </si>
  <si>
    <t>4,340 %</t>
  </si>
  <si>
    <t>4,505 %</t>
  </si>
  <si>
    <t>4,420 %</t>
  </si>
  <si>
    <t>4,409 %</t>
  </si>
  <si>
    <t>4,415 %</t>
  </si>
  <si>
    <t>4,366 %</t>
  </si>
  <si>
    <t>4,362 %</t>
  </si>
  <si>
    <t>4,356 %</t>
  </si>
  <si>
    <t>4,355 %</t>
  </si>
  <si>
    <t>4,353 %</t>
  </si>
  <si>
    <t>4,494 %</t>
  </si>
  <si>
    <t>4,330 %</t>
  </si>
  <si>
    <t>4,335 %</t>
  </si>
  <si>
    <t>4,322 %</t>
  </si>
  <si>
    <t>4,329 %</t>
  </si>
  <si>
    <t>4,349 %</t>
  </si>
  <si>
    <t>4,348 %</t>
  </si>
  <si>
    <t>4,462 %</t>
  </si>
  <si>
    <t>4,325 %</t>
  </si>
  <si>
    <t>4,320 %</t>
  </si>
  <si>
    <t>4,328 %</t>
  </si>
  <si>
    <t>4,357 %</t>
  </si>
  <si>
    <t>4,464 %</t>
  </si>
  <si>
    <t>4,331 %</t>
  </si>
  <si>
    <t>4,338 %</t>
  </si>
  <si>
    <t>4,359 %</t>
  </si>
  <si>
    <t>4,336 %</t>
  </si>
  <si>
    <t>4,333 %</t>
  </si>
  <si>
    <t>4,352 %</t>
  </si>
  <si>
    <t>4,474 %</t>
  </si>
  <si>
    <t>4,337 %</t>
  </si>
  <si>
    <t>4,342 %</t>
  </si>
  <si>
    <t>4,476 %</t>
  </si>
  <si>
    <t>4,339 %</t>
  </si>
  <si>
    <t>4,343 %</t>
  </si>
  <si>
    <t>4,334 %</t>
  </si>
  <si>
    <t>4,477 %</t>
  </si>
  <si>
    <t>4,347 %</t>
  </si>
  <si>
    <t>4,344 %</t>
  </si>
  <si>
    <t>4,341 %</t>
  </si>
  <si>
    <t>4,345 %</t>
  </si>
  <si>
    <t>4,483 %</t>
  </si>
  <si>
    <t>4,487 %</t>
  </si>
  <si>
    <t>4,358 %</t>
  </si>
  <si>
    <t>4,493 %</t>
  </si>
  <si>
    <t>4,495 %</t>
  </si>
  <si>
    <t>4,497 %</t>
  </si>
  <si>
    <t>4,363 %</t>
  </si>
  <si>
    <t>4,499 %</t>
  </si>
  <si>
    <t>4,498 %</t>
  </si>
  <si>
    <t>4,491 %</t>
  </si>
  <si>
    <t>4,351 %</t>
  </si>
  <si>
    <t>4,290 %</t>
  </si>
  <si>
    <t>4,461 %</t>
  </si>
  <si>
    <t>4,326 %</t>
  </si>
  <si>
    <t>4,314 %</t>
  </si>
  <si>
    <t>4,283 %</t>
  </si>
  <si>
    <t>4,458 %</t>
  </si>
  <si>
    <t>4,332 %</t>
  </si>
  <si>
    <t>4,250 %</t>
  </si>
  <si>
    <t>4,285 %</t>
  </si>
  <si>
    <t>4,319 %</t>
  </si>
  <si>
    <t>4,275 %</t>
  </si>
  <si>
    <t>4,479 %</t>
  </si>
  <si>
    <t>4,300 %</t>
  </si>
  <si>
    <t>4,484 %</t>
  </si>
  <si>
    <t>4,489 %</t>
  </si>
  <si>
    <t>4,354 %</t>
  </si>
  <si>
    <t>4,346 %</t>
  </si>
  <si>
    <t>4,492 %</t>
  </si>
  <si>
    <t>4,310 %</t>
  </si>
  <si>
    <t>4,496 %</t>
  </si>
  <si>
    <t>4,488 %</t>
  </si>
  <si>
    <t>4,490 %</t>
  </si>
  <si>
    <t>4,478 %</t>
  </si>
  <si>
    <t>4,473 %</t>
  </si>
  <si>
    <t>4,286 %</t>
  </si>
  <si>
    <t>4,407 %</t>
  </si>
  <si>
    <t>4,412 %</t>
  </si>
  <si>
    <t>4,441 %</t>
  </si>
  <si>
    <t>4,547 %</t>
  </si>
  <si>
    <t>4,531 %</t>
  </si>
  <si>
    <t>4,519 %</t>
  </si>
  <si>
    <t>4,445 %</t>
  </si>
  <si>
    <t>4,460 %</t>
  </si>
  <si>
    <t>4,444 %</t>
  </si>
  <si>
    <t>4,578 %</t>
  </si>
  <si>
    <t>4,465 %</t>
  </si>
  <si>
    <t>4,421 %</t>
  </si>
  <si>
    <t>4,448 %</t>
  </si>
  <si>
    <t>4,455 %</t>
  </si>
  <si>
    <t>4,459 %</t>
  </si>
  <si>
    <t>4,574 %</t>
  </si>
  <si>
    <t>4,442 %</t>
  </si>
  <si>
    <t>4,431 %</t>
  </si>
  <si>
    <t>4,471 %</t>
  </si>
  <si>
    <t>4,584 %</t>
  </si>
  <si>
    <t>4,435 %</t>
  </si>
  <si>
    <t>4,485 %</t>
  </si>
  <si>
    <t>4,429 %</t>
  </si>
  <si>
    <t>4,475 %</t>
  </si>
  <si>
    <t>4,573 %</t>
  </si>
  <si>
    <t>4,321 %</t>
  </si>
  <si>
    <t>4,549 %</t>
  </si>
  <si>
    <t>3,375 %</t>
  </si>
  <si>
    <t>4,313 %</t>
  </si>
  <si>
    <t>4,295 %</t>
  </si>
  <si>
    <t>4,315 %</t>
  </si>
  <si>
    <t>4,305 %</t>
  </si>
  <si>
    <t>4,284 %</t>
  </si>
  <si>
    <t>4,309 %</t>
  </si>
  <si>
    <t>4,270 %</t>
  </si>
  <si>
    <t>4,307 %</t>
  </si>
  <si>
    <t>4,424 %</t>
  </si>
  <si>
    <t>4,293 %</t>
  </si>
  <si>
    <t>4,280 %</t>
  </si>
  <si>
    <t>4,259 %</t>
  </si>
  <si>
    <t>4,303 %</t>
  </si>
  <si>
    <t>4,311 %</t>
  </si>
  <si>
    <t>4,296 %</t>
  </si>
  <si>
    <t>4,294 %</t>
  </si>
  <si>
    <t>4,317 %</t>
  </si>
  <si>
    <t>4,260 %</t>
  </si>
  <si>
    <t>4,299 %</t>
  </si>
  <si>
    <t>4,288 %</t>
  </si>
  <si>
    <t>4,269 %</t>
  </si>
  <si>
    <t>4,416 %</t>
  </si>
  <si>
    <t>4,292 %</t>
  </si>
  <si>
    <t>4,301 %</t>
  </si>
  <si>
    <t>4,258 %</t>
  </si>
  <si>
    <t>4,308 %</t>
  </si>
  <si>
    <t>4,426 %</t>
  </si>
  <si>
    <t>4,278 %</t>
  </si>
  <si>
    <t>4,276 %</t>
  </si>
  <si>
    <t>4,220 %</t>
  </si>
  <si>
    <t>4,277 %</t>
  </si>
  <si>
    <t>4,238 %</t>
  </si>
  <si>
    <t>4,241 %</t>
  </si>
  <si>
    <t>4,263 %</t>
  </si>
  <si>
    <t>4,223 %</t>
  </si>
  <si>
    <t>4,200 %</t>
  </si>
  <si>
    <t>4,225 %</t>
  </si>
  <si>
    <t>4,229 %</t>
  </si>
  <si>
    <t>4,221 %</t>
  </si>
  <si>
    <t>4,240 %</t>
  </si>
  <si>
    <t>4,210 %</t>
  </si>
  <si>
    <t>4,190 %</t>
  </si>
  <si>
    <t>4,205 %</t>
  </si>
  <si>
    <t>4,160 %</t>
  </si>
  <si>
    <t>4,219 %</t>
  </si>
  <si>
    <t>4,215 %</t>
  </si>
  <si>
    <t>4,218 %</t>
  </si>
  <si>
    <t>4,327 %</t>
  </si>
  <si>
    <t>4,195 %</t>
  </si>
  <si>
    <t>4,150 %</t>
  </si>
  <si>
    <t>4,204 %</t>
  </si>
  <si>
    <t>4,180 %</t>
  </si>
  <si>
    <t>4,306 %</t>
  </si>
  <si>
    <t>4,154 %</t>
  </si>
  <si>
    <t>4,170 %</t>
  </si>
  <si>
    <t>4,304 %</t>
  </si>
  <si>
    <t>4,179 %</t>
  </si>
  <si>
    <t>4,175 %</t>
  </si>
  <si>
    <t>4,178 %</t>
  </si>
  <si>
    <t>4,167 %</t>
  </si>
  <si>
    <t>4,158 %</t>
  </si>
  <si>
    <t>4,100 %</t>
  </si>
  <si>
    <t>4,140 %</t>
  </si>
  <si>
    <t>4,152 %</t>
  </si>
  <si>
    <t>4,134 %</t>
  </si>
  <si>
    <t>4,110 %</t>
  </si>
  <si>
    <t>4,174 %</t>
  </si>
  <si>
    <t>4,130 %</t>
  </si>
  <si>
    <t>4,120 %</t>
  </si>
  <si>
    <t>4,271 %</t>
  </si>
  <si>
    <t>4,147 %</t>
  </si>
  <si>
    <t>4,144 %</t>
  </si>
  <si>
    <t>4,172 %</t>
  </si>
  <si>
    <t>4,169 %</t>
  </si>
  <si>
    <t>4,165 %</t>
  </si>
  <si>
    <t>4,145 %</t>
  </si>
  <si>
    <t>4,131 %</t>
  </si>
  <si>
    <t>4,159 %</t>
  </si>
  <si>
    <t>4,139 %</t>
  </si>
  <si>
    <t>4,121 %</t>
  </si>
  <si>
    <t>4,125 %</t>
  </si>
  <si>
    <t>4,149 %</t>
  </si>
  <si>
    <t>4,267 %</t>
  </si>
  <si>
    <t>4,143 %</t>
  </si>
  <si>
    <t>4,151 %</t>
  </si>
  <si>
    <t>4,166 %</t>
  </si>
  <si>
    <t>4,266 %</t>
  </si>
  <si>
    <t>4,135 %</t>
  </si>
  <si>
    <t>4,274 %</t>
  </si>
  <si>
    <t>4,185 %</t>
  </si>
  <si>
    <t>4,262 %</t>
  </si>
  <si>
    <t>4,138 %</t>
  </si>
  <si>
    <t>4,115 %</t>
  </si>
  <si>
    <t>4,146 %</t>
  </si>
  <si>
    <t>4,156 %</t>
  </si>
  <si>
    <t>4,272 %</t>
  </si>
  <si>
    <t>4,148 %</t>
  </si>
  <si>
    <t>4,164 %</t>
  </si>
  <si>
    <t>4,155 %</t>
  </si>
  <si>
    <t>4,124 %</t>
  </si>
  <si>
    <t>4,253 %</t>
  </si>
  <si>
    <t>4,105 %</t>
  </si>
  <si>
    <t>4,257 %</t>
  </si>
  <si>
    <t>4,133 %</t>
  </si>
  <si>
    <t>4,111 %</t>
  </si>
  <si>
    <t>4,244 %</t>
  </si>
  <si>
    <t>4,122 %</t>
  </si>
  <si>
    <t>4,199 %</t>
  </si>
  <si>
    <t>4,118 %</t>
  </si>
  <si>
    <t>4,090 %</t>
  </si>
  <si>
    <t>4,201 %</t>
  </si>
  <si>
    <t>4,189 %</t>
  </si>
  <si>
    <t>4,217 %</t>
  </si>
  <si>
    <t>4,095 %</t>
  </si>
  <si>
    <t>4,060 %</t>
  </si>
  <si>
    <t>4,045 %</t>
  </si>
  <si>
    <t>4,079 %</t>
  </si>
  <si>
    <t>4,063 %</t>
  </si>
  <si>
    <t>4,184 %</t>
  </si>
  <si>
    <t>4,064 %</t>
  </si>
  <si>
    <t>4,040 %</t>
  </si>
  <si>
    <t>4,005 %</t>
  </si>
  <si>
    <t>4,010 %</t>
  </si>
  <si>
    <t>4,080 %</t>
  </si>
  <si>
    <t>4,069 %</t>
  </si>
  <si>
    <t>4,070 %</t>
  </si>
  <si>
    <t>4,058 %</t>
  </si>
  <si>
    <t>4,157 %</t>
  </si>
  <si>
    <t>4,038 %</t>
  </si>
  <si>
    <t>4,020 %</t>
  </si>
  <si>
    <t>4,050 %</t>
  </si>
  <si>
    <t>3,989 %</t>
  </si>
  <si>
    <t>4,031 %</t>
  </si>
  <si>
    <t>4,030 %</t>
  </si>
  <si>
    <t>4,136 %</t>
  </si>
  <si>
    <t>4,018 %</t>
  </si>
  <si>
    <t>3,990 %</t>
  </si>
  <si>
    <t>3,940 %</t>
  </si>
  <si>
    <t>4,000 %</t>
  </si>
  <si>
    <t>4,029 %</t>
  </si>
  <si>
    <t>4,015 %</t>
  </si>
  <si>
    <t>4,114 %</t>
  </si>
  <si>
    <t>3,997 %</t>
  </si>
  <si>
    <t>3,970 %</t>
  </si>
  <si>
    <t>3,930 %</t>
  </si>
  <si>
    <t>3,994 %</t>
  </si>
  <si>
    <t>4,099 %</t>
  </si>
  <si>
    <t>3,982 %</t>
  </si>
  <si>
    <t>3,950 %</t>
  </si>
  <si>
    <t>3,985 %</t>
  </si>
  <si>
    <t>3,980 %</t>
  </si>
  <si>
    <t>3,983 %</t>
  </si>
  <si>
    <t>4,076 %</t>
  </si>
  <si>
    <t>3,960 %</t>
  </si>
  <si>
    <t>3,935 %</t>
  </si>
  <si>
    <t>3,959 %</t>
  </si>
  <si>
    <t>3,975 %</t>
  </si>
  <si>
    <t>3,949 %</t>
  </si>
  <si>
    <t>3,955 %</t>
  </si>
  <si>
    <t>3,926 %</t>
  </si>
  <si>
    <t>3,910 %</t>
  </si>
  <si>
    <t>3,948 %</t>
  </si>
  <si>
    <t>3,880 %</t>
  </si>
  <si>
    <t>3,900 %</t>
  </si>
  <si>
    <t>3,898 %</t>
  </si>
  <si>
    <t>3,896 %</t>
  </si>
  <si>
    <t>3,890 %</t>
  </si>
  <si>
    <t>3,830 %</t>
  </si>
  <si>
    <t>3,919 %</t>
  </si>
  <si>
    <t>3,966 %</t>
  </si>
  <si>
    <t>3,855 %</t>
  </si>
  <si>
    <t>3,850 %</t>
  </si>
  <si>
    <t>3,885 %</t>
  </si>
  <si>
    <t>3,918 %</t>
  </si>
  <si>
    <t>3,800 %</t>
  </si>
  <si>
    <t>3,840 %</t>
  </si>
  <si>
    <t>3,820 %</t>
  </si>
  <si>
    <t>3,860 %</t>
  </si>
  <si>
    <t>3,790 %</t>
  </si>
  <si>
    <t>3,826 %</t>
  </si>
  <si>
    <t>3,825 %</t>
  </si>
  <si>
    <t>3,770 %</t>
  </si>
  <si>
    <t>3,810 %</t>
  </si>
  <si>
    <t>3,872 %</t>
  </si>
  <si>
    <t>3,765 %</t>
  </si>
  <si>
    <t>3,744 %</t>
  </si>
  <si>
    <t>3,755 %</t>
  </si>
  <si>
    <t>3,760 %</t>
  </si>
  <si>
    <t>3,801 %</t>
  </si>
  <si>
    <t>3,780 %</t>
  </si>
  <si>
    <t>3,730 %</t>
  </si>
  <si>
    <t>3,862 %</t>
  </si>
  <si>
    <t>3,735 %</t>
  </si>
  <si>
    <t>3,795 %</t>
  </si>
  <si>
    <t>3,720 %</t>
  </si>
  <si>
    <t>3,806 %</t>
  </si>
  <si>
    <t>3,740 %</t>
  </si>
  <si>
    <t>3,750 %</t>
  </si>
  <si>
    <t>3,849 %</t>
  </si>
  <si>
    <t>3,743 %</t>
  </si>
  <si>
    <t>3,809 %</t>
  </si>
  <si>
    <t>3,745 %</t>
  </si>
  <si>
    <t>3,851 %</t>
  </si>
  <si>
    <t>3,738 %</t>
  </si>
  <si>
    <t>3,811 %</t>
  </si>
  <si>
    <t>3,856 %</t>
  </si>
  <si>
    <t>3,816 %</t>
  </si>
  <si>
    <t>3,867 %</t>
  </si>
  <si>
    <t>3,724 %</t>
  </si>
  <si>
    <t>3,819 %</t>
  </si>
  <si>
    <t>3,858 %</t>
  </si>
  <si>
    <t>3,751 %</t>
  </si>
  <si>
    <t>3,710 %</t>
  </si>
  <si>
    <t>3,821 %</t>
  </si>
  <si>
    <t>3,824 %</t>
  </si>
  <si>
    <t>3,907 %</t>
  </si>
  <si>
    <t>3,798 %</t>
  </si>
  <si>
    <t>3,785 %</t>
  </si>
  <si>
    <t>3,838 %</t>
  </si>
  <si>
    <t>3,903 %</t>
  </si>
  <si>
    <t>3,799 %</t>
  </si>
  <si>
    <t>3,789 %</t>
  </si>
  <si>
    <t>3,791 %</t>
  </si>
  <si>
    <t>3,753 %</t>
  </si>
  <si>
    <t>3,775 %</t>
  </si>
  <si>
    <t>3,788 %</t>
  </si>
  <si>
    <t>3,698 %</t>
  </si>
  <si>
    <t>3,756 %</t>
  </si>
  <si>
    <t>3,846 %</t>
  </si>
  <si>
    <t>3,700 %</t>
  </si>
  <si>
    <t>3,728 %</t>
  </si>
  <si>
    <t>3,823 %</t>
  </si>
  <si>
    <t>3,718 %</t>
  </si>
  <si>
    <t>3,690 %</t>
  </si>
  <si>
    <t>3,705 %</t>
  </si>
  <si>
    <t>3,701 %</t>
  </si>
  <si>
    <t>3,694 %</t>
  </si>
  <si>
    <t>3,693 %</t>
  </si>
  <si>
    <t>3,650 %</t>
  </si>
  <si>
    <t>3,699 %</t>
  </si>
  <si>
    <t>3,680 %</t>
  </si>
  <si>
    <t>3,695 %</t>
  </si>
  <si>
    <t>3,691 %</t>
  </si>
  <si>
    <t>3,692 %</t>
  </si>
  <si>
    <t>3,704 %</t>
  </si>
  <si>
    <t>3,640 %</t>
  </si>
  <si>
    <t>3,696 %</t>
  </si>
  <si>
    <t>3,783 %</t>
  </si>
  <si>
    <t>3,679 %</t>
  </si>
  <si>
    <t>3,683 %</t>
  </si>
  <si>
    <t>3,670 %</t>
  </si>
  <si>
    <t>3,651 %</t>
  </si>
  <si>
    <t>3,642 %</t>
  </si>
  <si>
    <t>3,660 %</t>
  </si>
  <si>
    <t>3,639 %</t>
  </si>
  <si>
    <t>3,638 %</t>
  </si>
  <si>
    <t>3,723 %</t>
  </si>
  <si>
    <t>3,622 %</t>
  </si>
  <si>
    <t>3,615 %</t>
  </si>
  <si>
    <t>3,624 %</t>
  </si>
  <si>
    <t>3,570 %</t>
  </si>
  <si>
    <t>3,620 %</t>
  </si>
  <si>
    <t>3,610 %</t>
  </si>
  <si>
    <t>3,636 %</t>
  </si>
  <si>
    <t>3,725 %</t>
  </si>
  <si>
    <t>3,613 %</t>
  </si>
  <si>
    <t>3,635 %</t>
  </si>
  <si>
    <t>3,590 %</t>
  </si>
  <si>
    <t>3,722 %</t>
  </si>
  <si>
    <t>3,621 %</t>
  </si>
  <si>
    <t>3,628 %</t>
  </si>
  <si>
    <t>3,575 %</t>
  </si>
  <si>
    <t>3,600 %</t>
  </si>
  <si>
    <t>3,714 %</t>
  </si>
  <si>
    <t>3,605 %</t>
  </si>
  <si>
    <t>3,630 %</t>
  </si>
  <si>
    <t>3,721 %</t>
  </si>
  <si>
    <t>3,553 %</t>
  </si>
  <si>
    <t>3,592 %</t>
  </si>
  <si>
    <t>3,432 %</t>
  </si>
  <si>
    <t>3,342 %</t>
  </si>
  <si>
    <t>3,338 %</t>
  </si>
  <si>
    <t>3,360 %</t>
  </si>
  <si>
    <t>3,350 %</t>
  </si>
  <si>
    <t>3,310 %</t>
  </si>
  <si>
    <t>3,346 %</t>
  </si>
  <si>
    <t>3,320 %</t>
  </si>
  <si>
    <t>3,330 %</t>
  </si>
  <si>
    <t>3,349 %</t>
  </si>
  <si>
    <t>3,404 %</t>
  </si>
  <si>
    <t>3,315 %</t>
  </si>
  <si>
    <t>3,305 %</t>
  </si>
  <si>
    <t>3,309 %</t>
  </si>
  <si>
    <t>3,335 %</t>
  </si>
  <si>
    <t>3,377 %</t>
  </si>
  <si>
    <t>3,289 %</t>
  </si>
  <si>
    <t>3,262 %</t>
  </si>
  <si>
    <t>3,275 %</t>
  </si>
  <si>
    <t>3,290 %</t>
  </si>
  <si>
    <t>3,265 %</t>
  </si>
  <si>
    <t>3,300 %</t>
  </si>
  <si>
    <t>3,288 %</t>
  </si>
  <si>
    <t>3,351 %</t>
  </si>
  <si>
    <t>3,264 %</t>
  </si>
  <si>
    <t>3,245 %</t>
  </si>
  <si>
    <t>3,234 %</t>
  </si>
  <si>
    <t>3,261 %</t>
  </si>
  <si>
    <t>3,270 %</t>
  </si>
  <si>
    <t>3,280 %</t>
  </si>
  <si>
    <t>3,263 %</t>
  </si>
  <si>
    <t>3,336 %</t>
  </si>
  <si>
    <t>3,250 %</t>
  </si>
  <si>
    <t>3,230 %</t>
  </si>
  <si>
    <t>3,242 %</t>
  </si>
  <si>
    <t>3,249 %</t>
  </si>
  <si>
    <t>3,260 %</t>
  </si>
  <si>
    <t>3,325 %</t>
  </si>
  <si>
    <t>3,239 %</t>
  </si>
  <si>
    <t>3,224 %</t>
  </si>
  <si>
    <t>3,210 %</t>
  </si>
  <si>
    <t>3,238 %</t>
  </si>
  <si>
    <t>3,240 %</t>
  </si>
  <si>
    <t>3,308 %</t>
  </si>
  <si>
    <t>3,223 %</t>
  </si>
  <si>
    <t>3,200 %</t>
  </si>
  <si>
    <t>3,225 %</t>
  </si>
  <si>
    <t>3,215 %</t>
  </si>
  <si>
    <t>3,229 %</t>
  </si>
  <si>
    <t>3,221 %</t>
  </si>
  <si>
    <t>3,296 %</t>
  </si>
  <si>
    <t>3,211 %</t>
  </si>
  <si>
    <t>3,203 %</t>
  </si>
  <si>
    <t>3,195 %</t>
  </si>
  <si>
    <t>3,220 %</t>
  </si>
  <si>
    <t>3,219 %</t>
  </si>
  <si>
    <t>3,294 %</t>
  </si>
  <si>
    <t>3,209 %</t>
  </si>
  <si>
    <t>3,198 %</t>
  </si>
  <si>
    <t>3,192 %</t>
  </si>
  <si>
    <t>3,208 %</t>
  </si>
  <si>
    <t>3,284 %</t>
  </si>
  <si>
    <t>3,180 %</t>
  </si>
  <si>
    <t>3,190 %</t>
  </si>
  <si>
    <t>3,206 %</t>
  </si>
  <si>
    <t>3,205 %</t>
  </si>
  <si>
    <t>3,196 %</t>
  </si>
  <si>
    <t>3,213 %</t>
  </si>
  <si>
    <t>3,185 %</t>
  </si>
  <si>
    <t>3,160 %</t>
  </si>
  <si>
    <t>3,279 %</t>
  </si>
  <si>
    <t>3,175 %</t>
  </si>
  <si>
    <t>3,155 %</t>
  </si>
  <si>
    <t>3,165 %</t>
  </si>
  <si>
    <t>3,194 %</t>
  </si>
  <si>
    <t>3,269 %</t>
  </si>
  <si>
    <t>3,170 %</t>
  </si>
  <si>
    <t>3,162 %</t>
  </si>
  <si>
    <t>3,189 %</t>
  </si>
  <si>
    <t>3,179 %</t>
  </si>
  <si>
    <t>3,169 %</t>
  </si>
  <si>
    <t>3,183 %</t>
  </si>
  <si>
    <t>3,256 %</t>
  </si>
  <si>
    <t>3,173 %</t>
  </si>
  <si>
    <t>3,181 %</t>
  </si>
  <si>
    <t>3,161 %</t>
  </si>
  <si>
    <t>3,178 %</t>
  </si>
  <si>
    <t>3,158 %</t>
  </si>
  <si>
    <t>3,174 %</t>
  </si>
  <si>
    <t>3,186 %</t>
  </si>
  <si>
    <t>3,254 %</t>
  </si>
  <si>
    <t>3,171 %</t>
  </si>
  <si>
    <t>3,166 %</t>
  </si>
  <si>
    <t>3,159 %</t>
  </si>
  <si>
    <t>3,176 %</t>
  </si>
  <si>
    <t>3,150 %</t>
  </si>
  <si>
    <t>3,151 %</t>
  </si>
  <si>
    <t>3,145 %</t>
  </si>
  <si>
    <t>3,153 %</t>
  </si>
  <si>
    <t>3,149 %</t>
  </si>
  <si>
    <t>3,164 %</t>
  </si>
  <si>
    <t>3,248 %</t>
  </si>
  <si>
    <t>3,130 %</t>
  </si>
  <si>
    <t>3,168 %</t>
  </si>
  <si>
    <t>3,172 %</t>
  </si>
  <si>
    <t>3,255 %</t>
  </si>
  <si>
    <t>3,259 %</t>
  </si>
  <si>
    <t>3,177 %</t>
  </si>
  <si>
    <t>3,266 %</t>
  </si>
  <si>
    <t>3,182 %</t>
  </si>
  <si>
    <t>3,272 %</t>
  </si>
  <si>
    <t>3,188 %</t>
  </si>
  <si>
    <t>3,187 %</t>
  </si>
  <si>
    <t>3,191 %</t>
  </si>
  <si>
    <t>3,231 %</t>
  </si>
  <si>
    <t>3,184 %</t>
  </si>
  <si>
    <t>3,277 %</t>
  </si>
  <si>
    <t>3,193 %</t>
  </si>
  <si>
    <t>3,282 %</t>
  </si>
  <si>
    <t>3,197 %</t>
  </si>
  <si>
    <t>3,287 %</t>
  </si>
  <si>
    <t>3,291 %</t>
  </si>
  <si>
    <t>3,207 %</t>
  </si>
  <si>
    <t>3,236 %</t>
  </si>
  <si>
    <t>3,278 %</t>
  </si>
  <si>
    <t>3,281 %</t>
  </si>
  <si>
    <t>3,199 %</t>
  </si>
  <si>
    <t>3,283 %</t>
  </si>
  <si>
    <t>3,204 %</t>
  </si>
  <si>
    <t>3,235 %</t>
  </si>
  <si>
    <t>3,214 %</t>
  </si>
  <si>
    <t>3,222 %</t>
  </si>
  <si>
    <t>3,298 %</t>
  </si>
  <si>
    <t>3,295 %</t>
  </si>
  <si>
    <t>3,217 %</t>
  </si>
  <si>
    <t>3,292 %</t>
  </si>
  <si>
    <t>3,202 %</t>
  </si>
  <si>
    <t>3,201 %</t>
  </si>
  <si>
    <t>3,212 %</t>
  </si>
  <si>
    <t>3,273 %</t>
  </si>
  <si>
    <t>3,167 %</t>
  </si>
  <si>
    <t>3,258 %</t>
  </si>
  <si>
    <t>3,163 %</t>
  </si>
  <si>
    <t>3,251 %</t>
  </si>
  <si>
    <t>3,140 %</t>
  </si>
  <si>
    <t>3,253 %</t>
  </si>
  <si>
    <t>3,247 %</t>
  </si>
  <si>
    <t>3,156 %</t>
  </si>
  <si>
    <t>3,244 %</t>
  </si>
  <si>
    <t>3,154 %</t>
  </si>
  <si>
    <t>3,152 %</t>
  </si>
  <si>
    <t>3,157 %</t>
  </si>
  <si>
    <t>3,144 %</t>
  </si>
  <si>
    <t>3,237 %</t>
  </si>
  <si>
    <t>3,141 %</t>
  </si>
  <si>
    <t>3,120 %</t>
  </si>
  <si>
    <t>3,119 %</t>
  </si>
  <si>
    <t>3,246 %</t>
  </si>
  <si>
    <t>3,241 %</t>
  </si>
  <si>
    <t>3,232 %</t>
  </si>
  <si>
    <t>3,131 %</t>
  </si>
  <si>
    <t>3,118 %</t>
  </si>
  <si>
    <t>3,113 %</t>
  </si>
  <si>
    <t>3,148 %</t>
  </si>
  <si>
    <t>3,123 %</t>
  </si>
  <si>
    <t>3,100 %</t>
  </si>
  <si>
    <t>3,114 %</t>
  </si>
  <si>
    <t>3,101 %</t>
  </si>
  <si>
    <t>3,115 %</t>
  </si>
  <si>
    <t>3,104 %</t>
  </si>
  <si>
    <t>3,110 %</t>
  </si>
  <si>
    <t>3,233 %</t>
  </si>
  <si>
    <t>3,138 %</t>
  </si>
  <si>
    <t>3,105 %</t>
  </si>
  <si>
    <t>3,106 %</t>
  </si>
  <si>
    <t>3,134 %</t>
  </si>
  <si>
    <t>3,127 %</t>
  </si>
  <si>
    <t>3,095 %</t>
  </si>
  <si>
    <t>3,216 %</t>
  </si>
  <si>
    <t>3,112 %</t>
  </si>
  <si>
    <t>3,125 %</t>
  </si>
  <si>
    <t>3,085 %</t>
  </si>
  <si>
    <t>3,042 %</t>
  </si>
  <si>
    <t>3,139 %</t>
  </si>
  <si>
    <t>3,243 %</t>
  </si>
  <si>
    <t>3,132 %</t>
  </si>
  <si>
    <t>3,129 %</t>
  </si>
  <si>
    <t>3,135 %</t>
  </si>
  <si>
    <t>3,142 %</t>
  </si>
  <si>
    <t>3,252 %</t>
  </si>
  <si>
    <t>3,143 %</t>
  </si>
  <si>
    <t>3,271 %</t>
  </si>
  <si>
    <t>3,267 %</t>
  </si>
  <si>
    <t>3,274 %</t>
  </si>
  <si>
    <t>3,124 %</t>
  </si>
  <si>
    <t>3,268 %</t>
  </si>
  <si>
    <t>3,257 %</t>
  </si>
  <si>
    <t>3,080 %</t>
  </si>
  <si>
    <t>3,068 %</t>
  </si>
  <si>
    <t>3,070 %</t>
  </si>
  <si>
    <t>3,030 %</t>
  </si>
  <si>
    <t>3,075 %</t>
  </si>
  <si>
    <t>3,060 %</t>
  </si>
  <si>
    <t>3,036 %</t>
  </si>
  <si>
    <t>3,065 %</t>
  </si>
  <si>
    <t>3,108 %</t>
  </si>
  <si>
    <t>2,950 %</t>
  </si>
  <si>
    <t>2,980 %</t>
  </si>
  <si>
    <t>2,956 %</t>
  </si>
  <si>
    <t>3,019 %</t>
  </si>
  <si>
    <t>3,040 %</t>
  </si>
  <si>
    <t>3,045 %</t>
  </si>
  <si>
    <t>2,970 %</t>
  </si>
  <si>
    <t>2,949 %</t>
  </si>
  <si>
    <t>3,034 %</t>
  </si>
  <si>
    <t>2,960 %</t>
  </si>
  <si>
    <t>2,940 %</t>
  </si>
  <si>
    <t>2,943 %</t>
  </si>
  <si>
    <t>3,054 %</t>
  </si>
  <si>
    <t>2,978 %</t>
  </si>
  <si>
    <t>2,966 %</t>
  </si>
  <si>
    <t>2,994 %</t>
  </si>
  <si>
    <t>3,000 %</t>
  </si>
  <si>
    <t>2,959 %</t>
  </si>
  <si>
    <t>2,990 %</t>
  </si>
  <si>
    <t>2,920 %</t>
  </si>
  <si>
    <t>3,069 %</t>
  </si>
  <si>
    <t>2,993 %</t>
  </si>
  <si>
    <t>2,984 %</t>
  </si>
  <si>
    <t>2,985 %</t>
  </si>
  <si>
    <t>3,103 %</t>
  </si>
  <si>
    <t>3,025 %</t>
  </si>
  <si>
    <t>3,033 %</t>
  </si>
  <si>
    <t>3,116 %</t>
  </si>
  <si>
    <t>3,038 %</t>
  </si>
  <si>
    <t>3,050 %</t>
  </si>
  <si>
    <t>3,021 %</t>
  </si>
  <si>
    <t>3,055 %</t>
  </si>
  <si>
    <t>3,010 %</t>
  </si>
  <si>
    <t>3,081 %</t>
  </si>
  <si>
    <t>3,137 %</t>
  </si>
  <si>
    <t>3,058 %</t>
  </si>
  <si>
    <t>3,094 %</t>
  </si>
  <si>
    <t>3,092 %</t>
  </si>
  <si>
    <t>3,078 %</t>
  </si>
  <si>
    <t>3,057 %</t>
  </si>
  <si>
    <t>3,099 %</t>
  </si>
  <si>
    <t>3,097 %</t>
  </si>
  <si>
    <t>3,090 %</t>
  </si>
  <si>
    <t>3,133 %</t>
  </si>
  <si>
    <t>3,111 %</t>
  </si>
  <si>
    <t>3,102 %</t>
  </si>
  <si>
    <t>3,117 %</t>
  </si>
  <si>
    <t>3,109 %</t>
  </si>
  <si>
    <t>3,147 %</t>
  </si>
  <si>
    <t>3,082 %</t>
  </si>
  <si>
    <t>3,146 %</t>
  </si>
  <si>
    <t>3,228 %</t>
  </si>
  <si>
    <t>3,136 %</t>
  </si>
  <si>
    <t>3,227 %</t>
  </si>
  <si>
    <t>3,089 %</t>
  </si>
  <si>
    <t>3,128 %</t>
  </si>
  <si>
    <t>3,079 %</t>
  </si>
  <si>
    <t>3,122 %</t>
  </si>
  <si>
    <t>3,077 %</t>
  </si>
  <si>
    <t>3,107 %</t>
  </si>
  <si>
    <t>3,064 %</t>
  </si>
  <si>
    <t>3,096 %</t>
  </si>
  <si>
    <t>3,018 %</t>
  </si>
  <si>
    <t>3,020 %</t>
  </si>
  <si>
    <t>3,016 %</t>
  </si>
  <si>
    <t>3,001 %</t>
  </si>
  <si>
    <t>3,023 %</t>
  </si>
  <si>
    <t>3,015 %</t>
  </si>
  <si>
    <t>3,049 %</t>
  </si>
  <si>
    <t>3,026 %</t>
  </si>
  <si>
    <t>3,027 %</t>
  </si>
  <si>
    <t>3,029 %</t>
  </si>
  <si>
    <t>3,121 %</t>
  </si>
  <si>
    <t>3,043 %</t>
  </si>
  <si>
    <t>3,059 %</t>
  </si>
  <si>
    <t>3,056 %</t>
  </si>
  <si>
    <t>3,053 %</t>
  </si>
  <si>
    <t>3,041 %</t>
  </si>
  <si>
    <t>3,035 %</t>
  </si>
  <si>
    <t>3,071 %</t>
  </si>
  <si>
    <t>3,073 %</t>
  </si>
  <si>
    <t>3,052 %</t>
  </si>
  <si>
    <t>3,066 %</t>
  </si>
  <si>
    <t>3,061 %</t>
  </si>
  <si>
    <t>3,072 %</t>
  </si>
  <si>
    <t>3,062 %</t>
  </si>
  <si>
    <t>3,051 %</t>
  </si>
  <si>
    <t>3,046 %</t>
  </si>
  <si>
    <t>3,028 %</t>
  </si>
  <si>
    <t>3,039 %</t>
  </si>
  <si>
    <t>3,037 %</t>
  </si>
  <si>
    <t>3,047 %</t>
  </si>
  <si>
    <t>3,048 %</t>
  </si>
  <si>
    <t>3,084 %</t>
  </si>
  <si>
    <t>3,093 %</t>
  </si>
  <si>
    <t>3,088 %</t>
  </si>
  <si>
    <t>3,098 %</t>
  </si>
  <si>
    <t>3,087 %</t>
  </si>
  <si>
    <t>3,477 %</t>
  </si>
  <si>
    <t>3,386 %</t>
  </si>
  <si>
    <t>3,387 %</t>
  </si>
  <si>
    <t>3,364 %</t>
  </si>
  <si>
    <t>3,369 %</t>
  </si>
  <si>
    <t>3,385 %</t>
  </si>
  <si>
    <t>3,390 %</t>
  </si>
  <si>
    <t>3,450 %</t>
  </si>
  <si>
    <t>3,400 %</t>
  </si>
  <si>
    <t>3,476 %</t>
  </si>
  <si>
    <t>3,384 %</t>
  </si>
  <si>
    <t>3,370 %</t>
  </si>
  <si>
    <t>3,399 %</t>
  </si>
  <si>
    <t>3,394 %</t>
  </si>
  <si>
    <t>3,430 %</t>
  </si>
  <si>
    <t>3,486 %</t>
  </si>
  <si>
    <t>3,389 %</t>
  </si>
  <si>
    <t>3,420 %</t>
  </si>
  <si>
    <t>3,398 %</t>
  </si>
  <si>
    <t>3,494 %</t>
  </si>
  <si>
    <t>3,402 %</t>
  </si>
  <si>
    <t>3,388 %</t>
  </si>
  <si>
    <t>3,409 %</t>
  </si>
  <si>
    <t>3,421 %</t>
  </si>
  <si>
    <t>3,410 %</t>
  </si>
  <si>
    <t>3,395 %</t>
  </si>
  <si>
    <t>3,408 %</t>
  </si>
  <si>
    <t>3,502 %</t>
  </si>
  <si>
    <t>3,440 %</t>
  </si>
  <si>
    <t>3,434 %</t>
  </si>
  <si>
    <t>3,419 %</t>
  </si>
  <si>
    <t>3,520 %</t>
  </si>
  <si>
    <t>3,427 %</t>
  </si>
  <si>
    <t>3,397 %</t>
  </si>
  <si>
    <t>3,380 %</t>
  </si>
  <si>
    <t>3,423 %</t>
  </si>
  <si>
    <t>3,431 %</t>
  </si>
  <si>
    <t>3,500 %</t>
  </si>
  <si>
    <t>3,513 %</t>
  </si>
  <si>
    <t>3,412 %</t>
  </si>
  <si>
    <t>3,433 %</t>
  </si>
  <si>
    <t>3,509 %</t>
  </si>
  <si>
    <t>3,416 %</t>
  </si>
  <si>
    <t>3,413 %</t>
  </si>
  <si>
    <t>3,470 %</t>
  </si>
  <si>
    <t>3,414 %</t>
  </si>
  <si>
    <t>3,417 %</t>
  </si>
  <si>
    <t>3,424 %</t>
  </si>
  <si>
    <t>3,415 %</t>
  </si>
  <si>
    <t>3,460 %</t>
  </si>
  <si>
    <t>3,436 %</t>
  </si>
  <si>
    <t>3,515 %</t>
  </si>
  <si>
    <t>3,422 %</t>
  </si>
  <si>
    <t>3,443 %</t>
  </si>
  <si>
    <t>3,528 %</t>
  </si>
  <si>
    <t>3,435 %</t>
  </si>
  <si>
    <t>3,453 %</t>
  </si>
  <si>
    <t>3,446 %</t>
  </si>
  <si>
    <t>3,532 %</t>
  </si>
  <si>
    <t>3,439 %</t>
  </si>
  <si>
    <t>3,449 %</t>
  </si>
  <si>
    <t>3,510 %</t>
  </si>
  <si>
    <t>3,448 %</t>
  </si>
  <si>
    <t>3,542 %</t>
  </si>
  <si>
    <t>3,437 %</t>
  </si>
  <si>
    <t>3,462 %</t>
  </si>
  <si>
    <t>3,568 %</t>
  </si>
  <si>
    <t>3,473 %</t>
  </si>
  <si>
    <t>3,429 %</t>
  </si>
  <si>
    <t>3,455 %</t>
  </si>
  <si>
    <t>3,451 %</t>
  </si>
  <si>
    <t>3,495 %</t>
  </si>
  <si>
    <t>3,475 %</t>
  </si>
  <si>
    <t>3,530 %</t>
  </si>
  <si>
    <t>3,583 %</t>
  </si>
  <si>
    <t>3,488 %</t>
  </si>
  <si>
    <t>3,490 %</t>
  </si>
  <si>
    <t>3,485 %</t>
  </si>
  <si>
    <t>3,457 %</t>
  </si>
  <si>
    <t>3,499 %</t>
  </si>
  <si>
    <t>3,498 %</t>
  </si>
  <si>
    <t>3,478 %</t>
  </si>
  <si>
    <t>3,601 %</t>
  </si>
  <si>
    <t>3,505 %</t>
  </si>
  <si>
    <t>3,463 %</t>
  </si>
  <si>
    <t>3,540 %</t>
  </si>
  <si>
    <t>3,619 %</t>
  </si>
  <si>
    <t>3,522 %</t>
  </si>
  <si>
    <t>3,514 %</t>
  </si>
  <si>
    <t>3,567 %</t>
  </si>
  <si>
    <t>3,545 %</t>
  </si>
  <si>
    <t>3,634 %</t>
  </si>
  <si>
    <t>3,536 %</t>
  </si>
  <si>
    <t>3,518 %</t>
  </si>
  <si>
    <t>3,566 %</t>
  </si>
  <si>
    <t>3,550 %</t>
  </si>
  <si>
    <t>3,529 %</t>
  </si>
  <si>
    <t>3,580 %</t>
  </si>
  <si>
    <t>3,534 %</t>
  </si>
  <si>
    <t>3,648 %</t>
  </si>
  <si>
    <t>3,480 %</t>
  </si>
  <si>
    <t>3,559 %</t>
  </si>
  <si>
    <t>3,571 %</t>
  </si>
  <si>
    <t>3,589 %</t>
  </si>
  <si>
    <t>3,585 %</t>
  </si>
  <si>
    <t>3,625 %</t>
  </si>
  <si>
    <t>3,608 %</t>
  </si>
  <si>
    <t>3,717 %</t>
  </si>
  <si>
    <t>3,616 %</t>
  </si>
  <si>
    <t>3,606 %</t>
  </si>
  <si>
    <t>3,595 %</t>
  </si>
  <si>
    <t>3,593 %</t>
  </si>
  <si>
    <t>3,706 %</t>
  </si>
  <si>
    <t>3,596 %</t>
  </si>
  <si>
    <t>3,597 %</t>
  </si>
  <si>
    <t>3,709 %</t>
  </si>
  <si>
    <t>3,604 %</t>
  </si>
  <si>
    <t>3,713 %</t>
  </si>
  <si>
    <t>3,612 %</t>
  </si>
  <si>
    <t>3,614 %</t>
  </si>
  <si>
    <t>3,609 %</t>
  </si>
  <si>
    <t>3,645 %</t>
  </si>
  <si>
    <t>3,623 %</t>
  </si>
  <si>
    <t>3,649 %</t>
  </si>
  <si>
    <t>3,652 %</t>
  </si>
  <si>
    <t>3,557 %</t>
  </si>
  <si>
    <t>3,665 %</t>
  </si>
  <si>
    <t>3,654 %</t>
  </si>
  <si>
    <t>3,762 %</t>
  </si>
  <si>
    <t>3,659 %</t>
  </si>
  <si>
    <t>3,759 %</t>
  </si>
  <si>
    <t>3,657 %</t>
  </si>
  <si>
    <t>3,779 %</t>
  </si>
  <si>
    <t>3,675 %</t>
  </si>
  <si>
    <t>3,870 %</t>
  </si>
  <si>
    <t>3,763 %</t>
  </si>
  <si>
    <t>3,777 %</t>
  </si>
  <si>
    <t>3,883 %</t>
  </si>
  <si>
    <t>3,878 %</t>
  </si>
  <si>
    <t>3,892 %</t>
  </si>
  <si>
    <t>3,784 %</t>
  </si>
  <si>
    <t>3,782 %</t>
  </si>
  <si>
    <t>3,902 %</t>
  </si>
  <si>
    <t>3,793 %</t>
  </si>
  <si>
    <t>3,833 %</t>
  </si>
  <si>
    <t>3,914 %</t>
  </si>
  <si>
    <t>3,805 %</t>
  </si>
  <si>
    <t>3,842 %</t>
  </si>
  <si>
    <t>3,925 %</t>
  </si>
  <si>
    <t>3,815 %</t>
  </si>
  <si>
    <t>3,794 %</t>
  </si>
  <si>
    <t>3,844 %</t>
  </si>
  <si>
    <t>3,938 %</t>
  </si>
  <si>
    <t>3,828 %</t>
  </si>
  <si>
    <t>3,946 %</t>
  </si>
  <si>
    <t>3,835 %</t>
  </si>
  <si>
    <t>3,829 %</t>
  </si>
  <si>
    <t>3,961 %</t>
  </si>
  <si>
    <t>3,866 %</t>
  </si>
  <si>
    <t>3,976 %</t>
  </si>
  <si>
    <t>3,864 %</t>
  </si>
  <si>
    <t>3,863 %</t>
  </si>
  <si>
    <t>3,865 %</t>
  </si>
  <si>
    <t>3,873 %</t>
  </si>
  <si>
    <t>3,875 %</t>
  </si>
  <si>
    <t>3,920 %</t>
  </si>
  <si>
    <t>3,887 %</t>
  </si>
  <si>
    <t>4,006 %</t>
  </si>
  <si>
    <t>3,893 %</t>
  </si>
  <si>
    <t>3,915 %</t>
  </si>
  <si>
    <t>3,871 %</t>
  </si>
  <si>
    <t>3,916 %</t>
  </si>
  <si>
    <t>3,905 %</t>
  </si>
  <si>
    <t>3,945 %</t>
  </si>
  <si>
    <t>3,869 %</t>
  </si>
  <si>
    <t>3,936 %</t>
  </si>
  <si>
    <t>4,003 %</t>
  </si>
  <si>
    <t>3,987 %</t>
  </si>
  <si>
    <t>4,034 %</t>
  </si>
  <si>
    <t>4,075 %</t>
  </si>
  <si>
    <t>4,202 %</t>
  </si>
  <si>
    <t>4,083 %</t>
  </si>
  <si>
    <t>4,062 %</t>
  </si>
  <si>
    <t>4,207 %</t>
  </si>
  <si>
    <t>4,085 %</t>
  </si>
  <si>
    <t>4,093 %</t>
  </si>
  <si>
    <t>4,088 %</t>
  </si>
  <si>
    <t>4,112 %</t>
  </si>
  <si>
    <t>4,102 %</t>
  </si>
  <si>
    <t>4,103 %</t>
  </si>
  <si>
    <t>4,108 %</t>
  </si>
  <si>
    <t>4,231 %</t>
  </si>
  <si>
    <t>4,106 %</t>
  </si>
  <si>
    <t>4,316 %</t>
  </si>
  <si>
    <t>4,318 %</t>
  </si>
  <si>
    <t>4,709 %</t>
  </si>
  <si>
    <t>4,714 %</t>
  </si>
  <si>
    <t>4,711 %</t>
  </si>
  <si>
    <t>4,567 %</t>
  </si>
  <si>
    <t>4,707 %</t>
  </si>
  <si>
    <t>4,704 %</t>
  </si>
  <si>
    <t>4,564 %</t>
  </si>
  <si>
    <t>4,705 %</t>
  </si>
  <si>
    <t>4,561 %</t>
  </si>
  <si>
    <t>4,710 %</t>
  </si>
  <si>
    <t>4,689 %</t>
  </si>
  <si>
    <t>4,546 %</t>
  </si>
  <si>
    <t>4,678 %</t>
  </si>
  <si>
    <t>4,535 %</t>
  </si>
  <si>
    <t>4,652 %</t>
  </si>
  <si>
    <t>4,668 %</t>
  </si>
  <si>
    <t>4,726 %</t>
  </si>
  <si>
    <t>4,713 %</t>
  </si>
  <si>
    <t>4,556 %</t>
  </si>
  <si>
    <t>4,583 %</t>
  </si>
  <si>
    <t>4,662 %</t>
  </si>
  <si>
    <t>4,657 %</t>
  </si>
  <si>
    <t>4,454 %</t>
  </si>
  <si>
    <t>4,437 %</t>
  </si>
  <si>
    <t>4,432 %</t>
  </si>
  <si>
    <t>4,433 %</t>
  </si>
  <si>
    <t>4,597 %</t>
  </si>
  <si>
    <t>4,604 %</t>
  </si>
  <si>
    <t>4,449 %</t>
  </si>
  <si>
    <t>4,447 %</t>
  </si>
  <si>
    <t>4,592 %</t>
  </si>
  <si>
    <t>4,453 %</t>
  </si>
  <si>
    <t>4,456 %</t>
  </si>
  <si>
    <t>4,466 %</t>
  </si>
  <si>
    <t>4,452 %</t>
  </si>
  <si>
    <t>4,446 %</t>
  </si>
  <si>
    <t>4,439 %</t>
  </si>
  <si>
    <t>4,427 %</t>
  </si>
  <si>
    <t>4,414 %</t>
  </si>
  <si>
    <t>4,417 %</t>
  </si>
  <si>
    <t>4,618 %</t>
  </si>
  <si>
    <t>4,614 %</t>
  </si>
  <si>
    <t>4,616 %</t>
  </si>
  <si>
    <t>4,770 %</t>
  </si>
  <si>
    <t>4,623 %</t>
  </si>
  <si>
    <t>4,621 %</t>
  </si>
  <si>
    <t>4,772 %</t>
  </si>
  <si>
    <t>4,631 %</t>
  </si>
  <si>
    <t>4,613 %</t>
  </si>
  <si>
    <t>4,771 %</t>
  </si>
  <si>
    <t>4,624 %</t>
  </si>
  <si>
    <t>4,593 %</t>
  </si>
  <si>
    <t>4,741 %</t>
  </si>
  <si>
    <t>4,675 %</t>
  </si>
  <si>
    <t>4,808 %</t>
  </si>
  <si>
    <t>4,659 %</t>
  </si>
  <si>
    <t>4,673 %</t>
  </si>
  <si>
    <t>4,854 %</t>
  </si>
  <si>
    <t>4,883 %</t>
  </si>
  <si>
    <t>4,732 %</t>
  </si>
  <si>
    <t>4,740 %</t>
  </si>
  <si>
    <t>4,884 %</t>
  </si>
  <si>
    <t>4,886 %</t>
  </si>
  <si>
    <t>4,758 %</t>
  </si>
  <si>
    <t>4,725 %</t>
  </si>
  <si>
    <t>4,893 %</t>
  </si>
  <si>
    <t>4,755 %</t>
  </si>
  <si>
    <t>4,898 %</t>
  </si>
  <si>
    <t>4,745 %</t>
  </si>
  <si>
    <t>4,760 %</t>
  </si>
  <si>
    <t>4,896 %</t>
  </si>
  <si>
    <t>4,743 %</t>
  </si>
  <si>
    <t>4,902 %</t>
  </si>
  <si>
    <t>4,749 %</t>
  </si>
  <si>
    <t>4,903 %</t>
  </si>
  <si>
    <t>4,763 %</t>
  </si>
  <si>
    <t>4,775 %</t>
  </si>
  <si>
    <t>4,801 %</t>
  </si>
  <si>
    <t>4,803 %</t>
  </si>
  <si>
    <t>DAVIVIENDA II.pdf</t>
  </si>
  <si>
    <t>Contrato de Crédito</t>
  </si>
  <si>
    <t>Primer pagaré</t>
  </si>
  <si>
    <t>PAGARE davivienda 1.pdf</t>
  </si>
  <si>
    <t>CAPITAL</t>
  </si>
  <si>
    <t>AÑO 2030</t>
  </si>
  <si>
    <t>4,804 %</t>
  </si>
  <si>
    <t>4,677 %</t>
  </si>
  <si>
    <t>4,827 %</t>
  </si>
  <si>
    <t>4,674 %</t>
  </si>
  <si>
    <t>4,685 %</t>
  </si>
  <si>
    <t>4,833 %</t>
  </si>
  <si>
    <t>4,671 %</t>
  </si>
  <si>
    <t>4,698 %</t>
  </si>
  <si>
    <t>4,693 %</t>
  </si>
  <si>
    <t>4,847 %</t>
  </si>
  <si>
    <t>4,696 %</t>
  </si>
  <si>
    <t>4,695 %</t>
  </si>
  <si>
    <t>4,852 %</t>
  </si>
  <si>
    <t>4,729 %</t>
  </si>
  <si>
    <t>4,718 %</t>
  </si>
  <si>
    <t>4,721 %</t>
  </si>
  <si>
    <t>4,739 %</t>
  </si>
  <si>
    <t>4,888 %</t>
  </si>
  <si>
    <t>4,747 %</t>
  </si>
  <si>
    <t>4,751 %</t>
  </si>
  <si>
    <t>4,736 %</t>
  </si>
  <si>
    <t>4,792 %</t>
  </si>
  <si>
    <t>4,943 %</t>
  </si>
  <si>
    <t>4,788 %</t>
  </si>
  <si>
    <t>4,796 %</t>
  </si>
  <si>
    <t>4,933 %</t>
  </si>
  <si>
    <t>4,778 %</t>
  </si>
  <si>
    <t>4,768 %</t>
  </si>
  <si>
    <t>4,946 %</t>
  </si>
  <si>
    <t>4,791 %</t>
  </si>
  <si>
    <t>4,949 %</t>
  </si>
  <si>
    <t>4,793 %</t>
  </si>
  <si>
    <t>4,807 %</t>
  </si>
  <si>
    <t>AÑO 2018 T3</t>
  </si>
  <si>
    <t>4,647 %</t>
  </si>
  <si>
    <t>4,457 %</t>
  </si>
  <si>
    <t>4,472 %</t>
  </si>
  <si>
    <t>4,543 %</t>
  </si>
  <si>
    <t>4,428 %</t>
  </si>
  <si>
    <t>4,451 %</t>
  </si>
  <si>
    <t>4,544 %</t>
  </si>
  <si>
    <t>PROYECCION SERVICIO DEUDA PUBLICA - CUPO APROBADO 50.000 MM</t>
  </si>
  <si>
    <t>APROBACION CUPO</t>
  </si>
  <si>
    <t>T2</t>
  </si>
  <si>
    <t>T3</t>
  </si>
  <si>
    <t>T4</t>
  </si>
  <si>
    <t xml:space="preserve">IBR NTV Estimado </t>
  </si>
  <si>
    <t>BANCO  POPULAR CUPO</t>
  </si>
  <si>
    <t>4,538 %</t>
  </si>
  <si>
    <t>4,422 %</t>
  </si>
  <si>
    <t>4,413 %</t>
  </si>
  <si>
    <t>BANCO BBVA</t>
  </si>
  <si>
    <t>PROYECCION SERVICIO DEUDA PUBLICA - CUPO APROBADO 40.000 MM</t>
  </si>
  <si>
    <t>BANCO DE OCCIDENTE II D3</t>
  </si>
  <si>
    <t>BANCO DE OCCIDENTE II D4</t>
  </si>
  <si>
    <t>4,423 %</t>
  </si>
  <si>
    <t>4,443 %</t>
  </si>
  <si>
    <t>4,434 %</t>
  </si>
  <si>
    <t>4,324 %</t>
  </si>
  <si>
    <t>4,302 %</t>
  </si>
  <si>
    <t>4,323 %</t>
  </si>
  <si>
    <t>4,291 %</t>
  </si>
  <si>
    <t>4,261 %</t>
  </si>
  <si>
    <t>4,289 %</t>
  </si>
  <si>
    <t>4,287 %</t>
  </si>
  <si>
    <t>4,282 %</t>
  </si>
  <si>
    <t>4,297 %</t>
  </si>
  <si>
    <t>4,312 %</t>
  </si>
  <si>
    <t>4,206 %</t>
  </si>
  <si>
    <t>4,177 %</t>
  </si>
  <si>
    <t>4,173 %</t>
  </si>
  <si>
    <t>4,182 %</t>
  </si>
  <si>
    <t>4,198 %</t>
  </si>
  <si>
    <t>4,193 %</t>
  </si>
  <si>
    <t>4,161 %</t>
  </si>
  <si>
    <t>4,183 %</t>
  </si>
  <si>
    <t>4,211 %</t>
  </si>
  <si>
    <t>4,212 %</t>
  </si>
  <si>
    <t>4,222 %</t>
  </si>
  <si>
    <t>4,213 %</t>
  </si>
  <si>
    <t>4,233 %</t>
  </si>
  <si>
    <t>4,235 %</t>
  </si>
  <si>
    <t>4,230 %</t>
  </si>
  <si>
    <t>4,248 %</t>
  </si>
  <si>
    <t>4,245 %</t>
  </si>
  <si>
    <t>4,234 %</t>
  </si>
  <si>
    <t>4,242 %</t>
  </si>
  <si>
    <t>4,281 %</t>
  </si>
  <si>
    <t>4,273 %</t>
  </si>
  <si>
    <t>DTF + 0.25 TA</t>
  </si>
  <si>
    <t>IBR + 4.10% TV</t>
  </si>
  <si>
    <t>IBR + 4.95% TV</t>
  </si>
  <si>
    <t>DTF EA</t>
  </si>
  <si>
    <t>SPREAD</t>
  </si>
  <si>
    <t>IBR Nom Estimado</t>
  </si>
  <si>
    <t xml:space="preserve">IBR NTV EstimaCo </t>
  </si>
  <si>
    <t>SPREAC = 2,70%</t>
  </si>
  <si>
    <t>AÑO 2031</t>
  </si>
  <si>
    <t>BANCO DE OCCIDENTE III D1</t>
  </si>
  <si>
    <t>BANCO DE OCCIDENTE III D3</t>
  </si>
  <si>
    <t xml:space="preserve">PROYECCION SERVICIO DEUDA PUBLICA - CREDITO 20,000,000,000MILLONES </t>
  </si>
  <si>
    <t>4,055 %</t>
  </si>
  <si>
    <t>4,044 %</t>
  </si>
  <si>
    <t>4,057 %</t>
  </si>
  <si>
    <t>4,056 %</t>
  </si>
  <si>
    <t>4,053 %</t>
  </si>
  <si>
    <t>4,052 %</t>
  </si>
  <si>
    <t>4,049 %</t>
  </si>
  <si>
    <t>4,066 %</t>
  </si>
  <si>
    <t>4,046 %</t>
  </si>
  <si>
    <t>4,051 %</t>
  </si>
  <si>
    <t>4,047 %</t>
  </si>
  <si>
    <t>4,048 %</t>
  </si>
  <si>
    <t>4,082 %</t>
  </si>
  <si>
    <t>4,061 %</t>
  </si>
  <si>
    <t>4,054 %</t>
  </si>
  <si>
    <t>4,065 %</t>
  </si>
  <si>
    <t>4,067 %</t>
  </si>
  <si>
    <t>4,081 %</t>
  </si>
  <si>
    <t>4,089 %</t>
  </si>
  <si>
    <t>4,226 %</t>
  </si>
  <si>
    <t>4,104 %</t>
  </si>
  <si>
    <t>4,116 %</t>
  </si>
  <si>
    <t>4,096 %</t>
  </si>
  <si>
    <t>4,073 %</t>
  </si>
  <si>
    <t>4,072 %</t>
  </si>
  <si>
    <t>4,191 %</t>
  </si>
  <si>
    <t>4,071 %</t>
  </si>
  <si>
    <t>4,074 %</t>
  </si>
  <si>
    <t>4,068 %</t>
  </si>
  <si>
    <t>4,078 %</t>
  </si>
  <si>
    <t>4,077 %</t>
  </si>
  <si>
    <t>4,059 %</t>
  </si>
  <si>
    <t>4,033 %</t>
  </si>
  <si>
    <t>4,024 %</t>
  </si>
  <si>
    <t>4,036 %</t>
  </si>
  <si>
    <t>4,037 %</t>
  </si>
  <si>
    <t>4,035 %</t>
  </si>
  <si>
    <t>4,025 %</t>
  </si>
  <si>
    <t>4,009 %</t>
  </si>
  <si>
    <t>4,023 %</t>
  </si>
  <si>
    <t>4,027 %</t>
  </si>
  <si>
    <t>4,026 %</t>
  </si>
  <si>
    <t>4,017 %</t>
  </si>
  <si>
    <t>4,013 %</t>
  </si>
  <si>
    <t>4,142 %</t>
  </si>
  <si>
    <t>4,007 %</t>
  </si>
  <si>
    <t>4,043 %</t>
  </si>
  <si>
    <t>4,194 %</t>
  </si>
  <si>
    <t>4,243 %</t>
  </si>
  <si>
    <t>4,127 %</t>
  </si>
  <si>
    <t>4,119 %</t>
  </si>
  <si>
    <t>4,113 %</t>
  </si>
  <si>
    <t>4,137 %</t>
  </si>
  <si>
    <t>4,132 %</t>
  </si>
  <si>
    <t>4,192 %</t>
  </si>
  <si>
    <t>4,197 %</t>
  </si>
  <si>
    <t>4,171 %</t>
  </si>
  <si>
    <t>4,188 %</t>
  </si>
  <si>
    <t>4,249 %</t>
  </si>
  <si>
    <t>4,196 %</t>
  </si>
  <si>
    <t>4,247 %</t>
  </si>
  <si>
    <t>4,252 %</t>
  </si>
  <si>
    <t>4,255 %</t>
  </si>
  <si>
    <t>4,251 %</t>
  </si>
  <si>
    <t>4,256 %</t>
  </si>
  <si>
    <t>Banco de Occidente I</t>
  </si>
  <si>
    <t>Banco Bogotá I</t>
  </si>
  <si>
    <t>Davivienda I</t>
  </si>
  <si>
    <t>Banco BBVA</t>
  </si>
  <si>
    <t>Banco de Occidente II</t>
  </si>
  <si>
    <t>IBR + 4.00% TV</t>
  </si>
  <si>
    <t>Condiciones 12 años -2 años de gracia</t>
  </si>
  <si>
    <t>4,128 %</t>
  </si>
  <si>
    <t>4,126 %</t>
  </si>
  <si>
    <t>4,237 %</t>
  </si>
  <si>
    <t>4,236 %</t>
  </si>
  <si>
    <t>4,123 %</t>
  </si>
  <si>
    <t>4,246 %</t>
  </si>
  <si>
    <t>4,107 %</t>
  </si>
  <si>
    <t>4,227 %</t>
  </si>
  <si>
    <t>4,094 %</t>
  </si>
  <si>
    <t>4,091 %</t>
  </si>
  <si>
    <t>4,084 %</t>
  </si>
  <si>
    <t>4,203 %</t>
  </si>
  <si>
    <t>4,086 %</t>
  </si>
  <si>
    <t>4,097 %</t>
  </si>
  <si>
    <t>4,092 %</t>
  </si>
  <si>
    <t>4,208 %</t>
  </si>
  <si>
    <t>4,087 %</t>
  </si>
  <si>
    <t>4,209 %</t>
  </si>
  <si>
    <t>4,176 %</t>
  </si>
  <si>
    <t>Redescuento Findeter</t>
  </si>
  <si>
    <t>LINEA</t>
  </si>
  <si>
    <t>CUPO APROBADO</t>
  </si>
  <si>
    <t>IBR + 4.50% TV</t>
  </si>
  <si>
    <t>4,129 %</t>
  </si>
  <si>
    <t xml:space="preserve">Sostenibilidad y Reorganización de la ESE Hospital Universitario del Valle Evaristo García </t>
  </si>
  <si>
    <t xml:space="preserve">1. Mejoramiento mediante la construcción de la segunda calzada de la via Cali- Candelaria - sector Cavasa al crucero de Candelaria - Valle del Cauca - Fase I </t>
  </si>
  <si>
    <t xml:space="preserve">1. Cofinanciar 42 Municipios para el mejoramiento, adecuacion o dotación de a infraestructura deportiva o recreativa.  </t>
  </si>
  <si>
    <t>2. Mejorar 3 kilometros de red vial terciaria departamental en zonas de influencia de comunidades indigenas.</t>
  </si>
  <si>
    <t>3. Rehabilitar 70.16Km de la red vial departamental.</t>
  </si>
  <si>
    <t xml:space="preserve">4. Mejorar 75.65 Km de la red vial secundaria y terciaria departamental. </t>
  </si>
  <si>
    <t xml:space="preserve">5  Gestionar 12 proyectos para el desarrollo del plan vial departamental . </t>
  </si>
  <si>
    <t>6.  Fortalecer 12 oricesos de encadenamientos productivos.</t>
  </si>
  <si>
    <t>7. Desarrollar 6 centros de innovación y emprendimiento.</t>
  </si>
  <si>
    <t xml:space="preserve">8. implementar unplan de sostenibilidad de los sistemas de información  </t>
  </si>
  <si>
    <t>9.  Implementar la estrategia de presupuesto participativo.</t>
  </si>
  <si>
    <t>10.  Implementar un 100% los componentes del plan de fortalecimiento de la red publica de prestacion de servicios de salud. se evidenciará el equilibrio financierao acorde con los indicadores dispuestos por el Ministerio de Salúd y Ministerio de Hacienda y Crédito Público</t>
  </si>
  <si>
    <t>OTROS BANCOS AVVILLAS</t>
  </si>
  <si>
    <t>BANCO DE OCCIDENTE II</t>
  </si>
  <si>
    <t>1. Mantenimiento y parcheo de la via al corregimiento de la Marina ente Esdtambul y el crucero -Municipio de Tuluá.</t>
  </si>
  <si>
    <t>2. Mantenimiento y parcheo de la via al corregimiento de la Marina ente Esdtambul y el crucero -Municipio de Tuluá.</t>
  </si>
  <si>
    <t xml:space="preserve">No contrato </t>
  </si>
  <si>
    <t>010-18-2408</t>
  </si>
  <si>
    <t>Fecha del contrato</t>
  </si>
  <si>
    <t xml:space="preserve"> No contrato</t>
  </si>
  <si>
    <t>fecha contrato</t>
  </si>
  <si>
    <t>1.120.20-27.14.2500</t>
  </si>
  <si>
    <t xml:space="preserve">registro min hda </t>
  </si>
  <si>
    <t>010-981397</t>
  </si>
  <si>
    <t>No CONTRATO</t>
  </si>
  <si>
    <t>010-18-4970</t>
  </si>
  <si>
    <t>FECHA CONTRTO</t>
  </si>
  <si>
    <t>4,254 %</t>
  </si>
  <si>
    <t>4,117 %</t>
  </si>
  <si>
    <r>
      <rPr>
        <b/>
        <sz val="9"/>
        <color theme="1"/>
        <rFont val="Helvetica"/>
        <family val="2"/>
      </rPr>
      <t xml:space="preserve">Fuente: </t>
    </r>
    <r>
      <rPr>
        <sz val="9"/>
        <color theme="1"/>
        <rFont val="Helvetica"/>
        <family val="2"/>
      </rPr>
      <t>Banco de la República.</t>
    </r>
  </si>
  <si>
    <r>
      <rPr>
        <sz val="9"/>
        <color theme="1"/>
        <rFont val="Helvetica"/>
        <family val="2"/>
      </rPr>
      <t xml:space="preserve"> </t>
    </r>
    <r>
      <rPr>
        <b/>
        <sz val="9"/>
        <color theme="1"/>
        <rFont val="Helvetica"/>
        <family val="2"/>
      </rPr>
      <t>S:</t>
    </r>
    <r>
      <rPr>
        <sz val="9"/>
        <color theme="1"/>
        <rFont val="Helvetica"/>
        <family val="2"/>
      </rPr>
      <t xml:space="preserve"> Excepción </t>
    </r>
    <r>
      <rPr>
        <b/>
        <sz val="9"/>
        <color theme="1"/>
        <rFont val="Helvetica"/>
        <family val="2"/>
      </rPr>
      <t>N:</t>
    </r>
    <r>
      <rPr>
        <sz val="9"/>
        <color theme="1"/>
        <rFont val="Helvetica"/>
        <family val="2"/>
      </rPr>
      <t xml:space="preserve"> Normal </t>
    </r>
  </si>
  <si>
    <t>PERIODO PAGO INTERESES</t>
  </si>
  <si>
    <t xml:space="preserve">No DE DIAS </t>
  </si>
  <si>
    <t>IBR NTV</t>
  </si>
  <si>
    <t>SPRESAD NTV</t>
  </si>
  <si>
    <t>4,141 %</t>
  </si>
  <si>
    <r>
      <rPr>
        <sz val="9"/>
        <color theme="1"/>
        <rFont val="Helvetica"/>
        <family val="2"/>
      </rPr>
      <t xml:space="preserve"> </t>
    </r>
    <r>
      <rPr>
        <b/>
        <sz val="9"/>
        <color theme="1"/>
        <rFont val="Helvetica"/>
        <family val="2"/>
      </rPr>
      <t>Significado de las abreviaciones:</t>
    </r>
  </si>
  <si>
    <t>TOTAL A PAGAR</t>
  </si>
  <si>
    <t>Fuente Subdirección de Tesorería</t>
  </si>
  <si>
    <t xml:space="preserve">TASA NTV LIQUIDACION </t>
  </si>
  <si>
    <t xml:space="preserve">TASA NTV </t>
  </si>
  <si>
    <t>TASA NTV</t>
  </si>
  <si>
    <t xml:space="preserve">PROYECCION SERVICIO DEUDA PUBLICA - CREDITO $34.000 MILLONES </t>
  </si>
  <si>
    <t>Banco de Occidente III</t>
  </si>
  <si>
    <t>Mejoramiento construcción Segunda Calzada via Cali Candelaria sector Cavasa. Primer pago 80% compraventa predio</t>
  </si>
  <si>
    <t>Infraestructura y Valorización</t>
  </si>
  <si>
    <t>Mejoramiento construccion Segunda Calzada via Cali Candelaria sector Cavasa. Primer pago 80% compraventa predio</t>
  </si>
  <si>
    <t>6400000152/3600000932</t>
  </si>
  <si>
    <t>doc causac</t>
  </si>
  <si>
    <t>cdp</t>
  </si>
  <si>
    <t>rpc</t>
  </si>
  <si>
    <t>vr</t>
  </si>
  <si>
    <t>secretaría</t>
  </si>
  <si>
    <t>4,153 %</t>
  </si>
  <si>
    <t>4,163 %</t>
  </si>
  <si>
    <t>4,181 %</t>
  </si>
  <si>
    <t>SALCO DEUDA</t>
  </si>
  <si>
    <t>DEPARTAMENTO DEL VALLE DEL CAUCA</t>
  </si>
  <si>
    <t>DEPARTAMENTO ADMINISTRATIVO  DE HACIENDA Y FINANZAS PUBLICAS</t>
  </si>
  <si>
    <t>Subdirección de Tesorería</t>
  </si>
  <si>
    <t>TASA IBR NTV</t>
  </si>
  <si>
    <t>SALDO CAPITAL $</t>
  </si>
  <si>
    <t xml:space="preserve">AMORTIZACION </t>
  </si>
  <si>
    <t xml:space="preserve"> INTERESES</t>
  </si>
  <si>
    <t>BANCO DE BOGOTA I</t>
  </si>
  <si>
    <t>IBR NTV 28/09/2018</t>
  </si>
  <si>
    <t>LILIANA FONG DE FONG</t>
  </si>
  <si>
    <t>Subdirectora de Tesorería</t>
  </si>
  <si>
    <t>Proyecto: Fernando Lorza V Contratista Revisó Dr José Fernando Castaño Campo, Profesional Especializado</t>
  </si>
  <si>
    <t xml:space="preserve"> NIT 860.002.964-4</t>
  </si>
  <si>
    <t>dias</t>
  </si>
  <si>
    <t xml:space="preserve">PROYECCION SERVICIO DEUDA PUBLICA - CREDITO $16.000 MILLONES </t>
  </si>
  <si>
    <t>4,279 %</t>
  </si>
  <si>
    <t>4,162 %</t>
  </si>
  <si>
    <t>4,168 %</t>
  </si>
  <si>
    <t>4,298 %</t>
  </si>
  <si>
    <t>Prepago - Capital</t>
  </si>
  <si>
    <t>IBR NTV Estimado</t>
  </si>
  <si>
    <t>TASA EA</t>
  </si>
  <si>
    <t xml:space="preserve"> NIT 890.300.279-4</t>
  </si>
  <si>
    <t>LINEA CARTERA ORDINARIA</t>
  </si>
  <si>
    <t>10 años y 2 años de gracia a capital</t>
  </si>
  <si>
    <r>
      <rPr>
        <sz val="9"/>
        <color theme="1"/>
        <rFont val="Helvetica"/>
        <family val="2"/>
      </rPr>
      <t xml:space="preserve"> </t>
    </r>
    <r>
      <rPr>
        <i/>
        <sz val="9"/>
        <color theme="1"/>
        <rFont val="Helvetica"/>
        <family val="2"/>
      </rPr>
      <t>Banco de la República - Gerencia Técnica - información extraída de la bodega de datos -Serankua- el 20/02/2019 09:38:43</t>
    </r>
  </si>
  <si>
    <t>4,265 %</t>
  </si>
  <si>
    <t>4,264 %</t>
  </si>
  <si>
    <t>IBR NTV 08/12/2018</t>
  </si>
  <si>
    <t>LIQUIDACION DEUDA PUBLICA - VENCIMIENTO 8 DE MARZO DE 2019</t>
  </si>
  <si>
    <t>IBR NTV 21/12/2018</t>
  </si>
  <si>
    <t>LIQUIDACION DEUDA PUBLICA - VENCIMIENTO 21 DE MARZO DE 2019</t>
  </si>
  <si>
    <t>LIQUIDACION DEUDA PUBLICA - VENCIMIENTO 26 DE MARZO DE 2019</t>
  </si>
  <si>
    <t>IBR NTV 26/12/2018</t>
  </si>
  <si>
    <t>IBR PARA 2019</t>
  </si>
  <si>
    <t>LIQUIDACION DEUDA PUBLICA BANCO DE BOGOTA 26 DE MARZO DE 2019</t>
  </si>
  <si>
    <t>GLORIA NANCY LOPEZ BARCO</t>
  </si>
  <si>
    <t>Subdirectora de Tesorería (E )</t>
  </si>
  <si>
    <t>TASA INTERES NTV =</t>
  </si>
  <si>
    <t>IBR NTV 17/01/2019</t>
  </si>
  <si>
    <t xml:space="preserve">fecha desembolso </t>
  </si>
  <si>
    <t>TASA DE INTERES NTV</t>
  </si>
  <si>
    <t>TASA DE INTERES AE</t>
  </si>
  <si>
    <t>PRIVADA</t>
  </si>
  <si>
    <t>1-2019</t>
  </si>
  <si>
    <t>2-2019</t>
  </si>
  <si>
    <t>3-2019</t>
  </si>
  <si>
    <t>4-2019</t>
  </si>
  <si>
    <t>1-2020</t>
  </si>
  <si>
    <t>2-2020</t>
  </si>
  <si>
    <t>3-2020</t>
  </si>
  <si>
    <t>4-2020</t>
  </si>
  <si>
    <t>CUOTAS</t>
  </si>
  <si>
    <t>2-2018</t>
  </si>
  <si>
    <t>3-2018</t>
  </si>
  <si>
    <t>2-2017</t>
  </si>
  <si>
    <t>3-2017</t>
  </si>
  <si>
    <t>1-2018</t>
  </si>
  <si>
    <t>PERIODOS</t>
  </si>
  <si>
    <t>4-2018</t>
  </si>
  <si>
    <t>4-2017</t>
  </si>
  <si>
    <t>8-2019</t>
  </si>
  <si>
    <t>9-2019</t>
  </si>
  <si>
    <t>10-2019</t>
  </si>
  <si>
    <t>11-2019</t>
  </si>
  <si>
    <t>12-2019</t>
  </si>
  <si>
    <t>10/2019</t>
  </si>
  <si>
    <t>TASA NOMINAL</t>
  </si>
  <si>
    <t>TASA INTERES NTA =</t>
  </si>
  <si>
    <t>TOTAL SERVICIO DEUDA PAGADO</t>
  </si>
  <si>
    <t>11/2019</t>
  </si>
  <si>
    <t>12/2019</t>
  </si>
  <si>
    <t>Capital + Intereses</t>
  </si>
  <si>
    <t>1/2020</t>
  </si>
  <si>
    <t>2/2020</t>
  </si>
  <si>
    <t>5-2020</t>
  </si>
  <si>
    <t>DTF TA</t>
  </si>
  <si>
    <t xml:space="preserve">BANCO DE OCCIDENTE  $40.000 MILLONES </t>
  </si>
  <si>
    <t xml:space="preserve"> LINEA 611516513 DESEMBOLSO I</t>
  </si>
  <si>
    <t xml:space="preserve">BANCO DE OCCIDENTE  $8.400 MILLONES </t>
  </si>
  <si>
    <t xml:space="preserve"> LINEA 611516840 DESEMBOLSO I</t>
  </si>
  <si>
    <t>BANCO DE OCCIDENTE  $8.322.886.732</t>
  </si>
  <si>
    <t xml:space="preserve"> LINEA 611516840 DESEMBOLSO II</t>
  </si>
  <si>
    <t>BANCO DE OCCIDENTE  $797.842.400</t>
  </si>
  <si>
    <t xml:space="preserve"> LINEA 611516840 DESEMBOLSO III</t>
  </si>
  <si>
    <t>BANCO DE OCCIDENTE  $7.613.583.518</t>
  </si>
  <si>
    <t xml:space="preserve"> LINEA 611516840 DESEMBOLSO IV</t>
  </si>
  <si>
    <t>BANCO DE OCCIDENTE  $4.233.392.200</t>
  </si>
  <si>
    <t xml:space="preserve"> LINEA 611516840 DESEMBOLSO V</t>
  </si>
  <si>
    <t xml:space="preserve">TOTAL SERVICIO DEUDA </t>
  </si>
  <si>
    <t xml:space="preserve"> LINEA 611517181 DESEMBOLSO I</t>
  </si>
  <si>
    <t>BANCO DE OCCIDENTE  $3.327.506.400</t>
  </si>
  <si>
    <t xml:space="preserve"> LINEA 611517181 DESEMBOLSO II</t>
  </si>
  <si>
    <t>BANCO DE OCCIDENTE  $977.047.306</t>
  </si>
  <si>
    <t xml:space="preserve"> LINEA 611517181 DESEMBOLSO III</t>
  </si>
  <si>
    <t>BANCO DE OCCIDENTE  $10.005.746.045</t>
  </si>
  <si>
    <t>BANCO DE OCCIDENTE  $3.218.371.325</t>
  </si>
  <si>
    <t xml:space="preserve"> LINEA 611517181 DESEMBOLSO IV</t>
  </si>
  <si>
    <t>BANCO DE OCCIDENTE  $744.561.604</t>
  </si>
  <si>
    <t xml:space="preserve"> LINEA 611517181 DESEMBOLSO V</t>
  </si>
  <si>
    <t>CREDITO 100011659-0</t>
  </si>
  <si>
    <t>CREDITO 100012080-6</t>
  </si>
  <si>
    <t>CREDITO 100010779-8</t>
  </si>
  <si>
    <t>CREDITO 100011860-1</t>
  </si>
  <si>
    <t>CREDITO 100011868-4</t>
  </si>
  <si>
    <t>CREDITO 100012026-1</t>
  </si>
  <si>
    <t>CREDITO 100012106-2</t>
  </si>
  <si>
    <t>CREDITO 100012107-1</t>
  </si>
  <si>
    <t>CREDITO 100012323-6</t>
  </si>
  <si>
    <t>LINEA 611517666 DESEMBOLSO I</t>
  </si>
  <si>
    <t>BANCO DE OCCIDENTE  $6.902.203.650</t>
  </si>
  <si>
    <t>CREDITO 100012338-1</t>
  </si>
  <si>
    <t>CREDITO 100012421-5</t>
  </si>
  <si>
    <t>BANCO DE OCCIDENTE  $3.779.457.000</t>
  </si>
  <si>
    <t>LINEA 611517666 DESEMBOLSO II</t>
  </si>
  <si>
    <t>CREDITO 100012417-1</t>
  </si>
  <si>
    <t>CREDITO 100012390-6</t>
  </si>
  <si>
    <t xml:space="preserve">TOTAL SERVICIO DEUCA </t>
  </si>
  <si>
    <t>LINEA 611517666 DESEMBOLSO III</t>
  </si>
  <si>
    <t>CREDITO 100012442-0</t>
  </si>
  <si>
    <t>01-2020</t>
  </si>
  <si>
    <t>6-2020</t>
  </si>
  <si>
    <t>7-2020</t>
  </si>
  <si>
    <t xml:space="preserve"> LINEA 611517181 DESEMBOLSO VI</t>
  </si>
  <si>
    <t>BANCO DE OCCIDENTE  $14.470.687.434</t>
  </si>
  <si>
    <t>8-2020</t>
  </si>
  <si>
    <t>JUNIO</t>
  </si>
  <si>
    <t>BANCO DE OCCIDENTE  $</t>
  </si>
  <si>
    <t xml:space="preserve"> LINEA 611516840 DESEMBOLSO VI</t>
  </si>
  <si>
    <t>CREDITO 010-3001724-6</t>
  </si>
  <si>
    <t>BANCO DE OCCIDENTE  $2.702.694.554</t>
  </si>
  <si>
    <t xml:space="preserve"> LINEA 611516840 DESEMBOLSO VII</t>
  </si>
  <si>
    <t>CREDITO 010-3001723-8</t>
  </si>
  <si>
    <t xml:space="preserve">                 </t>
  </si>
  <si>
    <t>BANCO DE OCCIDENTE  $568.290.347</t>
  </si>
  <si>
    <t>LINEA 611517666 DESEMBOLSO IV</t>
  </si>
  <si>
    <t>CREDITO 010-3001720-4</t>
  </si>
  <si>
    <t>BANCO DE OCCIDENTE  $1283503</t>
  </si>
  <si>
    <t>CREDITO 010-3001721-2</t>
  </si>
  <si>
    <t>9-2020</t>
  </si>
  <si>
    <t>10-2020</t>
  </si>
  <si>
    <t>11-2020</t>
  </si>
  <si>
    <t>SEPT</t>
  </si>
  <si>
    <t>PAGO DIFERIDO</t>
  </si>
  <si>
    <t>diciembre</t>
  </si>
  <si>
    <t>BANCO</t>
  </si>
  <si>
    <t>CUOTAS DIFERIDAS</t>
  </si>
  <si>
    <t>CREDITO 100012491-2</t>
  </si>
  <si>
    <t>CUOTAS DIFERIDA</t>
  </si>
  <si>
    <t>12/2020</t>
  </si>
  <si>
    <t>CUOTA DIFERIDA</t>
  </si>
  <si>
    <t>12-2020</t>
  </si>
  <si>
    <t>JULIO</t>
  </si>
  <si>
    <t>OCTUBRE</t>
  </si>
  <si>
    <t>09-2020</t>
  </si>
  <si>
    <t>BANCO DE OCCIDENTE  $1.256.079.886</t>
  </si>
  <si>
    <t xml:space="preserve"> LINEA 611517181 DESEMBOLSO VII</t>
  </si>
  <si>
    <t>CREDITO 010-3002018-2</t>
  </si>
  <si>
    <t xml:space="preserve">INTERES PROYECTADO </t>
  </si>
  <si>
    <t>2021</t>
  </si>
  <si>
    <t>2022</t>
  </si>
  <si>
    <t>2023</t>
  </si>
  <si>
    <t xml:space="preserve">IBR NMV Estimado </t>
  </si>
  <si>
    <t>TASA NMV</t>
  </si>
  <si>
    <t>IBR Estimado</t>
  </si>
  <si>
    <t>IBR  Estimado</t>
  </si>
  <si>
    <t>tesoreria</t>
  </si>
  <si>
    <t>banco</t>
  </si>
  <si>
    <t>NOMINAL</t>
  </si>
  <si>
    <t>TESORERIA</t>
  </si>
  <si>
    <t xml:space="preserve">Capital </t>
  </si>
  <si>
    <t>Año</t>
  </si>
  <si>
    <t>Banco de Occidente IV</t>
  </si>
  <si>
    <t>Interes Proyectado</t>
  </si>
  <si>
    <t>Total Proyectado</t>
  </si>
  <si>
    <t>Total Pagado</t>
  </si>
  <si>
    <t>Interes Pagado</t>
  </si>
  <si>
    <t>Cuotas Diferidas</t>
  </si>
  <si>
    <t>Nota: adicionar las cuotas diferidas al total pagado una vez se realice el pago</t>
  </si>
  <si>
    <t>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</si>
</sst>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 #,##0;[Red]\-&quot;$&quot;\ #,##0"/>
    <numFmt numFmtId="42" formatCode="_-&quot;$&quot;\ * #,##0_-;\-&quot;$&quot;\ * #,##0_-;_-&quot;$&quot;\ * &quot;-&quot;_-;_-@_-"/>
    <numFmt numFmtId="41" formatCode="_-* #,##0_-;\-* #,##0_-;_-* &quot;-&quot;_-;_-@_-"/>
    <numFmt numFmtId="164" formatCode="_-* #,##0\ _€_-;\-* #,##0\ _€_-;_-* &quot;-&quot;\ _€_-;_-@_-"/>
    <numFmt numFmtId="165" formatCode="_-* #,##0.00\ _€_-;\-* #,##0.00\ _€_-;_-* &quot;-&quot;??\ _€_-;_-@_-"/>
    <numFmt numFmtId="166" formatCode="_-* #,##0.000000\ _€_-;\-* #,##0.000000\ _€_-;_-* &quot;-&quot;??\ _€_-;_-@_-"/>
    <numFmt numFmtId="167" formatCode="0.0000%"/>
    <numFmt numFmtId="168" formatCode="0.000000%"/>
    <numFmt numFmtId="169" formatCode="_-* #,##0\ _€_-;\-* #,##0\ _€_-;_-* &quot;-&quot;??\ _€_-;_-@_-"/>
    <numFmt numFmtId="170" formatCode="0.000%"/>
    <numFmt numFmtId="171" formatCode="0.00000%"/>
    <numFmt numFmtId="172" formatCode="0.0000000%"/>
    <numFmt numFmtId="173" formatCode="0.00000000%"/>
    <numFmt numFmtId="174" formatCode="_-&quot;$&quot;* #,##0_-;\-&quot;$&quot;* #,##0_-;_-&quot;$&quot;* &quot;-&quot;??_-;_-@_-"/>
    <numFmt numFmtId="175" formatCode="_-* #,##0.00\ _€_-;\-* #,##0.00\ _€_-;_-* &quot;-&quot;\ _€_-;_-@_-"/>
    <numFmt numFmtId="176" formatCode="0.0000000"/>
    <numFmt numFmtId="177" formatCode="0.00000000"/>
    <numFmt numFmtId="178" formatCode="_-* #,##0.00000\ _€_-;\-* #,##0.00000\ _€_-;_-* &quot;-&quot;??\ _€_-;_-@_-"/>
  </numFmts>
  <fonts count="39" x14ac:knownFonts="1">
    <font>
      <sz val="11"/>
      <color theme="1"/>
      <name val="Calibri"/>
      <family val="2"/>
      <scheme val="minor"/>
    </font>
    <font>
      <sz val="12"/>
      <color theme="1"/>
      <name val="Arial"/>
      <family val="2"/>
    </font>
    <font>
      <sz val="12"/>
      <color theme="1"/>
      <name val="Arial"/>
      <family val="2"/>
    </font>
    <font>
      <b/>
      <sz val="12"/>
      <name val="Arial"/>
      <family val="2"/>
    </font>
    <font>
      <sz val="12"/>
      <name val="Arial"/>
      <family val="2"/>
    </font>
    <font>
      <sz val="10"/>
      <name val="Arial"/>
      <family val="2"/>
    </font>
    <font>
      <b/>
      <sz val="11"/>
      <name val="Arial"/>
      <family val="2"/>
    </font>
    <font>
      <sz val="11"/>
      <name val="Arial"/>
      <family val="2"/>
    </font>
    <font>
      <sz val="9"/>
      <name val="Arial"/>
      <family val="2"/>
    </font>
    <font>
      <b/>
      <sz val="10"/>
      <name val="Arial"/>
      <family val="2"/>
    </font>
    <font>
      <b/>
      <sz val="10"/>
      <color rgb="FFFF0000"/>
      <name val="Arial"/>
      <family val="2"/>
    </font>
    <font>
      <sz val="11"/>
      <color theme="1"/>
      <name val="Calibri"/>
      <family val="2"/>
      <scheme val="minor"/>
    </font>
    <font>
      <u/>
      <sz val="11"/>
      <color theme="10"/>
      <name val="Calibri"/>
      <family val="2"/>
      <scheme val="minor"/>
    </font>
    <font>
      <sz val="11"/>
      <color theme="1"/>
      <name val="Arial"/>
      <family val="2"/>
    </font>
    <font>
      <sz val="10"/>
      <color theme="1"/>
      <name val="Arial"/>
      <family val="2"/>
    </font>
    <font>
      <b/>
      <sz val="12"/>
      <color theme="1"/>
      <name val="Arial"/>
      <family val="2"/>
    </font>
    <font>
      <b/>
      <sz val="11"/>
      <color theme="1"/>
      <name val="Arial"/>
      <family val="2"/>
    </font>
    <font>
      <sz val="11"/>
      <color theme="1"/>
      <name val="Calibri"/>
      <family val="2"/>
    </font>
    <font>
      <sz val="11"/>
      <color theme="1"/>
      <name val="Calibri"/>
      <family val="2"/>
    </font>
    <font>
      <sz val="11"/>
      <color theme="1"/>
      <name val="Calibri"/>
      <family val="2"/>
    </font>
    <font>
      <sz val="12"/>
      <color theme="1"/>
      <name val="Arial"/>
      <family val="2"/>
    </font>
    <font>
      <sz val="11"/>
      <color rgb="FFFF0000"/>
      <name val="Arial"/>
      <family val="2"/>
    </font>
    <font>
      <b/>
      <sz val="8"/>
      <color theme="1"/>
      <name val="Arial"/>
      <family val="2"/>
    </font>
    <font>
      <sz val="9"/>
      <color theme="1"/>
      <name val="Helvetica"/>
      <family val="2"/>
    </font>
    <font>
      <i/>
      <sz val="9"/>
      <color theme="1"/>
      <name val="Helvetica"/>
      <family val="2"/>
    </font>
    <font>
      <b/>
      <sz val="9"/>
      <color theme="1"/>
      <name val="Helvetica"/>
      <family val="2"/>
    </font>
    <font>
      <sz val="9"/>
      <color theme="1"/>
      <name val="Arial"/>
      <family val="2"/>
    </font>
    <font>
      <sz val="11"/>
      <color theme="1"/>
      <name val="Calibri"/>
      <family val="2"/>
    </font>
    <font>
      <sz val="12"/>
      <color rgb="FF000000"/>
      <name val="Arial"/>
      <family val="2"/>
    </font>
    <font>
      <b/>
      <sz val="11"/>
      <color rgb="FF333399"/>
      <name val="Calibri"/>
      <family val="2"/>
    </font>
    <font>
      <sz val="11"/>
      <color rgb="FF333399"/>
      <name val="Calibri"/>
      <family val="2"/>
    </font>
    <font>
      <b/>
      <sz val="11"/>
      <color theme="1"/>
      <name val="Calibri"/>
      <family val="2"/>
    </font>
    <font>
      <sz val="8"/>
      <color theme="1"/>
      <name val="Calibri"/>
      <family val="2"/>
    </font>
    <font>
      <sz val="10"/>
      <color theme="1"/>
      <name val="Calibri"/>
      <family val="2"/>
      <scheme val="minor"/>
    </font>
    <font>
      <sz val="8"/>
      <name val="Calibri"/>
      <family val="2"/>
      <scheme val="minor"/>
    </font>
    <font>
      <sz val="11"/>
      <color rgb="FFFF0000"/>
      <name val="Calibri"/>
      <family val="2"/>
      <scheme val="minor"/>
    </font>
    <font>
      <sz val="10"/>
      <color rgb="FFFF0000"/>
      <name val="Arial"/>
      <family val="2"/>
    </font>
    <font>
      <sz val="11"/>
      <name val="Calibri"/>
      <family val="2"/>
      <scheme val="minor"/>
    </font>
    <font>
      <b/>
      <sz val="11"/>
      <color theme="1"/>
      <name val="Calibri"/>
      <family val="2"/>
      <scheme val="minor"/>
    </font>
  </fonts>
  <fills count="42">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FF"/>
      </patternFill>
    </fill>
    <fill>
      <patternFill patternType="solid">
        <fgColor rgb="FFCFE0F1"/>
      </patternFill>
    </fill>
    <fill>
      <patternFill patternType="solid">
        <fgColor rgb="FF00B050"/>
        <bgColor indexed="64"/>
      </patternFill>
    </fill>
    <fill>
      <gradientFill degree="90">
        <stop position="0">
          <color theme="0"/>
        </stop>
        <stop position="1">
          <color theme="4"/>
        </stop>
      </gradientFill>
    </fill>
    <fill>
      <patternFill patternType="solid">
        <fgColor theme="7" tint="0.39997558519241921"/>
        <bgColor indexed="64"/>
      </patternFill>
    </fill>
    <fill>
      <patternFill patternType="solid">
        <fgColor rgb="FFF2F5F9"/>
      </patternFill>
    </fill>
    <fill>
      <patternFill patternType="solid">
        <fgColor rgb="FF92D050"/>
        <bgColor indexed="64"/>
      </patternFill>
    </fill>
    <fill>
      <patternFill patternType="solid">
        <fgColor theme="0"/>
        <bgColor indexed="64"/>
      </patternFill>
    </fill>
    <fill>
      <patternFill patternType="solid">
        <fgColor rgb="FF9DF5D1"/>
        <bgColor indexed="64"/>
      </patternFill>
    </fill>
    <fill>
      <patternFill patternType="solid">
        <fgColor theme="4" tint="0.79998168889431442"/>
        <bgColor indexed="64"/>
      </patternFill>
    </fill>
    <fill>
      <patternFill patternType="solid">
        <fgColor theme="7" tint="0.59999389629810485"/>
        <bgColor indexed="64"/>
      </patternFill>
    </fill>
    <fill>
      <gradientFill degree="90">
        <stop position="0">
          <color theme="0"/>
        </stop>
        <stop position="1">
          <color rgb="FFBBF834"/>
        </stop>
      </gradientFill>
    </fill>
    <fill>
      <gradientFill degree="90">
        <stop position="0">
          <color theme="0"/>
        </stop>
        <stop position="0.5">
          <color rgb="FF0C8BB8"/>
        </stop>
        <stop position="1">
          <color theme="0"/>
        </stop>
      </gradientFill>
    </fill>
    <fill>
      <gradientFill degree="90">
        <stop position="0">
          <color theme="0"/>
        </stop>
        <stop position="0.5">
          <color theme="7" tint="0.59999389629810485"/>
        </stop>
        <stop position="1">
          <color theme="0"/>
        </stop>
      </gradientFill>
    </fill>
    <fill>
      <gradientFill degree="270">
        <stop position="0">
          <color theme="0"/>
        </stop>
        <stop position="1">
          <color theme="3" tint="0.59999389629810485"/>
        </stop>
      </gradientFill>
    </fill>
    <fill>
      <gradientFill degree="90">
        <stop position="0">
          <color theme="0"/>
        </stop>
        <stop position="0.5">
          <color rgb="FF00FF00"/>
        </stop>
        <stop position="1">
          <color theme="0"/>
        </stop>
      </gradientFill>
    </fill>
    <fill>
      <gradientFill degree="90">
        <stop position="0">
          <color theme="0"/>
        </stop>
        <stop position="0.5">
          <color theme="4" tint="0.40000610370189521"/>
        </stop>
        <stop position="1">
          <color theme="0"/>
        </stop>
      </gradientFill>
    </fill>
    <fill>
      <gradientFill degree="90">
        <stop position="0">
          <color theme="0"/>
        </stop>
        <stop position="1">
          <color rgb="FF11B7B3"/>
        </stop>
      </gradientFill>
    </fill>
    <fill>
      <gradientFill degree="270">
        <stop position="0">
          <color theme="0"/>
        </stop>
        <stop position="1">
          <color rgb="FF56DA82"/>
        </stop>
      </gradientFill>
    </fill>
    <fill>
      <gradientFill degree="270">
        <stop position="0">
          <color theme="0"/>
        </stop>
        <stop position="1">
          <color rgb="FFFFFF00"/>
        </stop>
      </gradientFill>
    </fill>
    <fill>
      <patternFill patternType="solid">
        <fgColor rgb="FFE6FB97"/>
        <bgColor indexed="64"/>
      </patternFill>
    </fill>
    <fill>
      <patternFill patternType="solid">
        <fgColor rgb="FFBBF834"/>
        <bgColor indexed="64"/>
      </patternFill>
    </fill>
    <fill>
      <gradientFill degree="90">
        <stop position="0">
          <color theme="0"/>
        </stop>
        <stop position="1">
          <color rgb="FFFFFF00"/>
        </stop>
      </gradientFill>
    </fill>
    <fill>
      <patternFill patternType="solid">
        <fgColor rgb="FF71FBDA"/>
        <bgColor indexed="64"/>
      </patternFill>
    </fill>
    <fill>
      <patternFill patternType="solid">
        <fgColor rgb="FF99FF99"/>
        <bgColor indexed="64"/>
      </patternFill>
    </fill>
    <fill>
      <gradientFill degree="270">
        <stop position="0">
          <color theme="0"/>
        </stop>
        <stop position="1">
          <color rgb="FF92D050"/>
        </stop>
      </gradientFill>
    </fill>
    <fill>
      <gradientFill degree="90">
        <stop position="0">
          <color theme="0"/>
        </stop>
        <stop position="0.5">
          <color rgb="FF71FBDA"/>
        </stop>
        <stop position="1">
          <color theme="0"/>
        </stop>
      </gradientFill>
    </fill>
    <fill>
      <gradientFill degree="90">
        <stop position="0">
          <color theme="0"/>
        </stop>
        <stop position="1">
          <color rgb="FFF69B7E"/>
        </stop>
      </gradientFill>
    </fill>
    <fill>
      <patternFill patternType="solid">
        <fgColor rgb="FFE7E0EC"/>
        <bgColor indexed="64"/>
      </patternFill>
    </fill>
    <fill>
      <gradientFill degree="90">
        <stop position="0">
          <color theme="0"/>
        </stop>
        <stop position="1">
          <color theme="3" tint="0.40000610370189521"/>
        </stop>
      </gradientFill>
    </fill>
    <fill>
      <gradientFill degree="90">
        <stop position="0">
          <color theme="0"/>
        </stop>
        <stop position="1">
          <color theme="3" tint="0.59999389629810485"/>
        </stop>
      </gradientFill>
    </fill>
    <fill>
      <patternFill patternType="solid">
        <fgColor theme="9" tint="0.39994506668294322"/>
        <bgColor indexed="64"/>
      </patternFill>
    </fill>
    <fill>
      <patternFill patternType="solid">
        <fgColor rgb="FF00FF99"/>
        <bgColor indexed="64"/>
      </patternFill>
    </fill>
    <fill>
      <patternFill patternType="solid">
        <fgColor theme="5" tint="0.39997558519241921"/>
        <bgColor indexed="64"/>
      </patternFill>
    </fill>
    <fill>
      <patternFill patternType="solid">
        <fgColor theme="5" tint="0.59999389629810485"/>
        <bgColor indexed="64"/>
      </patternFill>
    </fill>
  </fills>
  <borders count="8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A3BED8"/>
      </bottom>
      <diagonal/>
    </border>
    <border>
      <left style="thin">
        <color indexed="64"/>
      </left>
      <right/>
      <top/>
      <bottom/>
      <diagonal/>
    </border>
    <border>
      <left style="double">
        <color auto="1"/>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979991"/>
      </left>
      <right/>
      <top style="thin">
        <color rgb="FF979991"/>
      </top>
      <bottom/>
      <diagonal/>
    </border>
    <border>
      <left/>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style="medium">
        <color auto="1"/>
      </top>
      <bottom style="medium">
        <color indexed="64"/>
      </bottom>
      <diagonal/>
    </border>
    <border>
      <left style="thin">
        <color indexed="64"/>
      </left>
      <right/>
      <top style="medium">
        <color auto="1"/>
      </top>
      <bottom style="medium">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rgb="FF979991"/>
      </top>
      <bottom style="thin">
        <color rgb="FF979991"/>
      </bottom>
      <diagonal/>
    </border>
    <border>
      <left/>
      <right style="thin">
        <color rgb="FF979991"/>
      </right>
      <top style="thin">
        <color rgb="FF979991"/>
      </top>
      <bottom style="thin">
        <color rgb="FF979991"/>
      </bottom>
      <diagonal/>
    </border>
    <border>
      <left style="thin">
        <color indexed="64"/>
      </left>
      <right/>
      <top style="medium">
        <color indexed="64"/>
      </top>
      <bottom style="thin">
        <color indexed="64"/>
      </bottom>
      <diagonal/>
    </border>
    <border>
      <left/>
      <right style="medium">
        <color auto="1"/>
      </right>
      <top style="thin">
        <color indexed="64"/>
      </top>
      <bottom style="thin">
        <color indexed="64"/>
      </bottom>
      <diagonal/>
    </border>
    <border>
      <left/>
      <right style="medium">
        <color auto="1"/>
      </right>
      <top style="thin">
        <color indexed="64"/>
      </top>
      <bottom/>
      <diagonal/>
    </border>
    <border>
      <left style="medium">
        <color auto="1"/>
      </left>
      <right style="medium">
        <color auto="1"/>
      </right>
      <top style="thin">
        <color auto="1"/>
      </top>
      <bottom/>
      <diagonal/>
    </border>
    <border>
      <left style="medium">
        <color auto="1"/>
      </left>
      <right style="medium">
        <color auto="1"/>
      </right>
      <top/>
      <bottom/>
      <diagonal/>
    </border>
    <border>
      <left style="thin">
        <color indexed="64"/>
      </left>
      <right/>
      <top style="medium">
        <color auto="1"/>
      </top>
      <bottom/>
      <diagonal/>
    </border>
    <border>
      <left style="thin">
        <color indexed="64"/>
      </left>
      <right/>
      <top/>
      <bottom style="medium">
        <color indexed="64"/>
      </bottom>
      <diagonal/>
    </border>
    <border>
      <left style="medium">
        <color indexed="64"/>
      </left>
      <right/>
      <top style="thin">
        <color auto="1"/>
      </top>
      <bottom style="medium">
        <color indexed="64"/>
      </bottom>
      <diagonal/>
    </border>
    <border>
      <left/>
      <right style="thin">
        <color auto="1"/>
      </right>
      <top/>
      <bottom style="medium">
        <color auto="1"/>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s>
  <cellStyleXfs count="10">
    <xf numFmtId="0" fontId="0" fillId="0" borderId="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17" fillId="0" borderId="0"/>
    <xf numFmtId="0" fontId="18" fillId="0" borderId="0"/>
    <xf numFmtId="0" fontId="19" fillId="0" borderId="0"/>
    <xf numFmtId="42" fontId="11" fillId="0" borderId="0" applyFont="0" applyFill="0" applyBorder="0" applyAlignment="0" applyProtection="0"/>
    <xf numFmtId="0" fontId="27" fillId="0" borderId="0"/>
  </cellStyleXfs>
  <cellXfs count="624">
    <xf numFmtId="0" fontId="0" fillId="0" borderId="0" xfId="0"/>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6" fillId="3" borderId="13" xfId="0" applyFont="1" applyFill="1" applyBorder="1" applyAlignment="1">
      <alignment horizontal="center" wrapText="1"/>
    </xf>
    <xf numFmtId="0" fontId="6" fillId="3" borderId="14" xfId="0" applyFont="1" applyFill="1" applyBorder="1" applyAlignment="1">
      <alignment horizontal="center" vertical="center" wrapText="1"/>
    </xf>
    <xf numFmtId="14" fontId="6" fillId="0" borderId="15" xfId="0" applyNumberFormat="1" applyFont="1" applyBorder="1"/>
    <xf numFmtId="0" fontId="7" fillId="0" borderId="16" xfId="0" applyFont="1" applyBorder="1" applyAlignment="1">
      <alignment horizontal="center" wrapText="1"/>
    </xf>
    <xf numFmtId="3" fontId="7" fillId="0" borderId="16" xfId="0" applyNumberFormat="1" applyFont="1" applyBorder="1"/>
    <xf numFmtId="3" fontId="7" fillId="0" borderId="17" xfId="0" applyNumberFormat="1" applyFont="1" applyBorder="1"/>
    <xf numFmtId="14" fontId="7" fillId="0" borderId="6" xfId="0" applyNumberFormat="1" applyFont="1" applyBorder="1"/>
    <xf numFmtId="0" fontId="7" fillId="0" borderId="7" xfId="0" applyFont="1" applyBorder="1"/>
    <xf numFmtId="3" fontId="7" fillId="0" borderId="7" xfId="0" applyNumberFormat="1" applyFont="1" applyBorder="1"/>
    <xf numFmtId="3" fontId="7" fillId="0" borderId="8" xfId="0" applyNumberFormat="1" applyFont="1" applyBorder="1"/>
    <xf numFmtId="3" fontId="6" fillId="0" borderId="8" xfId="0" applyNumberFormat="1" applyFont="1" applyBorder="1"/>
    <xf numFmtId="14" fontId="7" fillId="4" borderId="7" xfId="0" applyNumberFormat="1" applyFont="1" applyFill="1" applyBorder="1"/>
    <xf numFmtId="0" fontId="6" fillId="4" borderId="7" xfId="0" applyFont="1" applyFill="1" applyBorder="1"/>
    <xf numFmtId="3" fontId="6" fillId="4" borderId="7" xfId="0" applyNumberFormat="1" applyFont="1" applyFill="1" applyBorder="1"/>
    <xf numFmtId="3" fontId="7" fillId="4" borderId="7" xfId="0" applyNumberFormat="1" applyFont="1" applyFill="1" applyBorder="1"/>
    <xf numFmtId="0" fontId="8" fillId="0" borderId="0" xfId="0" applyFont="1"/>
    <xf numFmtId="0" fontId="7" fillId="0" borderId="0" xfId="0" applyFont="1"/>
    <xf numFmtId="0" fontId="9" fillId="5" borderId="14"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xf>
    <xf numFmtId="0" fontId="5" fillId="0" borderId="21" xfId="0" applyFont="1" applyBorder="1" applyAlignment="1">
      <alignment horizontal="center" vertical="center"/>
    </xf>
    <xf numFmtId="3" fontId="5" fillId="0" borderId="7" xfId="0" applyNumberFormat="1" applyFont="1" applyFill="1" applyBorder="1" applyAlignment="1">
      <alignment horizontal="center" vertical="center"/>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10" fillId="0" borderId="0" xfId="0" applyFont="1" applyBorder="1"/>
    <xf numFmtId="0" fontId="5" fillId="0" borderId="0" xfId="0" applyFont="1" applyBorder="1"/>
    <xf numFmtId="0" fontId="5" fillId="0" borderId="23" xfId="0" applyFont="1" applyBorder="1"/>
    <xf numFmtId="10" fontId="5" fillId="0" borderId="7" xfId="0" applyNumberFormat="1" applyFont="1" applyBorder="1" applyAlignment="1">
      <alignment horizontal="center" vertical="center"/>
    </xf>
    <xf numFmtId="10" fontId="5" fillId="0" borderId="0" xfId="0" applyNumberFormat="1" applyFont="1" applyBorder="1" applyAlignment="1">
      <alignment horizontal="center" vertical="center"/>
    </xf>
    <xf numFmtId="3" fontId="9" fillId="0" borderId="0" xfId="0" applyNumberFormat="1" applyFont="1" applyBorder="1"/>
    <xf numFmtId="0" fontId="5" fillId="0" borderId="0" xfId="0" applyFont="1" applyBorder="1" applyAlignment="1">
      <alignment horizontal="center" vertical="center"/>
    </xf>
    <xf numFmtId="0" fontId="5" fillId="0" borderId="24" xfId="0" applyFont="1" applyBorder="1" applyAlignment="1">
      <alignment horizontal="center" vertical="center" wrapText="1"/>
    </xf>
    <xf numFmtId="0" fontId="5" fillId="0" borderId="25" xfId="0" applyFont="1" applyBorder="1" applyAlignment="1">
      <alignment horizontal="center" vertical="center"/>
    </xf>
    <xf numFmtId="0" fontId="9" fillId="6" borderId="7" xfId="0" applyFont="1" applyFill="1" applyBorder="1" applyAlignment="1">
      <alignment horizontal="center" vertical="center" wrapText="1"/>
    </xf>
    <xf numFmtId="0" fontId="9" fillId="6" borderId="7" xfId="0" applyFont="1" applyFill="1" applyBorder="1" applyAlignment="1">
      <alignment horizontal="center" vertical="center"/>
    </xf>
    <xf numFmtId="0" fontId="9" fillId="5" borderId="7" xfId="0" applyFont="1" applyFill="1" applyBorder="1" applyAlignment="1">
      <alignment horizontal="center" vertical="center" wrapText="1"/>
    </xf>
    <xf numFmtId="0" fontId="9" fillId="5" borderId="7" xfId="0" applyFont="1" applyFill="1" applyBorder="1" applyAlignment="1">
      <alignment horizontal="center" vertical="center"/>
    </xf>
    <xf numFmtId="0" fontId="9" fillId="4" borderId="7" xfId="0" applyFont="1" applyFill="1" applyBorder="1" applyAlignment="1">
      <alignment horizontal="center" vertical="center" wrapText="1"/>
    </xf>
    <xf numFmtId="3" fontId="9" fillId="4" borderId="7" xfId="0" applyNumberFormat="1" applyFont="1" applyFill="1" applyBorder="1" applyAlignment="1">
      <alignment horizontal="center"/>
    </xf>
    <xf numFmtId="3" fontId="10" fillId="0" borderId="0" xfId="0" applyNumberFormat="1" applyFont="1"/>
    <xf numFmtId="0" fontId="10" fillId="0" borderId="0" xfId="0" applyFont="1" applyAlignment="1">
      <alignment horizontal="center"/>
    </xf>
    <xf numFmtId="0" fontId="9" fillId="6" borderId="7" xfId="0" applyFont="1" applyFill="1" applyBorder="1"/>
    <xf numFmtId="3" fontId="9" fillId="6" borderId="7" xfId="0" applyNumberFormat="1" applyFont="1" applyFill="1" applyBorder="1" applyAlignment="1">
      <alignment horizontal="center"/>
    </xf>
    <xf numFmtId="0" fontId="0" fillId="0" borderId="0" xfId="0" applyAlignment="1">
      <alignment horizontal="center" vertical="top" wrapText="1"/>
    </xf>
    <xf numFmtId="166" fontId="0" fillId="0" borderId="0" xfId="1" applyNumberFormat="1" applyFont="1"/>
    <xf numFmtId="0" fontId="6" fillId="3" borderId="27" xfId="0" applyFont="1" applyFill="1" applyBorder="1" applyAlignment="1">
      <alignment horizontal="center" vertical="center" wrapText="1"/>
    </xf>
    <xf numFmtId="0" fontId="3" fillId="0" borderId="0" xfId="0" applyFont="1"/>
    <xf numFmtId="0" fontId="3" fillId="9" borderId="0" xfId="0" applyFont="1" applyFill="1" applyAlignment="1">
      <alignment vertical="center"/>
    </xf>
    <xf numFmtId="3" fontId="0" fillId="0" borderId="0" xfId="0" applyNumberFormat="1"/>
    <xf numFmtId="0" fontId="6" fillId="11" borderId="16" xfId="0" applyFont="1" applyFill="1" applyBorder="1" applyAlignment="1">
      <alignment horizontal="center" wrapText="1"/>
    </xf>
    <xf numFmtId="3" fontId="6" fillId="0" borderId="17" xfId="0" applyNumberFormat="1" applyFont="1" applyBorder="1"/>
    <xf numFmtId="41" fontId="13" fillId="0" borderId="7" xfId="2" applyNumberFormat="1" applyFont="1" applyBorder="1" applyAlignment="1">
      <alignment horizontal="center" vertical="center"/>
    </xf>
    <xf numFmtId="3" fontId="7" fillId="0" borderId="0" xfId="0" applyNumberFormat="1" applyFont="1" applyBorder="1"/>
    <xf numFmtId="41" fontId="14" fillId="0" borderId="21" xfId="2" applyNumberFormat="1" applyFont="1" applyBorder="1" applyAlignment="1">
      <alignment horizontal="center" vertical="center"/>
    </xf>
    <xf numFmtId="3" fontId="5" fillId="0" borderId="22" xfId="0" applyNumberFormat="1" applyFont="1" applyFill="1" applyBorder="1" applyAlignment="1">
      <alignment horizontal="center" vertical="center"/>
    </xf>
    <xf numFmtId="3" fontId="5" fillId="0" borderId="7" xfId="0" applyNumberFormat="1" applyFont="1" applyBorder="1" applyAlignment="1">
      <alignment horizontal="center" vertical="center" wrapText="1"/>
    </xf>
    <xf numFmtId="0" fontId="5" fillId="0" borderId="4" xfId="0" applyFont="1" applyBorder="1" applyAlignment="1">
      <alignment horizontal="center" wrapText="1"/>
    </xf>
    <xf numFmtId="10" fontId="10" fillId="0" borderId="0" xfId="0" applyNumberFormat="1" applyFont="1" applyBorder="1" applyAlignment="1">
      <alignment horizontal="left" vertical="center"/>
    </xf>
    <xf numFmtId="0" fontId="5" fillId="0" borderId="6" xfId="0" applyFont="1" applyBorder="1" applyAlignment="1">
      <alignment horizontal="center" vertical="center" wrapText="1"/>
    </xf>
    <xf numFmtId="0" fontId="10" fillId="0" borderId="0" xfId="0" applyFont="1" applyBorder="1" applyAlignment="1">
      <alignment horizontal="left" vertical="center"/>
    </xf>
    <xf numFmtId="0" fontId="0" fillId="0" borderId="6" xfId="0" applyBorder="1" applyAlignment="1">
      <alignment horizontal="center" vertical="center" wrapText="1"/>
    </xf>
    <xf numFmtId="3" fontId="5" fillId="0" borderId="7" xfId="0" applyNumberFormat="1" applyFont="1" applyBorder="1" applyAlignment="1">
      <alignment horizontal="center" vertical="center"/>
    </xf>
    <xf numFmtId="10" fontId="11" fillId="0" borderId="5" xfId="3" applyNumberFormat="1" applyFont="1" applyBorder="1" applyAlignment="1">
      <alignment horizontal="center"/>
    </xf>
    <xf numFmtId="0" fontId="5" fillId="4" borderId="7" xfId="0" applyFont="1" applyFill="1" applyBorder="1" applyAlignment="1">
      <alignment horizontal="center" vertical="center"/>
    </xf>
    <xf numFmtId="0" fontId="5" fillId="0" borderId="29" xfId="0" applyFont="1" applyBorder="1"/>
    <xf numFmtId="0" fontId="5" fillId="0" borderId="30" xfId="0" applyFont="1" applyBorder="1"/>
    <xf numFmtId="0" fontId="5" fillId="0" borderId="31" xfId="0" applyFont="1" applyBorder="1"/>
    <xf numFmtId="10" fontId="11" fillId="0" borderId="7" xfId="3" applyNumberFormat="1" applyFont="1" applyBorder="1" applyAlignment="1">
      <alignment horizontal="center"/>
    </xf>
    <xf numFmtId="3" fontId="10" fillId="0" borderId="0" xfId="0" applyNumberFormat="1" applyFont="1" applyAlignment="1">
      <alignment horizontal="center"/>
    </xf>
    <xf numFmtId="10" fontId="0" fillId="0" borderId="0" xfId="0" applyNumberFormat="1"/>
    <xf numFmtId="165" fontId="0" fillId="0" borderId="0" xfId="1" applyFont="1"/>
    <xf numFmtId="168" fontId="0" fillId="0" borderId="0" xfId="0" applyNumberFormat="1"/>
    <xf numFmtId="0" fontId="12" fillId="0" borderId="0" xfId="4"/>
    <xf numFmtId="0" fontId="15" fillId="0" borderId="0" xfId="0" applyFont="1" applyAlignment="1">
      <alignment wrapText="1"/>
    </xf>
    <xf numFmtId="0" fontId="0" fillId="14" borderId="0" xfId="0" applyFill="1"/>
    <xf numFmtId="10" fontId="0" fillId="0" borderId="7" xfId="3" applyNumberFormat="1" applyFont="1" applyBorder="1" applyAlignment="1">
      <alignment horizontal="center" vertical="center"/>
    </xf>
    <xf numFmtId="169" fontId="0" fillId="0" borderId="0" xfId="1" applyNumberFormat="1" applyFont="1"/>
    <xf numFmtId="0" fontId="0" fillId="0" borderId="0" xfId="0" applyBorder="1"/>
    <xf numFmtId="165" fontId="0" fillId="0" borderId="0" xfId="0" applyNumberFormat="1"/>
    <xf numFmtId="167" fontId="11" fillId="0" borderId="7" xfId="3" applyNumberFormat="1" applyFont="1" applyBorder="1" applyAlignment="1">
      <alignment horizontal="center"/>
    </xf>
    <xf numFmtId="14" fontId="6" fillId="15" borderId="15" xfId="0" applyNumberFormat="1" applyFont="1" applyFill="1" applyBorder="1"/>
    <xf numFmtId="14" fontId="7" fillId="15" borderId="18" xfId="0" applyNumberFormat="1" applyFont="1" applyFill="1" applyBorder="1"/>
    <xf numFmtId="170" fontId="5" fillId="0" borderId="7" xfId="0" applyNumberFormat="1" applyFont="1" applyBorder="1" applyAlignment="1">
      <alignment horizontal="center" vertical="center"/>
    </xf>
    <xf numFmtId="170" fontId="11" fillId="0" borderId="7" xfId="3" applyNumberFormat="1" applyFont="1" applyBorder="1" applyAlignment="1">
      <alignment horizontal="center"/>
    </xf>
    <xf numFmtId="167" fontId="5" fillId="0" borderId="7" xfId="0" applyNumberFormat="1" applyFont="1" applyBorder="1" applyAlignment="1">
      <alignment horizontal="center" vertical="center"/>
    </xf>
    <xf numFmtId="10" fontId="0" fillId="0" borderId="0" xfId="3" applyNumberFormat="1" applyFont="1"/>
    <xf numFmtId="14" fontId="7" fillId="17" borderId="6" xfId="0" applyNumberFormat="1" applyFont="1" applyFill="1" applyBorder="1"/>
    <xf numFmtId="170" fontId="5" fillId="0" borderId="0" xfId="0" applyNumberFormat="1" applyFont="1" applyBorder="1"/>
    <xf numFmtId="3" fontId="7" fillId="0" borderId="29" xfId="0" applyNumberFormat="1" applyFont="1" applyBorder="1"/>
    <xf numFmtId="41" fontId="13" fillId="0" borderId="24" xfId="2" applyNumberFormat="1" applyFont="1" applyBorder="1" applyAlignment="1">
      <alignment horizontal="center" vertical="center"/>
    </xf>
    <xf numFmtId="3" fontId="7" fillId="0" borderId="24" xfId="0" applyNumberFormat="1" applyFont="1" applyBorder="1"/>
    <xf numFmtId="0" fontId="0" fillId="0" borderId="0" xfId="0" applyFill="1" applyBorder="1"/>
    <xf numFmtId="3" fontId="0" fillId="0" borderId="0" xfId="0" applyNumberFormat="1" applyFill="1" applyBorder="1"/>
    <xf numFmtId="3" fontId="10" fillId="0" borderId="0" xfId="0" applyNumberFormat="1" applyFont="1" applyFill="1" applyBorder="1" applyAlignment="1">
      <alignment horizont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xf>
    <xf numFmtId="3" fontId="10" fillId="0" borderId="0" xfId="0" applyNumberFormat="1" applyFont="1" applyFill="1" applyBorder="1"/>
    <xf numFmtId="0" fontId="6" fillId="3" borderId="12" xfId="0" applyFont="1" applyFill="1" applyBorder="1" applyAlignment="1">
      <alignment horizontal="center" vertical="center"/>
    </xf>
    <xf numFmtId="0" fontId="21" fillId="0" borderId="16" xfId="0" applyFont="1" applyBorder="1" applyAlignment="1">
      <alignment horizontal="center" wrapText="1"/>
    </xf>
    <xf numFmtId="164" fontId="0" fillId="0" borderId="0" xfId="2" applyFont="1"/>
    <xf numFmtId="0" fontId="0" fillId="0" borderId="0" xfId="0" applyFill="1"/>
    <xf numFmtId="9" fontId="0" fillId="0" borderId="0" xfId="3" applyFont="1"/>
    <xf numFmtId="0" fontId="6" fillId="15" borderId="15" xfId="1" applyNumberFormat="1" applyFont="1" applyFill="1" applyBorder="1" applyAlignment="1">
      <alignment horizontal="center"/>
    </xf>
    <xf numFmtId="165" fontId="0" fillId="0" borderId="49" xfId="1" applyFont="1" applyBorder="1" applyAlignment="1"/>
    <xf numFmtId="165" fontId="0" fillId="0" borderId="50" xfId="1" applyFont="1" applyBorder="1" applyAlignment="1"/>
    <xf numFmtId="0" fontId="6" fillId="10" borderId="44" xfId="0" applyFont="1" applyFill="1" applyBorder="1" applyAlignment="1">
      <alignment horizontal="center" vertical="center"/>
    </xf>
    <xf numFmtId="0" fontId="6" fillId="10" borderId="12" xfId="0" applyFont="1" applyFill="1" applyBorder="1" applyAlignment="1">
      <alignment vertical="center"/>
    </xf>
    <xf numFmtId="0" fontId="6" fillId="10" borderId="51" xfId="0" applyFont="1" applyFill="1" applyBorder="1" applyAlignment="1">
      <alignment vertical="center"/>
    </xf>
    <xf numFmtId="0" fontId="6" fillId="10" borderId="44" xfId="0" applyFont="1" applyFill="1" applyBorder="1" applyAlignment="1">
      <alignment horizontal="center" vertical="center" wrapText="1"/>
    </xf>
    <xf numFmtId="9" fontId="2" fillId="14" borderId="49" xfId="3" applyFont="1" applyFill="1" applyBorder="1" applyAlignment="1">
      <alignment horizontal="center" wrapText="1"/>
    </xf>
    <xf numFmtId="9" fontId="2" fillId="14" borderId="50" xfId="3" applyFont="1" applyFill="1" applyBorder="1" applyAlignment="1">
      <alignment horizontal="center" wrapText="1"/>
    </xf>
    <xf numFmtId="9" fontId="2" fillId="14" borderId="72" xfId="3" applyFont="1" applyFill="1" applyBorder="1" applyAlignment="1">
      <alignment horizontal="center" wrapText="1"/>
    </xf>
    <xf numFmtId="169" fontId="0" fillId="0" borderId="50" xfId="1" applyNumberFormat="1" applyFont="1" applyBorder="1" applyAlignment="1"/>
    <xf numFmtId="169" fontId="0" fillId="0" borderId="49" xfId="1" applyNumberFormat="1" applyFont="1" applyBorder="1" applyAlignment="1">
      <alignment horizontal="center"/>
    </xf>
    <xf numFmtId="169" fontId="0" fillId="0" borderId="50" xfId="1" applyNumberFormat="1" applyFont="1" applyBorder="1" applyAlignment="1">
      <alignment horizontal="center"/>
    </xf>
    <xf numFmtId="10" fontId="9" fillId="6" borderId="7" xfId="3" applyNumberFormat="1" applyFont="1" applyFill="1" applyBorder="1" applyAlignment="1">
      <alignment horizontal="center" vertical="center"/>
    </xf>
    <xf numFmtId="0" fontId="6" fillId="15" borderId="45" xfId="1" applyNumberFormat="1" applyFont="1" applyFill="1" applyBorder="1" applyAlignment="1">
      <alignment horizontal="center"/>
    </xf>
    <xf numFmtId="0" fontId="0" fillId="0" borderId="44" xfId="0" applyBorder="1" applyAlignment="1">
      <alignment wrapText="1"/>
    </xf>
    <xf numFmtId="14" fontId="7" fillId="18" borderId="18" xfId="0" applyNumberFormat="1" applyFont="1" applyFill="1" applyBorder="1"/>
    <xf numFmtId="14" fontId="7" fillId="19" borderId="18" xfId="0" applyNumberFormat="1" applyFont="1" applyFill="1" applyBorder="1"/>
    <xf numFmtId="14" fontId="7" fillId="20" borderId="18" xfId="0" applyNumberFormat="1" applyFont="1" applyFill="1" applyBorder="1"/>
    <xf numFmtId="14" fontId="7" fillId="21" borderId="18" xfId="0" applyNumberFormat="1" applyFont="1" applyFill="1" applyBorder="1"/>
    <xf numFmtId="14" fontId="7" fillId="22" borderId="18" xfId="0" applyNumberFormat="1" applyFont="1" applyFill="1" applyBorder="1"/>
    <xf numFmtId="14" fontId="7" fillId="23" borderId="18" xfId="0" applyNumberFormat="1" applyFont="1" applyFill="1" applyBorder="1"/>
    <xf numFmtId="14" fontId="7" fillId="24" borderId="18" xfId="0" applyNumberFormat="1" applyFont="1" applyFill="1" applyBorder="1"/>
    <xf numFmtId="14" fontId="7" fillId="25" borderId="18" xfId="0" applyNumberFormat="1" applyFont="1" applyFill="1" applyBorder="1"/>
    <xf numFmtId="14" fontId="7" fillId="26" borderId="18" xfId="0" applyNumberFormat="1" applyFont="1" applyFill="1" applyBorder="1"/>
    <xf numFmtId="170" fontId="5" fillId="0" borderId="29" xfId="3" applyNumberFormat="1" applyFont="1" applyBorder="1"/>
    <xf numFmtId="14" fontId="7" fillId="4" borderId="6" xfId="0" applyNumberFormat="1" applyFont="1" applyFill="1" applyBorder="1"/>
    <xf numFmtId="14" fontId="7" fillId="27" borderId="6" xfId="0" applyNumberFormat="1" applyFont="1" applyFill="1" applyBorder="1"/>
    <xf numFmtId="3" fontId="0" fillId="14" borderId="0" xfId="0" applyNumberFormat="1" applyFill="1"/>
    <xf numFmtId="171" fontId="11" fillId="0" borderId="7" xfId="3" applyNumberFormat="1" applyFont="1" applyBorder="1" applyAlignment="1">
      <alignment horizontal="center"/>
    </xf>
    <xf numFmtId="164" fontId="0" fillId="0" borderId="0" xfId="0" applyNumberFormat="1"/>
    <xf numFmtId="14" fontId="5" fillId="0" borderId="7" xfId="0" applyNumberFormat="1" applyFont="1" applyBorder="1" applyAlignment="1">
      <alignment horizontal="center" vertical="center" wrapText="1"/>
    </xf>
    <xf numFmtId="14" fontId="5" fillId="0" borderId="7" xfId="0" applyNumberFormat="1" applyFont="1" applyFill="1" applyBorder="1" applyAlignment="1">
      <alignment horizontal="center" vertical="center"/>
    </xf>
    <xf numFmtId="14" fontId="7" fillId="30" borderId="6" xfId="0" applyNumberFormat="1" applyFont="1" applyFill="1" applyBorder="1"/>
    <xf numFmtId="170" fontId="5" fillId="0" borderId="7" xfId="3" applyNumberFormat="1" applyFont="1" applyBorder="1" applyAlignment="1">
      <alignment horizontal="center" vertical="center"/>
    </xf>
    <xf numFmtId="3" fontId="6" fillId="14" borderId="0" xfId="0" applyNumberFormat="1" applyFont="1" applyFill="1" applyBorder="1"/>
    <xf numFmtId="14" fontId="6" fillId="4" borderId="15" xfId="0" applyNumberFormat="1" applyFont="1" applyFill="1" applyBorder="1"/>
    <xf numFmtId="14" fontId="7" fillId="31" borderId="6" xfId="0" applyNumberFormat="1" applyFont="1" applyFill="1" applyBorder="1"/>
    <xf numFmtId="171" fontId="0" fillId="0" borderId="0" xfId="0" applyNumberFormat="1"/>
    <xf numFmtId="14" fontId="7" fillId="32" borderId="6" xfId="0" applyNumberFormat="1" applyFont="1" applyFill="1" applyBorder="1"/>
    <xf numFmtId="14" fontId="7" fillId="33" borderId="6" xfId="0" applyNumberFormat="1" applyFont="1" applyFill="1" applyBorder="1"/>
    <xf numFmtId="14" fontId="7" fillId="34" borderId="6" xfId="0" applyNumberFormat="1" applyFont="1" applyFill="1" applyBorder="1"/>
    <xf numFmtId="0" fontId="6" fillId="16" borderId="12" xfId="0" applyFont="1" applyFill="1" applyBorder="1" applyAlignment="1">
      <alignment horizontal="center" vertical="center"/>
    </xf>
    <xf numFmtId="0" fontId="6" fillId="16" borderId="13" xfId="0" applyFont="1" applyFill="1" applyBorder="1" applyAlignment="1">
      <alignment horizontal="center" vertical="center"/>
    </xf>
    <xf numFmtId="0" fontId="6" fillId="16" borderId="13" xfId="0" applyFont="1" applyFill="1" applyBorder="1" applyAlignment="1">
      <alignment horizontal="center" vertical="center" wrapText="1"/>
    </xf>
    <xf numFmtId="0" fontId="6" fillId="16" borderId="13" xfId="0" applyFont="1" applyFill="1" applyBorder="1" applyAlignment="1">
      <alignment horizontal="center" wrapText="1"/>
    </xf>
    <xf numFmtId="0" fontId="6" fillId="16" borderId="14" xfId="0" applyFont="1" applyFill="1" applyBorder="1" applyAlignment="1">
      <alignment horizontal="center" vertical="center" wrapText="1"/>
    </xf>
    <xf numFmtId="14" fontId="7" fillId="29" borderId="6" xfId="0" applyNumberFormat="1" applyFont="1" applyFill="1" applyBorder="1"/>
    <xf numFmtId="14" fontId="7" fillId="29" borderId="41" xfId="0" applyNumberFormat="1" applyFont="1" applyFill="1" applyBorder="1"/>
    <xf numFmtId="0" fontId="6" fillId="29" borderId="42" xfId="0" applyFont="1" applyFill="1" applyBorder="1"/>
    <xf numFmtId="3" fontId="6" fillId="29" borderId="42" xfId="0" applyNumberFormat="1" applyFont="1" applyFill="1" applyBorder="1"/>
    <xf numFmtId="3" fontId="7" fillId="29" borderId="43" xfId="0" applyNumberFormat="1" applyFont="1" applyFill="1" applyBorder="1"/>
    <xf numFmtId="171" fontId="5" fillId="0" borderId="7" xfId="0" applyNumberFormat="1" applyFont="1" applyBorder="1" applyAlignment="1">
      <alignment horizontal="center" vertical="center"/>
    </xf>
    <xf numFmtId="3" fontId="7" fillId="28" borderId="7" xfId="0" applyNumberFormat="1" applyFont="1" applyFill="1" applyBorder="1"/>
    <xf numFmtId="42" fontId="16" fillId="0" borderId="44" xfId="8" applyFont="1" applyBorder="1" applyAlignment="1">
      <alignment wrapText="1"/>
    </xf>
    <xf numFmtId="0" fontId="26" fillId="14" borderId="0" xfId="0" applyFont="1" applyFill="1" applyAlignment="1">
      <alignment wrapText="1"/>
    </xf>
    <xf numFmtId="0" fontId="28" fillId="0" borderId="0" xfId="0" applyFont="1" applyAlignment="1">
      <alignment wrapText="1"/>
    </xf>
    <xf numFmtId="3" fontId="1" fillId="0" borderId="0" xfId="0" applyNumberFormat="1" applyFont="1" applyAlignment="1">
      <alignment wrapText="1"/>
    </xf>
    <xf numFmtId="3" fontId="28" fillId="0" borderId="0" xfId="0" applyNumberFormat="1" applyFont="1"/>
    <xf numFmtId="0" fontId="28" fillId="0" borderId="11" xfId="2" applyNumberFormat="1" applyFont="1" applyBorder="1" applyAlignment="1">
      <alignment horizontal="center" vertical="center"/>
    </xf>
    <xf numFmtId="0" fontId="28" fillId="0" borderId="11" xfId="2" applyNumberFormat="1" applyFont="1" applyBorder="1" applyAlignment="1">
      <alignment horizontal="center" vertical="center" wrapText="1"/>
    </xf>
    <xf numFmtId="0" fontId="23" fillId="0" borderId="0" xfId="0" applyFont="1" applyAlignment="1">
      <alignment horizontal="left" wrapText="1"/>
    </xf>
    <xf numFmtId="0" fontId="0" fillId="7" borderId="32" xfId="0" applyFill="1" applyBorder="1" applyAlignment="1">
      <alignment horizontal="left" vertical="top" wrapText="1"/>
    </xf>
    <xf numFmtId="0" fontId="0" fillId="7" borderId="33" xfId="0" applyFill="1" applyBorder="1" applyAlignment="1">
      <alignment horizontal="left" vertical="top" wrapText="1"/>
    </xf>
    <xf numFmtId="14" fontId="0" fillId="8" borderId="34" xfId="0" applyNumberFormat="1" applyFill="1" applyBorder="1" applyAlignment="1">
      <alignment horizontal="left" vertical="center" wrapText="1"/>
    </xf>
    <xf numFmtId="0" fontId="0" fillId="7" borderId="34" xfId="0" applyFill="1" applyBorder="1" applyAlignment="1">
      <alignment horizontal="left" vertical="center" wrapText="1"/>
    </xf>
    <xf numFmtId="0" fontId="0" fillId="7" borderId="34" xfId="0" applyFill="1" applyBorder="1" applyAlignment="1">
      <alignment horizontal="right" vertical="top" wrapText="1"/>
    </xf>
    <xf numFmtId="0" fontId="0" fillId="8" borderId="34" xfId="0" applyFill="1" applyBorder="1" applyAlignment="1">
      <alignment horizontal="left" vertical="center" wrapText="1"/>
    </xf>
    <xf numFmtId="0" fontId="0" fillId="12" borderId="34" xfId="0" applyFill="1" applyBorder="1" applyAlignment="1">
      <alignment horizontal="right" vertical="top" wrapText="1"/>
    </xf>
    <xf numFmtId="0" fontId="0" fillId="0" borderId="0" xfId="0" applyAlignment="1">
      <alignment horizontal="left" wrapText="1"/>
    </xf>
    <xf numFmtId="0" fontId="16" fillId="33" borderId="53" xfId="0" applyFont="1" applyFill="1" applyBorder="1" applyAlignment="1">
      <alignment horizontal="center" vertical="center" wrapText="1"/>
    </xf>
    <xf numFmtId="0" fontId="13" fillId="33" borderId="13"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16" fillId="33" borderId="14" xfId="0" applyFont="1" applyFill="1" applyBorder="1" applyAlignment="1">
      <alignment horizontal="center" vertical="center" wrapText="1"/>
    </xf>
    <xf numFmtId="14" fontId="13" fillId="0" borderId="54" xfId="0" applyNumberFormat="1" applyFont="1" applyBorder="1" applyAlignment="1">
      <alignment horizontal="center" wrapText="1"/>
    </xf>
    <xf numFmtId="14" fontId="13" fillId="0" borderId="64" xfId="0" applyNumberFormat="1" applyFont="1" applyBorder="1" applyAlignment="1">
      <alignment wrapText="1"/>
    </xf>
    <xf numFmtId="0" fontId="13" fillId="0" borderId="64" xfId="0" applyFont="1" applyBorder="1" applyAlignment="1">
      <alignment horizontal="center" vertical="center" wrapText="1"/>
    </xf>
    <xf numFmtId="170" fontId="13" fillId="0" borderId="64" xfId="3" applyNumberFormat="1" applyFont="1" applyBorder="1" applyAlignment="1">
      <alignment wrapText="1"/>
    </xf>
    <xf numFmtId="10" fontId="13" fillId="0" borderId="64" xfId="3" applyNumberFormat="1" applyFont="1" applyBorder="1" applyAlignment="1">
      <alignment wrapText="1"/>
    </xf>
    <xf numFmtId="42" fontId="16" fillId="0" borderId="64" xfId="8" applyFont="1" applyBorder="1" applyAlignment="1">
      <alignment wrapText="1"/>
    </xf>
    <xf numFmtId="42" fontId="16" fillId="0" borderId="66" xfId="8" applyFont="1" applyBorder="1" applyAlignment="1">
      <alignment wrapText="1"/>
    </xf>
    <xf numFmtId="14" fontId="13" fillId="0" borderId="6" xfId="0" applyNumberFormat="1" applyFont="1" applyBorder="1" applyAlignment="1">
      <alignment horizontal="center" wrapText="1"/>
    </xf>
    <xf numFmtId="14" fontId="13" fillId="0" borderId="7" xfId="0" applyNumberFormat="1" applyFont="1" applyBorder="1" applyAlignment="1">
      <alignment wrapText="1"/>
    </xf>
    <xf numFmtId="0" fontId="13" fillId="0" borderId="7" xfId="0" applyFont="1" applyBorder="1" applyAlignment="1">
      <alignment horizontal="center" vertical="center" wrapText="1"/>
    </xf>
    <xf numFmtId="170" fontId="13" fillId="0" borderId="7" xfId="3" applyNumberFormat="1" applyFont="1" applyBorder="1" applyAlignment="1">
      <alignment wrapText="1"/>
    </xf>
    <xf numFmtId="10" fontId="13" fillId="0" borderId="7" xfId="3" applyNumberFormat="1" applyFont="1" applyBorder="1" applyAlignment="1">
      <alignment wrapText="1"/>
    </xf>
    <xf numFmtId="42" fontId="16" fillId="0" borderId="7" xfId="8" applyFont="1" applyBorder="1" applyAlignment="1">
      <alignment wrapText="1"/>
    </xf>
    <xf numFmtId="42" fontId="16" fillId="0" borderId="8" xfId="8" applyFont="1" applyBorder="1" applyAlignment="1">
      <alignment wrapText="1"/>
    </xf>
    <xf numFmtId="0" fontId="3" fillId="36" borderId="60" xfId="0" applyFont="1" applyFill="1" applyBorder="1" applyAlignment="1">
      <alignment horizontal="center" vertical="center" wrapText="1"/>
    </xf>
    <xf numFmtId="0" fontId="3" fillId="36" borderId="11" xfId="0" applyFont="1" applyFill="1" applyBorder="1" applyAlignment="1">
      <alignment horizontal="center" vertical="center" wrapText="1"/>
    </xf>
    <xf numFmtId="0" fontId="16" fillId="37" borderId="60" xfId="0" applyFont="1" applyFill="1" applyBorder="1" applyAlignment="1">
      <alignment horizontal="center" vertical="center" wrapText="1"/>
    </xf>
    <xf numFmtId="0" fontId="16" fillId="37" borderId="57" xfId="0" applyFont="1" applyFill="1" applyBorder="1" applyAlignment="1">
      <alignment horizontal="center" wrapText="1"/>
    </xf>
    <xf numFmtId="0" fontId="3" fillId="37" borderId="11" xfId="0" applyFont="1" applyFill="1" applyBorder="1" applyAlignment="1">
      <alignment horizontal="center" vertical="center" wrapText="1"/>
    </xf>
    <xf numFmtId="0" fontId="3" fillId="0" borderId="39" xfId="0" applyFont="1" applyBorder="1" applyAlignment="1">
      <alignment horizontal="center" vertical="center"/>
    </xf>
    <xf numFmtId="0" fontId="4" fillId="0" borderId="47" xfId="0" applyFont="1" applyBorder="1" applyAlignment="1">
      <alignment horizontal="center" vertical="center"/>
    </xf>
    <xf numFmtId="0" fontId="13" fillId="0" borderId="36" xfId="0" applyFont="1" applyBorder="1" applyAlignment="1">
      <alignment horizontal="center" vertical="center"/>
    </xf>
    <xf numFmtId="0" fontId="13" fillId="14" borderId="25" xfId="0" applyFont="1" applyFill="1" applyBorder="1" applyAlignment="1">
      <alignment horizontal="center" wrapText="1"/>
    </xf>
    <xf numFmtId="170" fontId="13" fillId="14" borderId="40" xfId="3" applyNumberFormat="1" applyFont="1" applyFill="1" applyBorder="1" applyAlignment="1">
      <alignment horizontal="center" vertical="center"/>
    </xf>
    <xf numFmtId="6" fontId="4" fillId="0" borderId="21" xfId="0" applyNumberFormat="1" applyFont="1" applyBorder="1"/>
    <xf numFmtId="3" fontId="4" fillId="0" borderId="7" xfId="0" applyNumberFormat="1" applyFont="1" applyFill="1" applyBorder="1" applyAlignment="1">
      <alignment horizontal="center" vertical="center"/>
    </xf>
    <xf numFmtId="42" fontId="4" fillId="0" borderId="21" xfId="8" applyFont="1" applyFill="1" applyBorder="1" applyAlignment="1">
      <alignment horizontal="center" vertical="center"/>
    </xf>
    <xf numFmtId="0" fontId="4" fillId="14" borderId="0" xfId="0" applyFont="1" applyFill="1" applyBorder="1" applyAlignment="1">
      <alignment horizontal="center" vertical="center"/>
    </xf>
    <xf numFmtId="170" fontId="13" fillId="14" borderId="8" xfId="3" applyNumberFormat="1" applyFont="1" applyFill="1" applyBorder="1" applyAlignment="1">
      <alignment horizontal="center" vertical="center"/>
    </xf>
    <xf numFmtId="42" fontId="4" fillId="0" borderId="7" xfId="8" applyFont="1" applyFill="1" applyBorder="1" applyAlignment="1">
      <alignment horizontal="center" vertical="center"/>
    </xf>
    <xf numFmtId="42" fontId="3" fillId="0" borderId="44" xfId="8" applyFont="1" applyFill="1" applyBorder="1" applyAlignment="1">
      <alignment horizontal="center" vertical="center"/>
    </xf>
    <xf numFmtId="0" fontId="7" fillId="14" borderId="0" xfId="0" applyFont="1" applyFill="1" applyBorder="1" applyAlignment="1">
      <alignment horizontal="center" vertical="center"/>
    </xf>
    <xf numFmtId="0" fontId="0" fillId="14" borderId="0" xfId="0" applyFill="1" applyBorder="1"/>
    <xf numFmtId="0" fontId="0" fillId="14" borderId="5" xfId="0" applyFill="1" applyBorder="1"/>
    <xf numFmtId="3" fontId="4" fillId="0" borderId="25" xfId="0" applyNumberFormat="1" applyFont="1" applyFill="1" applyBorder="1" applyAlignment="1">
      <alignment horizontal="center" vertical="center"/>
    </xf>
    <xf numFmtId="0" fontId="7" fillId="14" borderId="0" xfId="0" applyFont="1" applyFill="1" applyBorder="1" applyAlignment="1">
      <alignment horizontal="center" vertical="center" wrapText="1"/>
    </xf>
    <xf numFmtId="0" fontId="4" fillId="14" borderId="0" xfId="0" applyFont="1" applyFill="1" applyBorder="1"/>
    <xf numFmtId="0" fontId="0" fillId="14" borderId="10" xfId="0" applyFill="1" applyBorder="1"/>
    <xf numFmtId="0" fontId="0" fillId="14" borderId="11" xfId="0" applyFill="1" applyBorder="1"/>
    <xf numFmtId="0" fontId="13" fillId="0" borderId="37" xfId="0" applyFont="1" applyBorder="1"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3" fillId="37" borderId="5" xfId="0" applyFont="1" applyFill="1" applyBorder="1" applyAlignment="1">
      <alignment horizontal="center" vertical="center" wrapText="1"/>
    </xf>
    <xf numFmtId="42" fontId="4" fillId="0" borderId="40" xfId="8" applyFont="1" applyFill="1" applyBorder="1" applyAlignment="1">
      <alignment horizontal="center" vertical="center"/>
    </xf>
    <xf numFmtId="0" fontId="4" fillId="0" borderId="39" xfId="0" applyFont="1" applyBorder="1" applyAlignment="1">
      <alignment horizontal="center" vertical="center"/>
    </xf>
    <xf numFmtId="0" fontId="4" fillId="14" borderId="4" xfId="0" applyFont="1" applyFill="1" applyBorder="1" applyAlignment="1">
      <alignment horizontal="center" vertical="center"/>
    </xf>
    <xf numFmtId="0" fontId="0" fillId="14" borderId="1" xfId="0" applyFill="1" applyBorder="1"/>
    <xf numFmtId="0" fontId="0" fillId="14" borderId="4" xfId="0" applyFill="1" applyBorder="1"/>
    <xf numFmtId="0" fontId="7" fillId="14" borderId="4" xfId="0" applyFont="1" applyFill="1" applyBorder="1" applyAlignment="1">
      <alignment horizontal="center" vertical="center" wrapText="1"/>
    </xf>
    <xf numFmtId="0" fontId="8" fillId="14" borderId="9" xfId="0" applyFont="1" applyFill="1" applyBorder="1"/>
    <xf numFmtId="171" fontId="0" fillId="0" borderId="0" xfId="3" applyNumberFormat="1" applyFont="1"/>
    <xf numFmtId="10" fontId="9" fillId="6" borderId="7" xfId="0" applyNumberFormat="1" applyFont="1" applyFill="1" applyBorder="1" applyAlignment="1">
      <alignment horizontal="center" vertical="center"/>
    </xf>
    <xf numFmtId="0" fontId="0" fillId="0" borderId="0" xfId="0" applyAlignment="1">
      <alignment horizontal="center" vertical="center"/>
    </xf>
    <xf numFmtId="3" fontId="0" fillId="14" borderId="0" xfId="0" applyNumberFormat="1" applyFill="1" applyBorder="1"/>
    <xf numFmtId="0" fontId="4" fillId="14" borderId="39" xfId="0" applyFont="1" applyFill="1" applyBorder="1" applyAlignment="1">
      <alignment horizontal="center" vertical="center"/>
    </xf>
    <xf numFmtId="0" fontId="4" fillId="14" borderId="41" xfId="0" applyFont="1" applyFill="1" applyBorder="1" applyAlignment="1">
      <alignment horizontal="center" vertical="center"/>
    </xf>
    <xf numFmtId="0" fontId="7" fillId="0" borderId="78" xfId="0" applyFont="1" applyBorder="1" applyAlignment="1">
      <alignment horizontal="center" vertical="center" wrapText="1"/>
    </xf>
    <xf numFmtId="0" fontId="7" fillId="0" borderId="59" xfId="0" applyFont="1" applyBorder="1" applyAlignment="1">
      <alignment horizontal="center" vertical="center" wrapText="1"/>
    </xf>
    <xf numFmtId="0" fontId="4" fillId="14" borderId="79" xfId="0" applyFont="1" applyFill="1" applyBorder="1" applyAlignment="1">
      <alignment horizontal="center" vertical="center"/>
    </xf>
    <xf numFmtId="0" fontId="13" fillId="14" borderId="0" xfId="0" applyFont="1" applyFill="1" applyBorder="1" applyAlignment="1">
      <alignment horizontal="center" wrapText="1"/>
    </xf>
    <xf numFmtId="170" fontId="13" fillId="14" borderId="0" xfId="3" applyNumberFormat="1" applyFont="1" applyFill="1" applyBorder="1" applyAlignment="1">
      <alignment horizontal="center" vertical="center"/>
    </xf>
    <xf numFmtId="14" fontId="13" fillId="0" borderId="0" xfId="0" applyNumberFormat="1" applyFont="1" applyBorder="1" applyAlignment="1">
      <alignment horizontal="center"/>
    </xf>
    <xf numFmtId="3" fontId="4" fillId="0" borderId="0" xfId="0" applyNumberFormat="1" applyFont="1" applyFill="1" applyBorder="1" applyAlignment="1">
      <alignment horizontal="center" vertical="center"/>
    </xf>
    <xf numFmtId="42" fontId="4" fillId="0" borderId="0" xfId="8" applyFont="1" applyFill="1" applyBorder="1" applyAlignment="1">
      <alignment horizontal="center" vertical="center"/>
    </xf>
    <xf numFmtId="174" fontId="4" fillId="0" borderId="43" xfId="8" applyNumberFormat="1" applyFont="1" applyFill="1" applyBorder="1" applyAlignment="1">
      <alignment horizontal="center" vertical="center"/>
    </xf>
    <xf numFmtId="6" fontId="4" fillId="0" borderId="0" xfId="0" applyNumberFormat="1" applyFont="1" applyBorder="1"/>
    <xf numFmtId="174" fontId="4" fillId="0" borderId="11" xfId="8" applyNumberFormat="1" applyFont="1" applyFill="1" applyBorder="1" applyAlignment="1">
      <alignment horizontal="center" vertical="center"/>
    </xf>
    <xf numFmtId="0" fontId="31" fillId="7" borderId="34" xfId="0" applyFont="1" applyFill="1" applyBorder="1" applyAlignment="1">
      <alignment horizontal="center" vertical="center" wrapText="1"/>
    </xf>
    <xf numFmtId="0" fontId="31" fillId="7" borderId="32" xfId="0" applyFont="1" applyFill="1" applyBorder="1" applyAlignment="1">
      <alignment horizontal="center" vertical="center" wrapText="1"/>
    </xf>
    <xf numFmtId="0" fontId="31" fillId="7" borderId="35" xfId="0" applyFont="1" applyFill="1" applyBorder="1" applyAlignment="1">
      <alignment horizontal="center" vertical="center" wrapText="1"/>
    </xf>
    <xf numFmtId="0" fontId="32" fillId="7" borderId="34" xfId="0" applyFont="1" applyFill="1" applyBorder="1" applyAlignment="1">
      <alignment horizontal="right" vertical="top" wrapText="1"/>
    </xf>
    <xf numFmtId="0" fontId="32" fillId="7" borderId="35" xfId="0" applyFont="1" applyFill="1" applyBorder="1" applyAlignment="1">
      <alignment horizontal="right" vertical="top" wrapText="1"/>
    </xf>
    <xf numFmtId="0" fontId="32" fillId="12" borderId="34" xfId="0" applyFont="1" applyFill="1" applyBorder="1" applyAlignment="1">
      <alignment horizontal="right" vertical="top" wrapText="1"/>
    </xf>
    <xf numFmtId="0" fontId="32" fillId="12" borderId="35" xfId="0" applyFont="1" applyFill="1" applyBorder="1" applyAlignment="1">
      <alignment horizontal="right" vertical="top" wrapText="1"/>
    </xf>
    <xf numFmtId="0" fontId="32" fillId="4" borderId="34" xfId="0" applyFont="1" applyFill="1" applyBorder="1" applyAlignment="1">
      <alignment horizontal="right" vertical="top" wrapText="1"/>
    </xf>
    <xf numFmtId="6" fontId="4" fillId="0" borderId="21" xfId="0" applyNumberFormat="1" applyFont="1" applyBorder="1" applyAlignment="1">
      <alignment horizontal="center" vertical="center"/>
    </xf>
    <xf numFmtId="14" fontId="13" fillId="0" borderId="39" xfId="0" applyNumberFormat="1" applyFont="1" applyBorder="1" applyAlignment="1">
      <alignment horizontal="center" vertical="center"/>
    </xf>
    <xf numFmtId="14" fontId="13" fillId="0" borderId="15" xfId="0" applyNumberFormat="1" applyFont="1" applyBorder="1" applyAlignment="1">
      <alignment horizontal="center" vertical="center"/>
    </xf>
    <xf numFmtId="6" fontId="4" fillId="0" borderId="7" xfId="0" applyNumberFormat="1" applyFont="1" applyBorder="1" applyAlignment="1">
      <alignment vertical="center"/>
    </xf>
    <xf numFmtId="0" fontId="16" fillId="33" borderId="63" xfId="0" applyFont="1" applyFill="1" applyBorder="1" applyAlignment="1">
      <alignment horizontal="center" vertical="center" wrapText="1"/>
    </xf>
    <xf numFmtId="170" fontId="13" fillId="0" borderId="61" xfId="3" applyNumberFormat="1" applyFont="1" applyBorder="1" applyAlignment="1">
      <alignment wrapText="1"/>
    </xf>
    <xf numFmtId="42" fontId="16" fillId="0" borderId="76" xfId="8" applyFont="1" applyBorder="1" applyAlignment="1">
      <alignment wrapText="1"/>
    </xf>
    <xf numFmtId="42" fontId="16" fillId="0" borderId="24" xfId="8" applyFont="1" applyBorder="1" applyAlignment="1">
      <alignment wrapText="1"/>
    </xf>
    <xf numFmtId="42" fontId="26" fillId="14" borderId="0" xfId="0" applyNumberFormat="1" applyFont="1" applyFill="1" applyAlignment="1">
      <alignment wrapText="1"/>
    </xf>
    <xf numFmtId="0" fontId="5" fillId="14" borderId="7" xfId="0" applyFont="1" applyFill="1" applyBorder="1" applyAlignment="1">
      <alignment horizontal="center" vertical="center"/>
    </xf>
    <xf numFmtId="170" fontId="13" fillId="14" borderId="71" xfId="3" applyNumberFormat="1" applyFont="1" applyFill="1" applyBorder="1" applyAlignment="1">
      <alignment horizontal="center" vertical="center"/>
    </xf>
    <xf numFmtId="170" fontId="13" fillId="14" borderId="24" xfId="3" applyNumberFormat="1" applyFont="1" applyFill="1" applyBorder="1" applyAlignment="1">
      <alignment horizontal="center" vertical="center"/>
    </xf>
    <xf numFmtId="14" fontId="13" fillId="0" borderId="21" xfId="0" applyNumberFormat="1" applyFont="1" applyBorder="1" applyAlignment="1">
      <alignment horizontal="center"/>
    </xf>
    <xf numFmtId="14" fontId="13" fillId="0" borderId="7" xfId="0" applyNumberFormat="1" applyFont="1" applyBorder="1" applyAlignment="1">
      <alignment horizontal="center"/>
    </xf>
    <xf numFmtId="6" fontId="4" fillId="0" borderId="7" xfId="0" applyNumberFormat="1" applyFont="1" applyBorder="1"/>
    <xf numFmtId="14" fontId="13" fillId="0" borderId="42" xfId="0" applyNumberFormat="1" applyFont="1" applyBorder="1" applyAlignment="1">
      <alignment horizontal="center"/>
    </xf>
    <xf numFmtId="6" fontId="4" fillId="0" borderId="42" xfId="0" applyNumberFormat="1" applyFont="1" applyBorder="1"/>
    <xf numFmtId="42" fontId="4" fillId="0" borderId="66" xfId="8" applyFont="1" applyFill="1" applyBorder="1" applyAlignment="1">
      <alignment horizontal="center" vertical="center"/>
    </xf>
    <xf numFmtId="42" fontId="4" fillId="0" borderId="17" xfId="8" applyFont="1" applyFill="1" applyBorder="1" applyAlignment="1">
      <alignment horizontal="center" vertical="center"/>
    </xf>
    <xf numFmtId="42" fontId="4" fillId="0" borderId="8" xfId="8" applyFont="1" applyFill="1" applyBorder="1" applyAlignment="1">
      <alignment horizontal="center" vertical="center"/>
    </xf>
    <xf numFmtId="10" fontId="5" fillId="38" borderId="7" xfId="0" applyNumberFormat="1" applyFont="1" applyFill="1" applyBorder="1" applyAlignment="1">
      <alignment horizontal="center" vertical="center"/>
    </xf>
    <xf numFmtId="0" fontId="0" fillId="14" borderId="39" xfId="0" applyFill="1" applyBorder="1"/>
    <xf numFmtId="14" fontId="0" fillId="14" borderId="40" xfId="0" applyNumberFormat="1" applyFill="1" applyBorder="1" applyAlignment="1">
      <alignment horizontal="center"/>
    </xf>
    <xf numFmtId="0" fontId="0" fillId="0" borderId="6" xfId="0" applyBorder="1"/>
    <xf numFmtId="10" fontId="7" fillId="14" borderId="8" xfId="0" applyNumberFormat="1" applyFont="1" applyFill="1" applyBorder="1" applyAlignment="1">
      <alignment horizontal="center" vertical="center" wrapText="1"/>
    </xf>
    <xf numFmtId="0" fontId="0" fillId="14" borderId="6" xfId="0" applyFill="1" applyBorder="1"/>
    <xf numFmtId="0" fontId="7" fillId="14" borderId="6" xfId="0" applyFont="1" applyFill="1" applyBorder="1" applyAlignment="1">
      <alignment horizontal="left" vertical="center" wrapText="1"/>
    </xf>
    <xf numFmtId="167" fontId="0" fillId="0" borderId="8" xfId="3" applyNumberFormat="1" applyFont="1" applyBorder="1" applyAlignment="1">
      <alignment horizontal="center" vertical="center"/>
    </xf>
    <xf numFmtId="0" fontId="3" fillId="36" borderId="41" xfId="0" applyFont="1" applyFill="1" applyBorder="1" applyAlignment="1">
      <alignment horizontal="center" vertical="center" wrapText="1"/>
    </xf>
    <xf numFmtId="0" fontId="4" fillId="14" borderId="43" xfId="0" applyFont="1" applyFill="1" applyBorder="1" applyAlignment="1">
      <alignment horizontal="center" vertical="center"/>
    </xf>
    <xf numFmtId="0" fontId="3" fillId="14" borderId="3" xfId="0" applyFont="1" applyFill="1" applyBorder="1" applyAlignment="1"/>
    <xf numFmtId="0" fontId="3" fillId="14" borderId="5" xfId="0" applyFont="1" applyFill="1" applyBorder="1" applyAlignment="1"/>
    <xf numFmtId="0" fontId="3" fillId="14" borderId="11" xfId="0" applyFont="1" applyFill="1" applyBorder="1" applyAlignment="1"/>
    <xf numFmtId="0" fontId="3" fillId="4" borderId="12" xfId="0" applyFont="1" applyFill="1" applyBorder="1" applyAlignment="1"/>
    <xf numFmtId="0" fontId="3" fillId="4" borderId="51" xfId="0" applyFont="1" applyFill="1" applyBorder="1" applyAlignment="1"/>
    <xf numFmtId="0" fontId="3" fillId="4" borderId="19" xfId="0" applyFont="1" applyFill="1" applyBorder="1" applyAlignment="1"/>
    <xf numFmtId="42" fontId="4" fillId="0" borderId="5" xfId="8" applyFont="1" applyFill="1" applyBorder="1" applyAlignment="1">
      <alignment horizontal="center" vertical="center"/>
    </xf>
    <xf numFmtId="3" fontId="7" fillId="0" borderId="7" xfId="0" applyNumberFormat="1" applyFont="1" applyFill="1" applyBorder="1"/>
    <xf numFmtId="0" fontId="32" fillId="28" borderId="34" xfId="0" applyFont="1" applyFill="1" applyBorder="1" applyAlignment="1">
      <alignment horizontal="right" vertical="top" wrapText="1"/>
    </xf>
    <xf numFmtId="3" fontId="5" fillId="28" borderId="7" xfId="0" applyNumberFormat="1" applyFont="1" applyFill="1" applyBorder="1" applyAlignment="1">
      <alignment horizontal="center" vertical="center"/>
    </xf>
    <xf numFmtId="0" fontId="7" fillId="0" borderId="7" xfId="0" applyFont="1" applyFill="1" applyBorder="1"/>
    <xf numFmtId="3" fontId="7" fillId="0" borderId="8" xfId="0" applyNumberFormat="1" applyFont="1" applyFill="1" applyBorder="1"/>
    <xf numFmtId="14" fontId="6" fillId="0" borderId="15" xfId="0" applyNumberFormat="1" applyFont="1" applyFill="1" applyBorder="1"/>
    <xf numFmtId="0" fontId="7" fillId="0" borderId="16" xfId="0" applyFont="1" applyFill="1" applyBorder="1" applyAlignment="1">
      <alignment horizontal="center" wrapText="1"/>
    </xf>
    <xf numFmtId="10" fontId="0" fillId="0" borderId="7" xfId="0" applyNumberFormat="1" applyFill="1" applyBorder="1" applyAlignment="1">
      <alignment horizontal="center" vertical="center"/>
    </xf>
    <xf numFmtId="170" fontId="5" fillId="0" borderId="7" xfId="0" applyNumberFormat="1" applyFont="1" applyFill="1" applyBorder="1" applyAlignment="1">
      <alignment horizontal="center" vertical="center"/>
    </xf>
    <xf numFmtId="10" fontId="5" fillId="0" borderId="7" xfId="0" applyNumberFormat="1" applyFont="1" applyFill="1" applyBorder="1" applyAlignment="1">
      <alignment horizontal="center" vertical="center"/>
    </xf>
    <xf numFmtId="167" fontId="5" fillId="0" borderId="7" xfId="0" applyNumberFormat="1" applyFont="1" applyFill="1" applyBorder="1" applyAlignment="1">
      <alignment horizontal="center" vertical="center"/>
    </xf>
    <xf numFmtId="171" fontId="5" fillId="0" borderId="7" xfId="0" applyNumberFormat="1" applyFont="1" applyFill="1" applyBorder="1" applyAlignment="1">
      <alignment horizontal="center" vertical="center"/>
    </xf>
    <xf numFmtId="170" fontId="11" fillId="0" borderId="7" xfId="3" applyNumberFormat="1" applyFont="1" applyFill="1" applyBorder="1" applyAlignment="1">
      <alignment horizontal="center"/>
    </xf>
    <xf numFmtId="171" fontId="11" fillId="0" borderId="7" xfId="3" applyNumberFormat="1" applyFont="1" applyFill="1" applyBorder="1" applyAlignment="1">
      <alignment horizontal="center"/>
    </xf>
    <xf numFmtId="167" fontId="11" fillId="0" borderId="7" xfId="3" applyNumberFormat="1" applyFont="1" applyFill="1" applyBorder="1" applyAlignment="1">
      <alignment horizontal="center"/>
    </xf>
    <xf numFmtId="14" fontId="7" fillId="27" borderId="25" xfId="0" applyNumberFormat="1" applyFont="1" applyFill="1" applyBorder="1"/>
    <xf numFmtId="14" fontId="7" fillId="14" borderId="0" xfId="0" applyNumberFormat="1" applyFont="1" applyFill="1" applyBorder="1"/>
    <xf numFmtId="0" fontId="6" fillId="14" borderId="0" xfId="0" applyFont="1" applyFill="1" applyBorder="1"/>
    <xf numFmtId="3" fontId="7" fillId="14" borderId="0" xfId="0" applyNumberFormat="1" applyFont="1" applyFill="1" applyBorder="1"/>
    <xf numFmtId="0" fontId="8" fillId="14" borderId="0" xfId="0" applyFont="1" applyFill="1"/>
    <xf numFmtId="0" fontId="7" fillId="14" borderId="0" xfId="0" applyFont="1" applyFill="1"/>
    <xf numFmtId="49" fontId="9" fillId="6" borderId="7" xfId="0" applyNumberFormat="1" applyFont="1" applyFill="1" applyBorder="1" applyAlignment="1">
      <alignment horizontal="center" vertical="center"/>
    </xf>
    <xf numFmtId="49" fontId="9" fillId="14" borderId="0" xfId="0" applyNumberFormat="1" applyFont="1" applyFill="1" applyBorder="1" applyAlignment="1">
      <alignment horizontal="center" vertical="center"/>
    </xf>
    <xf numFmtId="0" fontId="9" fillId="14" borderId="0" xfId="0" applyFont="1" applyFill="1" applyBorder="1" applyAlignment="1">
      <alignment horizontal="center" vertical="center"/>
    </xf>
    <xf numFmtId="10" fontId="5" fillId="14" borderId="0" xfId="0" applyNumberFormat="1" applyFont="1" applyFill="1" applyBorder="1" applyAlignment="1">
      <alignment horizontal="center" vertical="center"/>
    </xf>
    <xf numFmtId="170" fontId="5" fillId="14" borderId="0"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10" fontId="11" fillId="14" borderId="0" xfId="3" applyNumberFormat="1" applyFont="1" applyFill="1" applyBorder="1" applyAlignment="1">
      <alignment horizontal="center"/>
    </xf>
    <xf numFmtId="167" fontId="11" fillId="14" borderId="0" xfId="3" applyNumberFormat="1" applyFont="1" applyFill="1" applyBorder="1" applyAlignment="1">
      <alignment horizontal="center"/>
    </xf>
    <xf numFmtId="3" fontId="9" fillId="14" borderId="0" xfId="0" applyNumberFormat="1" applyFont="1" applyFill="1" applyBorder="1" applyAlignment="1">
      <alignment horizontal="center"/>
    </xf>
    <xf numFmtId="3" fontId="10" fillId="14" borderId="0" xfId="0" applyNumberFormat="1" applyFont="1" applyFill="1" applyBorder="1" applyAlignment="1">
      <alignment horizontal="center"/>
    </xf>
    <xf numFmtId="3" fontId="10" fillId="14" borderId="0" xfId="0" applyNumberFormat="1" applyFont="1" applyFill="1" applyBorder="1"/>
    <xf numFmtId="14" fontId="7" fillId="0" borderId="15" xfId="0" applyNumberFormat="1" applyFont="1" applyFill="1" applyBorder="1"/>
    <xf numFmtId="3" fontId="7" fillId="0" borderId="16" xfId="0" applyNumberFormat="1" applyFont="1" applyFill="1" applyBorder="1"/>
    <xf numFmtId="3" fontId="7" fillId="0" borderId="17" xfId="0" applyNumberFormat="1" applyFont="1" applyFill="1" applyBorder="1"/>
    <xf numFmtId="14" fontId="7" fillId="0" borderId="6" xfId="0" applyNumberFormat="1" applyFont="1" applyFill="1" applyBorder="1"/>
    <xf numFmtId="14" fontId="7" fillId="0" borderId="18" xfId="0" applyNumberFormat="1" applyFont="1" applyFill="1" applyBorder="1"/>
    <xf numFmtId="49" fontId="9" fillId="6" borderId="24" xfId="0" applyNumberFormat="1" applyFont="1" applyFill="1" applyBorder="1" applyAlignment="1">
      <alignment horizontal="center" vertical="center"/>
    </xf>
    <xf numFmtId="10" fontId="0" fillId="0" borderId="24" xfId="3" applyNumberFormat="1" applyFont="1" applyBorder="1" applyAlignment="1">
      <alignment horizontal="center" vertical="center"/>
    </xf>
    <xf numFmtId="3" fontId="9" fillId="4" borderId="24" xfId="0" applyNumberFormat="1" applyFont="1" applyFill="1" applyBorder="1" applyAlignment="1">
      <alignment horizontal="center"/>
    </xf>
    <xf numFmtId="10" fontId="5" fillId="0" borderId="0" xfId="0" applyNumberFormat="1" applyFont="1" applyFill="1" applyBorder="1" applyAlignment="1">
      <alignment horizontal="center" vertical="center"/>
    </xf>
    <xf numFmtId="10" fontId="0" fillId="0" borderId="0" xfId="3" applyNumberFormat="1" applyFont="1" applyFill="1" applyBorder="1" applyAlignment="1">
      <alignment horizontal="center" vertical="center"/>
    </xf>
    <xf numFmtId="170" fontId="5" fillId="0" borderId="0" xfId="0" applyNumberFormat="1" applyFont="1" applyFill="1" applyBorder="1" applyAlignment="1">
      <alignment horizontal="center" vertical="center"/>
    </xf>
    <xf numFmtId="10" fontId="11" fillId="0" borderId="0" xfId="3" applyNumberFormat="1" applyFont="1" applyFill="1" applyBorder="1" applyAlignment="1">
      <alignment horizontal="center"/>
    </xf>
    <xf numFmtId="171" fontId="5" fillId="0" borderId="24" xfId="0" applyNumberFormat="1" applyFont="1" applyFill="1" applyBorder="1" applyAlignment="1">
      <alignment horizontal="center" vertical="center"/>
    </xf>
    <xf numFmtId="171" fontId="11" fillId="0" borderId="24" xfId="3" applyNumberFormat="1" applyFont="1" applyFill="1" applyBorder="1" applyAlignment="1">
      <alignment horizontal="center"/>
    </xf>
    <xf numFmtId="175" fontId="0" fillId="0" borderId="0" xfId="2" applyNumberFormat="1" applyFont="1"/>
    <xf numFmtId="14" fontId="7" fillId="0" borderId="0" xfId="0" applyNumberFormat="1" applyFont="1" applyFill="1" applyBorder="1"/>
    <xf numFmtId="0" fontId="6" fillId="0" borderId="0" xfId="0" applyFont="1" applyFill="1" applyBorder="1"/>
    <xf numFmtId="3" fontId="6" fillId="0" borderId="0" xfId="0" applyNumberFormat="1" applyFont="1" applyFill="1" applyBorder="1"/>
    <xf numFmtId="3" fontId="7" fillId="0" borderId="0" xfId="0" applyNumberFormat="1" applyFont="1" applyFill="1" applyBorder="1"/>
    <xf numFmtId="168" fontId="0" fillId="0" borderId="0" xfId="3" applyNumberFormat="1" applyFont="1"/>
    <xf numFmtId="3" fontId="5" fillId="0" borderId="0" xfId="0" applyNumberFormat="1" applyFont="1" applyFill="1" applyBorder="1" applyAlignment="1">
      <alignment horizontal="center" vertical="center"/>
    </xf>
    <xf numFmtId="167" fontId="11" fillId="0" borderId="7" xfId="3" applyNumberFormat="1" applyFont="1" applyBorder="1" applyAlignment="1">
      <alignment horizontal="center" vertical="center"/>
    </xf>
    <xf numFmtId="0" fontId="0" fillId="0" borderId="0" xfId="0" applyAlignment="1">
      <alignment vertical="center"/>
    </xf>
    <xf numFmtId="10" fontId="11" fillId="0" borderId="0" xfId="3" applyNumberFormat="1" applyFont="1" applyFill="1" applyBorder="1" applyAlignment="1">
      <alignment horizontal="center" vertical="center"/>
    </xf>
    <xf numFmtId="0" fontId="0" fillId="0" borderId="0" xfId="0" applyFill="1" applyBorder="1" applyAlignment="1">
      <alignment vertical="center"/>
    </xf>
    <xf numFmtId="49" fontId="9" fillId="6" borderId="7" xfId="0" applyNumberFormat="1" applyFont="1" applyFill="1" applyBorder="1" applyAlignment="1">
      <alignment horizontal="center" vertical="center" wrapText="1"/>
    </xf>
    <xf numFmtId="10" fontId="11" fillId="0" borderId="7" xfId="3" applyNumberFormat="1" applyFont="1" applyFill="1" applyBorder="1" applyAlignment="1">
      <alignment horizontal="center" vertical="center"/>
    </xf>
    <xf numFmtId="170" fontId="11" fillId="0" borderId="7" xfId="3" applyNumberFormat="1" applyFont="1" applyFill="1" applyBorder="1" applyAlignment="1">
      <alignment horizontal="center" vertical="center"/>
    </xf>
    <xf numFmtId="0" fontId="9" fillId="0" borderId="0" xfId="0" applyFont="1" applyFill="1" applyBorder="1"/>
    <xf numFmtId="0" fontId="33" fillId="0" borderId="0" xfId="0" applyFont="1"/>
    <xf numFmtId="14" fontId="9" fillId="0" borderId="15" xfId="0" applyNumberFormat="1" applyFont="1" applyBorder="1"/>
    <xf numFmtId="0" fontId="5" fillId="0" borderId="16" xfId="0" applyFont="1" applyBorder="1" applyAlignment="1">
      <alignment horizontal="center" wrapText="1"/>
    </xf>
    <xf numFmtId="3" fontId="5" fillId="0" borderId="16" xfId="0" applyNumberFormat="1" applyFont="1" applyBorder="1"/>
    <xf numFmtId="3" fontId="5" fillId="0" borderId="17" xfId="0" applyNumberFormat="1" applyFont="1" applyBorder="1"/>
    <xf numFmtId="3" fontId="33" fillId="0" borderId="0" xfId="0" applyNumberFormat="1" applyFont="1"/>
    <xf numFmtId="0" fontId="5" fillId="0" borderId="7" xfId="0" applyFont="1" applyBorder="1"/>
    <xf numFmtId="3" fontId="5" fillId="0" borderId="7" xfId="0" applyNumberFormat="1" applyFont="1" applyBorder="1"/>
    <xf numFmtId="3" fontId="5" fillId="0" borderId="8" xfId="0" applyNumberFormat="1" applyFont="1" applyBorder="1"/>
    <xf numFmtId="10" fontId="33" fillId="0" borderId="0" xfId="0" applyNumberFormat="1" applyFont="1"/>
    <xf numFmtId="14" fontId="9" fillId="0" borderId="15" xfId="0" applyNumberFormat="1" applyFont="1" applyFill="1" applyBorder="1"/>
    <xf numFmtId="3" fontId="5" fillId="0" borderId="7" xfId="0" applyNumberFormat="1" applyFont="1" applyFill="1" applyBorder="1"/>
    <xf numFmtId="3" fontId="9" fillId="0" borderId="8" xfId="0" applyNumberFormat="1" applyFont="1" applyBorder="1"/>
    <xf numFmtId="14" fontId="5" fillId="4" borderId="7" xfId="0" applyNumberFormat="1" applyFont="1" applyFill="1" applyBorder="1"/>
    <xf numFmtId="0" fontId="9" fillId="4" borderId="7" xfId="0" applyFont="1" applyFill="1" applyBorder="1"/>
    <xf numFmtId="3" fontId="9" fillId="4" borderId="7" xfId="0" applyNumberFormat="1" applyFont="1" applyFill="1" applyBorder="1"/>
    <xf numFmtId="3" fontId="5" fillId="4" borderId="7" xfId="0" applyNumberFormat="1" applyFont="1" applyFill="1" applyBorder="1"/>
    <xf numFmtId="0" fontId="5" fillId="0" borderId="0" xfId="0" applyFont="1"/>
    <xf numFmtId="166" fontId="33" fillId="0" borderId="0" xfId="1" applyNumberFormat="1" applyFont="1"/>
    <xf numFmtId="167" fontId="33" fillId="0" borderId="7" xfId="3" applyNumberFormat="1" applyFont="1" applyBorder="1" applyAlignment="1">
      <alignment horizontal="center" vertical="center"/>
    </xf>
    <xf numFmtId="167" fontId="33" fillId="0" borderId="7" xfId="3" applyNumberFormat="1" applyFont="1" applyFill="1" applyBorder="1" applyAlignment="1">
      <alignment horizontal="center" vertical="center"/>
    </xf>
    <xf numFmtId="10" fontId="33" fillId="0" borderId="7" xfId="3" applyNumberFormat="1" applyFont="1" applyFill="1" applyBorder="1" applyAlignment="1">
      <alignment horizontal="center" vertical="center"/>
    </xf>
    <xf numFmtId="0" fontId="33" fillId="0" borderId="0" xfId="0" applyFont="1" applyAlignment="1">
      <alignment horizontal="center" vertical="center"/>
    </xf>
    <xf numFmtId="0" fontId="33" fillId="0" borderId="0" xfId="0" applyFont="1" applyFill="1" applyBorder="1"/>
    <xf numFmtId="0" fontId="33" fillId="0" borderId="0" xfId="0" applyFont="1" applyFill="1" applyBorder="1" applyAlignment="1">
      <alignment horizontal="center" vertical="center"/>
    </xf>
    <xf numFmtId="14" fontId="5" fillId="0" borderId="0" xfId="0" applyNumberFormat="1" applyFont="1" applyFill="1" applyBorder="1"/>
    <xf numFmtId="3" fontId="9" fillId="0" borderId="0" xfId="0" applyNumberFormat="1" applyFont="1" applyFill="1" applyBorder="1"/>
    <xf numFmtId="3" fontId="5" fillId="0" borderId="0" xfId="0" applyNumberFormat="1" applyFont="1" applyFill="1" applyBorder="1"/>
    <xf numFmtId="0" fontId="33" fillId="0" borderId="0" xfId="0" applyFont="1" applyFill="1"/>
    <xf numFmtId="164" fontId="33" fillId="0" borderId="0" xfId="2" applyFont="1"/>
    <xf numFmtId="170" fontId="33" fillId="0" borderId="0" xfId="3" applyNumberFormat="1" applyFont="1"/>
    <xf numFmtId="167" fontId="11" fillId="0" borderId="7" xfId="3" applyNumberFormat="1" applyFont="1" applyFill="1" applyBorder="1" applyAlignment="1">
      <alignment horizontal="center" vertical="center"/>
    </xf>
    <xf numFmtId="0" fontId="0" fillId="0" borderId="0" xfId="0" applyFill="1" applyBorder="1" applyAlignment="1">
      <alignment horizontal="center" vertical="center"/>
    </xf>
    <xf numFmtId="170" fontId="11" fillId="0" borderId="7" xfId="3" applyNumberFormat="1" applyFont="1" applyBorder="1" applyAlignment="1">
      <alignment horizontal="center" vertical="center"/>
    </xf>
    <xf numFmtId="14" fontId="7" fillId="14" borderId="0" xfId="0" applyNumberFormat="1" applyFont="1" applyFill="1"/>
    <xf numFmtId="0" fontId="6" fillId="14" borderId="0" xfId="0" applyFont="1" applyFill="1"/>
    <xf numFmtId="3" fontId="6" fillId="14" borderId="0" xfId="0" applyNumberFormat="1" applyFont="1" applyFill="1"/>
    <xf numFmtId="3" fontId="7" fillId="14" borderId="0" xfId="0" applyNumberFormat="1" applyFont="1" applyFill="1"/>
    <xf numFmtId="49" fontId="9" fillId="14" borderId="0" xfId="0" applyNumberFormat="1" applyFont="1" applyFill="1" applyAlignment="1">
      <alignment horizontal="center" vertical="center"/>
    </xf>
    <xf numFmtId="0" fontId="9" fillId="14" borderId="0" xfId="0" applyFont="1" applyFill="1" applyAlignment="1">
      <alignment horizontal="center" vertical="center"/>
    </xf>
    <xf numFmtId="10" fontId="5" fillId="14" borderId="0" xfId="0" applyNumberFormat="1" applyFont="1" applyFill="1" applyAlignment="1">
      <alignment horizontal="center" vertical="center"/>
    </xf>
    <xf numFmtId="170" fontId="5" fillId="14" borderId="0" xfId="0" applyNumberFormat="1" applyFont="1" applyFill="1" applyAlignment="1">
      <alignment horizontal="center" vertical="center"/>
    </xf>
    <xf numFmtId="3" fontId="5" fillId="14" borderId="0" xfId="0" applyNumberFormat="1" applyFont="1" applyFill="1" applyAlignment="1">
      <alignment horizontal="center" vertical="center"/>
    </xf>
    <xf numFmtId="167" fontId="11" fillId="0" borderId="7" xfId="3" applyNumberFormat="1" applyBorder="1" applyAlignment="1">
      <alignment horizontal="center"/>
    </xf>
    <xf numFmtId="171" fontId="11" fillId="0" borderId="7" xfId="3" applyNumberFormat="1" applyBorder="1" applyAlignment="1">
      <alignment horizontal="center"/>
    </xf>
    <xf numFmtId="10" fontId="11" fillId="0" borderId="7" xfId="3" applyNumberFormat="1" applyBorder="1" applyAlignment="1">
      <alignment horizontal="center"/>
    </xf>
    <xf numFmtId="10" fontId="11" fillId="14" borderId="0" xfId="3" applyNumberFormat="1" applyFill="1" applyAlignment="1">
      <alignment horizontal="center"/>
    </xf>
    <xf numFmtId="167" fontId="11" fillId="14" borderId="0" xfId="3" applyNumberFormat="1" applyFill="1" applyAlignment="1">
      <alignment horizontal="center"/>
    </xf>
    <xf numFmtId="3" fontId="9" fillId="14" borderId="0" xfId="0" applyNumberFormat="1" applyFont="1" applyFill="1" applyAlignment="1">
      <alignment horizontal="center"/>
    </xf>
    <xf numFmtId="3" fontId="10" fillId="14" borderId="0" xfId="0" applyNumberFormat="1" applyFont="1" applyFill="1" applyAlignment="1">
      <alignment horizontal="center"/>
    </xf>
    <xf numFmtId="3" fontId="10" fillId="14" borderId="0" xfId="0" applyNumberFormat="1" applyFont="1" applyFill="1"/>
    <xf numFmtId="10" fontId="11" fillId="0" borderId="7" xfId="3" applyNumberFormat="1" applyFont="1" applyFill="1" applyBorder="1" applyAlignment="1">
      <alignment horizontal="center"/>
    </xf>
    <xf numFmtId="170" fontId="5" fillId="0" borderId="7" xfId="3" applyNumberFormat="1" applyFont="1" applyFill="1" applyBorder="1" applyAlignment="1">
      <alignment horizontal="center" vertical="center"/>
    </xf>
    <xf numFmtId="3" fontId="0" fillId="0" borderId="0" xfId="0" applyNumberFormat="1" applyFill="1"/>
    <xf numFmtId="164" fontId="11" fillId="0" borderId="7" xfId="2" applyFont="1" applyBorder="1" applyAlignment="1">
      <alignment vertical="center"/>
    </xf>
    <xf numFmtId="164" fontId="11" fillId="0" borderId="7" xfId="2" applyFont="1" applyBorder="1" applyAlignment="1"/>
    <xf numFmtId="16" fontId="0" fillId="0" borderId="0" xfId="0" applyNumberFormat="1"/>
    <xf numFmtId="171" fontId="11" fillId="0" borderId="0" xfId="3" applyNumberFormat="1" applyFont="1" applyFill="1" applyBorder="1" applyAlignment="1">
      <alignment horizontal="center"/>
    </xf>
    <xf numFmtId="0" fontId="6" fillId="0" borderId="16" xfId="0" applyFont="1" applyFill="1" applyBorder="1" applyAlignment="1">
      <alignment horizontal="center" wrapText="1"/>
    </xf>
    <xf numFmtId="164" fontId="0" fillId="0" borderId="0" xfId="2" applyFont="1" applyFill="1" applyBorder="1"/>
    <xf numFmtId="10" fontId="0" fillId="0" borderId="0" xfId="3" applyNumberFormat="1" applyFont="1" applyFill="1" applyBorder="1" applyAlignment="1">
      <alignment horizontal="center"/>
    </xf>
    <xf numFmtId="170" fontId="0" fillId="0" borderId="7" xfId="0" applyNumberFormat="1" applyFill="1" applyBorder="1" applyAlignment="1">
      <alignment horizontal="center" vertical="center"/>
    </xf>
    <xf numFmtId="165" fontId="5" fillId="0" borderId="0" xfId="1" applyFont="1" applyFill="1" applyBorder="1" applyAlignment="1">
      <alignment horizontal="center" vertical="center"/>
    </xf>
    <xf numFmtId="165" fontId="11" fillId="0" borderId="0" xfId="1" applyFont="1" applyFill="1" applyBorder="1" applyAlignment="1">
      <alignment horizontal="center"/>
    </xf>
    <xf numFmtId="169" fontId="5" fillId="0" borderId="0" xfId="1" applyNumberFormat="1" applyFont="1" applyFill="1" applyBorder="1" applyAlignment="1">
      <alignment horizontal="center" vertical="center"/>
    </xf>
    <xf numFmtId="169" fontId="11" fillId="0" borderId="0" xfId="1" applyNumberFormat="1" applyFont="1" applyFill="1" applyBorder="1" applyAlignment="1">
      <alignment horizontal="center"/>
    </xf>
    <xf numFmtId="172" fontId="0" fillId="0" borderId="0" xfId="3" applyNumberFormat="1" applyFont="1" applyFill="1" applyBorder="1" applyAlignment="1">
      <alignment horizontal="center" vertical="center"/>
    </xf>
    <xf numFmtId="173" fontId="0" fillId="0" borderId="0" xfId="3" applyNumberFormat="1" applyFont="1" applyFill="1" applyBorder="1" applyAlignment="1">
      <alignment horizontal="center" vertical="center"/>
    </xf>
    <xf numFmtId="170" fontId="0" fillId="0" borderId="7" xfId="3" applyNumberFormat="1" applyFont="1" applyBorder="1" applyAlignment="1">
      <alignment horizontal="center" vertical="center"/>
    </xf>
    <xf numFmtId="164" fontId="11" fillId="0" borderId="7" xfId="2" applyFont="1" applyBorder="1" applyAlignment="1">
      <alignment horizontal="center" vertical="center"/>
    </xf>
    <xf numFmtId="171" fontId="0" fillId="0" borderId="0" xfId="3" applyNumberFormat="1" applyFont="1" applyFill="1" applyBorder="1" applyAlignment="1">
      <alignment horizontal="center"/>
    </xf>
    <xf numFmtId="170" fontId="9" fillId="0" borderId="0" xfId="3" applyNumberFormat="1" applyFont="1" applyFill="1" applyBorder="1" applyAlignment="1">
      <alignment horizontal="center"/>
    </xf>
    <xf numFmtId="171" fontId="5" fillId="0" borderId="0" xfId="0" applyNumberFormat="1" applyFont="1" applyFill="1" applyBorder="1" applyAlignment="1">
      <alignment horizontal="center" vertical="center"/>
    </xf>
    <xf numFmtId="0" fontId="6" fillId="3" borderId="9"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9" xfId="0" applyFont="1" applyFill="1" applyBorder="1" applyAlignment="1">
      <alignment horizontal="center" vertical="center" wrapText="1"/>
    </xf>
    <xf numFmtId="0" fontId="6" fillId="3" borderId="80" xfId="0" applyFont="1" applyFill="1" applyBorder="1" applyAlignment="1">
      <alignment horizontal="center" vertical="center" wrapText="1"/>
    </xf>
    <xf numFmtId="0" fontId="9" fillId="3" borderId="9" xfId="0" applyFont="1" applyFill="1" applyBorder="1" applyAlignment="1">
      <alignment horizontal="center" vertical="center"/>
    </xf>
    <xf numFmtId="0" fontId="9" fillId="3" borderId="59" xfId="0" applyFont="1" applyFill="1" applyBorder="1" applyAlignment="1">
      <alignment horizontal="center" vertical="center"/>
    </xf>
    <xf numFmtId="0" fontId="9" fillId="3" borderId="59" xfId="0" applyFont="1" applyFill="1" applyBorder="1" applyAlignment="1">
      <alignment horizontal="center" vertical="center" wrapText="1"/>
    </xf>
    <xf numFmtId="0" fontId="9" fillId="3" borderId="59" xfId="0" applyFont="1" applyFill="1" applyBorder="1" applyAlignment="1">
      <alignment horizontal="center" wrapText="1"/>
    </xf>
    <xf numFmtId="0" fontId="9" fillId="3" borderId="80" xfId="0" applyFont="1" applyFill="1" applyBorder="1" applyAlignment="1">
      <alignment horizontal="center" vertical="center" wrapText="1"/>
    </xf>
    <xf numFmtId="0" fontId="5" fillId="0" borderId="7" xfId="0" applyFont="1" applyFill="1" applyBorder="1"/>
    <xf numFmtId="3" fontId="5" fillId="0" borderId="8" xfId="0" applyNumberFormat="1" applyFont="1" applyFill="1" applyBorder="1"/>
    <xf numFmtId="165" fontId="0" fillId="0" borderId="0" xfId="1" applyNumberFormat="1" applyFont="1"/>
    <xf numFmtId="3" fontId="7" fillId="39" borderId="17" xfId="0" applyNumberFormat="1" applyFont="1" applyFill="1" applyBorder="1"/>
    <xf numFmtId="3" fontId="7" fillId="39" borderId="7" xfId="0" applyNumberFormat="1" applyFont="1" applyFill="1" applyBorder="1"/>
    <xf numFmtId="168" fontId="5" fillId="0" borderId="7" xfId="0" applyNumberFormat="1" applyFont="1" applyBorder="1" applyAlignment="1">
      <alignment horizontal="center" vertical="center"/>
    </xf>
    <xf numFmtId="172" fontId="11" fillId="0" borderId="7" xfId="3" applyNumberFormat="1" applyFont="1" applyFill="1" applyBorder="1" applyAlignment="1">
      <alignment horizontal="center"/>
    </xf>
    <xf numFmtId="176" fontId="0" fillId="0" borderId="0" xfId="0" applyNumberFormat="1"/>
    <xf numFmtId="177" fontId="0" fillId="0" borderId="0" xfId="0" applyNumberFormat="1"/>
    <xf numFmtId="169" fontId="33" fillId="0" borderId="0" xfId="1" applyNumberFormat="1" applyFont="1"/>
    <xf numFmtId="3" fontId="7" fillId="6" borderId="7" xfId="0" applyNumberFormat="1" applyFont="1" applyFill="1" applyBorder="1"/>
    <xf numFmtId="165" fontId="12" fillId="0" borderId="0" xfId="4" applyNumberFormat="1"/>
    <xf numFmtId="3" fontId="5" fillId="13" borderId="7" xfId="0" applyNumberFormat="1" applyFont="1" applyFill="1" applyBorder="1"/>
    <xf numFmtId="3" fontId="33" fillId="0" borderId="0" xfId="0" applyNumberFormat="1" applyFont="1" applyFill="1" applyBorder="1"/>
    <xf numFmtId="170" fontId="33" fillId="0" borderId="0" xfId="0" applyNumberFormat="1" applyFont="1" applyFill="1" applyBorder="1"/>
    <xf numFmtId="167" fontId="33" fillId="0" borderId="0" xfId="0" applyNumberFormat="1" applyFont="1" applyFill="1" applyBorder="1"/>
    <xf numFmtId="3" fontId="7" fillId="31" borderId="7" xfId="0" applyNumberFormat="1" applyFont="1" applyFill="1" applyBorder="1"/>
    <xf numFmtId="49" fontId="10" fillId="6" borderId="7" xfId="0" applyNumberFormat="1" applyFont="1" applyFill="1" applyBorder="1" applyAlignment="1">
      <alignment horizontal="center" vertical="center"/>
    </xf>
    <xf numFmtId="170" fontId="36" fillId="0" borderId="7" xfId="0" applyNumberFormat="1" applyFont="1" applyBorder="1" applyAlignment="1">
      <alignment horizontal="center" vertical="center"/>
    </xf>
    <xf numFmtId="3" fontId="36" fillId="0" borderId="7" xfId="0" applyNumberFormat="1" applyFont="1" applyBorder="1" applyAlignment="1">
      <alignment horizontal="center" vertical="center"/>
    </xf>
    <xf numFmtId="10" fontId="35" fillId="0" borderId="7" xfId="3" applyNumberFormat="1" applyFont="1" applyBorder="1" applyAlignment="1">
      <alignment horizontal="center"/>
    </xf>
    <xf numFmtId="3" fontId="10" fillId="4" borderId="7" xfId="0" applyNumberFormat="1" applyFont="1" applyFill="1" applyBorder="1" applyAlignment="1">
      <alignment horizontal="center"/>
    </xf>
    <xf numFmtId="170" fontId="35" fillId="0" borderId="7" xfId="3" applyNumberFormat="1" applyFont="1" applyBorder="1" applyAlignment="1">
      <alignment horizontal="center"/>
    </xf>
    <xf numFmtId="178" fontId="0" fillId="0" borderId="0" xfId="1" applyNumberFormat="1" applyFont="1"/>
    <xf numFmtId="167" fontId="35" fillId="0" borderId="7" xfId="3" applyNumberFormat="1" applyFont="1" applyBorder="1" applyAlignment="1">
      <alignment horizontal="center"/>
    </xf>
    <xf numFmtId="3" fontId="21" fillId="0" borderId="7" xfId="0" applyNumberFormat="1" applyFont="1" applyFill="1" applyBorder="1"/>
    <xf numFmtId="0" fontId="35" fillId="0" borderId="0" xfId="0" applyFont="1"/>
    <xf numFmtId="170" fontId="11" fillId="0" borderId="7" xfId="3" applyNumberFormat="1" applyBorder="1" applyAlignment="1">
      <alignment horizontal="center"/>
    </xf>
    <xf numFmtId="3" fontId="36" fillId="0" borderId="7" xfId="0" applyNumberFormat="1" applyFont="1" applyFill="1" applyBorder="1"/>
    <xf numFmtId="3" fontId="7" fillId="40" borderId="7" xfId="0" applyNumberFormat="1" applyFont="1" applyFill="1" applyBorder="1"/>
    <xf numFmtId="10" fontId="37" fillId="0" borderId="7" xfId="3" applyNumberFormat="1" applyFont="1" applyBorder="1" applyAlignment="1">
      <alignment horizontal="center"/>
    </xf>
    <xf numFmtId="167" fontId="37" fillId="0" borderId="7" xfId="3" applyNumberFormat="1" applyFont="1" applyBorder="1" applyAlignment="1">
      <alignment horizontal="center"/>
    </xf>
    <xf numFmtId="10" fontId="36" fillId="38" borderId="7" xfId="0" applyNumberFormat="1" applyFont="1" applyFill="1" applyBorder="1" applyAlignment="1">
      <alignment horizontal="center" vertical="center"/>
    </xf>
    <xf numFmtId="10" fontId="35" fillId="0" borderId="7" xfId="0" applyNumberFormat="1" applyFont="1" applyFill="1" applyBorder="1" applyAlignment="1">
      <alignment horizontal="center" vertical="center"/>
    </xf>
    <xf numFmtId="10" fontId="35" fillId="0" borderId="7" xfId="3" applyNumberFormat="1" applyFont="1" applyFill="1" applyBorder="1" applyAlignment="1">
      <alignment horizontal="center"/>
    </xf>
    <xf numFmtId="164" fontId="35" fillId="0" borderId="7" xfId="2" applyFont="1" applyBorder="1" applyAlignment="1">
      <alignment horizontal="center" vertical="center"/>
    </xf>
    <xf numFmtId="10" fontId="10" fillId="6" borderId="7" xfId="3" applyNumberFormat="1" applyFont="1" applyFill="1" applyBorder="1" applyAlignment="1">
      <alignment horizontal="center" vertical="center"/>
    </xf>
    <xf numFmtId="171" fontId="35" fillId="0" borderId="7" xfId="3" applyNumberFormat="1" applyFont="1" applyFill="1" applyBorder="1" applyAlignment="1">
      <alignment horizontal="center"/>
    </xf>
    <xf numFmtId="0" fontId="0" fillId="0" borderId="7" xfId="0" applyBorder="1"/>
    <xf numFmtId="0" fontId="38" fillId="0" borderId="7" xfId="0" applyFont="1" applyBorder="1" applyAlignment="1">
      <alignment horizontal="center" vertical="center"/>
    </xf>
    <xf numFmtId="0" fontId="38" fillId="0" borderId="7" xfId="0" applyFont="1" applyBorder="1"/>
    <xf numFmtId="3" fontId="0" fillId="0" borderId="7" xfId="0" applyNumberFormat="1" applyBorder="1"/>
    <xf numFmtId="0" fontId="38" fillId="0" borderId="7" xfId="0" applyFont="1" applyBorder="1" applyAlignment="1">
      <alignment horizontal="center" vertical="center" wrapText="1"/>
    </xf>
    <xf numFmtId="0" fontId="0" fillId="4" borderId="7" xfId="0" applyFont="1" applyFill="1" applyBorder="1" applyAlignment="1">
      <alignment horizontal="right"/>
    </xf>
    <xf numFmtId="3" fontId="0" fillId="4" borderId="7" xfId="0" applyNumberFormat="1" applyFont="1" applyFill="1" applyBorder="1"/>
    <xf numFmtId="0" fontId="38" fillId="0" borderId="16" xfId="0" applyFont="1" applyBorder="1" applyAlignment="1">
      <alignment horizontal="center" vertical="center" wrapText="1"/>
    </xf>
    <xf numFmtId="0" fontId="38" fillId="41" borderId="7" xfId="0" applyFont="1" applyFill="1" applyBorder="1" applyAlignment="1">
      <alignment horizontal="center" vertical="center" wrapText="1"/>
    </xf>
    <xf numFmtId="3" fontId="0" fillId="41" borderId="7" xfId="0" applyNumberFormat="1" applyFill="1" applyBorder="1"/>
    <xf numFmtId="0" fontId="0" fillId="41" borderId="7" xfId="0" applyFill="1" applyBorder="1"/>
    <xf numFmtId="0" fontId="38" fillId="0" borderId="25" xfId="0" applyFont="1" applyBorder="1" applyAlignment="1">
      <alignment horizontal="center" vertical="center"/>
    </xf>
    <xf numFmtId="0" fontId="0" fillId="0" borderId="25" xfId="0" applyBorder="1"/>
    <xf numFmtId="3" fontId="0" fillId="0" borderId="25" xfId="0" applyNumberFormat="1" applyBorder="1"/>
    <xf numFmtId="3" fontId="0" fillId="4" borderId="25" xfId="0" applyNumberFormat="1" applyFont="1" applyFill="1" applyBorder="1"/>
    <xf numFmtId="0" fontId="38" fillId="0" borderId="82" xfId="0" applyFont="1" applyBorder="1" applyAlignment="1">
      <alignment horizontal="center" vertical="center"/>
    </xf>
    <xf numFmtId="3" fontId="0" fillId="0" borderId="82" xfId="0" applyNumberFormat="1" applyBorder="1"/>
    <xf numFmtId="0" fontId="0" fillId="0" borderId="82" xfId="0" applyBorder="1"/>
    <xf numFmtId="3" fontId="0" fillId="4" borderId="82" xfId="0" applyNumberFormat="1" applyFont="1" applyFill="1" applyBorder="1"/>
    <xf numFmtId="0" fontId="38" fillId="0" borderId="31" xfId="0" applyFont="1" applyBorder="1" applyAlignment="1">
      <alignment horizontal="center" vertical="center"/>
    </xf>
    <xf numFmtId="0" fontId="38" fillId="0" borderId="84" xfId="0" applyFont="1" applyFill="1" applyBorder="1" applyAlignment="1">
      <alignment horizontal="center" vertical="center" wrapText="1"/>
    </xf>
    <xf numFmtId="3" fontId="0" fillId="4" borderId="81" xfId="0" applyNumberFormat="1" applyFont="1" applyFill="1" applyBorder="1"/>
    <xf numFmtId="0" fontId="0" fillId="0" borderId="85" xfId="0" applyBorder="1"/>
    <xf numFmtId="3" fontId="0" fillId="4" borderId="86" xfId="0" applyNumberFormat="1" applyFont="1" applyFill="1" applyBorder="1"/>
    <xf numFmtId="0" fontId="38" fillId="0" borderId="0" xfId="0" applyFont="1"/>
    <xf numFmtId="0" fontId="3" fillId="2" borderId="4" xfId="0" applyFont="1" applyFill="1" applyBorder="1" applyAlignment="1">
      <alignment horizontal="center"/>
    </xf>
    <xf numFmtId="0" fontId="3" fillId="2" borderId="0"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5" xfId="0" applyFont="1" applyFill="1" applyBorder="1" applyAlignment="1">
      <alignment horizontal="center"/>
    </xf>
    <xf numFmtId="0" fontId="3" fillId="2" borderId="11" xfId="0" applyFont="1" applyFill="1" applyBorder="1" applyAlignment="1">
      <alignment horizontal="center"/>
    </xf>
    <xf numFmtId="0" fontId="12" fillId="10" borderId="28" xfId="4" applyFill="1" applyBorder="1" applyAlignment="1">
      <alignment horizontal="center" wrapText="1"/>
    </xf>
    <xf numFmtId="0" fontId="12" fillId="10" borderId="0" xfId="4" applyFill="1" applyBorder="1" applyAlignment="1">
      <alignment horizontal="center" wrapText="1"/>
    </xf>
    <xf numFmtId="0" fontId="9" fillId="2" borderId="4" xfId="0" applyFont="1" applyFill="1" applyBorder="1" applyAlignment="1">
      <alignment horizontal="center"/>
    </xf>
    <xf numFmtId="0" fontId="9" fillId="2" borderId="0" xfId="0" applyFont="1" applyFill="1" applyBorder="1" applyAlignment="1">
      <alignment horizont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9" xfId="0" applyFont="1" applyFill="1" applyBorder="1" applyAlignment="1">
      <alignment horizontal="center"/>
    </xf>
    <xf numFmtId="0" fontId="9" fillId="2" borderId="10" xfId="0" applyFont="1" applyFill="1" applyBorder="1" applyAlignment="1">
      <alignment horizontal="center"/>
    </xf>
    <xf numFmtId="0" fontId="3" fillId="15" borderId="1" xfId="0" applyFont="1" applyFill="1" applyBorder="1" applyAlignment="1">
      <alignment horizontal="center"/>
    </xf>
    <xf numFmtId="0" fontId="3" fillId="15" borderId="2" xfId="0" applyFont="1" applyFill="1" applyBorder="1" applyAlignment="1">
      <alignment horizontal="center"/>
    </xf>
    <xf numFmtId="0" fontId="3" fillId="15" borderId="3" xfId="0" applyFont="1" applyFill="1" applyBorder="1" applyAlignment="1">
      <alignment horizontal="center"/>
    </xf>
    <xf numFmtId="0" fontId="3" fillId="15" borderId="4" xfId="0" applyFont="1" applyFill="1" applyBorder="1" applyAlignment="1">
      <alignment horizontal="center"/>
    </xf>
    <xf numFmtId="0" fontId="3" fillId="15" borderId="0" xfId="0" applyFont="1" applyFill="1" applyBorder="1" applyAlignment="1">
      <alignment horizontal="center"/>
    </xf>
    <xf numFmtId="0" fontId="3" fillId="15" borderId="5" xfId="0" applyFont="1" applyFill="1" applyBorder="1" applyAlignment="1">
      <alignment horizontal="center"/>
    </xf>
    <xf numFmtId="0" fontId="3" fillId="15" borderId="9" xfId="0" applyFont="1" applyFill="1" applyBorder="1" applyAlignment="1">
      <alignment horizontal="center"/>
    </xf>
    <xf numFmtId="0" fontId="3" fillId="15" borderId="10" xfId="0" applyFont="1" applyFill="1" applyBorder="1" applyAlignment="1">
      <alignment horizontal="center"/>
    </xf>
    <xf numFmtId="0" fontId="3" fillId="15" borderId="11" xfId="0" applyFont="1" applyFill="1" applyBorder="1" applyAlignment="1">
      <alignment horizontal="center"/>
    </xf>
    <xf numFmtId="0" fontId="7" fillId="14" borderId="2" xfId="0" applyFont="1" applyFill="1" applyBorder="1" applyAlignment="1">
      <alignment horizontal="center" vertical="center"/>
    </xf>
    <xf numFmtId="0" fontId="3" fillId="14" borderId="1" xfId="0" applyFont="1" applyFill="1" applyBorder="1" applyAlignment="1">
      <alignment horizontal="center"/>
    </xf>
    <xf numFmtId="0" fontId="3" fillId="14" borderId="2" xfId="0" applyFont="1" applyFill="1" applyBorder="1" applyAlignment="1">
      <alignment horizontal="center"/>
    </xf>
    <xf numFmtId="0" fontId="3" fillId="14" borderId="3" xfId="0" applyFont="1" applyFill="1" applyBorder="1" applyAlignment="1">
      <alignment horizontal="center"/>
    </xf>
    <xf numFmtId="0" fontId="3" fillId="14" borderId="4" xfId="0" applyFont="1" applyFill="1" applyBorder="1" applyAlignment="1">
      <alignment horizontal="center"/>
    </xf>
    <xf numFmtId="0" fontId="3" fillId="14" borderId="0" xfId="0" applyFont="1" applyFill="1" applyBorder="1" applyAlignment="1">
      <alignment horizontal="center"/>
    </xf>
    <xf numFmtId="0" fontId="3" fillId="14" borderId="5" xfId="0" applyFont="1" applyFill="1" applyBorder="1" applyAlignment="1">
      <alignment horizontal="center"/>
    </xf>
    <xf numFmtId="0" fontId="3" fillId="14" borderId="9" xfId="0" applyFont="1" applyFill="1" applyBorder="1" applyAlignment="1">
      <alignment horizontal="center"/>
    </xf>
    <xf numFmtId="0" fontId="3" fillId="14" borderId="10" xfId="0" applyFont="1" applyFill="1" applyBorder="1" applyAlignment="1">
      <alignment horizontal="center"/>
    </xf>
    <xf numFmtId="0" fontId="3" fillId="14" borderId="11" xfId="0" applyFont="1" applyFill="1" applyBorder="1" applyAlignment="1">
      <alignment horizontal="center"/>
    </xf>
    <xf numFmtId="0" fontId="3" fillId="4" borderId="12" xfId="0" applyFont="1" applyFill="1" applyBorder="1" applyAlignment="1">
      <alignment horizontal="center"/>
    </xf>
    <xf numFmtId="0" fontId="3" fillId="4" borderId="51" xfId="0" applyFont="1" applyFill="1" applyBorder="1" applyAlignment="1">
      <alignment horizontal="center"/>
    </xf>
    <xf numFmtId="0" fontId="3" fillId="4" borderId="19" xfId="0" applyFont="1" applyFill="1" applyBorder="1" applyAlignment="1">
      <alignment horizontal="center"/>
    </xf>
    <xf numFmtId="3" fontId="3" fillId="0" borderId="51" xfId="0" applyNumberFormat="1" applyFont="1" applyFill="1" applyBorder="1" applyAlignment="1">
      <alignment horizontal="center" vertical="center"/>
    </xf>
    <xf numFmtId="3" fontId="3" fillId="0" borderId="10" xfId="0" applyNumberFormat="1" applyFont="1" applyFill="1" applyBorder="1" applyAlignment="1">
      <alignment horizontal="center" vertical="center"/>
    </xf>
    <xf numFmtId="3" fontId="3" fillId="0" borderId="19" xfId="0" applyNumberFormat="1" applyFont="1" applyFill="1" applyBorder="1" applyAlignment="1">
      <alignment horizontal="center" vertical="center"/>
    </xf>
    <xf numFmtId="0" fontId="16" fillId="33" borderId="63" xfId="0" applyFont="1" applyFill="1" applyBorder="1" applyAlignment="1">
      <alignment horizontal="center" vertical="center" wrapText="1"/>
    </xf>
    <xf numFmtId="0" fontId="16" fillId="33" borderId="62" xfId="0" applyFont="1" applyFill="1" applyBorder="1" applyAlignment="1">
      <alignment horizontal="center" vertical="center" wrapText="1"/>
    </xf>
    <xf numFmtId="0" fontId="16" fillId="0" borderId="78" xfId="0" applyFont="1" applyBorder="1" applyAlignment="1">
      <alignment horizontal="center" wrapText="1"/>
    </xf>
    <xf numFmtId="0" fontId="16" fillId="0" borderId="67" xfId="0" applyFont="1" applyBorder="1" applyAlignment="1">
      <alignment horizontal="center" wrapText="1"/>
    </xf>
    <xf numFmtId="0" fontId="16" fillId="0" borderId="68" xfId="0" applyFont="1" applyBorder="1" applyAlignment="1">
      <alignment horizontal="center" wrapText="1"/>
    </xf>
    <xf numFmtId="0" fontId="22" fillId="14" borderId="2" xfId="0" applyFont="1" applyFill="1" applyBorder="1" applyAlignment="1">
      <alignment horizontal="center" vertical="top" wrapText="1"/>
    </xf>
    <xf numFmtId="0" fontId="3" fillId="35" borderId="1" xfId="0" applyFont="1" applyFill="1" applyBorder="1" applyAlignment="1">
      <alignment horizontal="center"/>
    </xf>
    <xf numFmtId="0" fontId="3" fillId="35" borderId="2" xfId="0" applyFont="1" applyFill="1" applyBorder="1" applyAlignment="1">
      <alignment horizontal="center"/>
    </xf>
    <xf numFmtId="0" fontId="3" fillId="35" borderId="3" xfId="0" applyFont="1" applyFill="1" applyBorder="1" applyAlignment="1">
      <alignment horizontal="center"/>
    </xf>
    <xf numFmtId="0" fontId="3" fillId="35" borderId="4" xfId="0" applyFont="1" applyFill="1" applyBorder="1" applyAlignment="1">
      <alignment horizontal="center"/>
    </xf>
    <xf numFmtId="0" fontId="3" fillId="35" borderId="0" xfId="0" applyFont="1" applyFill="1" applyBorder="1" applyAlignment="1">
      <alignment horizontal="center"/>
    </xf>
    <xf numFmtId="0" fontId="3" fillId="35" borderId="5" xfId="0" applyFont="1" applyFill="1" applyBorder="1" applyAlignment="1">
      <alignment horizontal="center"/>
    </xf>
    <xf numFmtId="0" fontId="3" fillId="35" borderId="9" xfId="0" applyFont="1" applyFill="1" applyBorder="1" applyAlignment="1">
      <alignment horizontal="center"/>
    </xf>
    <xf numFmtId="0" fontId="3" fillId="35" borderId="10" xfId="0" applyFont="1" applyFill="1" applyBorder="1" applyAlignment="1">
      <alignment horizontal="center"/>
    </xf>
    <xf numFmtId="0" fontId="3" fillId="35" borderId="11" xfId="0" applyFont="1" applyFill="1" applyBorder="1" applyAlignment="1">
      <alignment horizontal="center"/>
    </xf>
    <xf numFmtId="0" fontId="6" fillId="15" borderId="56" xfId="1" applyNumberFormat="1" applyFont="1" applyFill="1" applyBorder="1" applyAlignment="1">
      <alignment horizontal="center"/>
    </xf>
    <xf numFmtId="0" fontId="6" fillId="15" borderId="23" xfId="1" applyNumberFormat="1" applyFont="1" applyFill="1" applyBorder="1" applyAlignment="1">
      <alignment horizontal="center"/>
    </xf>
    <xf numFmtId="0" fontId="20" fillId="14" borderId="71" xfId="0" applyFont="1" applyFill="1" applyBorder="1" applyAlignment="1">
      <alignment horizontal="center"/>
    </xf>
    <xf numFmtId="0" fontId="20" fillId="14" borderId="47" xfId="0" applyFont="1" applyFill="1" applyBorder="1" applyAlignment="1">
      <alignment horizontal="center"/>
    </xf>
    <xf numFmtId="0" fontId="20" fillId="14" borderId="48" xfId="0" applyFont="1" applyFill="1" applyBorder="1" applyAlignment="1">
      <alignment horizontal="center"/>
    </xf>
    <xf numFmtId="0" fontId="20" fillId="14" borderId="65" xfId="0" applyFont="1" applyFill="1" applyBorder="1" applyAlignment="1">
      <alignment horizontal="center"/>
    </xf>
    <xf numFmtId="0" fontId="20" fillId="14" borderId="67" xfId="0" applyFont="1" applyFill="1" applyBorder="1" applyAlignment="1">
      <alignment horizontal="center"/>
    </xf>
    <xf numFmtId="0" fontId="20" fillId="14" borderId="58" xfId="0" applyFont="1" applyFill="1" applyBorder="1" applyAlignment="1">
      <alignment horizontal="center"/>
    </xf>
    <xf numFmtId="165" fontId="0" fillId="0" borderId="74" xfId="1" applyFont="1" applyBorder="1" applyAlignment="1">
      <alignment horizontal="center" vertical="center" wrapText="1"/>
    </xf>
    <xf numFmtId="165" fontId="0" fillId="0" borderId="75" xfId="1" applyFont="1" applyBorder="1" applyAlignment="1">
      <alignment horizontal="center" vertical="center" wrapText="1"/>
    </xf>
    <xf numFmtId="165" fontId="0" fillId="0" borderId="52" xfId="1" applyFont="1" applyBorder="1" applyAlignment="1">
      <alignment horizontal="center" vertical="center" wrapText="1"/>
    </xf>
    <xf numFmtId="169" fontId="0" fillId="0" borderId="73" xfId="1" applyNumberFormat="1" applyFont="1" applyBorder="1" applyAlignment="1">
      <alignment horizontal="center" vertical="center" wrapText="1"/>
    </xf>
    <xf numFmtId="169" fontId="0" fillId="0" borderId="5" xfId="1" applyNumberFormat="1" applyFont="1" applyBorder="1" applyAlignment="1">
      <alignment horizontal="center" vertical="center" wrapText="1"/>
    </xf>
    <xf numFmtId="169" fontId="0" fillId="0" borderId="46" xfId="1" applyNumberFormat="1" applyFont="1" applyBorder="1" applyAlignment="1">
      <alignment horizontal="center" vertical="center" wrapText="1"/>
    </xf>
    <xf numFmtId="9" fontId="2" fillId="14" borderId="38" xfId="3" applyFont="1" applyFill="1" applyBorder="1" applyAlignment="1">
      <alignment horizontal="center" vertical="center" wrapText="1"/>
    </xf>
    <xf numFmtId="9" fontId="2" fillId="14" borderId="61" xfId="3" applyFont="1" applyFill="1" applyBorder="1" applyAlignment="1">
      <alignment horizontal="center" vertical="center" wrapText="1"/>
    </xf>
    <xf numFmtId="9" fontId="2" fillId="14" borderId="16" xfId="3" applyFont="1" applyFill="1" applyBorder="1" applyAlignment="1">
      <alignment horizontal="center" vertical="center" wrapText="1"/>
    </xf>
    <xf numFmtId="0" fontId="20" fillId="14" borderId="2" xfId="0" applyFont="1" applyFill="1" applyBorder="1" applyAlignment="1">
      <alignment horizontal="center" vertical="center" wrapText="1"/>
    </xf>
    <xf numFmtId="0" fontId="20" fillId="14" borderId="0" xfId="0" applyFont="1" applyFill="1" applyBorder="1" applyAlignment="1">
      <alignment horizontal="center" vertical="center" wrapText="1"/>
    </xf>
    <xf numFmtId="0" fontId="20" fillId="14" borderId="10" xfId="0" applyFont="1" applyFill="1" applyBorder="1" applyAlignment="1">
      <alignment horizontal="center" vertical="center" wrapText="1"/>
    </xf>
    <xf numFmtId="165" fontId="0" fillId="0" borderId="74" xfId="1" applyFont="1" applyBorder="1" applyAlignment="1">
      <alignment horizontal="center"/>
    </xf>
    <xf numFmtId="165" fontId="0" fillId="0" borderId="75" xfId="1" applyFont="1" applyBorder="1" applyAlignment="1">
      <alignment horizontal="center"/>
    </xf>
    <xf numFmtId="169" fontId="0" fillId="0" borderId="74" xfId="1" applyNumberFormat="1" applyFont="1" applyBorder="1" applyAlignment="1">
      <alignment horizontal="center"/>
    </xf>
    <xf numFmtId="169" fontId="0" fillId="0" borderId="75" xfId="1" applyNumberFormat="1" applyFont="1" applyBorder="1" applyAlignment="1">
      <alignment horizontal="center"/>
    </xf>
    <xf numFmtId="9" fontId="2" fillId="14" borderId="74" xfId="3" applyFont="1" applyFill="1" applyBorder="1" applyAlignment="1">
      <alignment horizontal="center" wrapText="1"/>
    </xf>
    <xf numFmtId="9" fontId="2" fillId="14" borderId="75" xfId="3" applyFont="1" applyFill="1" applyBorder="1" applyAlignment="1">
      <alignment horizontal="center" wrapText="1"/>
    </xf>
    <xf numFmtId="0" fontId="20" fillId="14" borderId="76" xfId="0" applyFont="1" applyFill="1" applyBorder="1" applyAlignment="1">
      <alignment horizontal="center"/>
    </xf>
    <xf numFmtId="0" fontId="20" fillId="14" borderId="2" xfId="0" applyFont="1" applyFill="1" applyBorder="1" applyAlignment="1">
      <alignment horizontal="center"/>
    </xf>
    <xf numFmtId="0" fontId="20" fillId="14" borderId="3" xfId="0" applyFont="1" applyFill="1" applyBorder="1" applyAlignment="1">
      <alignment horizontal="center"/>
    </xf>
    <xf numFmtId="0" fontId="20" fillId="14" borderId="77" xfId="0" applyFont="1" applyFill="1" applyBorder="1" applyAlignment="1">
      <alignment horizontal="center"/>
    </xf>
    <xf numFmtId="0" fontId="20" fillId="14" borderId="10" xfId="0" applyFont="1" applyFill="1" applyBorder="1" applyAlignment="1">
      <alignment horizontal="center"/>
    </xf>
    <xf numFmtId="0" fontId="20" fillId="14" borderId="11" xfId="0" applyFont="1" applyFill="1" applyBorder="1" applyAlignment="1">
      <alignment horizontal="center"/>
    </xf>
    <xf numFmtId="165" fontId="0" fillId="0" borderId="55" xfId="1" applyFont="1" applyBorder="1" applyAlignment="1">
      <alignment horizontal="center" vertical="center"/>
    </xf>
    <xf numFmtId="165" fontId="0" fillId="0" borderId="75" xfId="1" applyFont="1" applyBorder="1" applyAlignment="1">
      <alignment horizontal="center" vertical="center"/>
    </xf>
    <xf numFmtId="165" fontId="0" fillId="0" borderId="60" xfId="1" applyFont="1" applyBorder="1" applyAlignment="1">
      <alignment horizontal="center" vertical="center"/>
    </xf>
    <xf numFmtId="169" fontId="0" fillId="0" borderId="55" xfId="1" applyNumberFormat="1" applyFont="1" applyBorder="1" applyAlignment="1">
      <alignment horizontal="center" vertical="center"/>
    </xf>
    <xf numFmtId="169" fontId="0" fillId="0" borderId="75" xfId="1" applyNumberFormat="1" applyFont="1" applyBorder="1" applyAlignment="1">
      <alignment horizontal="center" vertical="center"/>
    </xf>
    <xf numFmtId="169" fontId="0" fillId="0" borderId="60" xfId="1" applyNumberFormat="1" applyFont="1" applyBorder="1" applyAlignment="1">
      <alignment horizontal="center" vertical="center"/>
    </xf>
    <xf numFmtId="9" fontId="2" fillId="14" borderId="55" xfId="3" applyFont="1" applyFill="1" applyBorder="1" applyAlignment="1">
      <alignment horizontal="center" vertical="center" wrapText="1"/>
    </xf>
    <xf numFmtId="9" fontId="2" fillId="14" borderId="75" xfId="3" applyFont="1" applyFill="1" applyBorder="1" applyAlignment="1">
      <alignment horizontal="center" vertical="center" wrapText="1"/>
    </xf>
    <xf numFmtId="9" fontId="2" fillId="14" borderId="60" xfId="3" applyFont="1" applyFill="1" applyBorder="1" applyAlignment="1">
      <alignment horizontal="center" vertical="center" wrapText="1"/>
    </xf>
    <xf numFmtId="0" fontId="1" fillId="14" borderId="1" xfId="0" applyFont="1" applyFill="1" applyBorder="1" applyAlignment="1">
      <alignment horizontal="center"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4" xfId="0" applyFont="1" applyFill="1" applyBorder="1" applyAlignment="1">
      <alignment horizontal="center" vertical="center"/>
    </xf>
    <xf numFmtId="0" fontId="1" fillId="14" borderId="0" xfId="0" applyFont="1" applyFill="1" applyBorder="1" applyAlignment="1">
      <alignment horizontal="center" vertical="center"/>
    </xf>
    <xf numFmtId="0" fontId="1" fillId="14" borderId="5"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0" xfId="0" applyFont="1" applyFill="1" applyBorder="1" applyAlignment="1">
      <alignment horizontal="center" vertical="center"/>
    </xf>
    <xf numFmtId="0" fontId="1" fillId="14" borderId="11" xfId="0" applyFont="1" applyFill="1" applyBorder="1" applyAlignment="1">
      <alignment horizontal="center" vertical="center"/>
    </xf>
    <xf numFmtId="0" fontId="6" fillId="15" borderId="55" xfId="1" applyNumberFormat="1" applyFont="1" applyFill="1" applyBorder="1" applyAlignment="1">
      <alignment horizontal="center" vertical="center"/>
    </xf>
    <xf numFmtId="0" fontId="6" fillId="15" borderId="75" xfId="1" applyNumberFormat="1" applyFont="1" applyFill="1" applyBorder="1" applyAlignment="1">
      <alignment horizontal="center" vertical="center"/>
    </xf>
    <xf numFmtId="0" fontId="6" fillId="15" borderId="60" xfId="1" applyNumberFormat="1" applyFont="1" applyFill="1" applyBorder="1" applyAlignment="1">
      <alignment horizontal="center" vertical="center"/>
    </xf>
    <xf numFmtId="0" fontId="29" fillId="0" borderId="0" xfId="0" applyFont="1" applyAlignment="1">
      <alignment horizontal="left" vertical="top" wrapText="1"/>
    </xf>
    <xf numFmtId="0" fontId="30" fillId="0" borderId="26" xfId="0" applyFont="1" applyBorder="1" applyAlignment="1">
      <alignment horizontal="left" vertical="top" wrapText="1"/>
    </xf>
    <xf numFmtId="0" fontId="31" fillId="7" borderId="34" xfId="0" applyFont="1" applyFill="1" applyBorder="1" applyAlignment="1">
      <alignment horizontal="center" vertical="center" wrapText="1"/>
    </xf>
    <xf numFmtId="0" fontId="31" fillId="7" borderId="69" xfId="0" applyFont="1" applyFill="1" applyBorder="1" applyAlignment="1">
      <alignment horizontal="center" vertical="center" wrapText="1"/>
    </xf>
    <xf numFmtId="0" fontId="31" fillId="7" borderId="70" xfId="0" applyFont="1" applyFill="1" applyBorder="1" applyAlignment="1">
      <alignment horizontal="center" vertical="center" wrapText="1"/>
    </xf>
    <xf numFmtId="3" fontId="3" fillId="0" borderId="63" xfId="0" applyNumberFormat="1" applyFont="1" applyFill="1" applyBorder="1" applyAlignment="1">
      <alignment horizontal="center" vertical="center"/>
    </xf>
    <xf numFmtId="0" fontId="38" fillId="3" borderId="24" xfId="0" applyFont="1" applyFill="1" applyBorder="1" applyAlignment="1">
      <alignment horizontal="center"/>
    </xf>
    <xf numFmtId="0" fontId="38" fillId="3" borderId="81" xfId="0" applyFont="1" applyFill="1" applyBorder="1" applyAlignment="1">
      <alignment horizontal="center"/>
    </xf>
    <xf numFmtId="0" fontId="38" fillId="3" borderId="83" xfId="0" applyFont="1" applyFill="1" applyBorder="1" applyAlignment="1">
      <alignment horizontal="center"/>
    </xf>
    <xf numFmtId="0" fontId="38" fillId="16" borderId="81" xfId="0" applyFont="1" applyFill="1" applyBorder="1" applyAlignment="1">
      <alignment horizontal="center"/>
    </xf>
    <xf numFmtId="0" fontId="38" fillId="16" borderId="83" xfId="0" applyFont="1" applyFill="1" applyBorder="1" applyAlignment="1">
      <alignment horizontal="center"/>
    </xf>
    <xf numFmtId="0" fontId="38" fillId="16" borderId="25" xfId="0" applyFont="1" applyFill="1" applyBorder="1" applyAlignment="1">
      <alignment horizontal="center"/>
    </xf>
    <xf numFmtId="0" fontId="38" fillId="16" borderId="7" xfId="0" applyFont="1" applyFill="1" applyBorder="1" applyAlignment="1">
      <alignment horizontal="center"/>
    </xf>
    <xf numFmtId="0" fontId="38" fillId="16" borderId="82" xfId="0" applyFont="1" applyFill="1" applyBorder="1" applyAlignment="1">
      <alignment horizontal="center"/>
    </xf>
  </cellXfs>
  <cellStyles count="10">
    <cellStyle name="Hipervínculo" xfId="4" builtinId="8"/>
    <cellStyle name="Millares" xfId="1" builtinId="3"/>
    <cellStyle name="Millares [0]" xfId="2" builtinId="6"/>
    <cellStyle name="Moneda [0]" xfId="8" builtinId="7"/>
    <cellStyle name="Normal" xfId="0" builtinId="0"/>
    <cellStyle name="Normal 2" xfId="5" xr:uid="{00000000-0005-0000-0000-000005000000}"/>
    <cellStyle name="Normal 3" xfId="6" xr:uid="{00000000-0005-0000-0000-000006000000}"/>
    <cellStyle name="Normal 4" xfId="7" xr:uid="{00000000-0005-0000-0000-000007000000}"/>
    <cellStyle name="Normal 5" xfId="9" xr:uid="{00000000-0005-0000-0000-000008000000}"/>
    <cellStyle name="Porcentaje" xfId="3" builtinId="5"/>
  </cellStyles>
  <dxfs count="0"/>
  <tableStyles count="0" defaultTableStyle="TableStyleMedium2" defaultPivotStyle="PivotStyleLight16"/>
  <colors>
    <mruColors>
      <color rgb="FF68EEFC"/>
      <color rgb="FF99FF99"/>
      <color rgb="FF00FF99"/>
      <color rgb="FF71FBDA"/>
      <color rgb="FFFF00FF"/>
      <color rgb="FFFF0066"/>
      <color rgb="FF0066FF"/>
      <color rgb="FF6600FF"/>
      <color rgb="FF00FF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lorza\Desktop\LORZA\FLV\Tesorer&#237;a%20II\SERVICIO%20DEUDA\Contro%20al%20servicio%20de%20la%20deuda\Control%20Serv%20Deuda%20Versi&#243;n%2019-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armero\Desktop\OCCIDENTE%20III%20DESE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Hoja1"/>
      <sheetName val="Consolidado Pignoración"/>
      <sheetName val=" Consolidado Deuda"/>
      <sheetName val="Rentas Pignoradas"/>
      <sheetName val="Banco Occidente 1 CUPO"/>
      <sheetName val="Davivienda Cupo"/>
      <sheetName val="Davivienda 1"/>
      <sheetName val="Davivienda 2"/>
      <sheetName val="Davivienda 3"/>
      <sheetName val="Davivienda 4"/>
      <sheetName val="DTF"/>
      <sheetName val="Banco de Occidente II Cupo"/>
      <sheetName val="Banco de Occidente II D1"/>
      <sheetName val="Banco de Occidente II D2"/>
      <sheetName val="Banco de Occidente II D3"/>
      <sheetName val="Banco de Bogotá Cupo"/>
      <sheetName val="Banco de Bogotá  DI"/>
      <sheetName val="Banco de Bogotá DII"/>
      <sheetName val="Banco de Bogotá DIII"/>
      <sheetName val="BANCO POPULAR"/>
      <sheetName val="IBR"/>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5">
          <cell r="C35">
            <v>210000000</v>
          </cell>
          <cell r="D35">
            <v>116491353.91283813</v>
          </cell>
        </row>
        <row r="36">
          <cell r="C36">
            <v>210000000</v>
          </cell>
          <cell r="D36">
            <v>110666786.21719623</v>
          </cell>
        </row>
        <row r="37">
          <cell r="C37">
            <v>210000000</v>
          </cell>
          <cell r="D37">
            <v>104842218.52155432</v>
          </cell>
        </row>
        <row r="38">
          <cell r="C38">
            <v>210000000</v>
          </cell>
          <cell r="D38">
            <v>99017650.825912416</v>
          </cell>
        </row>
        <row r="39">
          <cell r="C39">
            <v>210000000</v>
          </cell>
          <cell r="D39">
            <v>93193083.130270511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 DE OCCIDENTE III D2"/>
    </sheetNames>
    <sheetDataSet>
      <sheetData sheetId="0">
        <row r="5">
          <cell r="A5">
            <v>43433</v>
          </cell>
        </row>
        <row r="7">
          <cell r="C7">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lorza/AppData/Local/Microsoft/Windows/Documents%20and%20Settings/usuario/Desktop/FernandoLorza/Tesorer&#237;a%20II/SERVICIO%20DEUDA/PAGARE%20davivienda%201.pdf" TargetMode="External"/><Relationship Id="rId1" Type="http://schemas.openxmlformats.org/officeDocument/2006/relationships/hyperlink" Target="../../../../../florza/AppData/Local/Microsoft/Windows/Documents%20and%20Settings/usuario/Desktop/FernandoLorza/Tesorer&#237;a%20II/SERVICIO%20DEUDA/DAVIVIENDA%20II.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hyperlink" Target="../../../../../florza/AppData/Local/Microsoft/Windows/Documents%20and%20Settings/usuario/Desktop/FernandoLorza/Tesorer&#237;a%20II/SERVICIO%20DEUDA/CONTRATO%20DE%20EMPRESTITO%20-%20$40.000MM%20SEPTIEMBRE%202017.docx"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florza/AppData/Local/Microsoft/Windows/Documents%20and%20Settings/usuario/Desktop/FernandoLorza/Tesorer&#237;a%20II/SERVICIO%20DEUDA/CONTRATO%20DE%20EMPRESTITO%20-%20$40.000MM%20SEPTIEMBRE%202017.doc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florza/AppData/Local/Microsoft/Windows/Documents%20and%20Settings/usuario/Desktop/FernandoLorza/Tesorer&#237;a%20II/SERVICIO%20DEUDA/CONTRATO%20DE%20EMPRESTITO%20-%20$40.000MM%20SEPTIEMBRE%202017.docx"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florza/AppData/Local/Microsoft/Windows/Documents%20and%20Settings/usuario/Desktop/FernandoLorza/Tesorer&#237;a%20II/SERVICIO%20DEUDA/CONTRATO%20DE%20EMPRESTITO%20-%20$40.000MM%20SEPTIEMBRE%20201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R80"/>
  <sheetViews>
    <sheetView tabSelected="1" zoomScale="90" zoomScaleNormal="90" workbookViewId="0">
      <selection activeCell="C14" sqref="C14"/>
    </sheetView>
  </sheetViews>
  <sheetFormatPr baseColWidth="10" defaultColWidth="11.5703125" defaultRowHeight="15" x14ac:dyDescent="0.25"/>
  <cols>
    <col min="1" max="1" width="12.28515625" customWidth="1"/>
    <col min="2" max="2" width="25.85546875" customWidth="1"/>
    <col min="3" max="3" width="22.42578125" customWidth="1"/>
    <col min="4" max="4" width="22" customWidth="1"/>
    <col min="5" max="5" width="16.42578125" customWidth="1"/>
    <col min="6" max="6" width="20.85546875" customWidth="1"/>
    <col min="7" max="7" width="20.42578125" bestFit="1" customWidth="1"/>
    <col min="8" max="8" width="17.85546875" bestFit="1" customWidth="1"/>
    <col min="9" max="9" width="13.5703125" bestFit="1" customWidth="1"/>
    <col min="10" max="10" width="11.7109375" customWidth="1"/>
    <col min="11" max="11" width="12.5703125" customWidth="1"/>
    <col min="12" max="12" width="14" bestFit="1" customWidth="1"/>
    <col min="13" max="13" width="17.5703125" bestFit="1" customWidth="1"/>
    <col min="14" max="14" width="12.7109375" bestFit="1" customWidth="1"/>
    <col min="15" max="15" width="20.140625" bestFit="1" customWidth="1"/>
    <col min="16" max="16" width="20.42578125" bestFit="1" customWidth="1"/>
    <col min="17" max="17" width="13.7109375" bestFit="1" customWidth="1"/>
    <col min="257" max="257" width="15" customWidth="1"/>
    <col min="258" max="258" width="19" customWidth="1"/>
    <col min="259" max="259" width="18.5703125" customWidth="1"/>
    <col min="260" max="260" width="16.42578125" customWidth="1"/>
    <col min="261" max="261" width="16.85546875" customWidth="1"/>
    <col min="262" max="262" width="17.7109375" customWidth="1"/>
    <col min="263" max="267" width="13.5703125" bestFit="1" customWidth="1"/>
    <col min="268" max="270" width="12.7109375" bestFit="1" customWidth="1"/>
    <col min="271" max="271" width="13.7109375" bestFit="1" customWidth="1"/>
    <col min="513" max="513" width="15" customWidth="1"/>
    <col min="514" max="514" width="19" customWidth="1"/>
    <col min="515" max="515" width="18.5703125" customWidth="1"/>
    <col min="516" max="516" width="16.42578125" customWidth="1"/>
    <col min="517" max="517" width="16.85546875" customWidth="1"/>
    <col min="518" max="518" width="17.7109375" customWidth="1"/>
    <col min="519" max="523" width="13.5703125" bestFit="1" customWidth="1"/>
    <col min="524" max="526" width="12.7109375" bestFit="1" customWidth="1"/>
    <col min="527" max="527" width="13.7109375" bestFit="1" customWidth="1"/>
    <col min="769" max="769" width="15" customWidth="1"/>
    <col min="770" max="770" width="19" customWidth="1"/>
    <col min="771" max="771" width="18.5703125" customWidth="1"/>
    <col min="772" max="772" width="16.42578125" customWidth="1"/>
    <col min="773" max="773" width="16.85546875" customWidth="1"/>
    <col min="774" max="774" width="17.7109375" customWidth="1"/>
    <col min="775" max="779" width="13.5703125" bestFit="1" customWidth="1"/>
    <col min="780" max="782" width="12.7109375" bestFit="1" customWidth="1"/>
    <col min="783" max="783" width="13.7109375" bestFit="1" customWidth="1"/>
    <col min="1025" max="1025" width="15" customWidth="1"/>
    <col min="1026" max="1026" width="19" customWidth="1"/>
    <col min="1027" max="1027" width="18.5703125" customWidth="1"/>
    <col min="1028" max="1028" width="16.42578125" customWidth="1"/>
    <col min="1029" max="1029" width="16.85546875" customWidth="1"/>
    <col min="1030" max="1030" width="17.7109375" customWidth="1"/>
    <col min="1031" max="1035" width="13.5703125" bestFit="1" customWidth="1"/>
    <col min="1036" max="1038" width="12.7109375" bestFit="1" customWidth="1"/>
    <col min="1039" max="1039" width="13.7109375" bestFit="1" customWidth="1"/>
    <col min="1281" max="1281" width="15" customWidth="1"/>
    <col min="1282" max="1282" width="19" customWidth="1"/>
    <col min="1283" max="1283" width="18.5703125" customWidth="1"/>
    <col min="1284" max="1284" width="16.42578125" customWidth="1"/>
    <col min="1285" max="1285" width="16.85546875" customWidth="1"/>
    <col min="1286" max="1286" width="17.7109375" customWidth="1"/>
    <col min="1287" max="1291" width="13.5703125" bestFit="1" customWidth="1"/>
    <col min="1292" max="1294" width="12.7109375" bestFit="1" customWidth="1"/>
    <col min="1295" max="1295" width="13.7109375" bestFit="1" customWidth="1"/>
    <col min="1537" max="1537" width="15" customWidth="1"/>
    <col min="1538" max="1538" width="19" customWidth="1"/>
    <col min="1539" max="1539" width="18.5703125" customWidth="1"/>
    <col min="1540" max="1540" width="16.42578125" customWidth="1"/>
    <col min="1541" max="1541" width="16.85546875" customWidth="1"/>
    <col min="1542" max="1542" width="17.7109375" customWidth="1"/>
    <col min="1543" max="1547" width="13.5703125" bestFit="1" customWidth="1"/>
    <col min="1548" max="1550" width="12.7109375" bestFit="1" customWidth="1"/>
    <col min="1551" max="1551" width="13.7109375" bestFit="1" customWidth="1"/>
    <col min="1793" max="1793" width="15" customWidth="1"/>
    <col min="1794" max="1794" width="19" customWidth="1"/>
    <col min="1795" max="1795" width="18.5703125" customWidth="1"/>
    <col min="1796" max="1796" width="16.42578125" customWidth="1"/>
    <col min="1797" max="1797" width="16.85546875" customWidth="1"/>
    <col min="1798" max="1798" width="17.7109375" customWidth="1"/>
    <col min="1799" max="1803" width="13.5703125" bestFit="1" customWidth="1"/>
    <col min="1804" max="1806" width="12.7109375" bestFit="1" customWidth="1"/>
    <col min="1807" max="1807" width="13.7109375" bestFit="1" customWidth="1"/>
    <col min="2049" max="2049" width="15" customWidth="1"/>
    <col min="2050" max="2050" width="19" customWidth="1"/>
    <col min="2051" max="2051" width="18.5703125" customWidth="1"/>
    <col min="2052" max="2052" width="16.42578125" customWidth="1"/>
    <col min="2053" max="2053" width="16.85546875" customWidth="1"/>
    <col min="2054" max="2054" width="17.7109375" customWidth="1"/>
    <col min="2055" max="2059" width="13.5703125" bestFit="1" customWidth="1"/>
    <col min="2060" max="2062" width="12.7109375" bestFit="1" customWidth="1"/>
    <col min="2063" max="2063" width="13.7109375" bestFit="1" customWidth="1"/>
    <col min="2305" max="2305" width="15" customWidth="1"/>
    <col min="2306" max="2306" width="19" customWidth="1"/>
    <col min="2307" max="2307" width="18.5703125" customWidth="1"/>
    <col min="2308" max="2308" width="16.42578125" customWidth="1"/>
    <col min="2309" max="2309" width="16.85546875" customWidth="1"/>
    <col min="2310" max="2310" width="17.7109375" customWidth="1"/>
    <col min="2311" max="2315" width="13.5703125" bestFit="1" customWidth="1"/>
    <col min="2316" max="2318" width="12.7109375" bestFit="1" customWidth="1"/>
    <col min="2319" max="2319" width="13.7109375" bestFit="1" customWidth="1"/>
    <col min="2561" max="2561" width="15" customWidth="1"/>
    <col min="2562" max="2562" width="19" customWidth="1"/>
    <col min="2563" max="2563" width="18.5703125" customWidth="1"/>
    <col min="2564" max="2564" width="16.42578125" customWidth="1"/>
    <col min="2565" max="2565" width="16.85546875" customWidth="1"/>
    <col min="2566" max="2566" width="17.7109375" customWidth="1"/>
    <col min="2567" max="2571" width="13.5703125" bestFit="1" customWidth="1"/>
    <col min="2572" max="2574" width="12.7109375" bestFit="1" customWidth="1"/>
    <col min="2575" max="2575" width="13.7109375" bestFit="1" customWidth="1"/>
    <col min="2817" max="2817" width="15" customWidth="1"/>
    <col min="2818" max="2818" width="19" customWidth="1"/>
    <col min="2819" max="2819" width="18.5703125" customWidth="1"/>
    <col min="2820" max="2820" width="16.42578125" customWidth="1"/>
    <col min="2821" max="2821" width="16.85546875" customWidth="1"/>
    <col min="2822" max="2822" width="17.7109375" customWidth="1"/>
    <col min="2823" max="2827" width="13.5703125" bestFit="1" customWidth="1"/>
    <col min="2828" max="2830" width="12.7109375" bestFit="1" customWidth="1"/>
    <col min="2831" max="2831" width="13.7109375" bestFit="1" customWidth="1"/>
    <col min="3073" max="3073" width="15" customWidth="1"/>
    <col min="3074" max="3074" width="19" customWidth="1"/>
    <col min="3075" max="3075" width="18.5703125" customWidth="1"/>
    <col min="3076" max="3076" width="16.42578125" customWidth="1"/>
    <col min="3077" max="3077" width="16.85546875" customWidth="1"/>
    <col min="3078" max="3078" width="17.7109375" customWidth="1"/>
    <col min="3079" max="3083" width="13.5703125" bestFit="1" customWidth="1"/>
    <col min="3084" max="3086" width="12.7109375" bestFit="1" customWidth="1"/>
    <col min="3087" max="3087" width="13.7109375" bestFit="1" customWidth="1"/>
    <col min="3329" max="3329" width="15" customWidth="1"/>
    <col min="3330" max="3330" width="19" customWidth="1"/>
    <col min="3331" max="3331" width="18.5703125" customWidth="1"/>
    <col min="3332" max="3332" width="16.42578125" customWidth="1"/>
    <col min="3333" max="3333" width="16.85546875" customWidth="1"/>
    <col min="3334" max="3334" width="17.7109375" customWidth="1"/>
    <col min="3335" max="3339" width="13.5703125" bestFit="1" customWidth="1"/>
    <col min="3340" max="3342" width="12.7109375" bestFit="1" customWidth="1"/>
    <col min="3343" max="3343" width="13.7109375" bestFit="1" customWidth="1"/>
    <col min="3585" max="3585" width="15" customWidth="1"/>
    <col min="3586" max="3586" width="19" customWidth="1"/>
    <col min="3587" max="3587" width="18.5703125" customWidth="1"/>
    <col min="3588" max="3588" width="16.42578125" customWidth="1"/>
    <col min="3589" max="3589" width="16.85546875" customWidth="1"/>
    <col min="3590" max="3590" width="17.7109375" customWidth="1"/>
    <col min="3591" max="3595" width="13.5703125" bestFit="1" customWidth="1"/>
    <col min="3596" max="3598" width="12.7109375" bestFit="1" customWidth="1"/>
    <col min="3599" max="3599" width="13.7109375" bestFit="1" customWidth="1"/>
    <col min="3841" max="3841" width="15" customWidth="1"/>
    <col min="3842" max="3842" width="19" customWidth="1"/>
    <col min="3843" max="3843" width="18.5703125" customWidth="1"/>
    <col min="3844" max="3844" width="16.42578125" customWidth="1"/>
    <col min="3845" max="3845" width="16.85546875" customWidth="1"/>
    <col min="3846" max="3846" width="17.7109375" customWidth="1"/>
    <col min="3847" max="3851" width="13.5703125" bestFit="1" customWidth="1"/>
    <col min="3852" max="3854" width="12.7109375" bestFit="1" customWidth="1"/>
    <col min="3855" max="3855" width="13.7109375" bestFit="1" customWidth="1"/>
    <col min="4097" max="4097" width="15" customWidth="1"/>
    <col min="4098" max="4098" width="19" customWidth="1"/>
    <col min="4099" max="4099" width="18.5703125" customWidth="1"/>
    <col min="4100" max="4100" width="16.42578125" customWidth="1"/>
    <col min="4101" max="4101" width="16.85546875" customWidth="1"/>
    <col min="4102" max="4102" width="17.7109375" customWidth="1"/>
    <col min="4103" max="4107" width="13.5703125" bestFit="1" customWidth="1"/>
    <col min="4108" max="4110" width="12.7109375" bestFit="1" customWidth="1"/>
    <col min="4111" max="4111" width="13.7109375" bestFit="1" customWidth="1"/>
    <col min="4353" max="4353" width="15" customWidth="1"/>
    <col min="4354" max="4354" width="19" customWidth="1"/>
    <col min="4355" max="4355" width="18.5703125" customWidth="1"/>
    <col min="4356" max="4356" width="16.42578125" customWidth="1"/>
    <col min="4357" max="4357" width="16.85546875" customWidth="1"/>
    <col min="4358" max="4358" width="17.7109375" customWidth="1"/>
    <col min="4359" max="4363" width="13.5703125" bestFit="1" customWidth="1"/>
    <col min="4364" max="4366" width="12.7109375" bestFit="1" customWidth="1"/>
    <col min="4367" max="4367" width="13.7109375" bestFit="1" customWidth="1"/>
    <col min="4609" max="4609" width="15" customWidth="1"/>
    <col min="4610" max="4610" width="19" customWidth="1"/>
    <col min="4611" max="4611" width="18.5703125" customWidth="1"/>
    <col min="4612" max="4612" width="16.42578125" customWidth="1"/>
    <col min="4613" max="4613" width="16.85546875" customWidth="1"/>
    <col min="4614" max="4614" width="17.7109375" customWidth="1"/>
    <col min="4615" max="4619" width="13.5703125" bestFit="1" customWidth="1"/>
    <col min="4620" max="4622" width="12.7109375" bestFit="1" customWidth="1"/>
    <col min="4623" max="4623" width="13.7109375" bestFit="1" customWidth="1"/>
    <col min="4865" max="4865" width="15" customWidth="1"/>
    <col min="4866" max="4866" width="19" customWidth="1"/>
    <col min="4867" max="4867" width="18.5703125" customWidth="1"/>
    <col min="4868" max="4868" width="16.42578125" customWidth="1"/>
    <col min="4869" max="4869" width="16.85546875" customWidth="1"/>
    <col min="4870" max="4870" width="17.7109375" customWidth="1"/>
    <col min="4871" max="4875" width="13.5703125" bestFit="1" customWidth="1"/>
    <col min="4876" max="4878" width="12.7109375" bestFit="1" customWidth="1"/>
    <col min="4879" max="4879" width="13.7109375" bestFit="1" customWidth="1"/>
    <col min="5121" max="5121" width="15" customWidth="1"/>
    <col min="5122" max="5122" width="19" customWidth="1"/>
    <col min="5123" max="5123" width="18.5703125" customWidth="1"/>
    <col min="5124" max="5124" width="16.42578125" customWidth="1"/>
    <col min="5125" max="5125" width="16.85546875" customWidth="1"/>
    <col min="5126" max="5126" width="17.7109375" customWidth="1"/>
    <col min="5127" max="5131" width="13.5703125" bestFit="1" customWidth="1"/>
    <col min="5132" max="5134" width="12.7109375" bestFit="1" customWidth="1"/>
    <col min="5135" max="5135" width="13.7109375" bestFit="1" customWidth="1"/>
    <col min="5377" max="5377" width="15" customWidth="1"/>
    <col min="5378" max="5378" width="19" customWidth="1"/>
    <col min="5379" max="5379" width="18.5703125" customWidth="1"/>
    <col min="5380" max="5380" width="16.42578125" customWidth="1"/>
    <col min="5381" max="5381" width="16.85546875" customWidth="1"/>
    <col min="5382" max="5382" width="17.7109375" customWidth="1"/>
    <col min="5383" max="5387" width="13.5703125" bestFit="1" customWidth="1"/>
    <col min="5388" max="5390" width="12.7109375" bestFit="1" customWidth="1"/>
    <col min="5391" max="5391" width="13.7109375" bestFit="1" customWidth="1"/>
    <col min="5633" max="5633" width="15" customWidth="1"/>
    <col min="5634" max="5634" width="19" customWidth="1"/>
    <col min="5635" max="5635" width="18.5703125" customWidth="1"/>
    <col min="5636" max="5636" width="16.42578125" customWidth="1"/>
    <col min="5637" max="5637" width="16.85546875" customWidth="1"/>
    <col min="5638" max="5638" width="17.7109375" customWidth="1"/>
    <col min="5639" max="5643" width="13.5703125" bestFit="1" customWidth="1"/>
    <col min="5644" max="5646" width="12.7109375" bestFit="1" customWidth="1"/>
    <col min="5647" max="5647" width="13.7109375" bestFit="1" customWidth="1"/>
    <col min="5889" max="5889" width="15" customWidth="1"/>
    <col min="5890" max="5890" width="19" customWidth="1"/>
    <col min="5891" max="5891" width="18.5703125" customWidth="1"/>
    <col min="5892" max="5892" width="16.42578125" customWidth="1"/>
    <col min="5893" max="5893" width="16.85546875" customWidth="1"/>
    <col min="5894" max="5894" width="17.7109375" customWidth="1"/>
    <col min="5895" max="5899" width="13.5703125" bestFit="1" customWidth="1"/>
    <col min="5900" max="5902" width="12.7109375" bestFit="1" customWidth="1"/>
    <col min="5903" max="5903" width="13.7109375" bestFit="1" customWidth="1"/>
    <col min="6145" max="6145" width="15" customWidth="1"/>
    <col min="6146" max="6146" width="19" customWidth="1"/>
    <col min="6147" max="6147" width="18.5703125" customWidth="1"/>
    <col min="6148" max="6148" width="16.42578125" customWidth="1"/>
    <col min="6149" max="6149" width="16.85546875" customWidth="1"/>
    <col min="6150" max="6150" width="17.7109375" customWidth="1"/>
    <col min="6151" max="6155" width="13.5703125" bestFit="1" customWidth="1"/>
    <col min="6156" max="6158" width="12.7109375" bestFit="1" customWidth="1"/>
    <col min="6159" max="6159" width="13.7109375" bestFit="1" customWidth="1"/>
    <col min="6401" max="6401" width="15" customWidth="1"/>
    <col min="6402" max="6402" width="19" customWidth="1"/>
    <col min="6403" max="6403" width="18.5703125" customWidth="1"/>
    <col min="6404" max="6404" width="16.42578125" customWidth="1"/>
    <col min="6405" max="6405" width="16.85546875" customWidth="1"/>
    <col min="6406" max="6406" width="17.7109375" customWidth="1"/>
    <col min="6407" max="6411" width="13.5703125" bestFit="1" customWidth="1"/>
    <col min="6412" max="6414" width="12.7109375" bestFit="1" customWidth="1"/>
    <col min="6415" max="6415" width="13.7109375" bestFit="1" customWidth="1"/>
    <col min="6657" max="6657" width="15" customWidth="1"/>
    <col min="6658" max="6658" width="19" customWidth="1"/>
    <col min="6659" max="6659" width="18.5703125" customWidth="1"/>
    <col min="6660" max="6660" width="16.42578125" customWidth="1"/>
    <col min="6661" max="6661" width="16.85546875" customWidth="1"/>
    <col min="6662" max="6662" width="17.7109375" customWidth="1"/>
    <col min="6663" max="6667" width="13.5703125" bestFit="1" customWidth="1"/>
    <col min="6668" max="6670" width="12.7109375" bestFit="1" customWidth="1"/>
    <col min="6671" max="6671" width="13.7109375" bestFit="1" customWidth="1"/>
    <col min="6913" max="6913" width="15" customWidth="1"/>
    <col min="6914" max="6914" width="19" customWidth="1"/>
    <col min="6915" max="6915" width="18.5703125" customWidth="1"/>
    <col min="6916" max="6916" width="16.42578125" customWidth="1"/>
    <col min="6917" max="6917" width="16.85546875" customWidth="1"/>
    <col min="6918" max="6918" width="17.7109375" customWidth="1"/>
    <col min="6919" max="6923" width="13.5703125" bestFit="1" customWidth="1"/>
    <col min="6924" max="6926" width="12.7109375" bestFit="1" customWidth="1"/>
    <col min="6927" max="6927" width="13.7109375" bestFit="1" customWidth="1"/>
    <col min="7169" max="7169" width="15" customWidth="1"/>
    <col min="7170" max="7170" width="19" customWidth="1"/>
    <col min="7171" max="7171" width="18.5703125" customWidth="1"/>
    <col min="7172" max="7172" width="16.42578125" customWidth="1"/>
    <col min="7173" max="7173" width="16.85546875" customWidth="1"/>
    <col min="7174" max="7174" width="17.7109375" customWidth="1"/>
    <col min="7175" max="7179" width="13.5703125" bestFit="1" customWidth="1"/>
    <col min="7180" max="7182" width="12.7109375" bestFit="1" customWidth="1"/>
    <col min="7183" max="7183" width="13.7109375" bestFit="1" customWidth="1"/>
    <col min="7425" max="7425" width="15" customWidth="1"/>
    <col min="7426" max="7426" width="19" customWidth="1"/>
    <col min="7427" max="7427" width="18.5703125" customWidth="1"/>
    <col min="7428" max="7428" width="16.42578125" customWidth="1"/>
    <col min="7429" max="7429" width="16.85546875" customWidth="1"/>
    <col min="7430" max="7430" width="17.7109375" customWidth="1"/>
    <col min="7431" max="7435" width="13.5703125" bestFit="1" customWidth="1"/>
    <col min="7436" max="7438" width="12.7109375" bestFit="1" customWidth="1"/>
    <col min="7439" max="7439" width="13.7109375" bestFit="1" customWidth="1"/>
    <col min="7681" max="7681" width="15" customWidth="1"/>
    <col min="7682" max="7682" width="19" customWidth="1"/>
    <col min="7683" max="7683" width="18.5703125" customWidth="1"/>
    <col min="7684" max="7684" width="16.42578125" customWidth="1"/>
    <col min="7685" max="7685" width="16.85546875" customWidth="1"/>
    <col min="7686" max="7686" width="17.7109375" customWidth="1"/>
    <col min="7687" max="7691" width="13.5703125" bestFit="1" customWidth="1"/>
    <col min="7692" max="7694" width="12.7109375" bestFit="1" customWidth="1"/>
    <col min="7695" max="7695" width="13.7109375" bestFit="1" customWidth="1"/>
    <col min="7937" max="7937" width="15" customWidth="1"/>
    <col min="7938" max="7938" width="19" customWidth="1"/>
    <col min="7939" max="7939" width="18.5703125" customWidth="1"/>
    <col min="7940" max="7940" width="16.42578125" customWidth="1"/>
    <col min="7941" max="7941" width="16.85546875" customWidth="1"/>
    <col min="7942" max="7942" width="17.7109375" customWidth="1"/>
    <col min="7943" max="7947" width="13.5703125" bestFit="1" customWidth="1"/>
    <col min="7948" max="7950" width="12.7109375" bestFit="1" customWidth="1"/>
    <col min="7951" max="7951" width="13.7109375" bestFit="1" customWidth="1"/>
    <col min="8193" max="8193" width="15" customWidth="1"/>
    <col min="8194" max="8194" width="19" customWidth="1"/>
    <col min="8195" max="8195" width="18.5703125" customWidth="1"/>
    <col min="8196" max="8196" width="16.42578125" customWidth="1"/>
    <col min="8197" max="8197" width="16.85546875" customWidth="1"/>
    <col min="8198" max="8198" width="17.7109375" customWidth="1"/>
    <col min="8199" max="8203" width="13.5703125" bestFit="1" customWidth="1"/>
    <col min="8204" max="8206" width="12.7109375" bestFit="1" customWidth="1"/>
    <col min="8207" max="8207" width="13.7109375" bestFit="1" customWidth="1"/>
    <col min="8449" max="8449" width="15" customWidth="1"/>
    <col min="8450" max="8450" width="19" customWidth="1"/>
    <col min="8451" max="8451" width="18.5703125" customWidth="1"/>
    <col min="8452" max="8452" width="16.42578125" customWidth="1"/>
    <col min="8453" max="8453" width="16.85546875" customWidth="1"/>
    <col min="8454" max="8454" width="17.7109375" customWidth="1"/>
    <col min="8455" max="8459" width="13.5703125" bestFit="1" customWidth="1"/>
    <col min="8460" max="8462" width="12.7109375" bestFit="1" customWidth="1"/>
    <col min="8463" max="8463" width="13.7109375" bestFit="1" customWidth="1"/>
    <col min="8705" max="8705" width="15" customWidth="1"/>
    <col min="8706" max="8706" width="19" customWidth="1"/>
    <col min="8707" max="8707" width="18.5703125" customWidth="1"/>
    <col min="8708" max="8708" width="16.42578125" customWidth="1"/>
    <col min="8709" max="8709" width="16.85546875" customWidth="1"/>
    <col min="8710" max="8710" width="17.7109375" customWidth="1"/>
    <col min="8711" max="8715" width="13.5703125" bestFit="1" customWidth="1"/>
    <col min="8716" max="8718" width="12.7109375" bestFit="1" customWidth="1"/>
    <col min="8719" max="8719" width="13.7109375" bestFit="1" customWidth="1"/>
    <col min="8961" max="8961" width="15" customWidth="1"/>
    <col min="8962" max="8962" width="19" customWidth="1"/>
    <col min="8963" max="8963" width="18.5703125" customWidth="1"/>
    <col min="8964" max="8964" width="16.42578125" customWidth="1"/>
    <col min="8965" max="8965" width="16.85546875" customWidth="1"/>
    <col min="8966" max="8966" width="17.7109375" customWidth="1"/>
    <col min="8967" max="8971" width="13.5703125" bestFit="1" customWidth="1"/>
    <col min="8972" max="8974" width="12.7109375" bestFit="1" customWidth="1"/>
    <col min="8975" max="8975" width="13.7109375" bestFit="1" customWidth="1"/>
    <col min="9217" max="9217" width="15" customWidth="1"/>
    <col min="9218" max="9218" width="19" customWidth="1"/>
    <col min="9219" max="9219" width="18.5703125" customWidth="1"/>
    <col min="9220" max="9220" width="16.42578125" customWidth="1"/>
    <col min="9221" max="9221" width="16.85546875" customWidth="1"/>
    <col min="9222" max="9222" width="17.7109375" customWidth="1"/>
    <col min="9223" max="9227" width="13.5703125" bestFit="1" customWidth="1"/>
    <col min="9228" max="9230" width="12.7109375" bestFit="1" customWidth="1"/>
    <col min="9231" max="9231" width="13.7109375" bestFit="1" customWidth="1"/>
    <col min="9473" max="9473" width="15" customWidth="1"/>
    <col min="9474" max="9474" width="19" customWidth="1"/>
    <col min="9475" max="9475" width="18.5703125" customWidth="1"/>
    <col min="9476" max="9476" width="16.42578125" customWidth="1"/>
    <col min="9477" max="9477" width="16.85546875" customWidth="1"/>
    <col min="9478" max="9478" width="17.7109375" customWidth="1"/>
    <col min="9479" max="9483" width="13.5703125" bestFit="1" customWidth="1"/>
    <col min="9484" max="9486" width="12.7109375" bestFit="1" customWidth="1"/>
    <col min="9487" max="9487" width="13.7109375" bestFit="1" customWidth="1"/>
    <col min="9729" max="9729" width="15" customWidth="1"/>
    <col min="9730" max="9730" width="19" customWidth="1"/>
    <col min="9731" max="9731" width="18.5703125" customWidth="1"/>
    <col min="9732" max="9732" width="16.42578125" customWidth="1"/>
    <col min="9733" max="9733" width="16.85546875" customWidth="1"/>
    <col min="9734" max="9734" width="17.7109375" customWidth="1"/>
    <col min="9735" max="9739" width="13.5703125" bestFit="1" customWidth="1"/>
    <col min="9740" max="9742" width="12.7109375" bestFit="1" customWidth="1"/>
    <col min="9743" max="9743" width="13.7109375" bestFit="1" customWidth="1"/>
    <col min="9985" max="9985" width="15" customWidth="1"/>
    <col min="9986" max="9986" width="19" customWidth="1"/>
    <col min="9987" max="9987" width="18.5703125" customWidth="1"/>
    <col min="9988" max="9988" width="16.42578125" customWidth="1"/>
    <col min="9989" max="9989" width="16.85546875" customWidth="1"/>
    <col min="9990" max="9990" width="17.7109375" customWidth="1"/>
    <col min="9991" max="9995" width="13.5703125" bestFit="1" customWidth="1"/>
    <col min="9996" max="9998" width="12.7109375" bestFit="1" customWidth="1"/>
    <col min="9999" max="9999" width="13.7109375" bestFit="1" customWidth="1"/>
    <col min="10241" max="10241" width="15" customWidth="1"/>
    <col min="10242" max="10242" width="19" customWidth="1"/>
    <col min="10243" max="10243" width="18.5703125" customWidth="1"/>
    <col min="10244" max="10244" width="16.42578125" customWidth="1"/>
    <col min="10245" max="10245" width="16.85546875" customWidth="1"/>
    <col min="10246" max="10246" width="17.7109375" customWidth="1"/>
    <col min="10247" max="10251" width="13.5703125" bestFit="1" customWidth="1"/>
    <col min="10252" max="10254" width="12.7109375" bestFit="1" customWidth="1"/>
    <col min="10255" max="10255" width="13.7109375" bestFit="1" customWidth="1"/>
    <col min="10497" max="10497" width="15" customWidth="1"/>
    <col min="10498" max="10498" width="19" customWidth="1"/>
    <col min="10499" max="10499" width="18.5703125" customWidth="1"/>
    <col min="10500" max="10500" width="16.42578125" customWidth="1"/>
    <col min="10501" max="10501" width="16.85546875" customWidth="1"/>
    <col min="10502" max="10502" width="17.7109375" customWidth="1"/>
    <col min="10503" max="10507" width="13.5703125" bestFit="1" customWidth="1"/>
    <col min="10508" max="10510" width="12.7109375" bestFit="1" customWidth="1"/>
    <col min="10511" max="10511" width="13.7109375" bestFit="1" customWidth="1"/>
    <col min="10753" max="10753" width="15" customWidth="1"/>
    <col min="10754" max="10754" width="19" customWidth="1"/>
    <col min="10755" max="10755" width="18.5703125" customWidth="1"/>
    <col min="10756" max="10756" width="16.42578125" customWidth="1"/>
    <col min="10757" max="10757" width="16.85546875" customWidth="1"/>
    <col min="10758" max="10758" width="17.7109375" customWidth="1"/>
    <col min="10759" max="10763" width="13.5703125" bestFit="1" customWidth="1"/>
    <col min="10764" max="10766" width="12.7109375" bestFit="1" customWidth="1"/>
    <col min="10767" max="10767" width="13.7109375" bestFit="1" customWidth="1"/>
    <col min="11009" max="11009" width="15" customWidth="1"/>
    <col min="11010" max="11010" width="19" customWidth="1"/>
    <col min="11011" max="11011" width="18.5703125" customWidth="1"/>
    <col min="11012" max="11012" width="16.42578125" customWidth="1"/>
    <col min="11013" max="11013" width="16.85546875" customWidth="1"/>
    <col min="11014" max="11014" width="17.7109375" customWidth="1"/>
    <col min="11015" max="11019" width="13.5703125" bestFit="1" customWidth="1"/>
    <col min="11020" max="11022" width="12.7109375" bestFit="1" customWidth="1"/>
    <col min="11023" max="11023" width="13.7109375" bestFit="1" customWidth="1"/>
    <col min="11265" max="11265" width="15" customWidth="1"/>
    <col min="11266" max="11266" width="19" customWidth="1"/>
    <col min="11267" max="11267" width="18.5703125" customWidth="1"/>
    <col min="11268" max="11268" width="16.42578125" customWidth="1"/>
    <col min="11269" max="11269" width="16.85546875" customWidth="1"/>
    <col min="11270" max="11270" width="17.7109375" customWidth="1"/>
    <col min="11271" max="11275" width="13.5703125" bestFit="1" customWidth="1"/>
    <col min="11276" max="11278" width="12.7109375" bestFit="1" customWidth="1"/>
    <col min="11279" max="11279" width="13.7109375" bestFit="1" customWidth="1"/>
    <col min="11521" max="11521" width="15" customWidth="1"/>
    <col min="11522" max="11522" width="19" customWidth="1"/>
    <col min="11523" max="11523" width="18.5703125" customWidth="1"/>
    <col min="11524" max="11524" width="16.42578125" customWidth="1"/>
    <col min="11525" max="11525" width="16.85546875" customWidth="1"/>
    <col min="11526" max="11526" width="17.7109375" customWidth="1"/>
    <col min="11527" max="11531" width="13.5703125" bestFit="1" customWidth="1"/>
    <col min="11532" max="11534" width="12.7109375" bestFit="1" customWidth="1"/>
    <col min="11535" max="11535" width="13.7109375" bestFit="1" customWidth="1"/>
    <col min="11777" max="11777" width="15" customWidth="1"/>
    <col min="11778" max="11778" width="19" customWidth="1"/>
    <col min="11779" max="11779" width="18.5703125" customWidth="1"/>
    <col min="11780" max="11780" width="16.42578125" customWidth="1"/>
    <col min="11781" max="11781" width="16.85546875" customWidth="1"/>
    <col min="11782" max="11782" width="17.7109375" customWidth="1"/>
    <col min="11783" max="11787" width="13.5703125" bestFit="1" customWidth="1"/>
    <col min="11788" max="11790" width="12.7109375" bestFit="1" customWidth="1"/>
    <col min="11791" max="11791" width="13.7109375" bestFit="1" customWidth="1"/>
    <col min="12033" max="12033" width="15" customWidth="1"/>
    <col min="12034" max="12034" width="19" customWidth="1"/>
    <col min="12035" max="12035" width="18.5703125" customWidth="1"/>
    <col min="12036" max="12036" width="16.42578125" customWidth="1"/>
    <col min="12037" max="12037" width="16.85546875" customWidth="1"/>
    <col min="12038" max="12038" width="17.7109375" customWidth="1"/>
    <col min="12039" max="12043" width="13.5703125" bestFit="1" customWidth="1"/>
    <col min="12044" max="12046" width="12.7109375" bestFit="1" customWidth="1"/>
    <col min="12047" max="12047" width="13.7109375" bestFit="1" customWidth="1"/>
    <col min="12289" max="12289" width="15" customWidth="1"/>
    <col min="12290" max="12290" width="19" customWidth="1"/>
    <col min="12291" max="12291" width="18.5703125" customWidth="1"/>
    <col min="12292" max="12292" width="16.42578125" customWidth="1"/>
    <col min="12293" max="12293" width="16.85546875" customWidth="1"/>
    <col min="12294" max="12294" width="17.7109375" customWidth="1"/>
    <col min="12295" max="12299" width="13.5703125" bestFit="1" customWidth="1"/>
    <col min="12300" max="12302" width="12.7109375" bestFit="1" customWidth="1"/>
    <col min="12303" max="12303" width="13.7109375" bestFit="1" customWidth="1"/>
    <col min="12545" max="12545" width="15" customWidth="1"/>
    <col min="12546" max="12546" width="19" customWidth="1"/>
    <col min="12547" max="12547" width="18.5703125" customWidth="1"/>
    <col min="12548" max="12548" width="16.42578125" customWidth="1"/>
    <col min="12549" max="12549" width="16.85546875" customWidth="1"/>
    <col min="12550" max="12550" width="17.7109375" customWidth="1"/>
    <col min="12551" max="12555" width="13.5703125" bestFit="1" customWidth="1"/>
    <col min="12556" max="12558" width="12.7109375" bestFit="1" customWidth="1"/>
    <col min="12559" max="12559" width="13.7109375" bestFit="1" customWidth="1"/>
    <col min="12801" max="12801" width="15" customWidth="1"/>
    <col min="12802" max="12802" width="19" customWidth="1"/>
    <col min="12803" max="12803" width="18.5703125" customWidth="1"/>
    <col min="12804" max="12804" width="16.42578125" customWidth="1"/>
    <col min="12805" max="12805" width="16.85546875" customWidth="1"/>
    <col min="12806" max="12806" width="17.7109375" customWidth="1"/>
    <col min="12807" max="12811" width="13.5703125" bestFit="1" customWidth="1"/>
    <col min="12812" max="12814" width="12.7109375" bestFit="1" customWidth="1"/>
    <col min="12815" max="12815" width="13.7109375" bestFit="1" customWidth="1"/>
    <col min="13057" max="13057" width="15" customWidth="1"/>
    <col min="13058" max="13058" width="19" customWidth="1"/>
    <col min="13059" max="13059" width="18.5703125" customWidth="1"/>
    <col min="13060" max="13060" width="16.42578125" customWidth="1"/>
    <col min="13061" max="13061" width="16.85546875" customWidth="1"/>
    <col min="13062" max="13062" width="17.7109375" customWidth="1"/>
    <col min="13063" max="13067" width="13.5703125" bestFit="1" customWidth="1"/>
    <col min="13068" max="13070" width="12.7109375" bestFit="1" customWidth="1"/>
    <col min="13071" max="13071" width="13.7109375" bestFit="1" customWidth="1"/>
    <col min="13313" max="13313" width="15" customWidth="1"/>
    <col min="13314" max="13314" width="19" customWidth="1"/>
    <col min="13315" max="13315" width="18.5703125" customWidth="1"/>
    <col min="13316" max="13316" width="16.42578125" customWidth="1"/>
    <col min="13317" max="13317" width="16.85546875" customWidth="1"/>
    <col min="13318" max="13318" width="17.7109375" customWidth="1"/>
    <col min="13319" max="13323" width="13.5703125" bestFit="1" customWidth="1"/>
    <col min="13324" max="13326" width="12.7109375" bestFit="1" customWidth="1"/>
    <col min="13327" max="13327" width="13.7109375" bestFit="1" customWidth="1"/>
    <col min="13569" max="13569" width="15" customWidth="1"/>
    <col min="13570" max="13570" width="19" customWidth="1"/>
    <col min="13571" max="13571" width="18.5703125" customWidth="1"/>
    <col min="13572" max="13572" width="16.42578125" customWidth="1"/>
    <col min="13573" max="13573" width="16.85546875" customWidth="1"/>
    <col min="13574" max="13574" width="17.7109375" customWidth="1"/>
    <col min="13575" max="13579" width="13.5703125" bestFit="1" customWidth="1"/>
    <col min="13580" max="13582" width="12.7109375" bestFit="1" customWidth="1"/>
    <col min="13583" max="13583" width="13.7109375" bestFit="1" customWidth="1"/>
    <col min="13825" max="13825" width="15" customWidth="1"/>
    <col min="13826" max="13826" width="19" customWidth="1"/>
    <col min="13827" max="13827" width="18.5703125" customWidth="1"/>
    <col min="13828" max="13828" width="16.42578125" customWidth="1"/>
    <col min="13829" max="13829" width="16.85546875" customWidth="1"/>
    <col min="13830" max="13830" width="17.7109375" customWidth="1"/>
    <col min="13831" max="13835" width="13.5703125" bestFit="1" customWidth="1"/>
    <col min="13836" max="13838" width="12.7109375" bestFit="1" customWidth="1"/>
    <col min="13839" max="13839" width="13.7109375" bestFit="1" customWidth="1"/>
    <col min="14081" max="14081" width="15" customWidth="1"/>
    <col min="14082" max="14082" width="19" customWidth="1"/>
    <col min="14083" max="14083" width="18.5703125" customWidth="1"/>
    <col min="14084" max="14084" width="16.42578125" customWidth="1"/>
    <col min="14085" max="14085" width="16.85546875" customWidth="1"/>
    <col min="14086" max="14086" width="17.7109375" customWidth="1"/>
    <col min="14087" max="14091" width="13.5703125" bestFit="1" customWidth="1"/>
    <col min="14092" max="14094" width="12.7109375" bestFit="1" customWidth="1"/>
    <col min="14095" max="14095" width="13.7109375" bestFit="1" customWidth="1"/>
    <col min="14337" max="14337" width="15" customWidth="1"/>
    <col min="14338" max="14338" width="19" customWidth="1"/>
    <col min="14339" max="14339" width="18.5703125" customWidth="1"/>
    <col min="14340" max="14340" width="16.42578125" customWidth="1"/>
    <col min="14341" max="14341" width="16.85546875" customWidth="1"/>
    <col min="14342" max="14342" width="17.7109375" customWidth="1"/>
    <col min="14343" max="14347" width="13.5703125" bestFit="1" customWidth="1"/>
    <col min="14348" max="14350" width="12.7109375" bestFit="1" customWidth="1"/>
    <col min="14351" max="14351" width="13.7109375" bestFit="1" customWidth="1"/>
    <col min="14593" max="14593" width="15" customWidth="1"/>
    <col min="14594" max="14594" width="19" customWidth="1"/>
    <col min="14595" max="14595" width="18.5703125" customWidth="1"/>
    <col min="14596" max="14596" width="16.42578125" customWidth="1"/>
    <col min="14597" max="14597" width="16.85546875" customWidth="1"/>
    <col min="14598" max="14598" width="17.7109375" customWidth="1"/>
    <col min="14599" max="14603" width="13.5703125" bestFit="1" customWidth="1"/>
    <col min="14604" max="14606" width="12.7109375" bestFit="1" customWidth="1"/>
    <col min="14607" max="14607" width="13.7109375" bestFit="1" customWidth="1"/>
    <col min="14849" max="14849" width="15" customWidth="1"/>
    <col min="14850" max="14850" width="19" customWidth="1"/>
    <col min="14851" max="14851" width="18.5703125" customWidth="1"/>
    <col min="14852" max="14852" width="16.42578125" customWidth="1"/>
    <col min="14853" max="14853" width="16.85546875" customWidth="1"/>
    <col min="14854" max="14854" width="17.7109375" customWidth="1"/>
    <col min="14855" max="14859" width="13.5703125" bestFit="1" customWidth="1"/>
    <col min="14860" max="14862" width="12.7109375" bestFit="1" customWidth="1"/>
    <col min="14863" max="14863" width="13.7109375" bestFit="1" customWidth="1"/>
    <col min="15105" max="15105" width="15" customWidth="1"/>
    <col min="15106" max="15106" width="19" customWidth="1"/>
    <col min="15107" max="15107" width="18.5703125" customWidth="1"/>
    <col min="15108" max="15108" width="16.42578125" customWidth="1"/>
    <col min="15109" max="15109" width="16.85546875" customWidth="1"/>
    <col min="15110" max="15110" width="17.7109375" customWidth="1"/>
    <col min="15111" max="15115" width="13.5703125" bestFit="1" customWidth="1"/>
    <col min="15116" max="15118" width="12.7109375" bestFit="1" customWidth="1"/>
    <col min="15119" max="15119" width="13.7109375" bestFit="1" customWidth="1"/>
    <col min="15361" max="15361" width="15" customWidth="1"/>
    <col min="15362" max="15362" width="19" customWidth="1"/>
    <col min="15363" max="15363" width="18.5703125" customWidth="1"/>
    <col min="15364" max="15364" width="16.42578125" customWidth="1"/>
    <col min="15365" max="15365" width="16.85546875" customWidth="1"/>
    <col min="15366" max="15366" width="17.7109375" customWidth="1"/>
    <col min="15367" max="15371" width="13.5703125" bestFit="1" customWidth="1"/>
    <col min="15372" max="15374" width="12.7109375" bestFit="1" customWidth="1"/>
    <col min="15375" max="15375" width="13.7109375" bestFit="1" customWidth="1"/>
    <col min="15617" max="15617" width="15" customWidth="1"/>
    <col min="15618" max="15618" width="19" customWidth="1"/>
    <col min="15619" max="15619" width="18.5703125" customWidth="1"/>
    <col min="15620" max="15620" width="16.42578125" customWidth="1"/>
    <col min="15621" max="15621" width="16.85546875" customWidth="1"/>
    <col min="15622" max="15622" width="17.7109375" customWidth="1"/>
    <col min="15623" max="15627" width="13.5703125" bestFit="1" customWidth="1"/>
    <col min="15628" max="15630" width="12.7109375" bestFit="1" customWidth="1"/>
    <col min="15631" max="15631" width="13.7109375" bestFit="1" customWidth="1"/>
    <col min="15873" max="15873" width="15" customWidth="1"/>
    <col min="15874" max="15874" width="19" customWidth="1"/>
    <col min="15875" max="15875" width="18.5703125" customWidth="1"/>
    <col min="15876" max="15876" width="16.42578125" customWidth="1"/>
    <col min="15877" max="15877" width="16.85546875" customWidth="1"/>
    <col min="15878" max="15878" width="17.7109375" customWidth="1"/>
    <col min="15879" max="15883" width="13.5703125" bestFit="1" customWidth="1"/>
    <col min="15884" max="15886" width="12.7109375" bestFit="1" customWidth="1"/>
    <col min="15887" max="15887" width="13.7109375" bestFit="1" customWidth="1"/>
    <col min="16129" max="16129" width="15" customWidth="1"/>
    <col min="16130" max="16130" width="19" customWidth="1"/>
    <col min="16131" max="16131" width="18.5703125" customWidth="1"/>
    <col min="16132" max="16132" width="16.42578125" customWidth="1"/>
    <col min="16133" max="16133" width="16.85546875" customWidth="1"/>
    <col min="16134" max="16134" width="17.7109375" customWidth="1"/>
    <col min="16135" max="16139" width="13.5703125" bestFit="1" customWidth="1"/>
    <col min="16140" max="16142" width="12.7109375" bestFit="1" customWidth="1"/>
    <col min="16143" max="16143" width="13.7109375" bestFit="1" customWidth="1"/>
  </cols>
  <sheetData>
    <row r="1" spans="1:12" ht="15.75" x14ac:dyDescent="0.25">
      <c r="A1" s="500" t="s">
        <v>2</v>
      </c>
      <c r="B1" s="501"/>
      <c r="C1" s="501"/>
      <c r="D1" s="501"/>
      <c r="E1" s="501"/>
      <c r="F1" s="501"/>
      <c r="G1" s="501"/>
      <c r="H1" s="501"/>
    </row>
    <row r="2" spans="1:12" ht="15.75" x14ac:dyDescent="0.25">
      <c r="A2" s="500" t="s">
        <v>3066</v>
      </c>
      <c r="B2" s="501"/>
      <c r="C2" s="501"/>
      <c r="D2" s="501"/>
      <c r="E2" s="501"/>
      <c r="F2" s="501"/>
      <c r="G2" s="501"/>
      <c r="H2" s="501"/>
    </row>
    <row r="3" spans="1:12" ht="15.75" x14ac:dyDescent="0.25">
      <c r="A3" s="500" t="s">
        <v>3067</v>
      </c>
      <c r="B3" s="501"/>
      <c r="C3" s="501"/>
      <c r="D3" s="501"/>
      <c r="E3" s="501"/>
      <c r="F3" s="501"/>
      <c r="G3" s="501"/>
      <c r="H3" s="501"/>
    </row>
    <row r="4" spans="1:12" ht="15.75" x14ac:dyDescent="0.25">
      <c r="A4" s="500" t="s">
        <v>3091</v>
      </c>
      <c r="B4" s="501"/>
      <c r="C4" s="501"/>
      <c r="D4" s="501"/>
      <c r="E4" s="501"/>
      <c r="F4" s="501"/>
      <c r="G4" s="501"/>
      <c r="H4" s="501"/>
    </row>
    <row r="5" spans="1:12" s="348" customFormat="1" ht="45.75" thickBot="1" x14ac:dyDescent="0.3">
      <c r="A5" s="428" t="s">
        <v>5</v>
      </c>
      <c r="B5" s="429" t="s">
        <v>6</v>
      </c>
      <c r="C5" s="430" t="s">
        <v>7</v>
      </c>
      <c r="D5" s="430" t="s">
        <v>40</v>
      </c>
      <c r="E5" s="430" t="s">
        <v>41</v>
      </c>
      <c r="F5" s="430" t="s">
        <v>3135</v>
      </c>
      <c r="G5" s="430" t="s">
        <v>383</v>
      </c>
      <c r="H5" s="431" t="s">
        <v>8</v>
      </c>
    </row>
    <row r="6" spans="1:12" x14ac:dyDescent="0.25">
      <c r="A6" s="326">
        <v>42740</v>
      </c>
      <c r="B6" s="300" t="s">
        <v>359</v>
      </c>
      <c r="C6" s="327">
        <v>0</v>
      </c>
      <c r="D6" s="327">
        <v>0</v>
      </c>
      <c r="E6" s="327"/>
      <c r="F6" s="327"/>
      <c r="G6" s="327"/>
      <c r="H6" s="328">
        <v>39999999817</v>
      </c>
      <c r="I6" s="54"/>
      <c r="J6" s="54"/>
    </row>
    <row r="7" spans="1:12" x14ac:dyDescent="0.25">
      <c r="A7" s="329">
        <v>42830</v>
      </c>
      <c r="B7" s="297" t="s">
        <v>9</v>
      </c>
      <c r="C7" s="294">
        <v>0</v>
      </c>
      <c r="D7" s="294">
        <f>(H6*$B$62*$B$63)/360</f>
        <v>694864996.82099271</v>
      </c>
      <c r="E7" s="294">
        <v>694864999.82099271</v>
      </c>
      <c r="F7" s="294"/>
      <c r="G7" s="294">
        <f>C7+E7+F7</f>
        <v>694864999.82099271</v>
      </c>
      <c r="H7" s="298">
        <f>+H6-C7</f>
        <v>39999999817</v>
      </c>
      <c r="I7" s="54"/>
    </row>
    <row r="8" spans="1:12" x14ac:dyDescent="0.25">
      <c r="A8" s="329">
        <v>42921</v>
      </c>
      <c r="B8" s="297" t="s">
        <v>9</v>
      </c>
      <c r="C8" s="294">
        <v>0</v>
      </c>
      <c r="D8" s="294">
        <f>(H7*$C$62*$C$63)/360</f>
        <v>667970996.94403267</v>
      </c>
      <c r="E8" s="294">
        <v>667970999.94403267</v>
      </c>
      <c r="F8" s="294"/>
      <c r="G8" s="294">
        <f t="shared" ref="G8:G55" si="0">C8+E8+F8</f>
        <v>667970999.94403267</v>
      </c>
      <c r="H8" s="298">
        <f>+H7-C8</f>
        <v>39999999817</v>
      </c>
      <c r="I8" s="54"/>
    </row>
    <row r="9" spans="1:12" x14ac:dyDescent="0.25">
      <c r="A9" s="330">
        <v>43013</v>
      </c>
      <c r="B9" s="297" t="s">
        <v>9</v>
      </c>
      <c r="C9" s="294">
        <v>0</v>
      </c>
      <c r="D9" s="294">
        <f>(H8*$D$62*$D$63)/360</f>
        <v>600892997.25091457</v>
      </c>
      <c r="E9" s="294">
        <v>600893000.25091457</v>
      </c>
      <c r="F9" s="294"/>
      <c r="G9" s="294">
        <f t="shared" si="0"/>
        <v>600893000.25091457</v>
      </c>
      <c r="H9" s="298">
        <f>+H8-C9</f>
        <v>39999999817</v>
      </c>
      <c r="I9" s="54"/>
    </row>
    <row r="10" spans="1:12" x14ac:dyDescent="0.25">
      <c r="A10" s="329">
        <v>43105</v>
      </c>
      <c r="B10" s="297" t="s">
        <v>9</v>
      </c>
      <c r="C10" s="294">
        <v>0</v>
      </c>
      <c r="D10" s="294">
        <f>(H9*$E$62*$E$63)/360</f>
        <v>562808997.42514884</v>
      </c>
      <c r="E10" s="294">
        <v>562809000.42514884</v>
      </c>
      <c r="F10" s="294"/>
      <c r="G10" s="294">
        <f t="shared" si="0"/>
        <v>562809000.42514884</v>
      </c>
      <c r="H10" s="298">
        <f>+H9-C10</f>
        <v>39999999817</v>
      </c>
      <c r="I10" s="54"/>
    </row>
    <row r="11" spans="1:12" x14ac:dyDescent="0.25">
      <c r="A11" s="329">
        <v>43195</v>
      </c>
      <c r="B11" s="297" t="s">
        <v>9</v>
      </c>
      <c r="C11" s="294">
        <v>0</v>
      </c>
      <c r="D11" s="294">
        <f>(H10*$F$62*$F$63)/360</f>
        <v>544307320.509794</v>
      </c>
      <c r="E11" s="294">
        <v>544306999.509794</v>
      </c>
      <c r="F11" s="294"/>
      <c r="G11" s="294">
        <f t="shared" si="0"/>
        <v>544306999.509794</v>
      </c>
      <c r="H11" s="298">
        <v>39999999817</v>
      </c>
      <c r="I11" s="54"/>
    </row>
    <row r="12" spans="1:12" x14ac:dyDescent="0.25">
      <c r="A12" s="329">
        <v>43286</v>
      </c>
      <c r="B12" s="297" t="s">
        <v>9</v>
      </c>
      <c r="C12" s="294">
        <v>0</v>
      </c>
      <c r="D12" s="294">
        <f>(H11*$G$62*$G$63)/360</f>
        <v>506300449.4013561</v>
      </c>
      <c r="E12" s="294">
        <v>506329000.40135604</v>
      </c>
      <c r="F12" s="294"/>
      <c r="G12" s="294">
        <f t="shared" si="0"/>
        <v>506329000.40135604</v>
      </c>
      <c r="H12" s="298">
        <f t="shared" ref="H12:H55" si="1">+H11-C12</f>
        <v>39999999817</v>
      </c>
      <c r="I12" s="54"/>
    </row>
    <row r="13" spans="1:12" x14ac:dyDescent="0.25">
      <c r="A13" s="330">
        <v>43378</v>
      </c>
      <c r="B13" s="297" t="s">
        <v>9</v>
      </c>
      <c r="C13" s="294">
        <v>0</v>
      </c>
      <c r="D13" s="294">
        <f>(H12*$H$62*$H$63)/360</f>
        <v>483781000.1100142</v>
      </c>
      <c r="E13" s="294">
        <v>483781000.1100142</v>
      </c>
      <c r="F13" s="294"/>
      <c r="G13" s="294">
        <f>C13+E13+F13</f>
        <v>483781000.1100142</v>
      </c>
      <c r="H13" s="298">
        <f t="shared" si="1"/>
        <v>39999999817</v>
      </c>
      <c r="I13" s="54"/>
    </row>
    <row r="14" spans="1:12" x14ac:dyDescent="0.25">
      <c r="A14" s="329">
        <v>43462</v>
      </c>
      <c r="B14" s="297" t="s">
        <v>3008</v>
      </c>
      <c r="C14" s="294">
        <v>1022108894</v>
      </c>
      <c r="D14" s="294">
        <f>(H13*$H$62*$H$63)/360</f>
        <v>483781000.1100142</v>
      </c>
      <c r="E14" s="294">
        <v>435765336.10646874</v>
      </c>
      <c r="F14" s="294"/>
      <c r="G14" s="294">
        <f t="shared" si="0"/>
        <v>1457874230.1064687</v>
      </c>
      <c r="H14" s="298">
        <f t="shared" si="1"/>
        <v>38977890923</v>
      </c>
      <c r="I14" s="54"/>
    </row>
    <row r="15" spans="1:12" x14ac:dyDescent="0.25">
      <c r="A15" s="329">
        <v>43470</v>
      </c>
      <c r="B15" s="297" t="s">
        <v>9</v>
      </c>
      <c r="C15" s="294">
        <v>0</v>
      </c>
      <c r="D15" s="294">
        <f>(H14*$I$62*$I$63)/360</f>
        <v>460442543.21809494</v>
      </c>
      <c r="E15" s="294">
        <v>29682744</v>
      </c>
      <c r="F15" s="294"/>
      <c r="G15" s="294">
        <f t="shared" si="0"/>
        <v>29682744</v>
      </c>
      <c r="H15" s="298">
        <f t="shared" si="1"/>
        <v>38977890923</v>
      </c>
      <c r="I15" s="54"/>
      <c r="L15" s="54"/>
    </row>
    <row r="16" spans="1:12" x14ac:dyDescent="0.25">
      <c r="A16" s="329">
        <v>43560</v>
      </c>
      <c r="B16" s="297" t="s">
        <v>10</v>
      </c>
      <c r="C16" s="294">
        <f>+$H$15/40</f>
        <v>974447273.07500005</v>
      </c>
      <c r="D16" s="294">
        <f>(H15*$J$62*$J$63)/360</f>
        <v>460442543.21809494</v>
      </c>
      <c r="E16" s="294">
        <v>460442543.21809494</v>
      </c>
      <c r="F16" s="294"/>
      <c r="G16" s="294">
        <f t="shared" si="0"/>
        <v>1434889816.2930951</v>
      </c>
      <c r="H16" s="298">
        <f t="shared" si="1"/>
        <v>38003443649.925003</v>
      </c>
      <c r="I16" s="54"/>
      <c r="J16" s="54"/>
      <c r="L16" s="345"/>
    </row>
    <row r="17" spans="1:12" x14ac:dyDescent="0.25">
      <c r="A17" s="329">
        <v>43651</v>
      </c>
      <c r="B17" s="297" t="s">
        <v>10</v>
      </c>
      <c r="C17" s="294">
        <f>+$H$15/40</f>
        <v>974447273.07500005</v>
      </c>
      <c r="D17" s="294">
        <f>(H16*$K$62*$K$63)/360</f>
        <v>452822534.17720813</v>
      </c>
      <c r="E17" s="294">
        <v>452822534.17720813</v>
      </c>
      <c r="F17" s="294"/>
      <c r="G17" s="294">
        <f t="shared" si="0"/>
        <v>1427269807.2522082</v>
      </c>
      <c r="H17" s="298">
        <f t="shared" si="1"/>
        <v>37028996376.850006</v>
      </c>
      <c r="I17" s="54"/>
    </row>
    <row r="18" spans="1:12" x14ac:dyDescent="0.25">
      <c r="A18" s="330">
        <v>43743</v>
      </c>
      <c r="B18" s="297" t="s">
        <v>10</v>
      </c>
      <c r="C18" s="294">
        <f>+$H$15/40</f>
        <v>974447273.07500005</v>
      </c>
      <c r="D18" s="294">
        <f>(H17*$L$62*$L$63)/360</f>
        <v>436472814.98996681</v>
      </c>
      <c r="E18" s="294">
        <v>436472814.98996687</v>
      </c>
      <c r="F18" s="294"/>
      <c r="G18" s="294">
        <f t="shared" si="0"/>
        <v>1410920088.0649669</v>
      </c>
      <c r="H18" s="298">
        <f t="shared" si="1"/>
        <v>36054549103.775009</v>
      </c>
      <c r="I18" s="54"/>
    </row>
    <row r="19" spans="1:12" x14ac:dyDescent="0.25">
      <c r="A19" s="329">
        <v>43835</v>
      </c>
      <c r="B19" s="297" t="s">
        <v>10</v>
      </c>
      <c r="C19" s="294">
        <f>+$H$15/40</f>
        <v>974447273.07500005</v>
      </c>
      <c r="D19" s="294">
        <f>(H18*$B$71*$B$72)/360</f>
        <v>423141207.57515842</v>
      </c>
      <c r="E19" s="294">
        <v>423141207.57515842</v>
      </c>
      <c r="F19" s="294"/>
      <c r="G19" s="294">
        <f t="shared" si="0"/>
        <v>1397588480.6501584</v>
      </c>
      <c r="H19" s="298">
        <f t="shared" si="1"/>
        <v>35080101830.700012</v>
      </c>
      <c r="L19" s="105"/>
    </row>
    <row r="20" spans="1:12" x14ac:dyDescent="0.25">
      <c r="A20" s="329">
        <v>43926</v>
      </c>
      <c r="B20" s="297" t="s">
        <v>10</v>
      </c>
      <c r="C20" s="294">
        <f>+$H$15/40</f>
        <v>974447273.07500005</v>
      </c>
      <c r="D20" s="294">
        <f>(H19*$C$71*$C$72)/360</f>
        <v>409012061.70062673</v>
      </c>
      <c r="E20" s="294">
        <v>409012061.70062673</v>
      </c>
      <c r="F20" s="294"/>
      <c r="G20" s="294">
        <f t="shared" si="0"/>
        <v>1383459334.7756267</v>
      </c>
      <c r="H20" s="298">
        <f t="shared" si="1"/>
        <v>34105654557.625011</v>
      </c>
    </row>
    <row r="21" spans="1:12" x14ac:dyDescent="0.25">
      <c r="A21" s="329">
        <v>44017</v>
      </c>
      <c r="B21" s="297" t="s">
        <v>9</v>
      </c>
      <c r="C21" s="294">
        <v>0</v>
      </c>
      <c r="D21" s="294">
        <f>(H20*$D$71*$D$72)/360</f>
        <v>392415398.47559595</v>
      </c>
      <c r="E21" s="18">
        <v>392415398.47559595</v>
      </c>
      <c r="F21" s="294">
        <f>+E21+E22</f>
        <v>716935573.56098974</v>
      </c>
      <c r="G21" s="294">
        <f>C21</f>
        <v>0</v>
      </c>
      <c r="H21" s="298">
        <f t="shared" si="1"/>
        <v>34105654557.625011</v>
      </c>
      <c r="I21" s="76" t="s">
        <v>3155</v>
      </c>
    </row>
    <row r="22" spans="1:12" x14ac:dyDescent="0.25">
      <c r="A22" s="330">
        <v>44109</v>
      </c>
      <c r="B22" s="297" t="s">
        <v>9</v>
      </c>
      <c r="C22" s="294">
        <v>0</v>
      </c>
      <c r="D22" s="294">
        <f>(H21*$E$71*$E$72)/360</f>
        <v>324520175.08539379</v>
      </c>
      <c r="E22" s="18">
        <v>324520175.08539379</v>
      </c>
      <c r="F22" s="462">
        <v>817601214</v>
      </c>
      <c r="G22" s="294">
        <f>C22</f>
        <v>0</v>
      </c>
      <c r="H22" s="298">
        <f t="shared" si="1"/>
        <v>34105654557.625011</v>
      </c>
      <c r="I22" t="s">
        <v>3156</v>
      </c>
    </row>
    <row r="23" spans="1:12" x14ac:dyDescent="0.25">
      <c r="A23" s="329">
        <v>44201</v>
      </c>
      <c r="B23" s="297" t="s">
        <v>10</v>
      </c>
      <c r="C23" s="294">
        <f>+H20/33</f>
        <v>1033504683.5643942</v>
      </c>
      <c r="D23" s="294">
        <f>(H22*$F$71*$F$72)/360</f>
        <v>202417911.7555593</v>
      </c>
      <c r="E23" s="294">
        <v>202417912</v>
      </c>
      <c r="F23" s="294">
        <f>+F22/8</f>
        <v>102200151.75</v>
      </c>
      <c r="G23" s="294">
        <f>C23+E23+F23</f>
        <v>1338122747.3143942</v>
      </c>
      <c r="H23" s="298">
        <f t="shared" si="1"/>
        <v>33072149874.060616</v>
      </c>
    </row>
    <row r="24" spans="1:12" x14ac:dyDescent="0.25">
      <c r="A24" s="329">
        <v>44291</v>
      </c>
      <c r="B24" s="297" t="s">
        <v>10</v>
      </c>
      <c r="C24" s="294">
        <v>1033504683.5643942</v>
      </c>
      <c r="D24" s="294">
        <f>(H23*$G$71*$G$72)/360</f>
        <v>192134019.23551348</v>
      </c>
      <c r="E24" s="294"/>
      <c r="F24" s="294">
        <v>102200152</v>
      </c>
      <c r="G24" s="294">
        <f t="shared" si="0"/>
        <v>1135704835.5643942</v>
      </c>
      <c r="H24" s="298">
        <f t="shared" si="1"/>
        <v>32038645190.49622</v>
      </c>
    </row>
    <row r="25" spans="1:12" x14ac:dyDescent="0.25">
      <c r="A25" s="329">
        <v>44382</v>
      </c>
      <c r="B25" s="297" t="s">
        <v>10</v>
      </c>
      <c r="C25" s="294">
        <v>1033504683.5643942</v>
      </c>
      <c r="D25" s="294">
        <f>(H24*$G$71*$G$72)/360</f>
        <v>186129831.13440368</v>
      </c>
      <c r="E25" s="294"/>
      <c r="F25" s="294">
        <v>102200152</v>
      </c>
      <c r="G25" s="294">
        <f t="shared" si="0"/>
        <v>1135704835.5643942</v>
      </c>
      <c r="H25" s="298">
        <f t="shared" si="1"/>
        <v>31005140506.931824</v>
      </c>
    </row>
    <row r="26" spans="1:12" x14ac:dyDescent="0.25">
      <c r="A26" s="330">
        <v>44474</v>
      </c>
      <c r="B26" s="297" t="s">
        <v>10</v>
      </c>
      <c r="C26" s="294">
        <v>1033504683.5643942</v>
      </c>
      <c r="D26" s="294">
        <f>(H25*$G$71*$G$72)/360</f>
        <v>180125643.03329387</v>
      </c>
      <c r="E26" s="294"/>
      <c r="F26" s="294">
        <v>102200152</v>
      </c>
      <c r="G26" s="294">
        <f t="shared" si="0"/>
        <v>1135704835.5643942</v>
      </c>
      <c r="H26" s="298">
        <f t="shared" si="1"/>
        <v>29971635823.367428</v>
      </c>
    </row>
    <row r="27" spans="1:12" x14ac:dyDescent="0.25">
      <c r="A27" s="329">
        <v>44566</v>
      </c>
      <c r="B27" s="297" t="s">
        <v>10</v>
      </c>
      <c r="C27" s="294">
        <v>1033504683.5643942</v>
      </c>
      <c r="D27" s="294">
        <f>(H26*$H$71*$H$72)/360</f>
        <v>174121454.93218407</v>
      </c>
      <c r="E27" s="294"/>
      <c r="F27" s="294">
        <v>102200152</v>
      </c>
      <c r="G27" s="294">
        <f t="shared" si="0"/>
        <v>1135704835.5643942</v>
      </c>
      <c r="H27" s="298">
        <f t="shared" si="1"/>
        <v>28938131139.803032</v>
      </c>
    </row>
    <row r="28" spans="1:12" x14ac:dyDescent="0.25">
      <c r="A28" s="329">
        <v>44656</v>
      </c>
      <c r="B28" s="297" t="s">
        <v>10</v>
      </c>
      <c r="C28" s="294">
        <v>1033504683.5643942</v>
      </c>
      <c r="D28" s="294">
        <f>(H27*$H$71*$H$72)/360</f>
        <v>168117266.83107427</v>
      </c>
      <c r="E28" s="294"/>
      <c r="F28" s="294">
        <v>102200152</v>
      </c>
      <c r="G28" s="294">
        <f t="shared" si="0"/>
        <v>1135704835.5643942</v>
      </c>
      <c r="H28" s="298">
        <f t="shared" si="1"/>
        <v>27904626456.238636</v>
      </c>
      <c r="I28" s="82"/>
    </row>
    <row r="29" spans="1:12" x14ac:dyDescent="0.25">
      <c r="A29" s="329">
        <v>44747</v>
      </c>
      <c r="B29" s="297" t="s">
        <v>10</v>
      </c>
      <c r="C29" s="294">
        <v>1033504683.5643942</v>
      </c>
      <c r="D29" s="294">
        <f>(H28*$H$71*$H$72)/360</f>
        <v>162113078.72996446</v>
      </c>
      <c r="E29" s="294"/>
      <c r="F29" s="294">
        <v>102200152</v>
      </c>
      <c r="G29" s="294">
        <f t="shared" si="0"/>
        <v>1135704835.5643942</v>
      </c>
      <c r="H29" s="298">
        <f t="shared" si="1"/>
        <v>26871121772.67424</v>
      </c>
    </row>
    <row r="30" spans="1:12" x14ac:dyDescent="0.25">
      <c r="A30" s="330">
        <v>44839</v>
      </c>
      <c r="B30" s="297" t="s">
        <v>10</v>
      </c>
      <c r="C30" s="294">
        <v>1033504683.5643942</v>
      </c>
      <c r="D30" s="294">
        <f>(H29*$H$71*$H$72)/360</f>
        <v>156108890.62885466</v>
      </c>
      <c r="E30" s="294"/>
      <c r="F30" s="294">
        <v>102200152</v>
      </c>
      <c r="G30" s="294">
        <f t="shared" si="0"/>
        <v>1135704835.5643942</v>
      </c>
      <c r="H30" s="298">
        <f t="shared" si="1"/>
        <v>25837617089.109844</v>
      </c>
    </row>
    <row r="31" spans="1:12" x14ac:dyDescent="0.25">
      <c r="A31" s="329">
        <v>44931</v>
      </c>
      <c r="B31" s="297" t="s">
        <v>10</v>
      </c>
      <c r="C31" s="294">
        <v>1033504683.5643942</v>
      </c>
      <c r="D31" s="294">
        <f t="shared" ref="D31:D55" si="2">(H30*$I$71*$I$72)/360</f>
        <v>150104702.52774483</v>
      </c>
      <c r="E31" s="294"/>
      <c r="F31" s="294"/>
      <c r="G31" s="294">
        <f t="shared" si="0"/>
        <v>1033504683.5643942</v>
      </c>
      <c r="H31" s="298">
        <f t="shared" si="1"/>
        <v>24804112405.545448</v>
      </c>
    </row>
    <row r="32" spans="1:12" x14ac:dyDescent="0.25">
      <c r="A32" s="329">
        <v>45021</v>
      </c>
      <c r="B32" s="297" t="s">
        <v>10</v>
      </c>
      <c r="C32" s="294">
        <v>1033504683.5643942</v>
      </c>
      <c r="D32" s="294">
        <f t="shared" si="2"/>
        <v>144100514.42663503</v>
      </c>
      <c r="E32" s="294"/>
      <c r="F32" s="294"/>
      <c r="G32" s="294">
        <f t="shared" si="0"/>
        <v>1033504683.5643942</v>
      </c>
      <c r="H32" s="298">
        <f t="shared" si="1"/>
        <v>23770607721.981052</v>
      </c>
    </row>
    <row r="33" spans="1:8" x14ac:dyDescent="0.25">
      <c r="A33" s="329">
        <v>45112</v>
      </c>
      <c r="B33" s="297" t="s">
        <v>10</v>
      </c>
      <c r="C33" s="294">
        <v>1033504683.5643942</v>
      </c>
      <c r="D33" s="294">
        <f t="shared" si="2"/>
        <v>138096326.32552522</v>
      </c>
      <c r="E33" s="294"/>
      <c r="F33" s="294"/>
      <c r="G33" s="294">
        <f t="shared" si="0"/>
        <v>1033504683.5643942</v>
      </c>
      <c r="H33" s="298">
        <f t="shared" si="1"/>
        <v>22737103038.416656</v>
      </c>
    </row>
    <row r="34" spans="1:8" x14ac:dyDescent="0.25">
      <c r="A34" s="330">
        <v>45204</v>
      </c>
      <c r="B34" s="297" t="s">
        <v>10</v>
      </c>
      <c r="C34" s="294">
        <v>1033504683.5643942</v>
      </c>
      <c r="D34" s="294">
        <f t="shared" si="2"/>
        <v>132092138.22441542</v>
      </c>
      <c r="E34" s="294"/>
      <c r="F34" s="294"/>
      <c r="G34" s="294">
        <f t="shared" si="0"/>
        <v>1033504683.5643942</v>
      </c>
      <c r="H34" s="298">
        <f t="shared" si="1"/>
        <v>21703598354.852261</v>
      </c>
    </row>
    <row r="35" spans="1:8" x14ac:dyDescent="0.25">
      <c r="A35" s="329">
        <v>45296</v>
      </c>
      <c r="B35" s="297" t="s">
        <v>10</v>
      </c>
      <c r="C35" s="294">
        <v>1033504683.5643942</v>
      </c>
      <c r="D35" s="294">
        <f t="shared" si="2"/>
        <v>126087950.12330562</v>
      </c>
      <c r="E35" s="294"/>
      <c r="F35" s="294"/>
      <c r="G35" s="294">
        <f t="shared" si="0"/>
        <v>1033504683.5643942</v>
      </c>
      <c r="H35" s="298">
        <f t="shared" si="1"/>
        <v>20670093671.287865</v>
      </c>
    </row>
    <row r="36" spans="1:8" x14ac:dyDescent="0.25">
      <c r="A36" s="329">
        <v>45387</v>
      </c>
      <c r="B36" s="297" t="s">
        <v>10</v>
      </c>
      <c r="C36" s="294">
        <v>1033504683.5643942</v>
      </c>
      <c r="D36" s="294">
        <f t="shared" si="2"/>
        <v>120083762.02219582</v>
      </c>
      <c r="E36" s="294"/>
      <c r="F36" s="294"/>
      <c r="G36" s="294">
        <f t="shared" si="0"/>
        <v>1033504683.5643942</v>
      </c>
      <c r="H36" s="298">
        <f t="shared" si="1"/>
        <v>19636588987.723469</v>
      </c>
    </row>
    <row r="37" spans="1:8" x14ac:dyDescent="0.25">
      <c r="A37" s="329">
        <v>45478</v>
      </c>
      <c r="B37" s="297" t="s">
        <v>10</v>
      </c>
      <c r="C37" s="294">
        <v>1033504683.5643942</v>
      </c>
      <c r="D37" s="294">
        <f t="shared" si="2"/>
        <v>114079573.92108601</v>
      </c>
      <c r="E37" s="294"/>
      <c r="F37" s="294"/>
      <c r="G37" s="294">
        <f>C37+E37+F37</f>
        <v>1033504683.5643942</v>
      </c>
      <c r="H37" s="298">
        <f t="shared" si="1"/>
        <v>18603084304.159073</v>
      </c>
    </row>
    <row r="38" spans="1:8" x14ac:dyDescent="0.25">
      <c r="A38" s="329">
        <v>45570</v>
      </c>
      <c r="B38" s="297" t="s">
        <v>10</v>
      </c>
      <c r="C38" s="294">
        <v>1033504683.5643942</v>
      </c>
      <c r="D38" s="294">
        <f t="shared" si="2"/>
        <v>108075385.8199762</v>
      </c>
      <c r="E38" s="294"/>
      <c r="F38" s="294"/>
      <c r="G38" s="294">
        <f t="shared" si="0"/>
        <v>1033504683.5643942</v>
      </c>
      <c r="H38" s="298">
        <f t="shared" si="1"/>
        <v>17569579620.594677</v>
      </c>
    </row>
    <row r="39" spans="1:8" x14ac:dyDescent="0.25">
      <c r="A39" s="326">
        <v>45662</v>
      </c>
      <c r="B39" s="297" t="s">
        <v>10</v>
      </c>
      <c r="C39" s="294">
        <v>1033504683.5643942</v>
      </c>
      <c r="D39" s="294">
        <f t="shared" si="2"/>
        <v>102071197.71886639</v>
      </c>
      <c r="E39" s="294"/>
      <c r="F39" s="294"/>
      <c r="G39" s="294">
        <f t="shared" si="0"/>
        <v>1033504683.5643942</v>
      </c>
      <c r="H39" s="298">
        <f t="shared" si="1"/>
        <v>16536074937.030283</v>
      </c>
    </row>
    <row r="40" spans="1:8" x14ac:dyDescent="0.25">
      <c r="A40" s="329">
        <v>45752</v>
      </c>
      <c r="B40" s="297" t="s">
        <v>10</v>
      </c>
      <c r="C40" s="294">
        <v>1033504683.5643942</v>
      </c>
      <c r="D40" s="294">
        <f t="shared" si="2"/>
        <v>96067009.617756605</v>
      </c>
      <c r="E40" s="294"/>
      <c r="F40" s="294"/>
      <c r="G40" s="294">
        <f t="shared" si="0"/>
        <v>1033504683.5643942</v>
      </c>
      <c r="H40" s="298">
        <f t="shared" si="1"/>
        <v>15502570253.465889</v>
      </c>
    </row>
    <row r="41" spans="1:8" x14ac:dyDescent="0.25">
      <c r="A41" s="329">
        <v>45843</v>
      </c>
      <c r="B41" s="297" t="s">
        <v>10</v>
      </c>
      <c r="C41" s="294">
        <v>1033504683.5643942</v>
      </c>
      <c r="D41" s="294">
        <f t="shared" si="2"/>
        <v>90062821.516646802</v>
      </c>
      <c r="E41" s="294"/>
      <c r="F41" s="294"/>
      <c r="G41" s="294">
        <f t="shared" si="0"/>
        <v>1033504683.5643942</v>
      </c>
      <c r="H41" s="298">
        <f t="shared" si="1"/>
        <v>14469065569.901495</v>
      </c>
    </row>
    <row r="42" spans="1:8" x14ac:dyDescent="0.25">
      <c r="A42" s="330">
        <v>45935</v>
      </c>
      <c r="B42" s="297" t="s">
        <v>10</v>
      </c>
      <c r="C42" s="294">
        <v>1033504683.5643942</v>
      </c>
      <c r="D42" s="294">
        <f t="shared" si="2"/>
        <v>84058633.415537015</v>
      </c>
      <c r="E42" s="294"/>
      <c r="F42" s="294"/>
      <c r="G42" s="294">
        <f t="shared" si="0"/>
        <v>1033504683.5643942</v>
      </c>
      <c r="H42" s="298">
        <f t="shared" si="1"/>
        <v>13435560886.337101</v>
      </c>
    </row>
    <row r="43" spans="1:8" x14ac:dyDescent="0.25">
      <c r="A43" s="329">
        <v>46027</v>
      </c>
      <c r="B43" s="297" t="s">
        <v>10</v>
      </c>
      <c r="C43" s="294">
        <v>1033504683.5643942</v>
      </c>
      <c r="D43" s="294">
        <f t="shared" si="2"/>
        <v>78054445.314427212</v>
      </c>
      <c r="E43" s="294"/>
      <c r="F43" s="294"/>
      <c r="G43" s="294">
        <f t="shared" si="0"/>
        <v>1033504683.5643942</v>
      </c>
      <c r="H43" s="298">
        <f t="shared" si="1"/>
        <v>12402056202.772707</v>
      </c>
    </row>
    <row r="44" spans="1:8" x14ac:dyDescent="0.25">
      <c r="A44" s="329">
        <v>46117</v>
      </c>
      <c r="B44" s="297" t="s">
        <v>10</v>
      </c>
      <c r="C44" s="294">
        <v>1033504683.5643942</v>
      </c>
      <c r="D44" s="294">
        <f t="shared" si="2"/>
        <v>72050257.213317424</v>
      </c>
      <c r="E44" s="294"/>
      <c r="F44" s="294"/>
      <c r="G44" s="294">
        <f t="shared" si="0"/>
        <v>1033504683.5643942</v>
      </c>
      <c r="H44" s="298">
        <f t="shared" si="1"/>
        <v>11368551519.208313</v>
      </c>
    </row>
    <row r="45" spans="1:8" x14ac:dyDescent="0.25">
      <c r="A45" s="329">
        <v>46208</v>
      </c>
      <c r="B45" s="297" t="s">
        <v>10</v>
      </c>
      <c r="C45" s="294">
        <v>1033504683.5643942</v>
      </c>
      <c r="D45" s="294">
        <f t="shared" si="2"/>
        <v>66046069.112207621</v>
      </c>
      <c r="E45" s="294"/>
      <c r="F45" s="294"/>
      <c r="G45" s="294">
        <f t="shared" si="0"/>
        <v>1033504683.5643942</v>
      </c>
      <c r="H45" s="298">
        <f t="shared" si="1"/>
        <v>10335046835.643919</v>
      </c>
    </row>
    <row r="46" spans="1:8" x14ac:dyDescent="0.25">
      <c r="A46" s="329">
        <v>46300</v>
      </c>
      <c r="B46" s="297" t="s">
        <v>10</v>
      </c>
      <c r="C46" s="294">
        <v>1033504683.5643942</v>
      </c>
      <c r="D46" s="294">
        <f t="shared" si="2"/>
        <v>60041881.011097826</v>
      </c>
      <c r="E46" s="294"/>
      <c r="F46" s="294"/>
      <c r="G46" s="294">
        <f t="shared" si="0"/>
        <v>1033504683.5643942</v>
      </c>
      <c r="H46" s="298">
        <f t="shared" si="1"/>
        <v>9301542152.079525</v>
      </c>
    </row>
    <row r="47" spans="1:8" x14ac:dyDescent="0.25">
      <c r="A47" s="326">
        <v>46392</v>
      </c>
      <c r="B47" s="297" t="s">
        <v>10</v>
      </c>
      <c r="C47" s="294">
        <v>1033504683.5643942</v>
      </c>
      <c r="D47" s="294">
        <f t="shared" si="2"/>
        <v>54037692.909988031</v>
      </c>
      <c r="E47" s="294"/>
      <c r="F47" s="294"/>
      <c r="G47" s="294">
        <f t="shared" si="0"/>
        <v>1033504683.5643942</v>
      </c>
      <c r="H47" s="298">
        <f t="shared" si="1"/>
        <v>8268037468.515131</v>
      </c>
    </row>
    <row r="48" spans="1:8" x14ac:dyDescent="0.25">
      <c r="A48" s="329">
        <v>46482</v>
      </c>
      <c r="B48" s="297" t="s">
        <v>10</v>
      </c>
      <c r="C48" s="294">
        <v>1033504683.5643942</v>
      </c>
      <c r="D48" s="294">
        <f t="shared" si="2"/>
        <v>48033504.808878228</v>
      </c>
      <c r="E48" s="294"/>
      <c r="F48" s="294"/>
      <c r="G48" s="294">
        <f t="shared" si="0"/>
        <v>1033504683.5643942</v>
      </c>
      <c r="H48" s="298">
        <f t="shared" si="1"/>
        <v>7234532784.950737</v>
      </c>
    </row>
    <row r="49" spans="1:18" x14ac:dyDescent="0.25">
      <c r="A49" s="329">
        <v>46573</v>
      </c>
      <c r="B49" s="297" t="s">
        <v>10</v>
      </c>
      <c r="C49" s="294">
        <v>1033504683.5643942</v>
      </c>
      <c r="D49" s="294">
        <f t="shared" si="2"/>
        <v>42029316.70776844</v>
      </c>
      <c r="E49" s="294"/>
      <c r="F49" s="294"/>
      <c r="G49" s="294">
        <f t="shared" si="0"/>
        <v>1033504683.5643942</v>
      </c>
      <c r="H49" s="298">
        <f t="shared" si="1"/>
        <v>6201028101.386343</v>
      </c>
      <c r="J49" s="340"/>
    </row>
    <row r="50" spans="1:18" x14ac:dyDescent="0.25">
      <c r="A50" s="330">
        <v>46665</v>
      </c>
      <c r="B50" s="297" t="s">
        <v>10</v>
      </c>
      <c r="C50" s="294">
        <v>1033504683.5643942</v>
      </c>
      <c r="D50" s="294">
        <f t="shared" si="2"/>
        <v>36025128.606658645</v>
      </c>
      <c r="E50" s="294"/>
      <c r="F50" s="294"/>
      <c r="G50" s="294">
        <f t="shared" si="0"/>
        <v>1033504683.5643942</v>
      </c>
      <c r="H50" s="298">
        <f t="shared" si="1"/>
        <v>5167523417.821949</v>
      </c>
      <c r="J50" s="107"/>
      <c r="L50" s="345"/>
    </row>
    <row r="51" spans="1:18" x14ac:dyDescent="0.25">
      <c r="A51" s="329">
        <v>46757</v>
      </c>
      <c r="B51" s="297" t="s">
        <v>10</v>
      </c>
      <c r="C51" s="294">
        <v>1033504683.5643942</v>
      </c>
      <c r="D51" s="294">
        <f t="shared" si="2"/>
        <v>30020940.505548853</v>
      </c>
      <c r="E51" s="294"/>
      <c r="F51" s="294"/>
      <c r="G51" s="294">
        <f t="shared" si="0"/>
        <v>1033504683.5643942</v>
      </c>
      <c r="H51" s="298">
        <f t="shared" si="1"/>
        <v>4134018734.257555</v>
      </c>
      <c r="L51" s="345"/>
    </row>
    <row r="52" spans="1:18" x14ac:dyDescent="0.25">
      <c r="A52" s="329">
        <v>46848</v>
      </c>
      <c r="B52" s="297" t="s">
        <v>10</v>
      </c>
      <c r="C52" s="294">
        <v>1033504683.5643942</v>
      </c>
      <c r="D52" s="294">
        <f t="shared" si="2"/>
        <v>24016752.404439058</v>
      </c>
      <c r="E52" s="294"/>
      <c r="F52" s="294"/>
      <c r="G52" s="294">
        <f t="shared" si="0"/>
        <v>1033504683.5643942</v>
      </c>
      <c r="H52" s="298">
        <f t="shared" si="1"/>
        <v>3100514050.693161</v>
      </c>
      <c r="L52" s="345"/>
    </row>
    <row r="53" spans="1:18" x14ac:dyDescent="0.25">
      <c r="A53" s="329">
        <v>46939</v>
      </c>
      <c r="B53" s="297" t="s">
        <v>10</v>
      </c>
      <c r="C53" s="294">
        <v>1033504683.5643942</v>
      </c>
      <c r="D53" s="294">
        <f t="shared" si="2"/>
        <v>18012564.303329263</v>
      </c>
      <c r="E53" s="294"/>
      <c r="F53" s="294"/>
      <c r="G53" s="294">
        <f t="shared" si="0"/>
        <v>1033504683.5643942</v>
      </c>
      <c r="H53" s="298">
        <f t="shared" si="1"/>
        <v>2067009367.1287668</v>
      </c>
      <c r="J53" s="105"/>
    </row>
    <row r="54" spans="1:18" x14ac:dyDescent="0.25">
      <c r="A54" s="329">
        <v>47031</v>
      </c>
      <c r="B54" s="297" t="s">
        <v>10</v>
      </c>
      <c r="C54" s="294">
        <v>1033504683.5643942</v>
      </c>
      <c r="D54" s="294">
        <f t="shared" si="2"/>
        <v>12008376.202219468</v>
      </c>
      <c r="E54" s="294"/>
      <c r="F54" s="294"/>
      <c r="G54" s="294">
        <f t="shared" si="0"/>
        <v>1033504683.5643942</v>
      </c>
      <c r="H54" s="298">
        <f t="shared" si="1"/>
        <v>1033504683.5643725</v>
      </c>
    </row>
    <row r="55" spans="1:18" x14ac:dyDescent="0.25">
      <c r="A55" s="326">
        <v>47123</v>
      </c>
      <c r="B55" s="297" t="s">
        <v>10</v>
      </c>
      <c r="C55" s="294">
        <v>1033504683.5643942</v>
      </c>
      <c r="D55" s="294">
        <f t="shared" si="2"/>
        <v>6004188.1011096705</v>
      </c>
      <c r="E55" s="294"/>
      <c r="F55" s="294"/>
      <c r="G55" s="294">
        <f t="shared" si="0"/>
        <v>1033504683.5643942</v>
      </c>
      <c r="H55" s="298">
        <f t="shared" si="1"/>
        <v>-2.1696090698242188E-5</v>
      </c>
    </row>
    <row r="56" spans="1:18" x14ac:dyDescent="0.25">
      <c r="A56" s="15"/>
      <c r="B56" s="16" t="s">
        <v>11</v>
      </c>
      <c r="C56" s="17">
        <f>SUM(C14:C55)</f>
        <v>39999999817.000023</v>
      </c>
      <c r="D56" s="17">
        <f>SUM(D6:D55)</f>
        <v>11276606266.153934</v>
      </c>
      <c r="E56" s="17"/>
      <c r="F56" s="17"/>
      <c r="G56" s="17">
        <f>SUM(G7:G55)</f>
        <v>47728313186.97979</v>
      </c>
      <c r="H56" s="18"/>
    </row>
    <row r="57" spans="1:18" x14ac:dyDescent="0.25">
      <c r="A57" s="19" t="s">
        <v>42</v>
      </c>
      <c r="B57" s="20"/>
      <c r="C57" s="20"/>
      <c r="D57" s="20"/>
      <c r="E57" s="20"/>
      <c r="F57" s="20"/>
      <c r="G57" s="20"/>
      <c r="H57" s="20"/>
      <c r="J57" s="411"/>
      <c r="K57" s="411"/>
      <c r="L57" s="411"/>
    </row>
    <row r="58" spans="1:18" x14ac:dyDescent="0.25">
      <c r="A58" s="39" t="s">
        <v>3047</v>
      </c>
      <c r="B58" s="315" t="s">
        <v>3044</v>
      </c>
      <c r="C58" s="315" t="s">
        <v>3045</v>
      </c>
      <c r="D58" s="315" t="s">
        <v>3049</v>
      </c>
      <c r="E58" s="315" t="s">
        <v>3046</v>
      </c>
      <c r="F58" s="315" t="s">
        <v>3042</v>
      </c>
      <c r="G58" s="315" t="s">
        <v>3043</v>
      </c>
      <c r="H58" s="315" t="s">
        <v>3048</v>
      </c>
      <c r="I58" s="315" t="s">
        <v>3033</v>
      </c>
      <c r="J58" s="331" t="s">
        <v>3034</v>
      </c>
      <c r="K58" s="315" t="s">
        <v>3035</v>
      </c>
      <c r="L58" s="315" t="s">
        <v>3036</v>
      </c>
      <c r="M58" s="100"/>
      <c r="N58" s="100"/>
      <c r="O58" s="100"/>
      <c r="P58" s="100"/>
      <c r="Q58" s="100"/>
      <c r="R58" s="97"/>
    </row>
    <row r="59" spans="1:18" x14ac:dyDescent="0.25">
      <c r="A59" s="39" t="s">
        <v>2827</v>
      </c>
      <c r="B59" s="277">
        <v>6.8599999999999994E-2</v>
      </c>
      <c r="C59" s="233">
        <v>6.5799999999999997E-2</v>
      </c>
      <c r="D59" s="121">
        <v>5.8799999999999998E-2</v>
      </c>
      <c r="E59" s="277">
        <v>5.4800000000000001E-2</v>
      </c>
      <c r="F59" s="277">
        <v>5.2900000000000003E-2</v>
      </c>
      <c r="G59" s="277">
        <v>4.8899999999999999E-2</v>
      </c>
      <c r="H59" s="277">
        <v>4.6600000000000003E-2</v>
      </c>
      <c r="I59" s="277">
        <v>4.5400000000000003E-2</v>
      </c>
      <c r="J59" s="277">
        <v>4.5400000000000003E-2</v>
      </c>
      <c r="K59" s="277">
        <v>4.4806060299999999E-2</v>
      </c>
      <c r="L59" s="277">
        <v>4.41E-2</v>
      </c>
      <c r="M59" s="334"/>
      <c r="N59" s="334"/>
      <c r="O59" s="417"/>
      <c r="P59" s="417"/>
      <c r="Q59" s="334"/>
      <c r="R59" s="97"/>
    </row>
    <row r="60" spans="1:18" ht="25.5" x14ac:dyDescent="0.25">
      <c r="A60" s="39" t="s">
        <v>21</v>
      </c>
      <c r="B60" s="301">
        <v>2.5000000000000001E-3</v>
      </c>
      <c r="C60" s="301">
        <v>2.5000000000000001E-3</v>
      </c>
      <c r="D60" s="301">
        <v>2.5000000000000001E-3</v>
      </c>
      <c r="E60" s="301">
        <v>2.5000000000000001E-3</v>
      </c>
      <c r="F60" s="416">
        <v>2.5000000000000001E-3</v>
      </c>
      <c r="G60" s="416">
        <v>2.5019999999999999E-3</v>
      </c>
      <c r="H60" s="301">
        <v>2.5000000000000001E-3</v>
      </c>
      <c r="I60" s="301">
        <v>2.5000000000000001E-3</v>
      </c>
      <c r="J60" s="332">
        <v>2.5000000000000001E-3</v>
      </c>
      <c r="K60" s="81">
        <v>2.5000000000000001E-3</v>
      </c>
      <c r="L60" s="423">
        <v>2.5000000000000001E-3</v>
      </c>
      <c r="M60" s="335"/>
      <c r="N60" s="335"/>
      <c r="O60" s="422"/>
      <c r="P60" s="421"/>
      <c r="Q60" s="335"/>
      <c r="R60" s="97"/>
    </row>
    <row r="61" spans="1:18" x14ac:dyDescent="0.25">
      <c r="A61" s="39" t="s">
        <v>3065</v>
      </c>
      <c r="B61" s="302">
        <v>6.6986500000000004E-2</v>
      </c>
      <c r="C61" s="302">
        <v>6.4297099999999996E-2</v>
      </c>
      <c r="D61" s="303">
        <v>5.7589300000000003E-2</v>
      </c>
      <c r="E61" s="304">
        <v>5.37809E-2</v>
      </c>
      <c r="F61" s="302">
        <v>5.1930732299999997E-2</v>
      </c>
      <c r="G61" s="302">
        <f>NOMINAL(G59,4)</f>
        <v>4.8028045171768063E-2</v>
      </c>
      <c r="H61" s="305">
        <f>NOMINAL(H59,4)+0.00007098418</f>
        <v>4.5878100232331229E-2</v>
      </c>
      <c r="I61" s="305">
        <f>NOMINAL(I59,4)+0.00007098418</f>
        <v>4.4717901159925064E-2</v>
      </c>
      <c r="J61" s="338">
        <f>NOMINAL(J59,4)+0.00007098418</f>
        <v>4.4717901159925064E-2</v>
      </c>
      <c r="K61" s="90">
        <f>NOMINAL(K59,4)</f>
        <v>4.4072307174479519E-2</v>
      </c>
      <c r="L61" s="88">
        <v>4.3583313800000002E-2</v>
      </c>
      <c r="M61" s="427"/>
      <c r="N61" s="336"/>
      <c r="O61" s="419"/>
      <c r="P61" s="419"/>
      <c r="Q61" s="336"/>
      <c r="R61" s="97"/>
    </row>
    <row r="62" spans="1:18" ht="38.25" x14ac:dyDescent="0.25">
      <c r="A62" s="39" t="s">
        <v>3057</v>
      </c>
      <c r="B62" s="306">
        <f>B61+B60</f>
        <v>6.9486500000000007E-2</v>
      </c>
      <c r="C62" s="306">
        <f>C61+C60</f>
        <v>6.6797099999999998E-2</v>
      </c>
      <c r="D62" s="306">
        <f>D61+D60</f>
        <v>6.0089300000000005E-2</v>
      </c>
      <c r="E62" s="306">
        <f>E61+E60</f>
        <v>5.6280900000000002E-2</v>
      </c>
      <c r="F62" s="306">
        <f>F61+F60</f>
        <v>5.44307323E-2</v>
      </c>
      <c r="G62" s="307">
        <f>G61+G60+0.01%</f>
        <v>5.0630045171768064E-2</v>
      </c>
      <c r="H62" s="308">
        <f>H61+H60</f>
        <v>4.8378100232331231E-2</v>
      </c>
      <c r="I62" s="307">
        <f>(1-(1/(1-4.67%/4))^(1))*-4</f>
        <v>4.7251663167480196E-2</v>
      </c>
      <c r="J62" s="339">
        <f>(1-(1/(1-4.67%/4))^(1))*-4</f>
        <v>4.7251663167480196E-2</v>
      </c>
      <c r="K62" s="137">
        <f>(1+(K61+K60)/90)^90-1</f>
        <v>4.7661210741685167E-2</v>
      </c>
      <c r="L62" s="137">
        <f>(1+(L61+L60)/90)^90-1</f>
        <v>4.7149300029405428E-2</v>
      </c>
      <c r="M62" s="425"/>
      <c r="N62" s="412"/>
      <c r="O62" s="420"/>
      <c r="P62" s="420"/>
      <c r="Q62" s="337"/>
      <c r="R62" s="97"/>
    </row>
    <row r="63" spans="1:18" x14ac:dyDescent="0.25">
      <c r="A63" s="39" t="s">
        <v>3002</v>
      </c>
      <c r="B63" s="409">
        <f>A7-A6</f>
        <v>90</v>
      </c>
      <c r="C63" s="410">
        <v>90</v>
      </c>
      <c r="D63" s="410">
        <v>90</v>
      </c>
      <c r="E63" s="410">
        <v>90</v>
      </c>
      <c r="F63" s="410">
        <f>+A11-A10</f>
        <v>90</v>
      </c>
      <c r="G63" s="410">
        <v>90</v>
      </c>
      <c r="H63" s="410">
        <v>90</v>
      </c>
      <c r="I63" s="410">
        <v>90</v>
      </c>
      <c r="J63" s="410">
        <v>90</v>
      </c>
      <c r="K63" s="410">
        <f>+A16-A15</f>
        <v>90</v>
      </c>
      <c r="L63" s="410">
        <v>90</v>
      </c>
      <c r="M63" s="415"/>
      <c r="N63" s="337"/>
      <c r="O63" s="420"/>
      <c r="P63" s="418"/>
      <c r="Q63" s="337"/>
      <c r="R63" s="97"/>
    </row>
    <row r="64" spans="1:18" x14ac:dyDescent="0.25">
      <c r="A64" s="43" t="s">
        <v>39</v>
      </c>
      <c r="B64" s="44">
        <f>+E7</f>
        <v>694864999.82099271</v>
      </c>
      <c r="C64" s="44">
        <f>E8</f>
        <v>667970999.94403267</v>
      </c>
      <c r="D64" s="44">
        <f>E9</f>
        <v>600893000.25091457</v>
      </c>
      <c r="E64" s="44">
        <f>E10</f>
        <v>562809000.42514884</v>
      </c>
      <c r="F64" s="44">
        <f>E11</f>
        <v>544306999.509794</v>
      </c>
      <c r="G64" s="44">
        <f>E12</f>
        <v>506329000.40135604</v>
      </c>
      <c r="H64" s="44">
        <f>E13</f>
        <v>483781000.1100142</v>
      </c>
      <c r="I64" s="44">
        <f>+E14+E15</f>
        <v>465448080.10646874</v>
      </c>
      <c r="J64" s="333">
        <f>+E16</f>
        <v>460442543.21809494</v>
      </c>
      <c r="K64" s="44">
        <f>+E17</f>
        <v>452822534.17720813</v>
      </c>
      <c r="L64" s="44">
        <f>+E18</f>
        <v>436472814.98996687</v>
      </c>
      <c r="M64" s="426"/>
      <c r="N64" s="101"/>
      <c r="O64" s="101"/>
      <c r="P64" s="101"/>
      <c r="Q64" s="102"/>
      <c r="R64" s="97"/>
    </row>
    <row r="65" spans="1:13" x14ac:dyDescent="0.25">
      <c r="M65" s="91"/>
    </row>
    <row r="66" spans="1:13" x14ac:dyDescent="0.25">
      <c r="D66" t="s">
        <v>3141</v>
      </c>
      <c r="E66" t="s">
        <v>3142</v>
      </c>
      <c r="M66" s="76"/>
    </row>
    <row r="67" spans="1:13" x14ac:dyDescent="0.25">
      <c r="A67" s="39" t="s">
        <v>3047</v>
      </c>
      <c r="B67" s="315" t="s">
        <v>3037</v>
      </c>
      <c r="C67" s="315" t="s">
        <v>3038</v>
      </c>
      <c r="D67" s="454" t="s">
        <v>3039</v>
      </c>
      <c r="E67" s="454" t="s">
        <v>3040</v>
      </c>
      <c r="F67" s="315" t="s">
        <v>3168</v>
      </c>
      <c r="G67" s="315" t="s">
        <v>3148</v>
      </c>
      <c r="H67" s="315" t="s">
        <v>3149</v>
      </c>
      <c r="I67" s="315" t="s">
        <v>3150</v>
      </c>
    </row>
    <row r="68" spans="1:13" x14ac:dyDescent="0.25">
      <c r="A68" s="39" t="s">
        <v>2827</v>
      </c>
      <c r="B68" s="277">
        <v>4.5100000000000001E-2</v>
      </c>
      <c r="C68" s="233">
        <v>4.47826505E-2</v>
      </c>
      <c r="D68" s="473">
        <v>4.4239027600000001E-2</v>
      </c>
      <c r="E68" s="469">
        <v>3.6037595999999998E-2</v>
      </c>
      <c r="F68" s="277">
        <v>2.1409877800000001E-2</v>
      </c>
      <c r="G68" s="277">
        <v>2.0899999999999998E-2</v>
      </c>
      <c r="H68" s="277">
        <v>2.0899999999999998E-2</v>
      </c>
      <c r="I68" s="277">
        <v>2.0899999999999998E-2</v>
      </c>
    </row>
    <row r="69" spans="1:13" ht="25.5" x14ac:dyDescent="0.25">
      <c r="A69" s="39" t="s">
        <v>21</v>
      </c>
      <c r="B69" s="301">
        <v>2.5000000000000001E-3</v>
      </c>
      <c r="C69" s="301">
        <v>2.5000000000000001E-3</v>
      </c>
      <c r="D69" s="470">
        <v>2.5000000000000001E-3</v>
      </c>
      <c r="E69" s="470">
        <v>2.5000000000000001E-3</v>
      </c>
      <c r="F69" s="301">
        <v>2.5000000000000001E-3</v>
      </c>
      <c r="G69" s="301">
        <v>2.5000000000000001E-3</v>
      </c>
      <c r="H69" s="301">
        <v>2.5000000000000001E-3</v>
      </c>
      <c r="I69" s="301">
        <v>2.5000000000000001E-3</v>
      </c>
    </row>
    <row r="70" spans="1:13" x14ac:dyDescent="0.25">
      <c r="A70" s="39" t="s">
        <v>3065</v>
      </c>
      <c r="B70" s="88">
        <f>NOMINAL(B68,4)+0.0000878457</f>
        <v>4.4444556855473681E-2</v>
      </c>
      <c r="C70" s="88">
        <f>NOMINAL(C68,4)+0.0000878457</f>
        <v>4.4137499933672796E-2</v>
      </c>
      <c r="D70" s="455">
        <f t="shared" ref="D70:E70" si="3">NOMINAL(D68,4)</f>
        <v>4.3523500040155483E-2</v>
      </c>
      <c r="E70" s="455">
        <f t="shared" si="3"/>
        <v>3.5560571397283525E-2</v>
      </c>
      <c r="F70" s="88">
        <f>NOMINAL(F68,4)</f>
        <v>2.1240099919625166E-2</v>
      </c>
      <c r="G70" s="88">
        <f>NOMINAL(G68,4)</f>
        <v>2.0738165038216572E-2</v>
      </c>
      <c r="H70" s="88">
        <f>NOMINAL(H68,4)</f>
        <v>2.0738165038216572E-2</v>
      </c>
      <c r="I70" s="88">
        <f>NOMINAL(I68,4)</f>
        <v>2.0738165038216572E-2</v>
      </c>
    </row>
    <row r="71" spans="1:13" ht="38.25" x14ac:dyDescent="0.25">
      <c r="A71" s="39" t="s">
        <v>3027</v>
      </c>
      <c r="B71" s="443">
        <f>+B69+B70</f>
        <v>4.6944556855473683E-2</v>
      </c>
      <c r="C71" s="307">
        <f>+C69+C70</f>
        <v>4.6637499933672798E-2</v>
      </c>
      <c r="D71" s="474">
        <f>+D69+D70</f>
        <v>4.6023500040155485E-2</v>
      </c>
      <c r="E71" s="471">
        <f t="shared" ref="E71" si="4">+E69+E70</f>
        <v>3.8060571397283527E-2</v>
      </c>
      <c r="F71" s="406">
        <f>+F69+F70</f>
        <v>2.3740099919625165E-2</v>
      </c>
      <c r="G71" s="406">
        <f>+G69+G70</f>
        <v>2.323816503821657E-2</v>
      </c>
      <c r="H71" s="406">
        <f>+H69+H70</f>
        <v>2.323816503821657E-2</v>
      </c>
      <c r="I71" s="406">
        <f>+I69+I70</f>
        <v>2.323816503821657E-2</v>
      </c>
    </row>
    <row r="72" spans="1:13" x14ac:dyDescent="0.25">
      <c r="A72" s="39" t="s">
        <v>3002</v>
      </c>
      <c r="B72" s="424">
        <v>90</v>
      </c>
      <c r="C72" s="424">
        <v>90</v>
      </c>
      <c r="D72" s="472">
        <v>90</v>
      </c>
      <c r="E72" s="472">
        <v>90</v>
      </c>
      <c r="F72" s="424">
        <v>90</v>
      </c>
      <c r="G72" s="424">
        <v>90</v>
      </c>
      <c r="H72" s="424">
        <v>90</v>
      </c>
      <c r="I72" s="424">
        <v>90</v>
      </c>
    </row>
    <row r="73" spans="1:13" x14ac:dyDescent="0.25">
      <c r="A73" s="43" t="s">
        <v>39</v>
      </c>
      <c r="B73" s="44">
        <f>+E19</f>
        <v>423141207.57515842</v>
      </c>
      <c r="C73" s="44">
        <f>+E20</f>
        <v>409012061.70062673</v>
      </c>
      <c r="D73" s="458">
        <f>+D21</f>
        <v>392415398.47559595</v>
      </c>
      <c r="E73" s="458">
        <f>+E22</f>
        <v>324520175.08539379</v>
      </c>
      <c r="F73" s="44">
        <f>+E23</f>
        <v>202417912</v>
      </c>
      <c r="G73" s="44"/>
      <c r="H73" s="44"/>
      <c r="I73" s="44"/>
    </row>
    <row r="75" spans="1:13" x14ac:dyDescent="0.25">
      <c r="D75" s="75"/>
    </row>
    <row r="76" spans="1:13" x14ac:dyDescent="0.25">
      <c r="C76" s="75"/>
    </row>
    <row r="78" spans="1:13" x14ac:dyDescent="0.25">
      <c r="D78" s="445"/>
    </row>
    <row r="79" spans="1:13" x14ac:dyDescent="0.25">
      <c r="D79" s="444"/>
    </row>
    <row r="80" spans="1:13" x14ac:dyDescent="0.25">
      <c r="D80" s="444"/>
    </row>
  </sheetData>
  <mergeCells count="4">
    <mergeCell ref="A1:H1"/>
    <mergeCell ref="A2:H2"/>
    <mergeCell ref="A3:H3"/>
    <mergeCell ref="A4:H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68EEFC"/>
  </sheetPr>
  <dimension ref="A1:S165"/>
  <sheetViews>
    <sheetView zoomScale="90" zoomScaleNormal="90" workbookViewId="0">
      <selection activeCell="E10" sqref="E10"/>
    </sheetView>
  </sheetViews>
  <sheetFormatPr baseColWidth="10" defaultColWidth="11.5703125" defaultRowHeight="15" x14ac:dyDescent="0.25"/>
  <cols>
    <col min="1" max="1" width="15" customWidth="1"/>
    <col min="2" max="2" width="19.7109375" customWidth="1"/>
    <col min="3" max="3" width="17.42578125" bestFit="1" customWidth="1"/>
    <col min="4" max="4" width="17.42578125" customWidth="1"/>
    <col min="5" max="5" width="19" bestFit="1" customWidth="1"/>
    <col min="6" max="6" width="16.140625" customWidth="1"/>
    <col min="7" max="7" width="19" customWidth="1"/>
    <col min="8" max="8" width="18.28515625" bestFit="1" customWidth="1"/>
    <col min="9" max="9" width="19.28515625" bestFit="1" customWidth="1"/>
    <col min="10" max="10" width="18.28515625" bestFit="1" customWidth="1"/>
    <col min="11" max="11" width="14.140625" bestFit="1" customWidth="1"/>
    <col min="12" max="12" width="19"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2" x14ac:dyDescent="0.25">
      <c r="A1" s="511" t="s">
        <v>2</v>
      </c>
      <c r="B1" s="512"/>
      <c r="C1" s="512"/>
      <c r="D1" s="512"/>
      <c r="E1" s="512"/>
      <c r="F1" s="512"/>
      <c r="G1" s="512"/>
    </row>
    <row r="2" spans="1:12" x14ac:dyDescent="0.25">
      <c r="A2" s="511" t="s">
        <v>3116</v>
      </c>
      <c r="B2" s="512"/>
      <c r="C2" s="512"/>
      <c r="D2" s="512"/>
      <c r="E2" s="512"/>
      <c r="F2" s="512"/>
      <c r="G2" s="512"/>
    </row>
    <row r="3" spans="1:12" x14ac:dyDescent="0.25">
      <c r="A3" s="511" t="s">
        <v>3117</v>
      </c>
      <c r="B3" s="512"/>
      <c r="C3" s="512"/>
      <c r="D3" s="512"/>
      <c r="E3" s="512"/>
      <c r="F3" s="512"/>
      <c r="G3" s="512"/>
    </row>
    <row r="4" spans="1:12" ht="15.75" thickBot="1" x14ac:dyDescent="0.3">
      <c r="A4" s="515" t="s">
        <v>3118</v>
      </c>
      <c r="B4" s="516"/>
      <c r="C4" s="516"/>
      <c r="D4" s="516"/>
      <c r="E4" s="516"/>
      <c r="F4" s="516"/>
      <c r="G4" s="516"/>
    </row>
    <row r="5" spans="1:12" s="348" customFormat="1" ht="45.75" thickBot="1" x14ac:dyDescent="0.3">
      <c r="A5" s="103" t="s">
        <v>5</v>
      </c>
      <c r="B5" s="2" t="s">
        <v>6</v>
      </c>
      <c r="C5" s="3" t="s">
        <v>7</v>
      </c>
      <c r="D5" s="3" t="s">
        <v>3147</v>
      </c>
      <c r="E5" s="3" t="s">
        <v>41</v>
      </c>
      <c r="F5" s="3" t="s">
        <v>3078</v>
      </c>
      <c r="G5" s="5" t="s">
        <v>8</v>
      </c>
    </row>
    <row r="6" spans="1:12" x14ac:dyDescent="0.25">
      <c r="A6" s="6">
        <v>44071</v>
      </c>
      <c r="B6" s="7" t="s">
        <v>359</v>
      </c>
      <c r="C6" s="8"/>
      <c r="D6" s="8">
        <v>0</v>
      </c>
      <c r="E6" s="8"/>
      <c r="F6" s="8"/>
      <c r="G6" s="9">
        <v>7929600596</v>
      </c>
      <c r="H6" s="54"/>
    </row>
    <row r="7" spans="1:12" x14ac:dyDescent="0.25">
      <c r="A7" s="6">
        <f>A6+31</f>
        <v>44102</v>
      </c>
      <c r="B7" s="297" t="s">
        <v>9</v>
      </c>
      <c r="C7" s="294"/>
      <c r="D7" s="294">
        <f>G6*$B$157*$B$156/360</f>
        <v>26478257.990143336</v>
      </c>
      <c r="E7" s="294">
        <v>26478257.990143336</v>
      </c>
      <c r="F7" s="294">
        <f>E7+C7</f>
        <v>26478257.990143336</v>
      </c>
      <c r="G7" s="9">
        <f>+G6</f>
        <v>7929600596</v>
      </c>
      <c r="H7" s="105"/>
    </row>
    <row r="8" spans="1:12" x14ac:dyDescent="0.25">
      <c r="A8" s="6">
        <f>A7+30</f>
        <v>44132</v>
      </c>
      <c r="B8" s="297" t="s">
        <v>9</v>
      </c>
      <c r="C8" s="294"/>
      <c r="D8" s="294">
        <f>G7*$C$157*$C$156/360</f>
        <v>25361505.906206667</v>
      </c>
      <c r="E8" s="294">
        <v>25361505.906206667</v>
      </c>
      <c r="F8" s="294">
        <f>E8+C8</f>
        <v>25361505.906206667</v>
      </c>
      <c r="G8" s="9">
        <f t="shared" ref="G8:G30" si="0">+G7</f>
        <v>7929600596</v>
      </c>
      <c r="H8" s="54"/>
    </row>
    <row r="9" spans="1:12" x14ac:dyDescent="0.25">
      <c r="A9" s="6">
        <f>A8+31</f>
        <v>44163</v>
      </c>
      <c r="B9" s="297" t="s">
        <v>9</v>
      </c>
      <c r="C9" s="294"/>
      <c r="D9" s="294">
        <f>G8*$D$157*$D$156/360</f>
        <v>24568545.846606672</v>
      </c>
      <c r="E9" s="294">
        <v>24568545.846606672</v>
      </c>
      <c r="F9" s="294">
        <f t="shared" ref="F9:F72" si="1">E9+C9</f>
        <v>24568545.846606672</v>
      </c>
      <c r="G9" s="9">
        <f t="shared" si="0"/>
        <v>7929600596</v>
      </c>
      <c r="H9" s="138"/>
    </row>
    <row r="10" spans="1:12" x14ac:dyDescent="0.25">
      <c r="A10" s="6">
        <f>A9+30</f>
        <v>44193</v>
      </c>
      <c r="B10" s="297" t="s">
        <v>9</v>
      </c>
      <c r="C10" s="294"/>
      <c r="D10" s="294">
        <f>G9*$E$157*$E$156/360</f>
        <v>24542113.844620001</v>
      </c>
      <c r="E10" s="294">
        <v>24542113.844620001</v>
      </c>
      <c r="F10" s="294">
        <f t="shared" si="1"/>
        <v>24542113.844620001</v>
      </c>
      <c r="G10" s="9">
        <f t="shared" si="0"/>
        <v>7929600596</v>
      </c>
    </row>
    <row r="11" spans="1:12" x14ac:dyDescent="0.25">
      <c r="A11" s="6">
        <f>A10+31</f>
        <v>44224</v>
      </c>
      <c r="B11" s="297" t="s">
        <v>9</v>
      </c>
      <c r="C11" s="294"/>
      <c r="D11" s="294">
        <f>G10*$F$157*$F$156/360</f>
        <v>24528897.843626671</v>
      </c>
      <c r="E11" s="294">
        <v>24528898</v>
      </c>
      <c r="F11" s="294">
        <f t="shared" si="1"/>
        <v>24528898</v>
      </c>
      <c r="G11" s="9">
        <f t="shared" si="0"/>
        <v>7929600596</v>
      </c>
      <c r="H11" s="138"/>
      <c r="I11" s="138"/>
    </row>
    <row r="12" spans="1:12" x14ac:dyDescent="0.25">
      <c r="A12" s="6">
        <f>A11+31</f>
        <v>44255</v>
      </c>
      <c r="B12" s="297" t="s">
        <v>9</v>
      </c>
      <c r="C12" s="294"/>
      <c r="D12" s="294">
        <f t="shared" ref="D12:D22" si="2">G11*$G$157*$G$156/360</f>
        <v>39648002.979999997</v>
      </c>
      <c r="E12" s="294"/>
      <c r="F12" s="294">
        <f t="shared" si="1"/>
        <v>0</v>
      </c>
      <c r="G12" s="9">
        <f t="shared" si="0"/>
        <v>7929600596</v>
      </c>
      <c r="I12" s="76"/>
    </row>
    <row r="13" spans="1:12" x14ac:dyDescent="0.25">
      <c r="A13" s="6">
        <f>A12+28</f>
        <v>44283</v>
      </c>
      <c r="B13" s="297" t="s">
        <v>9</v>
      </c>
      <c r="C13" s="294"/>
      <c r="D13" s="294">
        <f t="shared" si="2"/>
        <v>39648002.979999997</v>
      </c>
      <c r="E13" s="294"/>
      <c r="F13" s="294">
        <f t="shared" si="1"/>
        <v>0</v>
      </c>
      <c r="G13" s="9">
        <f t="shared" si="0"/>
        <v>7929600596</v>
      </c>
      <c r="I13" s="76"/>
    </row>
    <row r="14" spans="1:12" x14ac:dyDescent="0.25">
      <c r="A14" s="6">
        <f>A13+31</f>
        <v>44314</v>
      </c>
      <c r="B14" s="11" t="s">
        <v>9</v>
      </c>
      <c r="C14" s="12"/>
      <c r="D14" s="294">
        <f t="shared" si="2"/>
        <v>39648002.979999997</v>
      </c>
      <c r="E14" s="294"/>
      <c r="F14" s="294">
        <f t="shared" si="1"/>
        <v>0</v>
      </c>
      <c r="G14" s="9">
        <f t="shared" si="0"/>
        <v>7929600596</v>
      </c>
      <c r="H14" s="76"/>
      <c r="I14" s="439"/>
      <c r="K14" s="54"/>
      <c r="L14" s="54" t="s">
        <v>42</v>
      </c>
    </row>
    <row r="15" spans="1:12" x14ac:dyDescent="0.25">
      <c r="A15" s="6">
        <f>A14+30</f>
        <v>44344</v>
      </c>
      <c r="B15" s="11" t="s">
        <v>9</v>
      </c>
      <c r="C15" s="12"/>
      <c r="D15" s="294">
        <f t="shared" si="2"/>
        <v>39648002.979999997</v>
      </c>
      <c r="E15" s="294"/>
      <c r="F15" s="294">
        <f t="shared" si="1"/>
        <v>0</v>
      </c>
      <c r="G15" s="9">
        <f t="shared" si="0"/>
        <v>7929600596</v>
      </c>
      <c r="H15" s="54"/>
      <c r="K15" s="76" t="s">
        <v>42</v>
      </c>
    </row>
    <row r="16" spans="1:12" x14ac:dyDescent="0.25">
      <c r="A16" s="6">
        <f>A15+31</f>
        <v>44375</v>
      </c>
      <c r="B16" s="11" t="s">
        <v>9</v>
      </c>
      <c r="C16" s="12"/>
      <c r="D16" s="294">
        <f t="shared" si="2"/>
        <v>39648002.979999997</v>
      </c>
      <c r="E16" s="294"/>
      <c r="F16" s="294">
        <f t="shared" si="1"/>
        <v>0</v>
      </c>
      <c r="G16" s="9">
        <f t="shared" si="0"/>
        <v>7929600596</v>
      </c>
      <c r="H16" s="54"/>
      <c r="I16" s="105"/>
    </row>
    <row r="17" spans="1:8" x14ac:dyDescent="0.25">
      <c r="A17" s="6">
        <f>A16+30</f>
        <v>44405</v>
      </c>
      <c r="B17" s="11" t="s">
        <v>9</v>
      </c>
      <c r="C17" s="12"/>
      <c r="D17" s="294">
        <f t="shared" si="2"/>
        <v>39648002.979999997</v>
      </c>
      <c r="E17" s="294"/>
      <c r="F17" s="294">
        <f t="shared" si="1"/>
        <v>0</v>
      </c>
      <c r="G17" s="9">
        <f t="shared" si="0"/>
        <v>7929600596</v>
      </c>
      <c r="H17" s="76"/>
    </row>
    <row r="18" spans="1:8" x14ac:dyDescent="0.25">
      <c r="A18" s="6">
        <f>A17+31</f>
        <v>44436</v>
      </c>
      <c r="B18" s="11" t="s">
        <v>9</v>
      </c>
      <c r="C18" s="12"/>
      <c r="D18" s="294">
        <f t="shared" si="2"/>
        <v>39648002.979999997</v>
      </c>
      <c r="E18" s="294"/>
      <c r="F18" s="294">
        <f t="shared" si="1"/>
        <v>0</v>
      </c>
      <c r="G18" s="9">
        <f t="shared" si="0"/>
        <v>7929600596</v>
      </c>
    </row>
    <row r="19" spans="1:8" x14ac:dyDescent="0.25">
      <c r="A19" s="6">
        <f>A18+31</f>
        <v>44467</v>
      </c>
      <c r="B19" s="11" t="s">
        <v>9</v>
      </c>
      <c r="C19" s="12"/>
      <c r="D19" s="294">
        <f t="shared" si="2"/>
        <v>39648002.979999997</v>
      </c>
      <c r="E19" s="294"/>
      <c r="F19" s="294">
        <f t="shared" si="1"/>
        <v>0</v>
      </c>
      <c r="G19" s="9">
        <f t="shared" si="0"/>
        <v>7929600596</v>
      </c>
    </row>
    <row r="20" spans="1:8" x14ac:dyDescent="0.25">
      <c r="A20" s="6">
        <f>A19+30</f>
        <v>44497</v>
      </c>
      <c r="B20" s="11" t="s">
        <v>9</v>
      </c>
      <c r="C20" s="12"/>
      <c r="D20" s="294">
        <f t="shared" si="2"/>
        <v>39648002.979999997</v>
      </c>
      <c r="E20" s="294"/>
      <c r="F20" s="294">
        <f t="shared" si="1"/>
        <v>0</v>
      </c>
      <c r="G20" s="9">
        <f t="shared" si="0"/>
        <v>7929600596</v>
      </c>
    </row>
    <row r="21" spans="1:8" x14ac:dyDescent="0.25">
      <c r="A21" s="6">
        <f>A20+31</f>
        <v>44528</v>
      </c>
      <c r="B21" s="11" t="s">
        <v>9</v>
      </c>
      <c r="C21" s="12"/>
      <c r="D21" s="294">
        <f t="shared" si="2"/>
        <v>39648002.979999997</v>
      </c>
      <c r="E21" s="294"/>
      <c r="F21" s="294">
        <f t="shared" si="1"/>
        <v>0</v>
      </c>
      <c r="G21" s="9">
        <f t="shared" si="0"/>
        <v>7929600596</v>
      </c>
    </row>
    <row r="22" spans="1:8" x14ac:dyDescent="0.25">
      <c r="A22" s="6">
        <f>A21+30</f>
        <v>44558</v>
      </c>
      <c r="B22" s="11" t="s">
        <v>9</v>
      </c>
      <c r="C22" s="12"/>
      <c r="D22" s="294">
        <f t="shared" si="2"/>
        <v>39648002.979999997</v>
      </c>
      <c r="E22" s="294"/>
      <c r="F22" s="294">
        <f t="shared" si="1"/>
        <v>0</v>
      </c>
      <c r="G22" s="9">
        <f t="shared" si="0"/>
        <v>7929600596</v>
      </c>
    </row>
    <row r="23" spans="1:8" x14ac:dyDescent="0.25">
      <c r="A23" s="6">
        <f>A22+31</f>
        <v>44589</v>
      </c>
      <c r="B23" s="11" t="s">
        <v>9</v>
      </c>
      <c r="C23" s="12"/>
      <c r="D23" s="294">
        <f t="shared" ref="D23:D34" si="3">G22*$H$157*$H$156/360</f>
        <v>42952003.228333339</v>
      </c>
      <c r="E23" s="294"/>
      <c r="F23" s="294">
        <f t="shared" si="1"/>
        <v>0</v>
      </c>
      <c r="G23" s="9">
        <f t="shared" si="0"/>
        <v>7929600596</v>
      </c>
    </row>
    <row r="24" spans="1:8" x14ac:dyDescent="0.25">
      <c r="A24" s="6">
        <f>A23+31</f>
        <v>44620</v>
      </c>
      <c r="B24" s="11" t="s">
        <v>9</v>
      </c>
      <c r="C24" s="12"/>
      <c r="D24" s="294">
        <f t="shared" si="3"/>
        <v>42952003.228333339</v>
      </c>
      <c r="E24" s="294"/>
      <c r="F24" s="294">
        <f t="shared" si="1"/>
        <v>0</v>
      </c>
      <c r="G24" s="9">
        <f t="shared" si="0"/>
        <v>7929600596</v>
      </c>
    </row>
    <row r="25" spans="1:8" x14ac:dyDescent="0.25">
      <c r="A25" s="6">
        <f>A24+28</f>
        <v>44648</v>
      </c>
      <c r="B25" s="11" t="s">
        <v>9</v>
      </c>
      <c r="C25" s="12"/>
      <c r="D25" s="294">
        <f t="shared" si="3"/>
        <v>42952003.228333339</v>
      </c>
      <c r="E25" s="294"/>
      <c r="F25" s="294">
        <f t="shared" si="1"/>
        <v>0</v>
      </c>
      <c r="G25" s="9">
        <f t="shared" si="0"/>
        <v>7929600596</v>
      </c>
    </row>
    <row r="26" spans="1:8" x14ac:dyDescent="0.25">
      <c r="A26" s="6">
        <f>A25+31</f>
        <v>44679</v>
      </c>
      <c r="B26" s="11" t="s">
        <v>9</v>
      </c>
      <c r="C26" s="12"/>
      <c r="D26" s="294">
        <f t="shared" si="3"/>
        <v>42952003.228333339</v>
      </c>
      <c r="E26" s="294"/>
      <c r="F26" s="294">
        <f t="shared" si="1"/>
        <v>0</v>
      </c>
      <c r="G26" s="9">
        <f t="shared" si="0"/>
        <v>7929600596</v>
      </c>
    </row>
    <row r="27" spans="1:8" x14ac:dyDescent="0.25">
      <c r="A27" s="6">
        <f>A26+30</f>
        <v>44709</v>
      </c>
      <c r="B27" s="11" t="s">
        <v>9</v>
      </c>
      <c r="C27" s="12"/>
      <c r="D27" s="294">
        <f t="shared" si="3"/>
        <v>42952003.228333339</v>
      </c>
      <c r="E27" s="294"/>
      <c r="F27" s="294">
        <f t="shared" si="1"/>
        <v>0</v>
      </c>
      <c r="G27" s="9">
        <f t="shared" si="0"/>
        <v>7929600596</v>
      </c>
    </row>
    <row r="28" spans="1:8" x14ac:dyDescent="0.25">
      <c r="A28" s="6">
        <f>A27+31</f>
        <v>44740</v>
      </c>
      <c r="B28" s="11" t="s">
        <v>9</v>
      </c>
      <c r="C28" s="12"/>
      <c r="D28" s="294">
        <f t="shared" si="3"/>
        <v>42952003.228333339</v>
      </c>
      <c r="E28" s="294"/>
      <c r="F28" s="294">
        <f t="shared" si="1"/>
        <v>0</v>
      </c>
      <c r="G28" s="9">
        <f t="shared" si="0"/>
        <v>7929600596</v>
      </c>
    </row>
    <row r="29" spans="1:8" x14ac:dyDescent="0.25">
      <c r="A29" s="6">
        <f>A28+30</f>
        <v>44770</v>
      </c>
      <c r="B29" s="11" t="s">
        <v>9</v>
      </c>
      <c r="C29" s="12"/>
      <c r="D29" s="294">
        <f t="shared" si="3"/>
        <v>42952003.228333339</v>
      </c>
      <c r="E29" s="294"/>
      <c r="F29" s="294">
        <f t="shared" si="1"/>
        <v>0</v>
      </c>
      <c r="G29" s="9">
        <f t="shared" si="0"/>
        <v>7929600596</v>
      </c>
    </row>
    <row r="30" spans="1:8" x14ac:dyDescent="0.25">
      <c r="A30" s="6">
        <f>A29+31</f>
        <v>44801</v>
      </c>
      <c r="B30" s="11" t="s">
        <v>9</v>
      </c>
      <c r="C30" s="12"/>
      <c r="D30" s="294">
        <f t="shared" si="3"/>
        <v>42952003.228333339</v>
      </c>
      <c r="E30" s="294"/>
      <c r="F30" s="294">
        <f t="shared" si="1"/>
        <v>0</v>
      </c>
      <c r="G30" s="9">
        <f t="shared" si="0"/>
        <v>7929600596</v>
      </c>
    </row>
    <row r="31" spans="1:8" x14ac:dyDescent="0.25">
      <c r="A31" s="6">
        <f>A30+31</f>
        <v>44832</v>
      </c>
      <c r="B31" s="11" t="s">
        <v>3061</v>
      </c>
      <c r="C31" s="12">
        <f>+G6/120</f>
        <v>66080004.966666669</v>
      </c>
      <c r="D31" s="294">
        <f t="shared" si="3"/>
        <v>42952003.228333339</v>
      </c>
      <c r="E31" s="12"/>
      <c r="F31" s="294">
        <f t="shared" si="1"/>
        <v>66080004.966666669</v>
      </c>
      <c r="G31" s="9">
        <f t="shared" ref="G31:G62" si="4">+G30-C31</f>
        <v>7863520591.0333338</v>
      </c>
    </row>
    <row r="32" spans="1:8" x14ac:dyDescent="0.25">
      <c r="A32" s="6">
        <f>A31+30</f>
        <v>44862</v>
      </c>
      <c r="B32" s="11" t="s">
        <v>3061</v>
      </c>
      <c r="C32" s="12">
        <v>66080004.966666669</v>
      </c>
      <c r="D32" s="294">
        <f t="shared" si="3"/>
        <v>42594069.868097223</v>
      </c>
      <c r="E32" s="12"/>
      <c r="F32" s="294">
        <f t="shared" si="1"/>
        <v>66080004.966666669</v>
      </c>
      <c r="G32" s="9">
        <f t="shared" si="4"/>
        <v>7797440586.0666676</v>
      </c>
    </row>
    <row r="33" spans="1:7" x14ac:dyDescent="0.25">
      <c r="A33" s="6">
        <f>A32+31</f>
        <v>44893</v>
      </c>
      <c r="B33" s="11" t="s">
        <v>3061</v>
      </c>
      <c r="C33" s="12">
        <v>66080004.966666669</v>
      </c>
      <c r="D33" s="294">
        <f t="shared" si="3"/>
        <v>42236136.507861115</v>
      </c>
      <c r="E33" s="12"/>
      <c r="F33" s="294">
        <f t="shared" si="1"/>
        <v>66080004.966666669</v>
      </c>
      <c r="G33" s="9">
        <f t="shared" si="4"/>
        <v>7731360581.1000013</v>
      </c>
    </row>
    <row r="34" spans="1:7" x14ac:dyDescent="0.25">
      <c r="A34" s="6">
        <f>A33+30</f>
        <v>44923</v>
      </c>
      <c r="B34" s="11" t="s">
        <v>3061</v>
      </c>
      <c r="C34" s="12">
        <v>66080004.966666669</v>
      </c>
      <c r="D34" s="294">
        <f t="shared" si="3"/>
        <v>41878203.147625014</v>
      </c>
      <c r="E34" s="12"/>
      <c r="F34" s="294">
        <f t="shared" si="1"/>
        <v>66080004.966666669</v>
      </c>
      <c r="G34" s="9">
        <f t="shared" si="4"/>
        <v>7665280576.1333351</v>
      </c>
    </row>
    <row r="35" spans="1:7" x14ac:dyDescent="0.25">
      <c r="A35" s="6">
        <f>A34+31</f>
        <v>44954</v>
      </c>
      <c r="B35" s="11" t="s">
        <v>3061</v>
      </c>
      <c r="C35" s="12">
        <v>66080004.966666669</v>
      </c>
      <c r="D35" s="294">
        <f t="shared" ref="D35:D66" si="5">G34*$I$157*$I$156/360</f>
        <v>44714136.694111124</v>
      </c>
      <c r="E35" s="12"/>
      <c r="F35" s="294">
        <f t="shared" si="1"/>
        <v>66080004.966666669</v>
      </c>
      <c r="G35" s="9">
        <f t="shared" si="4"/>
        <v>7599200571.1666689</v>
      </c>
    </row>
    <row r="36" spans="1:7" x14ac:dyDescent="0.25">
      <c r="A36" s="6">
        <f>A35+31</f>
        <v>44985</v>
      </c>
      <c r="B36" s="11" t="s">
        <v>3061</v>
      </c>
      <c r="C36" s="12">
        <v>66080004.966666669</v>
      </c>
      <c r="D36" s="294">
        <f t="shared" si="5"/>
        <v>44328669.998472244</v>
      </c>
      <c r="E36" s="12"/>
      <c r="F36" s="294">
        <f t="shared" si="1"/>
        <v>66080004.966666669</v>
      </c>
      <c r="G36" s="9">
        <f t="shared" si="4"/>
        <v>7533120566.2000027</v>
      </c>
    </row>
    <row r="37" spans="1:7" x14ac:dyDescent="0.25">
      <c r="A37" s="6">
        <f>A36+28</f>
        <v>45013</v>
      </c>
      <c r="B37" s="11" t="s">
        <v>10</v>
      </c>
      <c r="C37" s="12">
        <v>66080004.966666669</v>
      </c>
      <c r="D37" s="294">
        <f t="shared" si="5"/>
        <v>43943203.302833356</v>
      </c>
      <c r="E37" s="12"/>
      <c r="F37" s="294">
        <f t="shared" si="1"/>
        <v>66080004.966666669</v>
      </c>
      <c r="G37" s="9">
        <f t="shared" si="4"/>
        <v>7467040561.2333364</v>
      </c>
    </row>
    <row r="38" spans="1:7" x14ac:dyDescent="0.25">
      <c r="A38" s="6">
        <f>A37+31</f>
        <v>45044</v>
      </c>
      <c r="B38" s="11" t="s">
        <v>10</v>
      </c>
      <c r="C38" s="12">
        <v>66080004.966666669</v>
      </c>
      <c r="D38" s="294">
        <f t="shared" si="5"/>
        <v>43557736.607194468</v>
      </c>
      <c r="E38" s="12"/>
      <c r="F38" s="294">
        <f t="shared" si="1"/>
        <v>66080004.966666669</v>
      </c>
      <c r="G38" s="9">
        <f t="shared" si="4"/>
        <v>7400960556.2666702</v>
      </c>
    </row>
    <row r="39" spans="1:7" x14ac:dyDescent="0.25">
      <c r="A39" s="6">
        <f>A38+30</f>
        <v>45074</v>
      </c>
      <c r="B39" s="11" t="s">
        <v>10</v>
      </c>
      <c r="C39" s="12">
        <v>66080004.966666669</v>
      </c>
      <c r="D39" s="294">
        <f t="shared" si="5"/>
        <v>43172269.911555573</v>
      </c>
      <c r="E39" s="12"/>
      <c r="F39" s="294">
        <f t="shared" si="1"/>
        <v>66080004.966666669</v>
      </c>
      <c r="G39" s="9">
        <f t="shared" si="4"/>
        <v>7334880551.300004</v>
      </c>
    </row>
    <row r="40" spans="1:7" x14ac:dyDescent="0.25">
      <c r="A40" s="6">
        <f>A39+31</f>
        <v>45105</v>
      </c>
      <c r="B40" s="11" t="s">
        <v>10</v>
      </c>
      <c r="C40" s="12">
        <v>66080004.966666669</v>
      </c>
      <c r="D40" s="294">
        <f t="shared" si="5"/>
        <v>42786803.215916693</v>
      </c>
      <c r="E40" s="12"/>
      <c r="F40" s="294">
        <f t="shared" si="1"/>
        <v>66080004.966666669</v>
      </c>
      <c r="G40" s="9">
        <f t="shared" si="4"/>
        <v>7268800546.3333378</v>
      </c>
    </row>
    <row r="41" spans="1:7" x14ac:dyDescent="0.25">
      <c r="A41" s="6">
        <f>A40+30</f>
        <v>45135</v>
      </c>
      <c r="B41" s="11" t="s">
        <v>10</v>
      </c>
      <c r="C41" s="12">
        <v>66080004.966666669</v>
      </c>
      <c r="D41" s="294">
        <f t="shared" si="5"/>
        <v>42401336.520277806</v>
      </c>
      <c r="E41" s="12"/>
      <c r="F41" s="294">
        <f t="shared" si="1"/>
        <v>66080004.966666669</v>
      </c>
      <c r="G41" s="9">
        <f t="shared" si="4"/>
        <v>7202720541.3666716</v>
      </c>
    </row>
    <row r="42" spans="1:7" x14ac:dyDescent="0.25">
      <c r="A42" s="6">
        <f>A41+31</f>
        <v>45166</v>
      </c>
      <c r="B42" s="11" t="s">
        <v>10</v>
      </c>
      <c r="C42" s="12">
        <v>66080004.966666669</v>
      </c>
      <c r="D42" s="294">
        <f t="shared" si="5"/>
        <v>42015869.824638925</v>
      </c>
      <c r="E42" s="12"/>
      <c r="F42" s="294">
        <f t="shared" si="1"/>
        <v>66080004.966666669</v>
      </c>
      <c r="G42" s="9">
        <f t="shared" si="4"/>
        <v>7136640536.4000053</v>
      </c>
    </row>
    <row r="43" spans="1:7" x14ac:dyDescent="0.25">
      <c r="A43" s="6">
        <f>A42+31</f>
        <v>45197</v>
      </c>
      <c r="B43" s="11" t="s">
        <v>10</v>
      </c>
      <c r="C43" s="12">
        <v>66080004.966666669</v>
      </c>
      <c r="D43" s="294">
        <f t="shared" si="5"/>
        <v>41630403.12900003</v>
      </c>
      <c r="E43" s="12"/>
      <c r="F43" s="294">
        <f t="shared" si="1"/>
        <v>66080004.966666669</v>
      </c>
      <c r="G43" s="9">
        <f t="shared" si="4"/>
        <v>7070560531.4333391</v>
      </c>
    </row>
    <row r="44" spans="1:7" x14ac:dyDescent="0.25">
      <c r="A44" s="6">
        <f>A43+30</f>
        <v>45227</v>
      </c>
      <c r="B44" s="11" t="s">
        <v>10</v>
      </c>
      <c r="C44" s="12">
        <v>66080004.966666669</v>
      </c>
      <c r="D44" s="294">
        <f t="shared" si="5"/>
        <v>41244936.43336115</v>
      </c>
      <c r="E44" s="12"/>
      <c r="F44" s="294">
        <f t="shared" si="1"/>
        <v>66080004.966666669</v>
      </c>
      <c r="G44" s="9">
        <f t="shared" si="4"/>
        <v>7004480526.4666729</v>
      </c>
    </row>
    <row r="45" spans="1:7" x14ac:dyDescent="0.25">
      <c r="A45" s="6">
        <f>A44+31</f>
        <v>45258</v>
      </c>
      <c r="B45" s="11" t="s">
        <v>10</v>
      </c>
      <c r="C45" s="12">
        <v>66080004.966666669</v>
      </c>
      <c r="D45" s="294">
        <f t="shared" si="5"/>
        <v>40859469.737722263</v>
      </c>
      <c r="E45" s="12"/>
      <c r="F45" s="294">
        <f t="shared" si="1"/>
        <v>66080004.966666669</v>
      </c>
      <c r="G45" s="9">
        <f t="shared" si="4"/>
        <v>6938400521.5000067</v>
      </c>
    </row>
    <row r="46" spans="1:7" x14ac:dyDescent="0.25">
      <c r="A46" s="6">
        <f>A45+30</f>
        <v>45288</v>
      </c>
      <c r="B46" s="11" t="s">
        <v>10</v>
      </c>
      <c r="C46" s="12">
        <v>66080004.966666669</v>
      </c>
      <c r="D46" s="294">
        <f t="shared" si="5"/>
        <v>40474003.042083383</v>
      </c>
      <c r="E46" s="12"/>
      <c r="F46" s="294">
        <f t="shared" si="1"/>
        <v>66080004.966666669</v>
      </c>
      <c r="G46" s="9">
        <f t="shared" si="4"/>
        <v>6872320516.5333405</v>
      </c>
    </row>
    <row r="47" spans="1:7" x14ac:dyDescent="0.25">
      <c r="A47" s="6">
        <f>A46+31</f>
        <v>45319</v>
      </c>
      <c r="B47" s="11" t="s">
        <v>10</v>
      </c>
      <c r="C47" s="12">
        <v>66080004.966666669</v>
      </c>
      <c r="D47" s="294">
        <f t="shared" si="5"/>
        <v>40088536.346444488</v>
      </c>
      <c r="E47" s="12"/>
      <c r="F47" s="294">
        <f t="shared" si="1"/>
        <v>66080004.966666669</v>
      </c>
      <c r="G47" s="9">
        <f t="shared" si="4"/>
        <v>6806240511.5666742</v>
      </c>
    </row>
    <row r="48" spans="1:7" x14ac:dyDescent="0.25">
      <c r="A48" s="6">
        <f>A47+31</f>
        <v>45350</v>
      </c>
      <c r="B48" s="11" t="s">
        <v>10</v>
      </c>
      <c r="C48" s="12">
        <v>66080004.966666669</v>
      </c>
      <c r="D48" s="294">
        <f t="shared" si="5"/>
        <v>39703069.6508056</v>
      </c>
      <c r="E48" s="12"/>
      <c r="F48" s="294">
        <f t="shared" si="1"/>
        <v>66080004.966666669</v>
      </c>
      <c r="G48" s="9">
        <f t="shared" si="4"/>
        <v>6740160506.600008</v>
      </c>
    </row>
    <row r="49" spans="1:9" x14ac:dyDescent="0.25">
      <c r="A49" s="6">
        <f>A48+29</f>
        <v>45379</v>
      </c>
      <c r="B49" s="11" t="s">
        <v>10</v>
      </c>
      <c r="C49" s="12">
        <v>66080004.966666669</v>
      </c>
      <c r="D49" s="294">
        <f t="shared" si="5"/>
        <v>39317602.955166712</v>
      </c>
      <c r="E49" s="12"/>
      <c r="F49" s="294">
        <f t="shared" si="1"/>
        <v>66080004.966666669</v>
      </c>
      <c r="G49" s="9">
        <f t="shared" si="4"/>
        <v>6674080501.6333418</v>
      </c>
    </row>
    <row r="50" spans="1:9" x14ac:dyDescent="0.25">
      <c r="A50" s="6">
        <f>A49+31</f>
        <v>45410</v>
      </c>
      <c r="B50" s="11" t="s">
        <v>10</v>
      </c>
      <c r="C50" s="12">
        <v>66080004.966666669</v>
      </c>
      <c r="D50" s="294">
        <f t="shared" si="5"/>
        <v>38932136.259527832</v>
      </c>
      <c r="E50" s="12"/>
      <c r="F50" s="294">
        <f t="shared" si="1"/>
        <v>66080004.966666669</v>
      </c>
      <c r="G50" s="9">
        <f t="shared" si="4"/>
        <v>6608000496.6666756</v>
      </c>
    </row>
    <row r="51" spans="1:9" x14ac:dyDescent="0.25">
      <c r="A51" s="6">
        <f>A50+30</f>
        <v>45440</v>
      </c>
      <c r="B51" s="11" t="s">
        <v>10</v>
      </c>
      <c r="C51" s="12">
        <v>66080004.966666669</v>
      </c>
      <c r="D51" s="294">
        <f t="shared" si="5"/>
        <v>38546669.563888945</v>
      </c>
      <c r="E51" s="12"/>
      <c r="F51" s="294">
        <f t="shared" si="1"/>
        <v>66080004.966666669</v>
      </c>
      <c r="G51" s="9">
        <f t="shared" si="4"/>
        <v>6541920491.7000093</v>
      </c>
    </row>
    <row r="52" spans="1:9" x14ac:dyDescent="0.25">
      <c r="A52" s="6">
        <f>A51+31</f>
        <v>45471</v>
      </c>
      <c r="B52" s="11" t="s">
        <v>10</v>
      </c>
      <c r="C52" s="12">
        <v>66080004.966666669</v>
      </c>
      <c r="D52" s="294">
        <f t="shared" si="5"/>
        <v>38161202.868250057</v>
      </c>
      <c r="E52" s="12"/>
      <c r="F52" s="294">
        <f t="shared" si="1"/>
        <v>66080004.966666669</v>
      </c>
      <c r="G52" s="9">
        <f t="shared" si="4"/>
        <v>6475840486.7333431</v>
      </c>
    </row>
    <row r="53" spans="1:9" x14ac:dyDescent="0.25">
      <c r="A53" s="6">
        <f>A52+30</f>
        <v>45501</v>
      </c>
      <c r="B53" s="11" t="s">
        <v>10</v>
      </c>
      <c r="C53" s="12">
        <v>66080004.966666669</v>
      </c>
      <c r="D53" s="294">
        <f t="shared" si="5"/>
        <v>37775736.17261117</v>
      </c>
      <c r="E53" s="12"/>
      <c r="F53" s="294">
        <f t="shared" si="1"/>
        <v>66080004.966666669</v>
      </c>
      <c r="G53" s="9">
        <f t="shared" si="4"/>
        <v>6409760481.7666769</v>
      </c>
    </row>
    <row r="54" spans="1:9" x14ac:dyDescent="0.25">
      <c r="A54" s="6">
        <f>A53+31</f>
        <v>45532</v>
      </c>
      <c r="B54" s="11" t="s">
        <v>10</v>
      </c>
      <c r="C54" s="12">
        <v>66080004.966666669</v>
      </c>
      <c r="D54" s="294">
        <f t="shared" si="5"/>
        <v>37390269.476972289</v>
      </c>
      <c r="E54" s="12"/>
      <c r="F54" s="294">
        <f t="shared" si="1"/>
        <v>66080004.966666669</v>
      </c>
      <c r="G54" s="9">
        <f t="shared" si="4"/>
        <v>6343680476.8000107</v>
      </c>
    </row>
    <row r="55" spans="1:9" x14ac:dyDescent="0.25">
      <c r="A55" s="6">
        <f>A54+31</f>
        <v>45563</v>
      </c>
      <c r="B55" s="11" t="s">
        <v>10</v>
      </c>
      <c r="C55" s="12">
        <v>66080004.966666669</v>
      </c>
      <c r="D55" s="294">
        <f t="shared" si="5"/>
        <v>37004802.781333402</v>
      </c>
      <c r="E55" s="12"/>
      <c r="F55" s="294">
        <f t="shared" si="1"/>
        <v>66080004.966666669</v>
      </c>
      <c r="G55" s="9">
        <f t="shared" si="4"/>
        <v>6277600471.8333445</v>
      </c>
    </row>
    <row r="56" spans="1:9" x14ac:dyDescent="0.25">
      <c r="A56" s="6">
        <f>A55+30</f>
        <v>45593</v>
      </c>
      <c r="B56" s="11" t="s">
        <v>10</v>
      </c>
      <c r="C56" s="12">
        <v>66080004.966666669</v>
      </c>
      <c r="D56" s="294">
        <f t="shared" si="5"/>
        <v>36619336.085694514</v>
      </c>
      <c r="E56" s="12"/>
      <c r="F56" s="294">
        <f t="shared" si="1"/>
        <v>66080004.966666669</v>
      </c>
      <c r="G56" s="9">
        <f t="shared" si="4"/>
        <v>6211520466.8666782</v>
      </c>
    </row>
    <row r="57" spans="1:9" x14ac:dyDescent="0.25">
      <c r="A57" s="6">
        <f>A56+31</f>
        <v>45624</v>
      </c>
      <c r="B57" s="11" t="s">
        <v>10</v>
      </c>
      <c r="C57" s="12">
        <v>66080004.966666669</v>
      </c>
      <c r="D57" s="294">
        <f t="shared" si="5"/>
        <v>36233869.390055627</v>
      </c>
      <c r="E57" s="12"/>
      <c r="F57" s="294">
        <f t="shared" si="1"/>
        <v>66080004.966666669</v>
      </c>
      <c r="G57" s="9">
        <f t="shared" si="4"/>
        <v>6145440461.900012</v>
      </c>
    </row>
    <row r="58" spans="1:9" x14ac:dyDescent="0.25">
      <c r="A58" s="6">
        <f>A57+30</f>
        <v>45654</v>
      </c>
      <c r="B58" s="11" t="s">
        <v>10</v>
      </c>
      <c r="C58" s="12">
        <v>66080004.966666669</v>
      </c>
      <c r="D58" s="294">
        <f t="shared" si="5"/>
        <v>35848402.694416739</v>
      </c>
      <c r="E58" s="12"/>
      <c r="F58" s="294">
        <f t="shared" si="1"/>
        <v>66080004.966666669</v>
      </c>
      <c r="G58" s="9">
        <f t="shared" si="4"/>
        <v>6079360456.9333458</v>
      </c>
    </row>
    <row r="59" spans="1:9" x14ac:dyDescent="0.25">
      <c r="A59" s="6">
        <f>A58+31</f>
        <v>45685</v>
      </c>
      <c r="B59" s="11" t="s">
        <v>10</v>
      </c>
      <c r="C59" s="12">
        <v>66080004.966666669</v>
      </c>
      <c r="D59" s="294">
        <f t="shared" si="5"/>
        <v>35462935.998777851</v>
      </c>
      <c r="E59" s="12"/>
      <c r="F59" s="294">
        <f t="shared" si="1"/>
        <v>66080004.966666669</v>
      </c>
      <c r="G59" s="9">
        <f t="shared" si="4"/>
        <v>6013280451.9666796</v>
      </c>
    </row>
    <row r="60" spans="1:9" x14ac:dyDescent="0.25">
      <c r="A60" s="6">
        <f>A59+31</f>
        <v>45716</v>
      </c>
      <c r="B60" s="11" t="s">
        <v>10</v>
      </c>
      <c r="C60" s="12">
        <v>66080004.966666669</v>
      </c>
      <c r="D60" s="294">
        <f t="shared" si="5"/>
        <v>35077469.303138964</v>
      </c>
      <c r="E60" s="12"/>
      <c r="F60" s="294">
        <f t="shared" si="1"/>
        <v>66080004.966666669</v>
      </c>
      <c r="G60" s="9">
        <f t="shared" si="4"/>
        <v>5947200447.0000134</v>
      </c>
    </row>
    <row r="61" spans="1:9" x14ac:dyDescent="0.25">
      <c r="A61" s="6">
        <f>A60+28</f>
        <v>45744</v>
      </c>
      <c r="B61" s="11" t="s">
        <v>10</v>
      </c>
      <c r="C61" s="12">
        <v>66080004.966666669</v>
      </c>
      <c r="D61" s="294">
        <f t="shared" si="5"/>
        <v>34692002.607500084</v>
      </c>
      <c r="E61" s="12"/>
      <c r="F61" s="294">
        <f t="shared" si="1"/>
        <v>66080004.966666669</v>
      </c>
      <c r="G61" s="9">
        <f t="shared" si="4"/>
        <v>5881120442.0333471</v>
      </c>
      <c r="I61" s="76"/>
    </row>
    <row r="62" spans="1:9" x14ac:dyDescent="0.25">
      <c r="A62" s="6">
        <f>A61+31</f>
        <v>45775</v>
      </c>
      <c r="B62" s="11" t="s">
        <v>10</v>
      </c>
      <c r="C62" s="12">
        <v>66080004.966666669</v>
      </c>
      <c r="D62" s="294">
        <f t="shared" si="5"/>
        <v>34306535.911861196</v>
      </c>
      <c r="E62" s="12"/>
      <c r="F62" s="294">
        <f t="shared" si="1"/>
        <v>66080004.966666669</v>
      </c>
      <c r="G62" s="9">
        <f t="shared" si="4"/>
        <v>5815040437.0666809</v>
      </c>
    </row>
    <row r="63" spans="1:9" x14ac:dyDescent="0.25">
      <c r="A63" s="6">
        <f>A62+30</f>
        <v>45805</v>
      </c>
      <c r="B63" s="11" t="s">
        <v>10</v>
      </c>
      <c r="C63" s="12">
        <v>66080004.966666669</v>
      </c>
      <c r="D63" s="294">
        <f t="shared" si="5"/>
        <v>33921069.216222309</v>
      </c>
      <c r="E63" s="12"/>
      <c r="F63" s="294">
        <f t="shared" si="1"/>
        <v>66080004.966666669</v>
      </c>
      <c r="G63" s="9">
        <f t="shared" ref="G63:G94" si="6">+G62-C63</f>
        <v>5748960432.1000147</v>
      </c>
    </row>
    <row r="64" spans="1:9" x14ac:dyDescent="0.25">
      <c r="A64" s="6">
        <f>A63+31</f>
        <v>45836</v>
      </c>
      <c r="B64" s="11" t="s">
        <v>10</v>
      </c>
      <c r="C64" s="12">
        <v>66080004.966666669</v>
      </c>
      <c r="D64" s="294">
        <f t="shared" si="5"/>
        <v>33535602.520583425</v>
      </c>
      <c r="E64" s="12"/>
      <c r="F64" s="294">
        <f t="shared" si="1"/>
        <v>66080004.966666669</v>
      </c>
      <c r="G64" s="9">
        <f t="shared" si="6"/>
        <v>5682880427.1333485</v>
      </c>
    </row>
    <row r="65" spans="1:7" x14ac:dyDescent="0.25">
      <c r="A65" s="6">
        <f>A64+30</f>
        <v>45866</v>
      </c>
      <c r="B65" s="11" t="s">
        <v>10</v>
      </c>
      <c r="C65" s="12">
        <v>66080004.966666669</v>
      </c>
      <c r="D65" s="294">
        <f t="shared" si="5"/>
        <v>33150135.824944537</v>
      </c>
      <c r="E65" s="12"/>
      <c r="F65" s="294">
        <f t="shared" si="1"/>
        <v>66080004.966666669</v>
      </c>
      <c r="G65" s="9">
        <f t="shared" si="6"/>
        <v>5616800422.1666822</v>
      </c>
    </row>
    <row r="66" spans="1:7" x14ac:dyDescent="0.25">
      <c r="A66" s="6">
        <f>A65+31</f>
        <v>45897</v>
      </c>
      <c r="B66" s="11" t="s">
        <v>10</v>
      </c>
      <c r="C66" s="12">
        <v>66080004.966666669</v>
      </c>
      <c r="D66" s="294">
        <f t="shared" si="5"/>
        <v>32764669.12930565</v>
      </c>
      <c r="E66" s="12"/>
      <c r="F66" s="294">
        <f t="shared" si="1"/>
        <v>66080004.966666669</v>
      </c>
      <c r="G66" s="9">
        <f t="shared" si="6"/>
        <v>5550720417.200016</v>
      </c>
    </row>
    <row r="67" spans="1:7" x14ac:dyDescent="0.25">
      <c r="A67" s="6">
        <f>A66+31</f>
        <v>45928</v>
      </c>
      <c r="B67" s="11" t="s">
        <v>10</v>
      </c>
      <c r="C67" s="12">
        <v>66080004.966666669</v>
      </c>
      <c r="D67" s="294">
        <f t="shared" ref="D67:D98" si="7">G66*$I$157*$I$156/360</f>
        <v>32379202.433666766</v>
      </c>
      <c r="E67" s="12"/>
      <c r="F67" s="294">
        <f t="shared" si="1"/>
        <v>66080004.966666669</v>
      </c>
      <c r="G67" s="9">
        <f t="shared" si="6"/>
        <v>5484640412.2333498</v>
      </c>
    </row>
    <row r="68" spans="1:7" x14ac:dyDescent="0.25">
      <c r="A68" s="6">
        <f>A67+30</f>
        <v>45958</v>
      </c>
      <c r="B68" s="11" t="s">
        <v>10</v>
      </c>
      <c r="C68" s="12">
        <v>66080004.966666669</v>
      </c>
      <c r="D68" s="294">
        <f t="shared" si="7"/>
        <v>31993735.738027874</v>
      </c>
      <c r="E68" s="12"/>
      <c r="F68" s="294">
        <f t="shared" si="1"/>
        <v>66080004.966666669</v>
      </c>
      <c r="G68" s="9">
        <f t="shared" si="6"/>
        <v>5418560407.2666836</v>
      </c>
    </row>
    <row r="69" spans="1:7" x14ac:dyDescent="0.25">
      <c r="A69" s="6">
        <f>A68+31</f>
        <v>45989</v>
      </c>
      <c r="B69" s="11" t="s">
        <v>10</v>
      </c>
      <c r="C69" s="12">
        <v>66080004.966666669</v>
      </c>
      <c r="D69" s="294">
        <f t="shared" si="7"/>
        <v>31608269.042388991</v>
      </c>
      <c r="E69" s="12"/>
      <c r="F69" s="294">
        <f t="shared" si="1"/>
        <v>66080004.966666669</v>
      </c>
      <c r="G69" s="9">
        <f t="shared" si="6"/>
        <v>5352480402.3000174</v>
      </c>
    </row>
    <row r="70" spans="1:7" x14ac:dyDescent="0.25">
      <c r="A70" s="6">
        <f>A69+30</f>
        <v>46019</v>
      </c>
      <c r="B70" s="11" t="s">
        <v>10</v>
      </c>
      <c r="C70" s="12">
        <v>66080004.966666669</v>
      </c>
      <c r="D70" s="294">
        <f t="shared" si="7"/>
        <v>31222802.346750107</v>
      </c>
      <c r="E70" s="12"/>
      <c r="F70" s="294">
        <f t="shared" si="1"/>
        <v>66080004.966666669</v>
      </c>
      <c r="G70" s="9">
        <f t="shared" si="6"/>
        <v>5286400397.3333511</v>
      </c>
    </row>
    <row r="71" spans="1:7" x14ac:dyDescent="0.25">
      <c r="A71" s="6">
        <f>A70+31</f>
        <v>46050</v>
      </c>
      <c r="B71" s="11" t="s">
        <v>10</v>
      </c>
      <c r="C71" s="12">
        <v>66080004.966666669</v>
      </c>
      <c r="D71" s="294">
        <f t="shared" si="7"/>
        <v>30837335.651111223</v>
      </c>
      <c r="E71" s="12"/>
      <c r="F71" s="294">
        <f t="shared" si="1"/>
        <v>66080004.966666669</v>
      </c>
      <c r="G71" s="9">
        <f t="shared" si="6"/>
        <v>5220320392.3666849</v>
      </c>
    </row>
    <row r="72" spans="1:7" x14ac:dyDescent="0.25">
      <c r="A72" s="6">
        <f>A71+31</f>
        <v>46081</v>
      </c>
      <c r="B72" s="11" t="s">
        <v>10</v>
      </c>
      <c r="C72" s="12">
        <v>66080004.966666669</v>
      </c>
      <c r="D72" s="294">
        <f t="shared" si="7"/>
        <v>30451868.955472331</v>
      </c>
      <c r="E72" s="12"/>
      <c r="F72" s="294">
        <f t="shared" si="1"/>
        <v>66080004.966666669</v>
      </c>
      <c r="G72" s="9">
        <f t="shared" si="6"/>
        <v>5154240387.4000187</v>
      </c>
    </row>
    <row r="73" spans="1:7" x14ac:dyDescent="0.25">
      <c r="A73" s="6">
        <f>A72+28</f>
        <v>46109</v>
      </c>
      <c r="B73" s="11" t="s">
        <v>10</v>
      </c>
      <c r="C73" s="12">
        <v>66080004.966666669</v>
      </c>
      <c r="D73" s="294">
        <f t="shared" si="7"/>
        <v>30066402.259833448</v>
      </c>
      <c r="E73" s="12"/>
      <c r="F73" s="294">
        <f t="shared" ref="F73:F136" si="8">E73+C73</f>
        <v>66080004.966666669</v>
      </c>
      <c r="G73" s="9">
        <f t="shared" si="6"/>
        <v>5088160382.4333525</v>
      </c>
    </row>
    <row r="74" spans="1:7" x14ac:dyDescent="0.25">
      <c r="A74" s="6">
        <f>A73+31</f>
        <v>46140</v>
      </c>
      <c r="B74" s="11" t="s">
        <v>10</v>
      </c>
      <c r="C74" s="12">
        <v>66080004.966666669</v>
      </c>
      <c r="D74" s="294">
        <f t="shared" si="7"/>
        <v>29680935.564194564</v>
      </c>
      <c r="E74" s="12"/>
      <c r="F74" s="294">
        <f t="shared" si="8"/>
        <v>66080004.966666669</v>
      </c>
      <c r="G74" s="9">
        <f t="shared" si="6"/>
        <v>5022080377.4666862</v>
      </c>
    </row>
    <row r="75" spans="1:7" x14ac:dyDescent="0.25">
      <c r="A75" s="6">
        <f>A74+30</f>
        <v>46170</v>
      </c>
      <c r="B75" s="11" t="s">
        <v>10</v>
      </c>
      <c r="C75" s="12">
        <v>66080004.966666669</v>
      </c>
      <c r="D75" s="294">
        <f t="shared" si="7"/>
        <v>29295468.868555672</v>
      </c>
      <c r="E75" s="12"/>
      <c r="F75" s="294">
        <f t="shared" si="8"/>
        <v>66080004.966666669</v>
      </c>
      <c r="G75" s="9">
        <f t="shared" si="6"/>
        <v>4956000372.50002</v>
      </c>
    </row>
    <row r="76" spans="1:7" x14ac:dyDescent="0.25">
      <c r="A76" s="6">
        <f>A75+31</f>
        <v>46201</v>
      </c>
      <c r="B76" s="11" t="s">
        <v>10</v>
      </c>
      <c r="C76" s="12">
        <v>66080004.966666669</v>
      </c>
      <c r="D76" s="294">
        <f t="shared" si="7"/>
        <v>28910002.172916785</v>
      </c>
      <c r="E76" s="12"/>
      <c r="F76" s="294">
        <f t="shared" si="8"/>
        <v>66080004.966666669</v>
      </c>
      <c r="G76" s="9">
        <f t="shared" si="6"/>
        <v>4889920367.5333538</v>
      </c>
    </row>
    <row r="77" spans="1:7" x14ac:dyDescent="0.25">
      <c r="A77" s="6">
        <f>A76+30</f>
        <v>46231</v>
      </c>
      <c r="B77" s="11" t="s">
        <v>10</v>
      </c>
      <c r="C77" s="12">
        <v>66080004.966666669</v>
      </c>
      <c r="D77" s="294">
        <f t="shared" si="7"/>
        <v>28524535.477277897</v>
      </c>
      <c r="E77" s="12"/>
      <c r="F77" s="294">
        <f t="shared" si="8"/>
        <v>66080004.966666669</v>
      </c>
      <c r="G77" s="9">
        <f t="shared" si="6"/>
        <v>4823840362.5666876</v>
      </c>
    </row>
    <row r="78" spans="1:7" x14ac:dyDescent="0.25">
      <c r="A78" s="6">
        <f>A77+31</f>
        <v>46262</v>
      </c>
      <c r="B78" s="11" t="s">
        <v>10</v>
      </c>
      <c r="C78" s="12">
        <v>66080004.966666669</v>
      </c>
      <c r="D78" s="294">
        <f t="shared" si="7"/>
        <v>28139068.781639013</v>
      </c>
      <c r="E78" s="12"/>
      <c r="F78" s="294">
        <f t="shared" si="8"/>
        <v>66080004.966666669</v>
      </c>
      <c r="G78" s="9">
        <f t="shared" si="6"/>
        <v>4757760357.6000214</v>
      </c>
    </row>
    <row r="79" spans="1:7" x14ac:dyDescent="0.25">
      <c r="A79" s="6">
        <f>A78+31</f>
        <v>46293</v>
      </c>
      <c r="B79" s="11" t="s">
        <v>10</v>
      </c>
      <c r="C79" s="12">
        <v>66080004.966666669</v>
      </c>
      <c r="D79" s="294">
        <f t="shared" si="7"/>
        <v>27753602.08600013</v>
      </c>
      <c r="E79" s="12"/>
      <c r="F79" s="294">
        <f t="shared" si="8"/>
        <v>66080004.966666669</v>
      </c>
      <c r="G79" s="9">
        <f t="shared" si="6"/>
        <v>4691680352.6333551</v>
      </c>
    </row>
    <row r="80" spans="1:7" x14ac:dyDescent="0.25">
      <c r="A80" s="6">
        <f>A79+30</f>
        <v>46323</v>
      </c>
      <c r="B80" s="11" t="s">
        <v>10</v>
      </c>
      <c r="C80" s="12">
        <v>66080004.966666669</v>
      </c>
      <c r="D80" s="294">
        <f t="shared" si="7"/>
        <v>27368135.390361242</v>
      </c>
      <c r="E80" s="12"/>
      <c r="F80" s="294">
        <f t="shared" si="8"/>
        <v>66080004.966666669</v>
      </c>
      <c r="G80" s="9">
        <f t="shared" si="6"/>
        <v>4625600347.6666889</v>
      </c>
    </row>
    <row r="81" spans="1:7" x14ac:dyDescent="0.25">
      <c r="A81" s="6">
        <f>A80+31</f>
        <v>46354</v>
      </c>
      <c r="B81" s="11" t="s">
        <v>10</v>
      </c>
      <c r="C81" s="12">
        <v>66080004.966666669</v>
      </c>
      <c r="D81" s="294">
        <f t="shared" si="7"/>
        <v>26982668.694722354</v>
      </c>
      <c r="E81" s="12"/>
      <c r="F81" s="294">
        <f t="shared" si="8"/>
        <v>66080004.966666669</v>
      </c>
      <c r="G81" s="9">
        <f t="shared" si="6"/>
        <v>4559520342.7000227</v>
      </c>
    </row>
    <row r="82" spans="1:7" x14ac:dyDescent="0.25">
      <c r="A82" s="6">
        <f>A81+30</f>
        <v>46384</v>
      </c>
      <c r="B82" s="11" t="s">
        <v>10</v>
      </c>
      <c r="C82" s="12">
        <v>66080004.966666669</v>
      </c>
      <c r="D82" s="294">
        <f t="shared" si="7"/>
        <v>26597201.999083471</v>
      </c>
      <c r="E82" s="12"/>
      <c r="F82" s="294">
        <f t="shared" si="8"/>
        <v>66080004.966666669</v>
      </c>
      <c r="G82" s="9">
        <f t="shared" si="6"/>
        <v>4493440337.7333565</v>
      </c>
    </row>
    <row r="83" spans="1:7" x14ac:dyDescent="0.25">
      <c r="A83" s="6">
        <f>A82+31</f>
        <v>46415</v>
      </c>
      <c r="B83" s="11" t="s">
        <v>10</v>
      </c>
      <c r="C83" s="12">
        <v>66080004.966666669</v>
      </c>
      <c r="D83" s="294">
        <f t="shared" si="7"/>
        <v>26211735.303444587</v>
      </c>
      <c r="E83" s="12"/>
      <c r="F83" s="294">
        <f t="shared" si="8"/>
        <v>66080004.966666669</v>
      </c>
      <c r="G83" s="9">
        <f t="shared" si="6"/>
        <v>4427360332.7666903</v>
      </c>
    </row>
    <row r="84" spans="1:7" x14ac:dyDescent="0.25">
      <c r="A84" s="6">
        <f>A83+31</f>
        <v>46446</v>
      </c>
      <c r="B84" s="11" t="s">
        <v>10</v>
      </c>
      <c r="C84" s="12">
        <v>66080004.966666669</v>
      </c>
      <c r="D84" s="294">
        <f t="shared" si="7"/>
        <v>25826268.607805692</v>
      </c>
      <c r="E84" s="12"/>
      <c r="F84" s="294">
        <f t="shared" si="8"/>
        <v>66080004.966666669</v>
      </c>
      <c r="G84" s="9">
        <f t="shared" si="6"/>
        <v>4361280327.800024</v>
      </c>
    </row>
    <row r="85" spans="1:7" x14ac:dyDescent="0.25">
      <c r="A85" s="6">
        <f>A84+28</f>
        <v>46474</v>
      </c>
      <c r="B85" s="11" t="s">
        <v>10</v>
      </c>
      <c r="C85" s="12">
        <v>66080004.966666669</v>
      </c>
      <c r="D85" s="294">
        <f t="shared" si="7"/>
        <v>25440801.912166808</v>
      </c>
      <c r="E85" s="12"/>
      <c r="F85" s="294">
        <f t="shared" si="8"/>
        <v>66080004.966666669</v>
      </c>
      <c r="G85" s="9">
        <f t="shared" si="6"/>
        <v>4295200322.8333578</v>
      </c>
    </row>
    <row r="86" spans="1:7" x14ac:dyDescent="0.25">
      <c r="A86" s="6">
        <f>A85+31</f>
        <v>46505</v>
      </c>
      <c r="B86" s="11" t="s">
        <v>10</v>
      </c>
      <c r="C86" s="12">
        <v>66080004.966666669</v>
      </c>
      <c r="D86" s="294">
        <f t="shared" si="7"/>
        <v>25055335.216527924</v>
      </c>
      <c r="E86" s="12"/>
      <c r="F86" s="294">
        <f t="shared" si="8"/>
        <v>66080004.966666669</v>
      </c>
      <c r="G86" s="9">
        <f t="shared" si="6"/>
        <v>4229120317.8666911</v>
      </c>
    </row>
    <row r="87" spans="1:7" x14ac:dyDescent="0.25">
      <c r="A87" s="6">
        <f>A86+30</f>
        <v>46535</v>
      </c>
      <c r="B87" s="11" t="s">
        <v>10</v>
      </c>
      <c r="C87" s="12">
        <v>66080004.966666669</v>
      </c>
      <c r="D87" s="294">
        <f t="shared" si="7"/>
        <v>24669868.520889033</v>
      </c>
      <c r="E87" s="12"/>
      <c r="F87" s="294">
        <f t="shared" si="8"/>
        <v>66080004.966666669</v>
      </c>
      <c r="G87" s="9">
        <f t="shared" si="6"/>
        <v>4163040312.9000244</v>
      </c>
    </row>
    <row r="88" spans="1:7" x14ac:dyDescent="0.25">
      <c r="A88" s="6">
        <f>A87+31</f>
        <v>46566</v>
      </c>
      <c r="B88" s="11" t="s">
        <v>10</v>
      </c>
      <c r="C88" s="12">
        <v>66080004.966666669</v>
      </c>
      <c r="D88" s="294">
        <f t="shared" si="7"/>
        <v>24284401.825250145</v>
      </c>
      <c r="E88" s="12"/>
      <c r="F88" s="294">
        <f t="shared" si="8"/>
        <v>66080004.966666669</v>
      </c>
      <c r="G88" s="9">
        <f t="shared" si="6"/>
        <v>4096960307.9333577</v>
      </c>
    </row>
    <row r="89" spans="1:7" x14ac:dyDescent="0.25">
      <c r="A89" s="6">
        <f>A88+30</f>
        <v>46596</v>
      </c>
      <c r="B89" s="11" t="s">
        <v>10</v>
      </c>
      <c r="C89" s="12">
        <v>66080004.966666669</v>
      </c>
      <c r="D89" s="294">
        <f t="shared" si="7"/>
        <v>23898935.129611254</v>
      </c>
      <c r="E89" s="12"/>
      <c r="F89" s="294">
        <f t="shared" si="8"/>
        <v>66080004.966666669</v>
      </c>
      <c r="G89" s="9">
        <f t="shared" si="6"/>
        <v>4030880302.966691</v>
      </c>
    </row>
    <row r="90" spans="1:7" x14ac:dyDescent="0.25">
      <c r="A90" s="6">
        <f>A89+31</f>
        <v>46627</v>
      </c>
      <c r="B90" s="11" t="s">
        <v>10</v>
      </c>
      <c r="C90" s="12">
        <v>66080004.966666669</v>
      </c>
      <c r="D90" s="294">
        <f t="shared" si="7"/>
        <v>23513468.43397237</v>
      </c>
      <c r="E90" s="12"/>
      <c r="F90" s="294">
        <f t="shared" si="8"/>
        <v>66080004.966666669</v>
      </c>
      <c r="G90" s="9">
        <f t="shared" si="6"/>
        <v>3964800298.0000243</v>
      </c>
    </row>
    <row r="91" spans="1:7" x14ac:dyDescent="0.25">
      <c r="A91" s="6">
        <f>A90+31</f>
        <v>46658</v>
      </c>
      <c r="B91" s="11" t="s">
        <v>10</v>
      </c>
      <c r="C91" s="12">
        <v>66080004.966666669</v>
      </c>
      <c r="D91" s="294">
        <f t="shared" si="7"/>
        <v>23128001.738333479</v>
      </c>
      <c r="E91" s="12"/>
      <c r="F91" s="294">
        <f t="shared" si="8"/>
        <v>66080004.966666669</v>
      </c>
      <c r="G91" s="9">
        <f t="shared" si="6"/>
        <v>3898720293.0333576</v>
      </c>
    </row>
    <row r="92" spans="1:7" x14ac:dyDescent="0.25">
      <c r="A92" s="6">
        <f>A91+30</f>
        <v>46688</v>
      </c>
      <c r="B92" s="11" t="s">
        <v>10</v>
      </c>
      <c r="C92" s="12">
        <v>66080004.966666669</v>
      </c>
      <c r="D92" s="294">
        <f t="shared" si="7"/>
        <v>22742535.042694591</v>
      </c>
      <c r="E92" s="12"/>
      <c r="F92" s="294">
        <f t="shared" si="8"/>
        <v>66080004.966666669</v>
      </c>
      <c r="G92" s="9">
        <f t="shared" si="6"/>
        <v>3832640288.0666909</v>
      </c>
    </row>
    <row r="93" spans="1:7" x14ac:dyDescent="0.25">
      <c r="A93" s="6">
        <f>A92+31</f>
        <v>46719</v>
      </c>
      <c r="B93" s="11" t="s">
        <v>10</v>
      </c>
      <c r="C93" s="12">
        <v>66080004.966666669</v>
      </c>
      <c r="D93" s="294">
        <f t="shared" si="7"/>
        <v>22357068.347055696</v>
      </c>
      <c r="E93" s="12"/>
      <c r="F93" s="294">
        <f t="shared" si="8"/>
        <v>66080004.966666669</v>
      </c>
      <c r="G93" s="9">
        <f t="shared" si="6"/>
        <v>3766560283.1000242</v>
      </c>
    </row>
    <row r="94" spans="1:7" x14ac:dyDescent="0.25">
      <c r="A94" s="6">
        <f>A93+30</f>
        <v>46749</v>
      </c>
      <c r="B94" s="11" t="s">
        <v>10</v>
      </c>
      <c r="C94" s="12">
        <v>66080004.966666669</v>
      </c>
      <c r="D94" s="294">
        <f t="shared" si="7"/>
        <v>21971601.651416812</v>
      </c>
      <c r="E94" s="12"/>
      <c r="F94" s="294">
        <f t="shared" si="8"/>
        <v>66080004.966666669</v>
      </c>
      <c r="G94" s="9">
        <f t="shared" si="6"/>
        <v>3700480278.1333575</v>
      </c>
    </row>
    <row r="95" spans="1:7" x14ac:dyDescent="0.25">
      <c r="A95" s="6">
        <f>A94+31</f>
        <v>46780</v>
      </c>
      <c r="B95" s="11" t="s">
        <v>10</v>
      </c>
      <c r="C95" s="12">
        <v>66080004.966666669</v>
      </c>
      <c r="D95" s="294">
        <f t="shared" si="7"/>
        <v>21586134.955777921</v>
      </c>
      <c r="E95" s="12"/>
      <c r="F95" s="294">
        <f t="shared" si="8"/>
        <v>66080004.966666669</v>
      </c>
      <c r="G95" s="9">
        <f t="shared" ref="G95:G126" si="9">+G94-C95</f>
        <v>3634400273.1666908</v>
      </c>
    </row>
    <row r="96" spans="1:7" x14ac:dyDescent="0.25">
      <c r="A96" s="6">
        <f>A95+31</f>
        <v>46811</v>
      </c>
      <c r="B96" s="11" t="s">
        <v>10</v>
      </c>
      <c r="C96" s="12">
        <v>66080004.966666669</v>
      </c>
      <c r="D96" s="294">
        <f t="shared" si="7"/>
        <v>21200668.260139029</v>
      </c>
      <c r="E96" s="12"/>
      <c r="F96" s="294">
        <f t="shared" si="8"/>
        <v>66080004.966666669</v>
      </c>
      <c r="G96" s="9">
        <f t="shared" si="9"/>
        <v>3568320268.2000241</v>
      </c>
    </row>
    <row r="97" spans="1:7" x14ac:dyDescent="0.25">
      <c r="A97" s="6">
        <f>A96+29</f>
        <v>46840</v>
      </c>
      <c r="B97" s="11" t="s">
        <v>10</v>
      </c>
      <c r="C97" s="12">
        <v>66080004.966666669</v>
      </c>
      <c r="D97" s="294">
        <f t="shared" si="7"/>
        <v>20815201.564500146</v>
      </c>
      <c r="E97" s="12"/>
      <c r="F97" s="294">
        <f t="shared" si="8"/>
        <v>66080004.966666669</v>
      </c>
      <c r="G97" s="9">
        <f t="shared" si="9"/>
        <v>3502240263.2333574</v>
      </c>
    </row>
    <row r="98" spans="1:7" x14ac:dyDescent="0.25">
      <c r="A98" s="6">
        <f>A97+31</f>
        <v>46871</v>
      </c>
      <c r="B98" s="11" t="s">
        <v>10</v>
      </c>
      <c r="C98" s="12">
        <v>66080004.966666669</v>
      </c>
      <c r="D98" s="294">
        <f t="shared" si="7"/>
        <v>20429734.868861254</v>
      </c>
      <c r="E98" s="12"/>
      <c r="F98" s="294">
        <f t="shared" si="8"/>
        <v>66080004.966666669</v>
      </c>
      <c r="G98" s="9">
        <f t="shared" si="9"/>
        <v>3436160258.2666907</v>
      </c>
    </row>
    <row r="99" spans="1:7" x14ac:dyDescent="0.25">
      <c r="A99" s="6">
        <f>A98+30</f>
        <v>46901</v>
      </c>
      <c r="B99" s="11" t="s">
        <v>10</v>
      </c>
      <c r="C99" s="12">
        <v>66080004.966666669</v>
      </c>
      <c r="D99" s="294">
        <f t="shared" ref="D99:D130" si="10">G98*$I$157*$I$156/360</f>
        <v>20044268.173222363</v>
      </c>
      <c r="E99" s="12"/>
      <c r="F99" s="294">
        <f t="shared" si="8"/>
        <v>66080004.966666669</v>
      </c>
      <c r="G99" s="9">
        <f t="shared" si="9"/>
        <v>3370080253.300024</v>
      </c>
    </row>
    <row r="100" spans="1:7" x14ac:dyDescent="0.25">
      <c r="A100" s="6">
        <f>A99+31</f>
        <v>46932</v>
      </c>
      <c r="B100" s="11" t="s">
        <v>10</v>
      </c>
      <c r="C100" s="12">
        <v>66080004.966666669</v>
      </c>
      <c r="D100" s="294">
        <f t="shared" si="10"/>
        <v>19658801.477583475</v>
      </c>
      <c r="E100" s="12"/>
      <c r="F100" s="294">
        <f t="shared" si="8"/>
        <v>66080004.966666669</v>
      </c>
      <c r="G100" s="9">
        <f t="shared" si="9"/>
        <v>3304000248.3333573</v>
      </c>
    </row>
    <row r="101" spans="1:7" x14ac:dyDescent="0.25">
      <c r="A101" s="6">
        <f>A100+30</f>
        <v>46962</v>
      </c>
      <c r="B101" s="11" t="s">
        <v>10</v>
      </c>
      <c r="C101" s="12">
        <v>66080004.966666669</v>
      </c>
      <c r="D101" s="294">
        <f t="shared" si="10"/>
        <v>19273334.781944584</v>
      </c>
      <c r="E101" s="12"/>
      <c r="F101" s="294">
        <f t="shared" si="8"/>
        <v>66080004.966666669</v>
      </c>
      <c r="G101" s="9">
        <f t="shared" si="9"/>
        <v>3237920243.3666906</v>
      </c>
    </row>
    <row r="102" spans="1:7" x14ac:dyDescent="0.25">
      <c r="A102" s="6">
        <f>A101+31</f>
        <v>46993</v>
      </c>
      <c r="B102" s="11" t="s">
        <v>10</v>
      </c>
      <c r="C102" s="12">
        <v>66080004.966666669</v>
      </c>
      <c r="D102" s="294">
        <f t="shared" si="10"/>
        <v>18887868.086305697</v>
      </c>
      <c r="E102" s="12"/>
      <c r="F102" s="294">
        <f t="shared" si="8"/>
        <v>66080004.966666669</v>
      </c>
      <c r="G102" s="9">
        <f t="shared" si="9"/>
        <v>3171840238.4000239</v>
      </c>
    </row>
    <row r="103" spans="1:7" x14ac:dyDescent="0.25">
      <c r="A103" s="6">
        <f>A102+31</f>
        <v>47024</v>
      </c>
      <c r="B103" s="11" t="s">
        <v>10</v>
      </c>
      <c r="C103" s="12">
        <v>66080004.966666669</v>
      </c>
      <c r="D103" s="294">
        <f t="shared" si="10"/>
        <v>18502401.390666809</v>
      </c>
      <c r="E103" s="12"/>
      <c r="F103" s="294">
        <f t="shared" si="8"/>
        <v>66080004.966666669</v>
      </c>
      <c r="G103" s="9">
        <f t="shared" si="9"/>
        <v>3105760233.4333572</v>
      </c>
    </row>
    <row r="104" spans="1:7" x14ac:dyDescent="0.25">
      <c r="A104" s="6">
        <f>A103+30</f>
        <v>47054</v>
      </c>
      <c r="B104" s="11" t="s">
        <v>10</v>
      </c>
      <c r="C104" s="12">
        <v>66080004.966666669</v>
      </c>
      <c r="D104" s="294">
        <f t="shared" si="10"/>
        <v>18116934.695027921</v>
      </c>
      <c r="E104" s="12"/>
      <c r="F104" s="294">
        <f t="shared" si="8"/>
        <v>66080004.966666669</v>
      </c>
      <c r="G104" s="9">
        <f t="shared" si="9"/>
        <v>3039680228.4666905</v>
      </c>
    </row>
    <row r="105" spans="1:7" x14ac:dyDescent="0.25">
      <c r="A105" s="6">
        <f>A104+31</f>
        <v>47085</v>
      </c>
      <c r="B105" s="11" t="s">
        <v>10</v>
      </c>
      <c r="C105" s="12">
        <v>66080004.966666669</v>
      </c>
      <c r="D105" s="294">
        <f t="shared" si="10"/>
        <v>17731467.99938903</v>
      </c>
      <c r="E105" s="12"/>
      <c r="F105" s="294">
        <f t="shared" si="8"/>
        <v>66080004.966666669</v>
      </c>
      <c r="G105" s="9">
        <f t="shared" si="9"/>
        <v>2973600223.5000238</v>
      </c>
    </row>
    <row r="106" spans="1:7" x14ac:dyDescent="0.25">
      <c r="A106" s="6">
        <f>A105+30</f>
        <v>47115</v>
      </c>
      <c r="B106" s="11" t="s">
        <v>10</v>
      </c>
      <c r="C106" s="12">
        <v>66080004.966666669</v>
      </c>
      <c r="D106" s="294">
        <f t="shared" si="10"/>
        <v>17346001.303750139</v>
      </c>
      <c r="E106" s="12"/>
      <c r="F106" s="294">
        <f t="shared" si="8"/>
        <v>66080004.966666669</v>
      </c>
      <c r="G106" s="9">
        <f t="shared" si="9"/>
        <v>2907520218.5333571</v>
      </c>
    </row>
    <row r="107" spans="1:7" x14ac:dyDescent="0.25">
      <c r="A107" s="6">
        <f>A106+31</f>
        <v>47146</v>
      </c>
      <c r="B107" s="11" t="s">
        <v>10</v>
      </c>
      <c r="C107" s="12">
        <v>66080004.966666669</v>
      </c>
      <c r="D107" s="294">
        <f t="shared" si="10"/>
        <v>16960534.608111251</v>
      </c>
      <c r="E107" s="12"/>
      <c r="F107" s="294">
        <f t="shared" si="8"/>
        <v>66080004.966666669</v>
      </c>
      <c r="G107" s="9">
        <f t="shared" si="9"/>
        <v>2841440213.5666904</v>
      </c>
    </row>
    <row r="108" spans="1:7" x14ac:dyDescent="0.25">
      <c r="A108" s="6">
        <f>A107+31</f>
        <v>47177</v>
      </c>
      <c r="B108" s="11" t="s">
        <v>10</v>
      </c>
      <c r="C108" s="12">
        <v>66080004.966666669</v>
      </c>
      <c r="D108" s="294">
        <f t="shared" si="10"/>
        <v>16575067.912472362</v>
      </c>
      <c r="E108" s="12"/>
      <c r="F108" s="294">
        <f t="shared" si="8"/>
        <v>66080004.966666669</v>
      </c>
      <c r="G108" s="9">
        <f t="shared" si="9"/>
        <v>2775360208.6000237</v>
      </c>
    </row>
    <row r="109" spans="1:7" x14ac:dyDescent="0.25">
      <c r="A109" s="6">
        <f>A108+28</f>
        <v>47205</v>
      </c>
      <c r="B109" s="11" t="s">
        <v>10</v>
      </c>
      <c r="C109" s="12">
        <v>66080004.966666669</v>
      </c>
      <c r="D109" s="294">
        <f t="shared" si="10"/>
        <v>16189601.216833472</v>
      </c>
      <c r="E109" s="12"/>
      <c r="F109" s="294">
        <f t="shared" si="8"/>
        <v>66080004.966666669</v>
      </c>
      <c r="G109" s="9">
        <f t="shared" si="9"/>
        <v>2709280203.633357</v>
      </c>
    </row>
    <row r="110" spans="1:7" x14ac:dyDescent="0.25">
      <c r="A110" s="6">
        <f>A109+31</f>
        <v>47236</v>
      </c>
      <c r="B110" s="11" t="s">
        <v>10</v>
      </c>
      <c r="C110" s="12">
        <v>66080004.966666669</v>
      </c>
      <c r="D110" s="294">
        <f t="shared" si="10"/>
        <v>15804134.521194585</v>
      </c>
      <c r="E110" s="12"/>
      <c r="F110" s="294">
        <f t="shared" si="8"/>
        <v>66080004.966666669</v>
      </c>
      <c r="G110" s="9">
        <f t="shared" si="9"/>
        <v>2643200198.6666903</v>
      </c>
    </row>
    <row r="111" spans="1:7" x14ac:dyDescent="0.25">
      <c r="A111" s="6">
        <f>A110+30</f>
        <v>47266</v>
      </c>
      <c r="B111" s="11" t="s">
        <v>10</v>
      </c>
      <c r="C111" s="12">
        <v>66080004.966666669</v>
      </c>
      <c r="D111" s="294">
        <f t="shared" si="10"/>
        <v>15418667.825555695</v>
      </c>
      <c r="E111" s="12"/>
      <c r="F111" s="294">
        <f t="shared" si="8"/>
        <v>66080004.966666669</v>
      </c>
      <c r="G111" s="9">
        <f t="shared" si="9"/>
        <v>2577120193.7000237</v>
      </c>
    </row>
    <row r="112" spans="1:7" x14ac:dyDescent="0.25">
      <c r="A112" s="6">
        <f>A111+31</f>
        <v>47297</v>
      </c>
      <c r="B112" s="11" t="s">
        <v>10</v>
      </c>
      <c r="C112" s="12">
        <v>66080004.966666669</v>
      </c>
      <c r="D112" s="294">
        <f t="shared" si="10"/>
        <v>15033201.129916806</v>
      </c>
      <c r="E112" s="12"/>
      <c r="F112" s="294">
        <f t="shared" si="8"/>
        <v>66080004.966666669</v>
      </c>
      <c r="G112" s="9">
        <f t="shared" si="9"/>
        <v>2511040188.733357</v>
      </c>
    </row>
    <row r="113" spans="1:7" x14ac:dyDescent="0.25">
      <c r="A113" s="6">
        <f>A112+30</f>
        <v>47327</v>
      </c>
      <c r="B113" s="11" t="s">
        <v>10</v>
      </c>
      <c r="C113" s="12">
        <v>66080004.966666669</v>
      </c>
      <c r="D113" s="294">
        <f t="shared" si="10"/>
        <v>14647734.434277916</v>
      </c>
      <c r="E113" s="12"/>
      <c r="F113" s="294">
        <f t="shared" si="8"/>
        <v>66080004.966666669</v>
      </c>
      <c r="G113" s="9">
        <f t="shared" si="9"/>
        <v>2444960183.7666903</v>
      </c>
    </row>
    <row r="114" spans="1:7" x14ac:dyDescent="0.25">
      <c r="A114" s="6">
        <f>A113+31</f>
        <v>47358</v>
      </c>
      <c r="B114" s="11" t="s">
        <v>10</v>
      </c>
      <c r="C114" s="12">
        <v>66080004.966666669</v>
      </c>
      <c r="D114" s="294">
        <f t="shared" si="10"/>
        <v>14262267.738639027</v>
      </c>
      <c r="E114" s="12"/>
      <c r="F114" s="294">
        <f t="shared" si="8"/>
        <v>66080004.966666669</v>
      </c>
      <c r="G114" s="9">
        <f t="shared" si="9"/>
        <v>2378880178.8000236</v>
      </c>
    </row>
    <row r="115" spans="1:7" x14ac:dyDescent="0.25">
      <c r="A115" s="6">
        <f>A114+31</f>
        <v>47389</v>
      </c>
      <c r="B115" s="11" t="s">
        <v>10</v>
      </c>
      <c r="C115" s="12">
        <v>66080004.966666669</v>
      </c>
      <c r="D115" s="294">
        <f t="shared" si="10"/>
        <v>13876801.043000139</v>
      </c>
      <c r="E115" s="12"/>
      <c r="F115" s="294">
        <f t="shared" si="8"/>
        <v>66080004.966666669</v>
      </c>
      <c r="G115" s="9">
        <f t="shared" si="9"/>
        <v>2312800173.8333569</v>
      </c>
    </row>
    <row r="116" spans="1:7" x14ac:dyDescent="0.25">
      <c r="A116" s="6">
        <f>A115+30</f>
        <v>47419</v>
      </c>
      <c r="B116" s="11" t="s">
        <v>10</v>
      </c>
      <c r="C116" s="12">
        <v>66080004.966666669</v>
      </c>
      <c r="D116" s="294">
        <f t="shared" si="10"/>
        <v>13491334.34736125</v>
      </c>
      <c r="E116" s="12"/>
      <c r="F116" s="294">
        <f t="shared" si="8"/>
        <v>66080004.966666669</v>
      </c>
      <c r="G116" s="9">
        <f t="shared" si="9"/>
        <v>2246720168.8666902</v>
      </c>
    </row>
    <row r="117" spans="1:7" x14ac:dyDescent="0.25">
      <c r="A117" s="6">
        <f>A116+31</f>
        <v>47450</v>
      </c>
      <c r="B117" s="11" t="s">
        <v>10</v>
      </c>
      <c r="C117" s="12">
        <v>66080004.966666669</v>
      </c>
      <c r="D117" s="294">
        <f t="shared" si="10"/>
        <v>13105867.651722362</v>
      </c>
      <c r="E117" s="12"/>
      <c r="F117" s="294">
        <f t="shared" si="8"/>
        <v>66080004.966666669</v>
      </c>
      <c r="G117" s="9">
        <f t="shared" si="9"/>
        <v>2180640163.9000235</v>
      </c>
    </row>
    <row r="118" spans="1:7" x14ac:dyDescent="0.25">
      <c r="A118" s="6">
        <f>A117+30</f>
        <v>47480</v>
      </c>
      <c r="B118" s="11" t="s">
        <v>10</v>
      </c>
      <c r="C118" s="12">
        <v>66080004.966666669</v>
      </c>
      <c r="D118" s="294">
        <f t="shared" si="10"/>
        <v>12720400.956083473</v>
      </c>
      <c r="E118" s="12"/>
      <c r="F118" s="294">
        <f t="shared" si="8"/>
        <v>66080004.966666669</v>
      </c>
      <c r="G118" s="9">
        <f t="shared" si="9"/>
        <v>2114560158.9333568</v>
      </c>
    </row>
    <row r="119" spans="1:7" x14ac:dyDescent="0.25">
      <c r="A119" s="6">
        <f>A118+31</f>
        <v>47511</v>
      </c>
      <c r="B119" s="11" t="s">
        <v>10</v>
      </c>
      <c r="C119" s="12">
        <v>66080004.966666669</v>
      </c>
      <c r="D119" s="294">
        <f t="shared" si="10"/>
        <v>12334934.260444583</v>
      </c>
      <c r="E119" s="12"/>
      <c r="F119" s="294">
        <f t="shared" si="8"/>
        <v>66080004.966666669</v>
      </c>
      <c r="G119" s="9">
        <f t="shared" si="9"/>
        <v>2048480153.9666901</v>
      </c>
    </row>
    <row r="120" spans="1:7" x14ac:dyDescent="0.25">
      <c r="A120" s="6">
        <f>A119+31</f>
        <v>47542</v>
      </c>
      <c r="B120" s="11" t="s">
        <v>10</v>
      </c>
      <c r="C120" s="12">
        <v>66080004.966666669</v>
      </c>
      <c r="D120" s="294">
        <f t="shared" si="10"/>
        <v>11949467.564805694</v>
      </c>
      <c r="E120" s="12"/>
      <c r="F120" s="294">
        <f t="shared" si="8"/>
        <v>66080004.966666669</v>
      </c>
      <c r="G120" s="9">
        <f t="shared" si="9"/>
        <v>1982400149.0000234</v>
      </c>
    </row>
    <row r="121" spans="1:7" x14ac:dyDescent="0.25">
      <c r="A121" s="6">
        <f>A120+28</f>
        <v>47570</v>
      </c>
      <c r="B121" s="11" t="s">
        <v>10</v>
      </c>
      <c r="C121" s="12">
        <v>66080004.966666669</v>
      </c>
      <c r="D121" s="294">
        <f t="shared" si="10"/>
        <v>11564000.869166803</v>
      </c>
      <c r="E121" s="12"/>
      <c r="F121" s="294">
        <f t="shared" si="8"/>
        <v>66080004.966666669</v>
      </c>
      <c r="G121" s="9">
        <f t="shared" si="9"/>
        <v>1916320144.0333567</v>
      </c>
    </row>
    <row r="122" spans="1:7" x14ac:dyDescent="0.25">
      <c r="A122" s="6">
        <f>A121+31</f>
        <v>47601</v>
      </c>
      <c r="B122" s="11" t="s">
        <v>10</v>
      </c>
      <c r="C122" s="12">
        <v>66080004.966666669</v>
      </c>
      <c r="D122" s="294">
        <f t="shared" si="10"/>
        <v>11178534.173527915</v>
      </c>
      <c r="E122" s="12"/>
      <c r="F122" s="294">
        <f t="shared" si="8"/>
        <v>66080004.966666669</v>
      </c>
      <c r="G122" s="9">
        <f t="shared" si="9"/>
        <v>1850240139.06669</v>
      </c>
    </row>
    <row r="123" spans="1:7" x14ac:dyDescent="0.25">
      <c r="A123" s="6">
        <f>A122+30</f>
        <v>47631</v>
      </c>
      <c r="B123" s="11" t="s">
        <v>10</v>
      </c>
      <c r="C123" s="12">
        <v>66080004.966666669</v>
      </c>
      <c r="D123" s="294">
        <f t="shared" si="10"/>
        <v>10793067.477889027</v>
      </c>
      <c r="E123" s="12"/>
      <c r="F123" s="294">
        <f t="shared" si="8"/>
        <v>66080004.966666669</v>
      </c>
      <c r="G123" s="9">
        <f t="shared" si="9"/>
        <v>1784160134.1000233</v>
      </c>
    </row>
    <row r="124" spans="1:7" x14ac:dyDescent="0.25">
      <c r="A124" s="6">
        <f>A123+31</f>
        <v>47662</v>
      </c>
      <c r="B124" s="11" t="s">
        <v>10</v>
      </c>
      <c r="C124" s="12">
        <v>66080004.966666669</v>
      </c>
      <c r="D124" s="294">
        <f t="shared" si="10"/>
        <v>10407600.782250136</v>
      </c>
      <c r="E124" s="12"/>
      <c r="F124" s="294">
        <f t="shared" si="8"/>
        <v>66080004.966666669</v>
      </c>
      <c r="G124" s="9">
        <f t="shared" si="9"/>
        <v>1718080129.1333566</v>
      </c>
    </row>
    <row r="125" spans="1:7" x14ac:dyDescent="0.25">
      <c r="A125" s="6">
        <f>A124+30</f>
        <v>47692</v>
      </c>
      <c r="B125" s="11" t="s">
        <v>10</v>
      </c>
      <c r="C125" s="12">
        <v>66080004.966666669</v>
      </c>
      <c r="D125" s="294">
        <f t="shared" si="10"/>
        <v>10022134.086611247</v>
      </c>
      <c r="E125" s="12"/>
      <c r="F125" s="294">
        <f t="shared" si="8"/>
        <v>66080004.966666669</v>
      </c>
      <c r="G125" s="9">
        <f t="shared" si="9"/>
        <v>1652000124.1666899</v>
      </c>
    </row>
    <row r="126" spans="1:7" x14ac:dyDescent="0.25">
      <c r="A126" s="6">
        <f>A125+31</f>
        <v>47723</v>
      </c>
      <c r="B126" s="11" t="s">
        <v>10</v>
      </c>
      <c r="C126" s="12">
        <v>66080004.966666669</v>
      </c>
      <c r="D126" s="294">
        <f t="shared" si="10"/>
        <v>9636667.3909723591</v>
      </c>
      <c r="E126" s="12"/>
      <c r="F126" s="294">
        <f t="shared" si="8"/>
        <v>66080004.966666669</v>
      </c>
      <c r="G126" s="9">
        <f t="shared" si="9"/>
        <v>1585920119.2000232</v>
      </c>
    </row>
    <row r="127" spans="1:7" x14ac:dyDescent="0.25">
      <c r="A127" s="6">
        <f>A126+31</f>
        <v>47754</v>
      </c>
      <c r="B127" s="11" t="s">
        <v>10</v>
      </c>
      <c r="C127" s="12">
        <v>66080004.966666669</v>
      </c>
      <c r="D127" s="294">
        <f t="shared" si="10"/>
        <v>9251200.6953334697</v>
      </c>
      <c r="E127" s="12"/>
      <c r="F127" s="294">
        <f t="shared" si="8"/>
        <v>66080004.966666669</v>
      </c>
      <c r="G127" s="9">
        <f t="shared" ref="G127:G150" si="11">+G126-C127</f>
        <v>1519840114.2333565</v>
      </c>
    </row>
    <row r="128" spans="1:7" x14ac:dyDescent="0.25">
      <c r="A128" s="6">
        <f>A127+30</f>
        <v>47784</v>
      </c>
      <c r="B128" s="11" t="s">
        <v>10</v>
      </c>
      <c r="C128" s="12">
        <v>66080004.966666669</v>
      </c>
      <c r="D128" s="294">
        <f t="shared" si="10"/>
        <v>8865733.9996945802</v>
      </c>
      <c r="E128" s="12"/>
      <c r="F128" s="294">
        <f t="shared" si="8"/>
        <v>66080004.966666669</v>
      </c>
      <c r="G128" s="9">
        <f t="shared" si="11"/>
        <v>1453760109.2666898</v>
      </c>
    </row>
    <row r="129" spans="1:7" x14ac:dyDescent="0.25">
      <c r="A129" s="6">
        <f>A128+31</f>
        <v>47815</v>
      </c>
      <c r="B129" s="11" t="s">
        <v>10</v>
      </c>
      <c r="C129" s="12">
        <v>66080004.966666669</v>
      </c>
      <c r="D129" s="294">
        <f t="shared" si="10"/>
        <v>8480267.3040556908</v>
      </c>
      <c r="E129" s="12"/>
      <c r="F129" s="294">
        <f t="shared" si="8"/>
        <v>66080004.966666669</v>
      </c>
      <c r="G129" s="9">
        <f t="shared" si="11"/>
        <v>1387680104.3000231</v>
      </c>
    </row>
    <row r="130" spans="1:7" x14ac:dyDescent="0.25">
      <c r="A130" s="6">
        <f>A129+30</f>
        <v>47845</v>
      </c>
      <c r="B130" s="11" t="s">
        <v>10</v>
      </c>
      <c r="C130" s="12">
        <v>66080004.966666669</v>
      </c>
      <c r="D130" s="294">
        <f t="shared" si="10"/>
        <v>8094800.6084168022</v>
      </c>
      <c r="E130" s="12"/>
      <c r="F130" s="294">
        <f t="shared" si="8"/>
        <v>66080004.966666669</v>
      </c>
      <c r="G130" s="9">
        <f t="shared" si="11"/>
        <v>1321600099.3333564</v>
      </c>
    </row>
    <row r="131" spans="1:7" x14ac:dyDescent="0.25">
      <c r="A131" s="6">
        <f>A130+31</f>
        <v>47876</v>
      </c>
      <c r="B131" s="11" t="s">
        <v>10</v>
      </c>
      <c r="C131" s="12">
        <v>66080004.966666669</v>
      </c>
      <c r="D131" s="294">
        <f t="shared" ref="D131:D150" si="12">G130*$I$157*$I$156/360</f>
        <v>7709333.9127779128</v>
      </c>
      <c r="E131" s="12"/>
      <c r="F131" s="294">
        <f t="shared" si="8"/>
        <v>66080004.966666669</v>
      </c>
      <c r="G131" s="9">
        <f t="shared" si="11"/>
        <v>1255520094.3666897</v>
      </c>
    </row>
    <row r="132" spans="1:7" x14ac:dyDescent="0.25">
      <c r="A132" s="6">
        <f>A131+31</f>
        <v>47907</v>
      </c>
      <c r="B132" s="11" t="s">
        <v>10</v>
      </c>
      <c r="C132" s="12">
        <v>66080004.966666669</v>
      </c>
      <c r="D132" s="294">
        <f t="shared" si="12"/>
        <v>7323867.2171390243</v>
      </c>
      <c r="E132" s="12"/>
      <c r="F132" s="294">
        <f t="shared" si="8"/>
        <v>66080004.966666669</v>
      </c>
      <c r="G132" s="9">
        <f t="shared" si="11"/>
        <v>1189440089.400023</v>
      </c>
    </row>
    <row r="133" spans="1:7" x14ac:dyDescent="0.25">
      <c r="A133" s="6">
        <f>A132+28</f>
        <v>47935</v>
      </c>
      <c r="B133" s="11" t="s">
        <v>10</v>
      </c>
      <c r="C133" s="12">
        <v>66080004.966666669</v>
      </c>
      <c r="D133" s="294">
        <f t="shared" si="12"/>
        <v>6938400.5215001348</v>
      </c>
      <c r="E133" s="12"/>
      <c r="F133" s="294">
        <f t="shared" si="8"/>
        <v>66080004.966666669</v>
      </c>
      <c r="G133" s="9">
        <f t="shared" si="11"/>
        <v>1123360084.4333563</v>
      </c>
    </row>
    <row r="134" spans="1:7" x14ac:dyDescent="0.25">
      <c r="A134" s="6">
        <f>A133+31</f>
        <v>47966</v>
      </c>
      <c r="B134" s="11" t="s">
        <v>10</v>
      </c>
      <c r="C134" s="12">
        <v>66080004.966666669</v>
      </c>
      <c r="D134" s="294">
        <f t="shared" si="12"/>
        <v>6552933.8258612445</v>
      </c>
      <c r="E134" s="12"/>
      <c r="F134" s="294">
        <f t="shared" si="8"/>
        <v>66080004.966666669</v>
      </c>
      <c r="G134" s="9">
        <f t="shared" si="11"/>
        <v>1057280079.4666896</v>
      </c>
    </row>
    <row r="135" spans="1:7" x14ac:dyDescent="0.25">
      <c r="A135" s="6">
        <f>A134+30</f>
        <v>47996</v>
      </c>
      <c r="B135" s="11" t="s">
        <v>10</v>
      </c>
      <c r="C135" s="12">
        <v>66080004.966666669</v>
      </c>
      <c r="D135" s="294">
        <f t="shared" si="12"/>
        <v>6167467.1302223559</v>
      </c>
      <c r="E135" s="12"/>
      <c r="F135" s="294">
        <f t="shared" si="8"/>
        <v>66080004.966666669</v>
      </c>
      <c r="G135" s="9">
        <f t="shared" si="11"/>
        <v>991200074.50002289</v>
      </c>
    </row>
    <row r="136" spans="1:7" x14ac:dyDescent="0.25">
      <c r="A136" s="6">
        <f>A135+31</f>
        <v>48027</v>
      </c>
      <c r="B136" s="11" t="s">
        <v>10</v>
      </c>
      <c r="C136" s="12">
        <v>66080004.966666669</v>
      </c>
      <c r="D136" s="294">
        <f t="shared" si="12"/>
        <v>5782000.4345834684</v>
      </c>
      <c r="E136" s="12"/>
      <c r="F136" s="294">
        <f t="shared" si="8"/>
        <v>66080004.966666669</v>
      </c>
      <c r="G136" s="9">
        <f t="shared" si="11"/>
        <v>925120069.53335619</v>
      </c>
    </row>
    <row r="137" spans="1:7" x14ac:dyDescent="0.25">
      <c r="A137" s="6">
        <f>A136+30</f>
        <v>48057</v>
      </c>
      <c r="B137" s="11" t="s">
        <v>10</v>
      </c>
      <c r="C137" s="12">
        <v>66080004.966666669</v>
      </c>
      <c r="D137" s="294">
        <f t="shared" si="12"/>
        <v>5396533.738944578</v>
      </c>
      <c r="E137" s="12"/>
      <c r="F137" s="294">
        <f t="shared" ref="F137:F150" si="13">E137+C137</f>
        <v>66080004.966666669</v>
      </c>
      <c r="G137" s="9">
        <f t="shared" si="11"/>
        <v>859040064.56668949</v>
      </c>
    </row>
    <row r="138" spans="1:7" x14ac:dyDescent="0.25">
      <c r="A138" s="6">
        <f>A137+31</f>
        <v>48088</v>
      </c>
      <c r="B138" s="11" t="s">
        <v>10</v>
      </c>
      <c r="C138" s="12">
        <v>66080004.966666669</v>
      </c>
      <c r="D138" s="294">
        <f t="shared" si="12"/>
        <v>5011067.0433056895</v>
      </c>
      <c r="E138" s="12"/>
      <c r="F138" s="294">
        <f t="shared" si="13"/>
        <v>66080004.966666669</v>
      </c>
      <c r="G138" s="9">
        <f t="shared" si="11"/>
        <v>792960059.60002279</v>
      </c>
    </row>
    <row r="139" spans="1:7" x14ac:dyDescent="0.25">
      <c r="A139" s="6">
        <f>A138+31</f>
        <v>48119</v>
      </c>
      <c r="B139" s="11" t="s">
        <v>10</v>
      </c>
      <c r="C139" s="12">
        <v>66080004.966666669</v>
      </c>
      <c r="D139" s="294">
        <f t="shared" si="12"/>
        <v>4625600.3476668</v>
      </c>
      <c r="E139" s="12"/>
      <c r="F139" s="294">
        <f t="shared" si="13"/>
        <v>66080004.966666669</v>
      </c>
      <c r="G139" s="9">
        <f t="shared" si="11"/>
        <v>726880054.63335609</v>
      </c>
    </row>
    <row r="140" spans="1:7" x14ac:dyDescent="0.25">
      <c r="A140" s="6">
        <f>A139+30</f>
        <v>48149</v>
      </c>
      <c r="B140" s="11" t="s">
        <v>10</v>
      </c>
      <c r="C140" s="12">
        <v>66080004.966666669</v>
      </c>
      <c r="D140" s="294">
        <f t="shared" si="12"/>
        <v>4240133.6520279106</v>
      </c>
      <c r="E140" s="12"/>
      <c r="F140" s="294">
        <f t="shared" si="13"/>
        <v>66080004.966666669</v>
      </c>
      <c r="G140" s="9">
        <f t="shared" si="11"/>
        <v>660800049.6666894</v>
      </c>
    </row>
    <row r="141" spans="1:7" x14ac:dyDescent="0.25">
      <c r="A141" s="6">
        <f>A140+31</f>
        <v>48180</v>
      </c>
      <c r="B141" s="11" t="s">
        <v>10</v>
      </c>
      <c r="C141" s="12">
        <v>66080004.966666669</v>
      </c>
      <c r="D141" s="294">
        <f t="shared" si="12"/>
        <v>3854666.9563890221</v>
      </c>
      <c r="E141" s="12"/>
      <c r="F141" s="294">
        <f t="shared" si="13"/>
        <v>66080004.966666669</v>
      </c>
      <c r="G141" s="9">
        <f t="shared" si="11"/>
        <v>594720044.7000227</v>
      </c>
    </row>
    <row r="142" spans="1:7" x14ac:dyDescent="0.25">
      <c r="A142" s="6">
        <f>A141+30</f>
        <v>48210</v>
      </c>
      <c r="B142" s="11" t="s">
        <v>10</v>
      </c>
      <c r="C142" s="12">
        <v>66080004.966666669</v>
      </c>
      <c r="D142" s="294">
        <f t="shared" si="12"/>
        <v>3469200.2607501326</v>
      </c>
      <c r="E142" s="12"/>
      <c r="F142" s="294">
        <f t="shared" si="13"/>
        <v>66080004.966666669</v>
      </c>
      <c r="G142" s="9">
        <f t="shared" si="11"/>
        <v>528640039.733356</v>
      </c>
    </row>
    <row r="143" spans="1:7" x14ac:dyDescent="0.25">
      <c r="A143" s="6">
        <f>A142+31</f>
        <v>48241</v>
      </c>
      <c r="B143" s="11" t="s">
        <v>10</v>
      </c>
      <c r="C143" s="12">
        <v>66080004.966666669</v>
      </c>
      <c r="D143" s="294">
        <f t="shared" si="12"/>
        <v>3083733.5651112436</v>
      </c>
      <c r="E143" s="12"/>
      <c r="F143" s="294">
        <f t="shared" si="13"/>
        <v>66080004.966666669</v>
      </c>
      <c r="G143" s="9">
        <f t="shared" si="11"/>
        <v>462560034.7666893</v>
      </c>
    </row>
    <row r="144" spans="1:7" x14ac:dyDescent="0.25">
      <c r="A144" s="6">
        <f>A143+31</f>
        <v>48272</v>
      </c>
      <c r="B144" s="11" t="s">
        <v>10</v>
      </c>
      <c r="C144" s="12">
        <v>66080004.966666669</v>
      </c>
      <c r="D144" s="294">
        <f t="shared" si="12"/>
        <v>2698266.8694723547</v>
      </c>
      <c r="E144" s="12"/>
      <c r="F144" s="294">
        <f t="shared" si="13"/>
        <v>66080004.966666669</v>
      </c>
      <c r="G144" s="9">
        <f t="shared" si="11"/>
        <v>396480029.8000226</v>
      </c>
    </row>
    <row r="145" spans="1:19" x14ac:dyDescent="0.25">
      <c r="A145" s="6">
        <f>A144+29</f>
        <v>48301</v>
      </c>
      <c r="B145" s="11" t="s">
        <v>10</v>
      </c>
      <c r="C145" s="12">
        <v>66080004.966666669</v>
      </c>
      <c r="D145" s="294">
        <f t="shared" si="12"/>
        <v>2312800.1738334657</v>
      </c>
      <c r="E145" s="12"/>
      <c r="F145" s="294">
        <f t="shared" si="13"/>
        <v>66080004.966666669</v>
      </c>
      <c r="G145" s="9">
        <f t="shared" si="11"/>
        <v>330400024.8333559</v>
      </c>
    </row>
    <row r="146" spans="1:19" x14ac:dyDescent="0.25">
      <c r="A146" s="6">
        <f>A145+31</f>
        <v>48332</v>
      </c>
      <c r="B146" s="11" t="s">
        <v>10</v>
      </c>
      <c r="C146" s="12">
        <v>66080004.966666669</v>
      </c>
      <c r="D146" s="294">
        <f t="shared" si="12"/>
        <v>1927333.4781945765</v>
      </c>
      <c r="E146" s="12"/>
      <c r="F146" s="294">
        <f t="shared" si="13"/>
        <v>66080004.966666669</v>
      </c>
      <c r="G146" s="9">
        <f t="shared" si="11"/>
        <v>264320019.86668923</v>
      </c>
    </row>
    <row r="147" spans="1:19" x14ac:dyDescent="0.25">
      <c r="A147" s="6">
        <f>A146+30</f>
        <v>48362</v>
      </c>
      <c r="B147" s="11" t="s">
        <v>10</v>
      </c>
      <c r="C147" s="12">
        <v>66080004.966666669</v>
      </c>
      <c r="D147" s="294">
        <f t="shared" si="12"/>
        <v>1541866.782555687</v>
      </c>
      <c r="E147" s="12"/>
      <c r="F147" s="294">
        <f t="shared" si="13"/>
        <v>66080004.966666669</v>
      </c>
      <c r="G147" s="9">
        <f t="shared" si="11"/>
        <v>198240014.90002257</v>
      </c>
    </row>
    <row r="148" spans="1:19" x14ac:dyDescent="0.25">
      <c r="A148" s="6">
        <f>A147+31</f>
        <v>48393</v>
      </c>
      <c r="B148" s="11" t="s">
        <v>10</v>
      </c>
      <c r="C148" s="12">
        <v>66080004.966666669</v>
      </c>
      <c r="D148" s="294">
        <f t="shared" si="12"/>
        <v>1156400.0869167983</v>
      </c>
      <c r="E148" s="12"/>
      <c r="F148" s="294">
        <f t="shared" si="13"/>
        <v>66080004.966666669</v>
      </c>
      <c r="G148" s="9">
        <f t="shared" si="11"/>
        <v>132160009.9333559</v>
      </c>
    </row>
    <row r="149" spans="1:19" x14ac:dyDescent="0.25">
      <c r="A149" s="6">
        <f>A148+30</f>
        <v>48423</v>
      </c>
      <c r="B149" s="11" t="s">
        <v>10</v>
      </c>
      <c r="C149" s="12">
        <v>66080004.966666669</v>
      </c>
      <c r="D149" s="294">
        <f t="shared" si="12"/>
        <v>770933.3912779094</v>
      </c>
      <c r="E149" s="12"/>
      <c r="F149" s="294">
        <f t="shared" si="13"/>
        <v>66080004.966666669</v>
      </c>
      <c r="G149" s="9">
        <f t="shared" si="11"/>
        <v>66080004.966689229</v>
      </c>
    </row>
    <row r="150" spans="1:19" x14ac:dyDescent="0.25">
      <c r="A150" s="6">
        <f>A149+31</f>
        <v>48454</v>
      </c>
      <c r="B150" s="11" t="s">
        <v>10</v>
      </c>
      <c r="C150" s="12">
        <v>66080004.966666669</v>
      </c>
      <c r="D150" s="294">
        <f t="shared" si="12"/>
        <v>385466.69563902053</v>
      </c>
      <c r="E150" s="12"/>
      <c r="F150" s="294">
        <f t="shared" si="13"/>
        <v>66080004.966666669</v>
      </c>
      <c r="G150" s="9">
        <f t="shared" si="11"/>
        <v>2.2560358047485352E-5</v>
      </c>
    </row>
    <row r="151" spans="1:19" x14ac:dyDescent="0.25">
      <c r="A151" s="15"/>
      <c r="B151" s="16" t="s">
        <v>11</v>
      </c>
      <c r="C151" s="17">
        <f>SUM(C6:C150)</f>
        <v>7929600595.9999771</v>
      </c>
      <c r="D151" s="17">
        <f>SUM(D6:D150)</f>
        <v>3690660789.3953013</v>
      </c>
      <c r="E151" s="17">
        <f t="shared" ref="E151" si="14">SUM(E6:E150)</f>
        <v>125479321.58757667</v>
      </c>
      <c r="F151" s="17">
        <f>SUM(F6:F150)</f>
        <v>8055079917.587553</v>
      </c>
      <c r="G151" s="17">
        <v>0</v>
      </c>
    </row>
    <row r="152" spans="1:19" x14ac:dyDescent="0.25">
      <c r="A152" s="19" t="s">
        <v>42</v>
      </c>
      <c r="B152" s="20"/>
      <c r="C152" s="20"/>
      <c r="D152" s="20"/>
      <c r="E152" s="20"/>
      <c r="F152" s="20"/>
      <c r="G152" s="20"/>
      <c r="H152" s="20"/>
      <c r="I152" s="20"/>
      <c r="J152" s="20"/>
    </row>
    <row r="153" spans="1:19" x14ac:dyDescent="0.25">
      <c r="A153" s="351"/>
      <c r="B153" s="315" t="s">
        <v>3128</v>
      </c>
      <c r="C153" s="315" t="s">
        <v>3129</v>
      </c>
      <c r="D153" s="315" t="s">
        <v>3130</v>
      </c>
      <c r="E153" s="315" t="s">
        <v>3140</v>
      </c>
      <c r="F153" s="315" t="s">
        <v>3168</v>
      </c>
      <c r="G153" s="315" t="s">
        <v>3148</v>
      </c>
      <c r="H153" s="315" t="s">
        <v>3149</v>
      </c>
      <c r="I153" s="315" t="s">
        <v>3150</v>
      </c>
      <c r="J153" s="315"/>
      <c r="K153" s="315"/>
      <c r="L153" s="315"/>
      <c r="M153" s="100"/>
      <c r="N153" s="100"/>
      <c r="O153" s="100"/>
      <c r="P153" s="97"/>
      <c r="Q153" s="97"/>
    </row>
    <row r="154" spans="1:19" ht="25.5" x14ac:dyDescent="0.25">
      <c r="A154" s="39" t="s">
        <v>3151</v>
      </c>
      <c r="B154" s="90">
        <v>2.0070000000000001E-2</v>
      </c>
      <c r="C154" s="88">
        <v>1.8380000000000001E-2</v>
      </c>
      <c r="D154" s="88">
        <v>1.7180000000000001E-2</v>
      </c>
      <c r="E154" s="88">
        <v>1.7139999999999999E-2</v>
      </c>
      <c r="F154" s="88">
        <v>1.712E-2</v>
      </c>
      <c r="G154" s="88">
        <v>0.04</v>
      </c>
      <c r="H154" s="33">
        <v>4.4999999999999998E-2</v>
      </c>
      <c r="I154" s="33">
        <v>0.05</v>
      </c>
      <c r="J154" s="33"/>
      <c r="K154" s="33"/>
      <c r="L154" s="33"/>
      <c r="M154" s="334"/>
      <c r="N154" s="334"/>
      <c r="O154" s="334"/>
      <c r="P154" s="97"/>
      <c r="Q154" s="97"/>
    </row>
    <row r="155" spans="1:19" x14ac:dyDescent="0.25">
      <c r="A155" s="39" t="s">
        <v>2828</v>
      </c>
      <c r="B155" s="33">
        <v>0.02</v>
      </c>
      <c r="C155" s="88">
        <v>0.02</v>
      </c>
      <c r="D155" s="88">
        <v>0.02</v>
      </c>
      <c r="E155" s="88">
        <v>0.02</v>
      </c>
      <c r="F155" s="88">
        <v>0.02</v>
      </c>
      <c r="G155" s="88">
        <v>0.02</v>
      </c>
      <c r="H155" s="88">
        <v>0.02</v>
      </c>
      <c r="I155" s="88">
        <v>0.02</v>
      </c>
      <c r="J155" s="88">
        <v>0.02</v>
      </c>
      <c r="K155" s="88">
        <v>0.02</v>
      </c>
      <c r="L155" s="88">
        <v>0.02</v>
      </c>
      <c r="M155" s="336"/>
      <c r="N155" s="336"/>
      <c r="O155" s="336"/>
      <c r="P155" s="97"/>
      <c r="Q155" s="97"/>
    </row>
    <row r="156" spans="1:19" x14ac:dyDescent="0.25">
      <c r="A156" s="39" t="s">
        <v>377</v>
      </c>
      <c r="B156" s="67">
        <v>30</v>
      </c>
      <c r="C156" s="67">
        <v>30</v>
      </c>
      <c r="D156" s="67">
        <v>30</v>
      </c>
      <c r="E156" s="67">
        <v>30</v>
      </c>
      <c r="F156" s="67">
        <v>30</v>
      </c>
      <c r="G156" s="67">
        <v>30</v>
      </c>
      <c r="H156" s="67">
        <v>30</v>
      </c>
      <c r="I156" s="67">
        <v>30</v>
      </c>
      <c r="J156" s="67">
        <v>90</v>
      </c>
      <c r="K156" s="67">
        <v>90</v>
      </c>
      <c r="L156" s="67">
        <v>90</v>
      </c>
      <c r="M156" s="346"/>
      <c r="N156" s="346"/>
      <c r="O156" s="346"/>
      <c r="P156" s="97"/>
      <c r="Q156" s="97"/>
    </row>
    <row r="157" spans="1:19" x14ac:dyDescent="0.25">
      <c r="A157" s="39" t="s">
        <v>3152</v>
      </c>
      <c r="B157" s="142">
        <f>+B154+B155</f>
        <v>4.0070000000000001E-2</v>
      </c>
      <c r="C157" s="142">
        <f t="shared" ref="C157:E157" si="15">+C154+C155</f>
        <v>3.8379999999999997E-2</v>
      </c>
      <c r="D157" s="142">
        <f t="shared" si="15"/>
        <v>3.7180000000000005E-2</v>
      </c>
      <c r="E157" s="142">
        <f t="shared" si="15"/>
        <v>3.7139999999999999E-2</v>
      </c>
      <c r="F157" s="142">
        <f>+F154+F155</f>
        <v>3.712E-2</v>
      </c>
      <c r="G157" s="142">
        <f>+G154+G155</f>
        <v>0.06</v>
      </c>
      <c r="H157" s="142">
        <f>+H154+H155</f>
        <v>6.5000000000000002E-2</v>
      </c>
      <c r="I157" s="142">
        <f>+I154+I155</f>
        <v>7.0000000000000007E-2</v>
      </c>
      <c r="J157" s="67"/>
      <c r="K157" s="67"/>
      <c r="L157" s="67"/>
      <c r="M157" s="346"/>
      <c r="N157" s="346"/>
      <c r="O157" s="346"/>
      <c r="P157" s="97"/>
      <c r="Q157" s="97"/>
    </row>
    <row r="158" spans="1:19" x14ac:dyDescent="0.25">
      <c r="A158" s="43" t="s">
        <v>39</v>
      </c>
      <c r="B158" s="44">
        <f>+E7</f>
        <v>26478257.990143336</v>
      </c>
      <c r="C158" s="44">
        <f>+E8</f>
        <v>25361505.906206667</v>
      </c>
      <c r="D158" s="44">
        <f>+E9</f>
        <v>24568545.846606672</v>
      </c>
      <c r="E158" s="44">
        <f>+E10</f>
        <v>24542113.844620001</v>
      </c>
      <c r="F158" s="44">
        <f>+E11</f>
        <v>24528898</v>
      </c>
      <c r="G158" s="44"/>
      <c r="H158" s="44"/>
      <c r="I158" s="44"/>
      <c r="J158" s="44">
        <f>+D14</f>
        <v>39648002.979999997</v>
      </c>
      <c r="K158" s="44">
        <f>+D15</f>
        <v>39648002.979999997</v>
      </c>
      <c r="L158" s="44">
        <f>+D16</f>
        <v>39648002.979999997</v>
      </c>
      <c r="M158" s="101"/>
      <c r="N158" s="101"/>
      <c r="O158" s="101"/>
      <c r="P158" s="98"/>
      <c r="Q158" s="99"/>
    </row>
    <row r="159" spans="1:19" x14ac:dyDescent="0.25">
      <c r="L159" s="97"/>
      <c r="M159" s="97"/>
      <c r="N159" s="97"/>
      <c r="O159" s="97"/>
      <c r="P159" s="97"/>
      <c r="Q159" s="97"/>
      <c r="S159" s="45">
        <f>SUM(B159:R159)</f>
        <v>0</v>
      </c>
    </row>
    <row r="162" spans="2:19" x14ac:dyDescent="0.25">
      <c r="S162" s="45">
        <f>SUM(B162:R162)</f>
        <v>0</v>
      </c>
    </row>
    <row r="165" spans="2:19" x14ac:dyDescent="0.25">
      <c r="B165" s="50" t="s">
        <v>42</v>
      </c>
      <c r="C165" s="50" t="s">
        <v>42</v>
      </c>
    </row>
  </sheetData>
  <mergeCells count="4">
    <mergeCell ref="A1:G1"/>
    <mergeCell ref="A2:G2"/>
    <mergeCell ref="A3:G3"/>
    <mergeCell ref="A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8EEFC"/>
  </sheetPr>
  <dimension ref="A1:S165"/>
  <sheetViews>
    <sheetView zoomScale="90" zoomScaleNormal="90" workbookViewId="0">
      <selection activeCell="E10" sqref="E10"/>
    </sheetView>
  </sheetViews>
  <sheetFormatPr baseColWidth="10" defaultColWidth="11.5703125" defaultRowHeight="15" x14ac:dyDescent="0.25"/>
  <cols>
    <col min="1" max="1" width="15" customWidth="1"/>
    <col min="2" max="2" width="19.7109375" customWidth="1"/>
    <col min="3" max="3" width="17.42578125" bestFit="1" customWidth="1"/>
    <col min="4" max="4" width="15" customWidth="1"/>
    <col min="5" max="5" width="19" bestFit="1" customWidth="1"/>
    <col min="6" max="6" width="16.140625" customWidth="1"/>
    <col min="7" max="7" width="19" customWidth="1"/>
    <col min="8" max="8" width="18.28515625" bestFit="1" customWidth="1"/>
    <col min="9" max="9" width="19.28515625" bestFit="1" customWidth="1"/>
    <col min="10" max="10" width="18.28515625" bestFit="1" customWidth="1"/>
    <col min="11" max="11" width="14.140625" bestFit="1" customWidth="1"/>
    <col min="12" max="12" width="19"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2" x14ac:dyDescent="0.25">
      <c r="A1" s="511" t="s">
        <v>2</v>
      </c>
      <c r="B1" s="512"/>
      <c r="C1" s="512"/>
      <c r="D1" s="512"/>
      <c r="E1" s="512"/>
      <c r="F1" s="512"/>
      <c r="G1" s="512"/>
    </row>
    <row r="2" spans="1:12" x14ac:dyDescent="0.25">
      <c r="A2" s="511" t="s">
        <v>3119</v>
      </c>
      <c r="B2" s="512"/>
      <c r="C2" s="512"/>
      <c r="D2" s="512"/>
      <c r="E2" s="512"/>
      <c r="F2" s="512"/>
      <c r="G2" s="512"/>
    </row>
    <row r="3" spans="1:12" x14ac:dyDescent="0.25">
      <c r="A3" s="511" t="s">
        <v>3120</v>
      </c>
      <c r="B3" s="512"/>
      <c r="C3" s="512"/>
      <c r="D3" s="512"/>
      <c r="E3" s="512"/>
      <c r="F3" s="512"/>
      <c r="G3" s="512"/>
    </row>
    <row r="4" spans="1:12" ht="15.75" thickBot="1" x14ac:dyDescent="0.3">
      <c r="A4" s="515" t="s">
        <v>3121</v>
      </c>
      <c r="B4" s="516"/>
      <c r="C4" s="516"/>
      <c r="D4" s="516"/>
      <c r="E4" s="516"/>
      <c r="F4" s="516"/>
      <c r="G4" s="516"/>
    </row>
    <row r="5" spans="1:12" s="348" customFormat="1" ht="45.75" thickBot="1" x14ac:dyDescent="0.3">
      <c r="A5" s="103" t="s">
        <v>3122</v>
      </c>
      <c r="B5" s="2" t="s">
        <v>6</v>
      </c>
      <c r="C5" s="3" t="s">
        <v>7</v>
      </c>
      <c r="D5" s="3" t="s">
        <v>3147</v>
      </c>
      <c r="E5" s="3" t="s">
        <v>41</v>
      </c>
      <c r="F5" s="3" t="s">
        <v>3078</v>
      </c>
      <c r="G5" s="5" t="s">
        <v>8</v>
      </c>
    </row>
    <row r="6" spans="1:12" x14ac:dyDescent="0.25">
      <c r="A6" s="6">
        <v>44071</v>
      </c>
      <c r="B6" s="7" t="s">
        <v>359</v>
      </c>
      <c r="C6" s="8"/>
      <c r="D6" s="8">
        <v>0</v>
      </c>
      <c r="E6" s="8"/>
      <c r="F6" s="8"/>
      <c r="G6" s="9">
        <v>2702694554</v>
      </c>
      <c r="H6" s="54"/>
    </row>
    <row r="7" spans="1:12" x14ac:dyDescent="0.25">
      <c r="A7" s="6">
        <f>A6+31</f>
        <v>44102</v>
      </c>
      <c r="B7" s="297" t="s">
        <v>9</v>
      </c>
      <c r="C7" s="294"/>
      <c r="D7" s="294">
        <f>G6*$B$157*$B$156/360</f>
        <v>9024747.5648983326</v>
      </c>
      <c r="E7" s="294">
        <v>9024747.5648983326</v>
      </c>
      <c r="F7" s="294">
        <f>E7+C7</f>
        <v>9024747.5648983326</v>
      </c>
      <c r="G7" s="9">
        <f>+G6</f>
        <v>2702694554</v>
      </c>
      <c r="H7" s="105"/>
    </row>
    <row r="8" spans="1:12" x14ac:dyDescent="0.25">
      <c r="A8" s="6">
        <f>A7+30</f>
        <v>44132</v>
      </c>
      <c r="B8" s="297" t="s">
        <v>9</v>
      </c>
      <c r="C8" s="294"/>
      <c r="D8" s="294">
        <f>G7*$C$157*$C$156/360</f>
        <v>8644118.0818766654</v>
      </c>
      <c r="E8" s="294">
        <v>8644118.0818766654</v>
      </c>
      <c r="F8" s="294">
        <f t="shared" ref="F8:F71" si="0">E8+C8</f>
        <v>8644118.0818766654</v>
      </c>
      <c r="G8" s="9">
        <f t="shared" ref="G8:G30" si="1">+G7</f>
        <v>2702694554</v>
      </c>
      <c r="H8" s="54"/>
    </row>
    <row r="9" spans="1:12" x14ac:dyDescent="0.25">
      <c r="A9" s="6">
        <f>A8+31</f>
        <v>44163</v>
      </c>
      <c r="B9" s="297" t="s">
        <v>9</v>
      </c>
      <c r="C9" s="294"/>
      <c r="D9" s="294">
        <f>G8*$D$157*$D$156/360</f>
        <v>8373848.6264766678</v>
      </c>
      <c r="E9" s="294">
        <v>8373848.6264766678</v>
      </c>
      <c r="F9" s="294">
        <f t="shared" si="0"/>
        <v>8373848.6264766678</v>
      </c>
      <c r="G9" s="9">
        <f t="shared" si="1"/>
        <v>2702694554</v>
      </c>
      <c r="H9" s="138"/>
    </row>
    <row r="10" spans="1:12" x14ac:dyDescent="0.25">
      <c r="A10" s="6">
        <f>A9+30</f>
        <v>44193</v>
      </c>
      <c r="B10" s="297" t="s">
        <v>9</v>
      </c>
      <c r="C10" s="294"/>
      <c r="D10" s="294">
        <f>G9*$E$157*$E$156/360</f>
        <v>8364839.64463</v>
      </c>
      <c r="E10" s="294">
        <v>8364839.64463</v>
      </c>
      <c r="F10" s="294">
        <f t="shared" si="0"/>
        <v>8364839.64463</v>
      </c>
      <c r="G10" s="9">
        <f t="shared" si="1"/>
        <v>2702694554</v>
      </c>
    </row>
    <row r="11" spans="1:12" x14ac:dyDescent="0.25">
      <c r="A11" s="6">
        <f>A10+31</f>
        <v>44224</v>
      </c>
      <c r="B11" s="297" t="s">
        <v>9</v>
      </c>
      <c r="C11" s="294"/>
      <c r="D11" s="294">
        <f>G10*$F$157*$F$156/360</f>
        <v>8360335.153706667</v>
      </c>
      <c r="E11" s="294">
        <v>8360335</v>
      </c>
      <c r="F11" s="294">
        <f t="shared" si="0"/>
        <v>8360335</v>
      </c>
      <c r="G11" s="9">
        <f t="shared" si="1"/>
        <v>2702694554</v>
      </c>
      <c r="H11" s="138"/>
      <c r="I11" s="138"/>
    </row>
    <row r="12" spans="1:12" x14ac:dyDescent="0.25">
      <c r="A12" s="6">
        <f>A11+31</f>
        <v>44255</v>
      </c>
      <c r="B12" s="297" t="s">
        <v>9</v>
      </c>
      <c r="C12" s="294"/>
      <c r="D12" s="294">
        <f t="shared" ref="D12:D22" si="2">G11*$G$157*$G$156/360</f>
        <v>13513472.77</v>
      </c>
      <c r="E12" s="294"/>
      <c r="F12" s="294">
        <f t="shared" si="0"/>
        <v>0</v>
      </c>
      <c r="G12" s="9">
        <f t="shared" si="1"/>
        <v>2702694554</v>
      </c>
      <c r="I12" s="76"/>
    </row>
    <row r="13" spans="1:12" x14ac:dyDescent="0.25">
      <c r="A13" s="6">
        <f>A12+28</f>
        <v>44283</v>
      </c>
      <c r="B13" s="297" t="s">
        <v>9</v>
      </c>
      <c r="C13" s="294"/>
      <c r="D13" s="294">
        <f t="shared" si="2"/>
        <v>13513472.77</v>
      </c>
      <c r="E13" s="294"/>
      <c r="F13" s="294">
        <f t="shared" si="0"/>
        <v>0</v>
      </c>
      <c r="G13" s="9">
        <f t="shared" si="1"/>
        <v>2702694554</v>
      </c>
      <c r="I13" s="76"/>
    </row>
    <row r="14" spans="1:12" x14ac:dyDescent="0.25">
      <c r="A14" s="6">
        <f>A13+31</f>
        <v>44314</v>
      </c>
      <c r="B14" s="11" t="s">
        <v>9</v>
      </c>
      <c r="C14" s="12"/>
      <c r="D14" s="294">
        <f t="shared" si="2"/>
        <v>13513472.77</v>
      </c>
      <c r="E14" s="294"/>
      <c r="F14" s="294">
        <f t="shared" si="0"/>
        <v>0</v>
      </c>
      <c r="G14" s="9">
        <f t="shared" si="1"/>
        <v>2702694554</v>
      </c>
      <c r="H14" s="448"/>
      <c r="I14" s="439"/>
      <c r="K14" s="54"/>
      <c r="L14" s="54" t="s">
        <v>42</v>
      </c>
    </row>
    <row r="15" spans="1:12" x14ac:dyDescent="0.25">
      <c r="A15" s="6">
        <f>A14+30</f>
        <v>44344</v>
      </c>
      <c r="B15" s="11" t="s">
        <v>9</v>
      </c>
      <c r="C15" s="12"/>
      <c r="D15" s="294">
        <f t="shared" si="2"/>
        <v>13513472.77</v>
      </c>
      <c r="E15" s="294"/>
      <c r="F15" s="294">
        <f t="shared" si="0"/>
        <v>0</v>
      </c>
      <c r="G15" s="9">
        <f t="shared" si="1"/>
        <v>2702694554</v>
      </c>
      <c r="H15" s="54"/>
      <c r="K15" s="76" t="s">
        <v>42</v>
      </c>
    </row>
    <row r="16" spans="1:12" x14ac:dyDescent="0.25">
      <c r="A16" s="6">
        <f>A15+31</f>
        <v>44375</v>
      </c>
      <c r="B16" s="11" t="s">
        <v>9</v>
      </c>
      <c r="C16" s="12"/>
      <c r="D16" s="294">
        <f t="shared" si="2"/>
        <v>13513472.77</v>
      </c>
      <c r="E16" s="294"/>
      <c r="F16" s="294">
        <f t="shared" si="0"/>
        <v>0</v>
      </c>
      <c r="G16" s="9">
        <f t="shared" si="1"/>
        <v>2702694554</v>
      </c>
      <c r="H16" s="54"/>
      <c r="I16" s="105"/>
    </row>
    <row r="17" spans="1:8" x14ac:dyDescent="0.25">
      <c r="A17" s="6">
        <f>A16+30</f>
        <v>44405</v>
      </c>
      <c r="B17" s="11" t="s">
        <v>9</v>
      </c>
      <c r="C17" s="12"/>
      <c r="D17" s="294">
        <f t="shared" si="2"/>
        <v>13513472.77</v>
      </c>
      <c r="E17" s="294"/>
      <c r="F17" s="294">
        <f t="shared" si="0"/>
        <v>0</v>
      </c>
      <c r="G17" s="9">
        <f t="shared" si="1"/>
        <v>2702694554</v>
      </c>
      <c r="H17" s="76"/>
    </row>
    <row r="18" spans="1:8" x14ac:dyDescent="0.25">
      <c r="A18" s="6">
        <f>A17+31</f>
        <v>44436</v>
      </c>
      <c r="B18" s="11" t="s">
        <v>9</v>
      </c>
      <c r="C18" s="12"/>
      <c r="D18" s="294">
        <f t="shared" si="2"/>
        <v>13513472.77</v>
      </c>
      <c r="E18" s="294"/>
      <c r="F18" s="294">
        <f t="shared" si="0"/>
        <v>0</v>
      </c>
      <c r="G18" s="9">
        <f t="shared" si="1"/>
        <v>2702694554</v>
      </c>
    </row>
    <row r="19" spans="1:8" x14ac:dyDescent="0.25">
      <c r="A19" s="6">
        <f>A18+31</f>
        <v>44467</v>
      </c>
      <c r="B19" s="11" t="s">
        <v>9</v>
      </c>
      <c r="C19" s="12"/>
      <c r="D19" s="294">
        <f t="shared" si="2"/>
        <v>13513472.77</v>
      </c>
      <c r="E19" s="294"/>
      <c r="F19" s="294">
        <f t="shared" si="0"/>
        <v>0</v>
      </c>
      <c r="G19" s="9">
        <f t="shared" si="1"/>
        <v>2702694554</v>
      </c>
    </row>
    <row r="20" spans="1:8" x14ac:dyDescent="0.25">
      <c r="A20" s="6">
        <f>A19+30</f>
        <v>44497</v>
      </c>
      <c r="B20" s="11" t="s">
        <v>9</v>
      </c>
      <c r="C20" s="12"/>
      <c r="D20" s="294">
        <f t="shared" si="2"/>
        <v>13513472.77</v>
      </c>
      <c r="E20" s="294"/>
      <c r="F20" s="294">
        <f t="shared" si="0"/>
        <v>0</v>
      </c>
      <c r="G20" s="9">
        <f t="shared" si="1"/>
        <v>2702694554</v>
      </c>
    </row>
    <row r="21" spans="1:8" x14ac:dyDescent="0.25">
      <c r="A21" s="6">
        <f>A20+31</f>
        <v>44528</v>
      </c>
      <c r="B21" s="11" t="s">
        <v>9</v>
      </c>
      <c r="C21" s="12"/>
      <c r="D21" s="294">
        <f t="shared" si="2"/>
        <v>13513472.77</v>
      </c>
      <c r="E21" s="294"/>
      <c r="F21" s="294">
        <f t="shared" si="0"/>
        <v>0</v>
      </c>
      <c r="G21" s="9">
        <f t="shared" si="1"/>
        <v>2702694554</v>
      </c>
    </row>
    <row r="22" spans="1:8" x14ac:dyDescent="0.25">
      <c r="A22" s="6">
        <f>A21+30</f>
        <v>44558</v>
      </c>
      <c r="B22" s="11" t="s">
        <v>9</v>
      </c>
      <c r="C22" s="12"/>
      <c r="D22" s="294">
        <f t="shared" si="2"/>
        <v>13513472.77</v>
      </c>
      <c r="E22" s="294"/>
      <c r="F22" s="294">
        <f t="shared" si="0"/>
        <v>0</v>
      </c>
      <c r="G22" s="9">
        <f t="shared" si="1"/>
        <v>2702694554</v>
      </c>
    </row>
    <row r="23" spans="1:8" x14ac:dyDescent="0.25">
      <c r="A23" s="6">
        <f>A22+31</f>
        <v>44589</v>
      </c>
      <c r="B23" s="11" t="s">
        <v>9</v>
      </c>
      <c r="C23" s="12"/>
      <c r="D23" s="294">
        <f t="shared" ref="D23:D34" si="3">G22*$H$157*$H$156/360</f>
        <v>14639595.500833334</v>
      </c>
      <c r="E23" s="294"/>
      <c r="F23" s="294">
        <f t="shared" si="0"/>
        <v>0</v>
      </c>
      <c r="G23" s="9">
        <f t="shared" si="1"/>
        <v>2702694554</v>
      </c>
    </row>
    <row r="24" spans="1:8" x14ac:dyDescent="0.25">
      <c r="A24" s="6">
        <f>A23+31</f>
        <v>44620</v>
      </c>
      <c r="B24" s="11" t="s">
        <v>9</v>
      </c>
      <c r="C24" s="12"/>
      <c r="D24" s="294">
        <f t="shared" si="3"/>
        <v>14639595.500833334</v>
      </c>
      <c r="E24" s="294"/>
      <c r="F24" s="294">
        <f t="shared" si="0"/>
        <v>0</v>
      </c>
      <c r="G24" s="9">
        <f t="shared" si="1"/>
        <v>2702694554</v>
      </c>
    </row>
    <row r="25" spans="1:8" x14ac:dyDescent="0.25">
      <c r="A25" s="6">
        <f>A24+28</f>
        <v>44648</v>
      </c>
      <c r="B25" s="11" t="s">
        <v>9</v>
      </c>
      <c r="C25" s="12"/>
      <c r="D25" s="294">
        <f t="shared" si="3"/>
        <v>14639595.500833334</v>
      </c>
      <c r="E25" s="294"/>
      <c r="F25" s="294">
        <f t="shared" si="0"/>
        <v>0</v>
      </c>
      <c r="G25" s="9">
        <f t="shared" si="1"/>
        <v>2702694554</v>
      </c>
    </row>
    <row r="26" spans="1:8" x14ac:dyDescent="0.25">
      <c r="A26" s="6">
        <f>A25+31</f>
        <v>44679</v>
      </c>
      <c r="B26" s="11" t="s">
        <v>9</v>
      </c>
      <c r="C26" s="12"/>
      <c r="D26" s="294">
        <f t="shared" si="3"/>
        <v>14639595.500833334</v>
      </c>
      <c r="E26" s="294"/>
      <c r="F26" s="294">
        <f t="shared" si="0"/>
        <v>0</v>
      </c>
      <c r="G26" s="9">
        <f t="shared" si="1"/>
        <v>2702694554</v>
      </c>
    </row>
    <row r="27" spans="1:8" x14ac:dyDescent="0.25">
      <c r="A27" s="6">
        <f>A26+30</f>
        <v>44709</v>
      </c>
      <c r="B27" s="11" t="s">
        <v>9</v>
      </c>
      <c r="C27" s="12"/>
      <c r="D27" s="294">
        <f t="shared" si="3"/>
        <v>14639595.500833334</v>
      </c>
      <c r="E27" s="294"/>
      <c r="F27" s="294">
        <f t="shared" si="0"/>
        <v>0</v>
      </c>
      <c r="G27" s="9">
        <f t="shared" si="1"/>
        <v>2702694554</v>
      </c>
    </row>
    <row r="28" spans="1:8" x14ac:dyDescent="0.25">
      <c r="A28" s="6">
        <f>A27+31</f>
        <v>44740</v>
      </c>
      <c r="B28" s="11" t="s">
        <v>9</v>
      </c>
      <c r="C28" s="12"/>
      <c r="D28" s="294">
        <f t="shared" si="3"/>
        <v>14639595.500833334</v>
      </c>
      <c r="E28" s="294"/>
      <c r="F28" s="294">
        <f t="shared" si="0"/>
        <v>0</v>
      </c>
      <c r="G28" s="9">
        <f t="shared" si="1"/>
        <v>2702694554</v>
      </c>
    </row>
    <row r="29" spans="1:8" x14ac:dyDescent="0.25">
      <c r="A29" s="6">
        <f>A28+30</f>
        <v>44770</v>
      </c>
      <c r="B29" s="11" t="s">
        <v>9</v>
      </c>
      <c r="C29" s="12"/>
      <c r="D29" s="294">
        <f t="shared" si="3"/>
        <v>14639595.500833334</v>
      </c>
      <c r="E29" s="294"/>
      <c r="F29" s="294">
        <f t="shared" si="0"/>
        <v>0</v>
      </c>
      <c r="G29" s="9">
        <f t="shared" si="1"/>
        <v>2702694554</v>
      </c>
    </row>
    <row r="30" spans="1:8" x14ac:dyDescent="0.25">
      <c r="A30" s="6">
        <f>A29+31</f>
        <v>44801</v>
      </c>
      <c r="B30" s="11" t="s">
        <v>9</v>
      </c>
      <c r="C30" s="12"/>
      <c r="D30" s="294">
        <f t="shared" si="3"/>
        <v>14639595.500833334</v>
      </c>
      <c r="E30" s="294"/>
      <c r="F30" s="294">
        <f t="shared" si="0"/>
        <v>0</v>
      </c>
      <c r="G30" s="9">
        <f t="shared" si="1"/>
        <v>2702694554</v>
      </c>
    </row>
    <row r="31" spans="1:8" x14ac:dyDescent="0.25">
      <c r="A31" s="6">
        <f>A30+31</f>
        <v>44832</v>
      </c>
      <c r="B31" s="11" t="s">
        <v>3061</v>
      </c>
      <c r="C31" s="12">
        <f>+G6/120</f>
        <v>22522454.616666667</v>
      </c>
      <c r="D31" s="294">
        <f t="shared" si="3"/>
        <v>14639595.500833334</v>
      </c>
      <c r="E31" s="12"/>
      <c r="F31" s="294">
        <f t="shared" si="0"/>
        <v>22522454.616666667</v>
      </c>
      <c r="G31" s="13">
        <f t="shared" ref="G31:G62" si="4">+G30-C31</f>
        <v>2680172099.3833332</v>
      </c>
    </row>
    <row r="32" spans="1:8" x14ac:dyDescent="0.25">
      <c r="A32" s="6">
        <f>A31+30</f>
        <v>44862</v>
      </c>
      <c r="B32" s="11" t="s">
        <v>3061</v>
      </c>
      <c r="C32" s="12">
        <v>22522454.616666667</v>
      </c>
      <c r="D32" s="294">
        <f t="shared" si="3"/>
        <v>14517598.871659722</v>
      </c>
      <c r="E32" s="12"/>
      <c r="F32" s="294">
        <f t="shared" si="0"/>
        <v>22522454.616666667</v>
      </c>
      <c r="G32" s="13">
        <f t="shared" si="4"/>
        <v>2657649644.7666664</v>
      </c>
    </row>
    <row r="33" spans="1:7" x14ac:dyDescent="0.25">
      <c r="A33" s="6">
        <f t="shared" ref="A33:A62" si="5">A32+31</f>
        <v>44893</v>
      </c>
      <c r="B33" s="11" t="s">
        <v>3061</v>
      </c>
      <c r="C33" s="12">
        <v>22522454.616666667</v>
      </c>
      <c r="D33" s="294">
        <f t="shared" si="3"/>
        <v>14395602.242486108</v>
      </c>
      <c r="E33" s="12"/>
      <c r="F33" s="294">
        <f t="shared" si="0"/>
        <v>22522454.616666667</v>
      </c>
      <c r="G33" s="13">
        <f t="shared" si="4"/>
        <v>2635127190.1499996</v>
      </c>
    </row>
    <row r="34" spans="1:7" x14ac:dyDescent="0.25">
      <c r="A34" s="6">
        <f t="shared" si="5"/>
        <v>44924</v>
      </c>
      <c r="B34" s="11" t="s">
        <v>3061</v>
      </c>
      <c r="C34" s="12">
        <v>22522454.616666667</v>
      </c>
      <c r="D34" s="294">
        <f t="shared" si="3"/>
        <v>14273605.6133125</v>
      </c>
      <c r="E34" s="12"/>
      <c r="F34" s="294">
        <f t="shared" si="0"/>
        <v>22522454.616666667</v>
      </c>
      <c r="G34" s="13">
        <f t="shared" si="4"/>
        <v>2612604735.5333328</v>
      </c>
    </row>
    <row r="35" spans="1:7" x14ac:dyDescent="0.25">
      <c r="A35" s="6">
        <f>A34+28</f>
        <v>44952</v>
      </c>
      <c r="B35" s="11" t="s">
        <v>3061</v>
      </c>
      <c r="C35" s="12">
        <v>22522454.616666667</v>
      </c>
      <c r="D35" s="294">
        <f t="shared" ref="D35:D66" si="6">G34*$I$157*$I$156/360</f>
        <v>15240194.290611111</v>
      </c>
      <c r="E35" s="12"/>
      <c r="F35" s="294">
        <f t="shared" si="0"/>
        <v>22522454.616666667</v>
      </c>
      <c r="G35" s="13">
        <f t="shared" si="4"/>
        <v>2590082280.916666</v>
      </c>
    </row>
    <row r="36" spans="1:7" x14ac:dyDescent="0.25">
      <c r="A36" s="6">
        <f t="shared" si="5"/>
        <v>44983</v>
      </c>
      <c r="B36" s="11" t="s">
        <v>3061</v>
      </c>
      <c r="C36" s="12">
        <v>22522454.616666667</v>
      </c>
      <c r="D36" s="294">
        <f t="shared" si="6"/>
        <v>15108813.305347221</v>
      </c>
      <c r="E36" s="12"/>
      <c r="F36" s="294">
        <f t="shared" si="0"/>
        <v>22522454.616666667</v>
      </c>
      <c r="G36" s="13">
        <f t="shared" si="4"/>
        <v>2567559826.2999992</v>
      </c>
    </row>
    <row r="37" spans="1:7" x14ac:dyDescent="0.25">
      <c r="A37" s="6">
        <f>A36+30</f>
        <v>45013</v>
      </c>
      <c r="B37" s="11" t="s">
        <v>10</v>
      </c>
      <c r="C37" s="12">
        <v>22522454.616666667</v>
      </c>
      <c r="D37" s="294">
        <f t="shared" si="6"/>
        <v>14977432.320083329</v>
      </c>
      <c r="E37" s="12"/>
      <c r="F37" s="294">
        <f t="shared" si="0"/>
        <v>22522454.616666667</v>
      </c>
      <c r="G37" s="13">
        <f t="shared" si="4"/>
        <v>2545037371.6833324</v>
      </c>
    </row>
    <row r="38" spans="1:7" x14ac:dyDescent="0.25">
      <c r="A38" s="6">
        <f t="shared" si="5"/>
        <v>45044</v>
      </c>
      <c r="B38" s="11" t="s">
        <v>10</v>
      </c>
      <c r="C38" s="12">
        <v>22522454.616666667</v>
      </c>
      <c r="D38" s="294">
        <f t="shared" si="6"/>
        <v>14846051.334819442</v>
      </c>
      <c r="E38" s="12"/>
      <c r="F38" s="294">
        <f t="shared" si="0"/>
        <v>22522454.616666667</v>
      </c>
      <c r="G38" s="13">
        <f t="shared" si="4"/>
        <v>2522514917.0666656</v>
      </c>
    </row>
    <row r="39" spans="1:7" x14ac:dyDescent="0.25">
      <c r="A39" s="6">
        <f>A38+30</f>
        <v>45074</v>
      </c>
      <c r="B39" s="11" t="s">
        <v>10</v>
      </c>
      <c r="C39" s="12">
        <v>22522454.616666667</v>
      </c>
      <c r="D39" s="294">
        <f t="shared" si="6"/>
        <v>14714670.34955555</v>
      </c>
      <c r="E39" s="12"/>
      <c r="F39" s="294">
        <f t="shared" si="0"/>
        <v>22522454.616666667</v>
      </c>
      <c r="G39" s="13">
        <f t="shared" si="4"/>
        <v>2499992462.4499989</v>
      </c>
    </row>
    <row r="40" spans="1:7" x14ac:dyDescent="0.25">
      <c r="A40" s="6">
        <f t="shared" si="5"/>
        <v>45105</v>
      </c>
      <c r="B40" s="11" t="s">
        <v>10</v>
      </c>
      <c r="C40" s="12">
        <v>22522454.616666667</v>
      </c>
      <c r="D40" s="294">
        <f t="shared" si="6"/>
        <v>14583289.36429166</v>
      </c>
      <c r="E40" s="12"/>
      <c r="F40" s="294">
        <f t="shared" si="0"/>
        <v>22522454.616666667</v>
      </c>
      <c r="G40" s="13">
        <f t="shared" si="4"/>
        <v>2477470007.8333321</v>
      </c>
    </row>
    <row r="41" spans="1:7" x14ac:dyDescent="0.25">
      <c r="A41" s="6">
        <f t="shared" si="5"/>
        <v>45136</v>
      </c>
      <c r="B41" s="11" t="s">
        <v>10</v>
      </c>
      <c r="C41" s="12">
        <v>22522454.616666667</v>
      </c>
      <c r="D41" s="294">
        <f t="shared" si="6"/>
        <v>14451908.379027773</v>
      </c>
      <c r="E41" s="12"/>
      <c r="F41" s="294">
        <f t="shared" si="0"/>
        <v>22522454.616666667</v>
      </c>
      <c r="G41" s="13">
        <f t="shared" si="4"/>
        <v>2454947553.2166653</v>
      </c>
    </row>
    <row r="42" spans="1:7" x14ac:dyDescent="0.25">
      <c r="A42" s="6">
        <f>A41+30</f>
        <v>45166</v>
      </c>
      <c r="B42" s="11" t="s">
        <v>10</v>
      </c>
      <c r="C42" s="12">
        <v>22522454.616666667</v>
      </c>
      <c r="D42" s="294">
        <f t="shared" si="6"/>
        <v>14320527.393763881</v>
      </c>
      <c r="E42" s="12"/>
      <c r="F42" s="294">
        <f t="shared" si="0"/>
        <v>22522454.616666667</v>
      </c>
      <c r="G42" s="13">
        <f t="shared" si="4"/>
        <v>2432425098.5999985</v>
      </c>
    </row>
    <row r="43" spans="1:7" x14ac:dyDescent="0.25">
      <c r="A43" s="6">
        <f t="shared" si="5"/>
        <v>45197</v>
      </c>
      <c r="B43" s="11" t="s">
        <v>10</v>
      </c>
      <c r="C43" s="12">
        <v>22522454.616666667</v>
      </c>
      <c r="D43" s="294">
        <f t="shared" si="6"/>
        <v>14189146.408499993</v>
      </c>
      <c r="E43" s="12"/>
      <c r="F43" s="294">
        <f t="shared" si="0"/>
        <v>22522454.616666667</v>
      </c>
      <c r="G43" s="13">
        <f t="shared" si="4"/>
        <v>2409902643.9833317</v>
      </c>
    </row>
    <row r="44" spans="1:7" x14ac:dyDescent="0.25">
      <c r="A44" s="6">
        <f>A43+30</f>
        <v>45227</v>
      </c>
      <c r="B44" s="11" t="s">
        <v>10</v>
      </c>
      <c r="C44" s="12">
        <v>22522454.616666667</v>
      </c>
      <c r="D44" s="294">
        <f t="shared" si="6"/>
        <v>14057765.423236102</v>
      </c>
      <c r="E44" s="12"/>
      <c r="F44" s="294">
        <f t="shared" si="0"/>
        <v>22522454.616666667</v>
      </c>
      <c r="G44" s="13">
        <f t="shared" si="4"/>
        <v>2387380189.3666649</v>
      </c>
    </row>
    <row r="45" spans="1:7" x14ac:dyDescent="0.25">
      <c r="A45" s="6">
        <f t="shared" si="5"/>
        <v>45258</v>
      </c>
      <c r="B45" s="11" t="s">
        <v>10</v>
      </c>
      <c r="C45" s="12">
        <v>22522454.616666667</v>
      </c>
      <c r="D45" s="294">
        <f t="shared" si="6"/>
        <v>13926384.437972212</v>
      </c>
      <c r="E45" s="12"/>
      <c r="F45" s="294">
        <f t="shared" si="0"/>
        <v>22522454.616666667</v>
      </c>
      <c r="G45" s="13">
        <f t="shared" si="4"/>
        <v>2364857734.7499981</v>
      </c>
    </row>
    <row r="46" spans="1:7" x14ac:dyDescent="0.25">
      <c r="A46" s="6">
        <f t="shared" si="5"/>
        <v>45289</v>
      </c>
      <c r="B46" s="11" t="s">
        <v>10</v>
      </c>
      <c r="C46" s="12">
        <v>22522454.616666667</v>
      </c>
      <c r="D46" s="294">
        <f t="shared" si="6"/>
        <v>13795003.452708324</v>
      </c>
      <c r="E46" s="12"/>
      <c r="F46" s="294">
        <f t="shared" si="0"/>
        <v>22522454.616666667</v>
      </c>
      <c r="G46" s="13">
        <f t="shared" si="4"/>
        <v>2342335280.1333313</v>
      </c>
    </row>
    <row r="47" spans="1:7" x14ac:dyDescent="0.25">
      <c r="A47" s="6">
        <f>A46+28</f>
        <v>45317</v>
      </c>
      <c r="B47" s="11" t="s">
        <v>10</v>
      </c>
      <c r="C47" s="12">
        <v>22522454.616666667</v>
      </c>
      <c r="D47" s="294">
        <f t="shared" si="6"/>
        <v>13663622.467444437</v>
      </c>
      <c r="E47" s="12"/>
      <c r="F47" s="294">
        <f t="shared" si="0"/>
        <v>22522454.616666667</v>
      </c>
      <c r="G47" s="13">
        <f t="shared" si="4"/>
        <v>2319812825.5166645</v>
      </c>
    </row>
    <row r="48" spans="1:7" x14ac:dyDescent="0.25">
      <c r="A48" s="6">
        <f t="shared" si="5"/>
        <v>45348</v>
      </c>
      <c r="B48" s="11" t="s">
        <v>10</v>
      </c>
      <c r="C48" s="12">
        <v>22522454.616666667</v>
      </c>
      <c r="D48" s="294">
        <f t="shared" si="6"/>
        <v>13532241.482180543</v>
      </c>
      <c r="E48" s="12"/>
      <c r="F48" s="294">
        <f t="shared" si="0"/>
        <v>22522454.616666667</v>
      </c>
      <c r="G48" s="13">
        <f t="shared" si="4"/>
        <v>2297290370.8999977</v>
      </c>
    </row>
    <row r="49" spans="1:9" x14ac:dyDescent="0.25">
      <c r="A49" s="6">
        <f>A48+30</f>
        <v>45378</v>
      </c>
      <c r="B49" s="11" t="s">
        <v>10</v>
      </c>
      <c r="C49" s="12">
        <v>22522454.616666667</v>
      </c>
      <c r="D49" s="294">
        <f t="shared" si="6"/>
        <v>13400860.496916654</v>
      </c>
      <c r="E49" s="12"/>
      <c r="F49" s="294">
        <f t="shared" si="0"/>
        <v>22522454.616666667</v>
      </c>
      <c r="G49" s="13">
        <f t="shared" si="4"/>
        <v>2274767916.2833309</v>
      </c>
    </row>
    <row r="50" spans="1:9" x14ac:dyDescent="0.25">
      <c r="A50" s="6">
        <f t="shared" si="5"/>
        <v>45409</v>
      </c>
      <c r="B50" s="11" t="s">
        <v>10</v>
      </c>
      <c r="C50" s="12">
        <v>22522454.616666667</v>
      </c>
      <c r="D50" s="294">
        <f t="shared" si="6"/>
        <v>13269479.511652766</v>
      </c>
      <c r="E50" s="12"/>
      <c r="F50" s="294">
        <f t="shared" si="0"/>
        <v>22522454.616666667</v>
      </c>
      <c r="G50" s="13">
        <f t="shared" si="4"/>
        <v>2252245461.6666641</v>
      </c>
    </row>
    <row r="51" spans="1:9" x14ac:dyDescent="0.25">
      <c r="A51" s="6">
        <f>A50+30</f>
        <v>45439</v>
      </c>
      <c r="B51" s="11" t="s">
        <v>10</v>
      </c>
      <c r="C51" s="12">
        <v>22522454.616666667</v>
      </c>
      <c r="D51" s="294">
        <f t="shared" si="6"/>
        <v>13138098.526388876</v>
      </c>
      <c r="E51" s="12"/>
      <c r="F51" s="294">
        <f t="shared" si="0"/>
        <v>22522454.616666667</v>
      </c>
      <c r="G51" s="13">
        <f t="shared" si="4"/>
        <v>2229723007.0499973</v>
      </c>
    </row>
    <row r="52" spans="1:9" x14ac:dyDescent="0.25">
      <c r="A52" s="6">
        <f t="shared" si="5"/>
        <v>45470</v>
      </c>
      <c r="B52" s="11" t="s">
        <v>10</v>
      </c>
      <c r="C52" s="12">
        <v>22522454.616666667</v>
      </c>
      <c r="D52" s="294">
        <f t="shared" si="6"/>
        <v>13006717.541124985</v>
      </c>
      <c r="E52" s="12"/>
      <c r="F52" s="294">
        <f t="shared" si="0"/>
        <v>22522454.616666667</v>
      </c>
      <c r="G52" s="13">
        <f t="shared" si="4"/>
        <v>2207200552.4333305</v>
      </c>
    </row>
    <row r="53" spans="1:9" x14ac:dyDescent="0.25">
      <c r="A53" s="6">
        <f t="shared" si="5"/>
        <v>45501</v>
      </c>
      <c r="B53" s="11" t="s">
        <v>10</v>
      </c>
      <c r="C53" s="12">
        <v>22522454.616666667</v>
      </c>
      <c r="D53" s="294">
        <f t="shared" si="6"/>
        <v>12875336.555861097</v>
      </c>
      <c r="E53" s="12"/>
      <c r="F53" s="294">
        <f t="shared" si="0"/>
        <v>22522454.616666667</v>
      </c>
      <c r="G53" s="13">
        <f t="shared" si="4"/>
        <v>2184678097.8166637</v>
      </c>
    </row>
    <row r="54" spans="1:9" x14ac:dyDescent="0.25">
      <c r="A54" s="6">
        <f>A53+30</f>
        <v>45531</v>
      </c>
      <c r="B54" s="11" t="s">
        <v>10</v>
      </c>
      <c r="C54" s="12">
        <v>22522454.616666667</v>
      </c>
      <c r="D54" s="294">
        <f t="shared" si="6"/>
        <v>12743955.570597205</v>
      </c>
      <c r="E54" s="12"/>
      <c r="F54" s="294">
        <f t="shared" si="0"/>
        <v>22522454.616666667</v>
      </c>
      <c r="G54" s="13">
        <f t="shared" si="4"/>
        <v>2162155643.1999969</v>
      </c>
    </row>
    <row r="55" spans="1:9" x14ac:dyDescent="0.25">
      <c r="A55" s="6">
        <f t="shared" si="5"/>
        <v>45562</v>
      </c>
      <c r="B55" s="11" t="s">
        <v>10</v>
      </c>
      <c r="C55" s="12">
        <v>22522454.616666667</v>
      </c>
      <c r="D55" s="294">
        <f t="shared" si="6"/>
        <v>12612574.585333318</v>
      </c>
      <c r="E55" s="12"/>
      <c r="F55" s="294">
        <f t="shared" si="0"/>
        <v>22522454.616666667</v>
      </c>
      <c r="G55" s="13">
        <f t="shared" si="4"/>
        <v>2139633188.5833304</v>
      </c>
    </row>
    <row r="56" spans="1:9" x14ac:dyDescent="0.25">
      <c r="A56" s="6">
        <f>A55+30</f>
        <v>45592</v>
      </c>
      <c r="B56" s="11" t="s">
        <v>10</v>
      </c>
      <c r="C56" s="12">
        <v>22522454.616666667</v>
      </c>
      <c r="D56" s="294">
        <f t="shared" si="6"/>
        <v>12481193.600069428</v>
      </c>
      <c r="E56" s="12"/>
      <c r="F56" s="294">
        <f t="shared" si="0"/>
        <v>22522454.616666667</v>
      </c>
      <c r="G56" s="13">
        <f t="shared" si="4"/>
        <v>2117110733.9666638</v>
      </c>
    </row>
    <row r="57" spans="1:9" x14ac:dyDescent="0.25">
      <c r="A57" s="6">
        <f t="shared" si="5"/>
        <v>45623</v>
      </c>
      <c r="B57" s="11" t="s">
        <v>10</v>
      </c>
      <c r="C57" s="12">
        <v>22522454.616666667</v>
      </c>
      <c r="D57" s="294">
        <f t="shared" si="6"/>
        <v>12349812.61480554</v>
      </c>
      <c r="E57" s="12"/>
      <c r="F57" s="294">
        <f t="shared" si="0"/>
        <v>22522454.616666667</v>
      </c>
      <c r="G57" s="13">
        <f t="shared" si="4"/>
        <v>2094588279.3499973</v>
      </c>
    </row>
    <row r="58" spans="1:9" x14ac:dyDescent="0.25">
      <c r="A58" s="6">
        <f t="shared" si="5"/>
        <v>45654</v>
      </c>
      <c r="B58" s="11" t="s">
        <v>10</v>
      </c>
      <c r="C58" s="12">
        <v>22522454.616666667</v>
      </c>
      <c r="D58" s="294">
        <f t="shared" si="6"/>
        <v>12218431.629541654</v>
      </c>
      <c r="E58" s="12"/>
      <c r="F58" s="294">
        <f t="shared" si="0"/>
        <v>22522454.616666667</v>
      </c>
      <c r="G58" s="13">
        <f t="shared" si="4"/>
        <v>2072065824.7333307</v>
      </c>
    </row>
    <row r="59" spans="1:9" x14ac:dyDescent="0.25">
      <c r="A59" s="6">
        <f>A58+29</f>
        <v>45683</v>
      </c>
      <c r="B59" s="11" t="s">
        <v>10</v>
      </c>
      <c r="C59" s="12">
        <v>22522454.616666667</v>
      </c>
      <c r="D59" s="294">
        <f t="shared" si="6"/>
        <v>12087050.644277763</v>
      </c>
      <c r="E59" s="12"/>
      <c r="F59" s="294">
        <f t="shared" si="0"/>
        <v>22522454.616666667</v>
      </c>
      <c r="G59" s="13">
        <f t="shared" si="4"/>
        <v>2049543370.1166642</v>
      </c>
    </row>
    <row r="60" spans="1:9" x14ac:dyDescent="0.25">
      <c r="A60" s="6">
        <f t="shared" si="5"/>
        <v>45714</v>
      </c>
      <c r="B60" s="11" t="s">
        <v>10</v>
      </c>
      <c r="C60" s="12">
        <v>22522454.616666667</v>
      </c>
      <c r="D60" s="294">
        <f t="shared" si="6"/>
        <v>11955669.659013875</v>
      </c>
      <c r="E60" s="12"/>
      <c r="F60" s="294">
        <f t="shared" si="0"/>
        <v>22522454.616666667</v>
      </c>
      <c r="G60" s="13">
        <f t="shared" si="4"/>
        <v>2027020915.4999976</v>
      </c>
    </row>
    <row r="61" spans="1:9" x14ac:dyDescent="0.25">
      <c r="A61" s="6">
        <f>A60+30</f>
        <v>45744</v>
      </c>
      <c r="B61" s="11" t="s">
        <v>10</v>
      </c>
      <c r="C61" s="12">
        <v>22522454.616666667</v>
      </c>
      <c r="D61" s="294">
        <f t="shared" si="6"/>
        <v>11824288.673749989</v>
      </c>
      <c r="E61" s="12"/>
      <c r="F61" s="294">
        <f t="shared" si="0"/>
        <v>22522454.616666667</v>
      </c>
      <c r="G61" s="13">
        <f t="shared" si="4"/>
        <v>2004498460.8833311</v>
      </c>
      <c r="I61" s="76"/>
    </row>
    <row r="62" spans="1:9" x14ac:dyDescent="0.25">
      <c r="A62" s="6">
        <f t="shared" si="5"/>
        <v>45775</v>
      </c>
      <c r="B62" s="11" t="s">
        <v>10</v>
      </c>
      <c r="C62" s="12">
        <v>22522454.616666667</v>
      </c>
      <c r="D62" s="294">
        <f t="shared" si="6"/>
        <v>11692907.688486099</v>
      </c>
      <c r="E62" s="12"/>
      <c r="F62" s="294">
        <f t="shared" si="0"/>
        <v>22522454.616666667</v>
      </c>
      <c r="G62" s="13">
        <f t="shared" si="4"/>
        <v>1981976006.2666645</v>
      </c>
    </row>
    <row r="63" spans="1:9" x14ac:dyDescent="0.25">
      <c r="A63" s="6">
        <f>A62+30</f>
        <v>45805</v>
      </c>
      <c r="B63" s="11" t="s">
        <v>10</v>
      </c>
      <c r="C63" s="12">
        <v>22522454.616666667</v>
      </c>
      <c r="D63" s="294">
        <f t="shared" si="6"/>
        <v>11561526.70322221</v>
      </c>
      <c r="E63" s="12"/>
      <c r="F63" s="294">
        <f t="shared" si="0"/>
        <v>22522454.616666667</v>
      </c>
      <c r="G63" s="13">
        <f t="shared" ref="G63:G94" si="7">+G62-C63</f>
        <v>1959453551.6499979</v>
      </c>
    </row>
    <row r="64" spans="1:9" x14ac:dyDescent="0.25">
      <c r="A64" s="6">
        <f>A63+31</f>
        <v>45836</v>
      </c>
      <c r="B64" s="11" t="s">
        <v>10</v>
      </c>
      <c r="C64" s="12">
        <v>22522454.616666667</v>
      </c>
      <c r="D64" s="294">
        <f t="shared" si="6"/>
        <v>11430145.717958324</v>
      </c>
      <c r="E64" s="12"/>
      <c r="F64" s="294">
        <f t="shared" si="0"/>
        <v>22522454.616666667</v>
      </c>
      <c r="G64" s="13">
        <f t="shared" si="7"/>
        <v>1936931097.0333314</v>
      </c>
    </row>
    <row r="65" spans="1:7" x14ac:dyDescent="0.25">
      <c r="A65" s="6">
        <f>A64+31</f>
        <v>45867</v>
      </c>
      <c r="B65" s="11" t="s">
        <v>10</v>
      </c>
      <c r="C65" s="12">
        <v>22522454.616666667</v>
      </c>
      <c r="D65" s="294">
        <f t="shared" si="6"/>
        <v>11298764.732694436</v>
      </c>
      <c r="E65" s="12"/>
      <c r="F65" s="294">
        <f t="shared" si="0"/>
        <v>22522454.616666667</v>
      </c>
      <c r="G65" s="13">
        <f t="shared" si="7"/>
        <v>1914408642.4166648</v>
      </c>
    </row>
    <row r="66" spans="1:7" x14ac:dyDescent="0.25">
      <c r="A66" s="6">
        <f>A65+30</f>
        <v>45897</v>
      </c>
      <c r="B66" s="11" t="s">
        <v>10</v>
      </c>
      <c r="C66" s="12">
        <v>22522454.616666667</v>
      </c>
      <c r="D66" s="294">
        <f t="shared" si="6"/>
        <v>11167383.747430546</v>
      </c>
      <c r="E66" s="12"/>
      <c r="F66" s="294">
        <f t="shared" si="0"/>
        <v>22522454.616666667</v>
      </c>
      <c r="G66" s="13">
        <f t="shared" si="7"/>
        <v>1891886187.7999983</v>
      </c>
    </row>
    <row r="67" spans="1:7" x14ac:dyDescent="0.25">
      <c r="A67" s="6">
        <f>A66+31</f>
        <v>45928</v>
      </c>
      <c r="B67" s="11" t="s">
        <v>10</v>
      </c>
      <c r="C67" s="12">
        <v>22522454.616666667</v>
      </c>
      <c r="D67" s="294">
        <f t="shared" ref="D67:D98" si="8">G66*$I$157*$I$156/360</f>
        <v>11036002.762166658</v>
      </c>
      <c r="E67" s="12"/>
      <c r="F67" s="294">
        <f t="shared" si="0"/>
        <v>22522454.616666667</v>
      </c>
      <c r="G67" s="13">
        <f t="shared" si="7"/>
        <v>1869363733.1833317</v>
      </c>
    </row>
    <row r="68" spans="1:7" x14ac:dyDescent="0.25">
      <c r="A68" s="6">
        <f>A67+30</f>
        <v>45958</v>
      </c>
      <c r="B68" s="11" t="s">
        <v>10</v>
      </c>
      <c r="C68" s="12">
        <v>22522454.616666667</v>
      </c>
      <c r="D68" s="294">
        <f t="shared" si="8"/>
        <v>10904621.776902769</v>
      </c>
      <c r="E68" s="12"/>
      <c r="F68" s="294">
        <f t="shared" si="0"/>
        <v>22522454.616666667</v>
      </c>
      <c r="G68" s="13">
        <f t="shared" si="7"/>
        <v>1846841278.5666652</v>
      </c>
    </row>
    <row r="69" spans="1:7" x14ac:dyDescent="0.25">
      <c r="A69" s="6">
        <f>A68+31</f>
        <v>45989</v>
      </c>
      <c r="B69" s="11" t="s">
        <v>10</v>
      </c>
      <c r="C69" s="12">
        <v>22522454.616666667</v>
      </c>
      <c r="D69" s="294">
        <f t="shared" si="8"/>
        <v>10773240.791638881</v>
      </c>
      <c r="E69" s="12"/>
      <c r="F69" s="294">
        <f t="shared" si="0"/>
        <v>22522454.616666667</v>
      </c>
      <c r="G69" s="13">
        <f t="shared" si="7"/>
        <v>1824318823.9499986</v>
      </c>
    </row>
    <row r="70" spans="1:7" x14ac:dyDescent="0.25">
      <c r="A70" s="6">
        <f>A69+31</f>
        <v>46020</v>
      </c>
      <c r="B70" s="11" t="s">
        <v>10</v>
      </c>
      <c r="C70" s="12">
        <v>22522454.616666667</v>
      </c>
      <c r="D70" s="294">
        <f t="shared" si="8"/>
        <v>10641859.806374993</v>
      </c>
      <c r="E70" s="12"/>
      <c r="F70" s="294">
        <f t="shared" si="0"/>
        <v>22522454.616666667</v>
      </c>
      <c r="G70" s="13">
        <f t="shared" si="7"/>
        <v>1801796369.3333321</v>
      </c>
    </row>
    <row r="71" spans="1:7" x14ac:dyDescent="0.25">
      <c r="A71" s="6">
        <f>A70+28</f>
        <v>46048</v>
      </c>
      <c r="B71" s="11" t="s">
        <v>10</v>
      </c>
      <c r="C71" s="12">
        <v>22522454.616666667</v>
      </c>
      <c r="D71" s="294">
        <f t="shared" si="8"/>
        <v>10510478.821111104</v>
      </c>
      <c r="E71" s="12"/>
      <c r="F71" s="294">
        <f t="shared" si="0"/>
        <v>22522454.616666667</v>
      </c>
      <c r="G71" s="13">
        <f t="shared" si="7"/>
        <v>1779273914.7166655</v>
      </c>
    </row>
    <row r="72" spans="1:7" x14ac:dyDescent="0.25">
      <c r="A72" s="6">
        <f>A71+31</f>
        <v>46079</v>
      </c>
      <c r="B72" s="11" t="s">
        <v>10</v>
      </c>
      <c r="C72" s="12">
        <v>22522454.616666667</v>
      </c>
      <c r="D72" s="294">
        <f t="shared" si="8"/>
        <v>10379097.835847216</v>
      </c>
      <c r="E72" s="12"/>
      <c r="F72" s="294">
        <f t="shared" ref="F72:F135" si="9">E72+C72</f>
        <v>22522454.616666667</v>
      </c>
      <c r="G72" s="13">
        <f t="shared" si="7"/>
        <v>1756751460.099999</v>
      </c>
    </row>
    <row r="73" spans="1:7" x14ac:dyDescent="0.25">
      <c r="A73" s="6">
        <f>A72+30</f>
        <v>46109</v>
      </c>
      <c r="B73" s="11" t="s">
        <v>10</v>
      </c>
      <c r="C73" s="12">
        <v>22522454.616666667</v>
      </c>
      <c r="D73" s="294">
        <f t="shared" si="8"/>
        <v>10247716.850583328</v>
      </c>
      <c r="E73" s="12"/>
      <c r="F73" s="294">
        <f t="shared" si="9"/>
        <v>22522454.616666667</v>
      </c>
      <c r="G73" s="13">
        <f t="shared" si="7"/>
        <v>1734229005.4833324</v>
      </c>
    </row>
    <row r="74" spans="1:7" x14ac:dyDescent="0.25">
      <c r="A74" s="6">
        <f>A73+31</f>
        <v>46140</v>
      </c>
      <c r="B74" s="11" t="s">
        <v>10</v>
      </c>
      <c r="C74" s="12">
        <v>22522454.616666667</v>
      </c>
      <c r="D74" s="294">
        <f t="shared" si="8"/>
        <v>10116335.86531944</v>
      </c>
      <c r="E74" s="12"/>
      <c r="F74" s="294">
        <f t="shared" si="9"/>
        <v>22522454.616666667</v>
      </c>
      <c r="G74" s="13">
        <f t="shared" si="7"/>
        <v>1711706550.8666658</v>
      </c>
    </row>
    <row r="75" spans="1:7" x14ac:dyDescent="0.25">
      <c r="A75" s="6">
        <f>A74+30</f>
        <v>46170</v>
      </c>
      <c r="B75" s="11" t="s">
        <v>10</v>
      </c>
      <c r="C75" s="12">
        <v>22522454.616666667</v>
      </c>
      <c r="D75" s="294">
        <f t="shared" si="8"/>
        <v>9984954.8800555523</v>
      </c>
      <c r="E75" s="12"/>
      <c r="F75" s="294">
        <f t="shared" si="9"/>
        <v>22522454.616666667</v>
      </c>
      <c r="G75" s="13">
        <f t="shared" si="7"/>
        <v>1689184096.2499993</v>
      </c>
    </row>
    <row r="76" spans="1:7" x14ac:dyDescent="0.25">
      <c r="A76" s="6">
        <f>A75+31</f>
        <v>46201</v>
      </c>
      <c r="B76" s="11" t="s">
        <v>10</v>
      </c>
      <c r="C76" s="12">
        <v>22522454.616666667</v>
      </c>
      <c r="D76" s="294">
        <f t="shared" si="8"/>
        <v>9853573.8947916646</v>
      </c>
      <c r="E76" s="12"/>
      <c r="F76" s="294">
        <f t="shared" si="9"/>
        <v>22522454.616666667</v>
      </c>
      <c r="G76" s="13">
        <f t="shared" si="7"/>
        <v>1666661641.6333327</v>
      </c>
    </row>
    <row r="77" spans="1:7" x14ac:dyDescent="0.25">
      <c r="A77" s="6">
        <f>A76+31</f>
        <v>46232</v>
      </c>
      <c r="B77" s="11" t="s">
        <v>10</v>
      </c>
      <c r="C77" s="12">
        <v>22522454.616666667</v>
      </c>
      <c r="D77" s="294">
        <f t="shared" si="8"/>
        <v>9722192.9095277749</v>
      </c>
      <c r="E77" s="12"/>
      <c r="F77" s="294">
        <f t="shared" si="9"/>
        <v>22522454.616666667</v>
      </c>
      <c r="G77" s="13">
        <f t="shared" si="7"/>
        <v>1644139187.0166662</v>
      </c>
    </row>
    <row r="78" spans="1:7" x14ac:dyDescent="0.25">
      <c r="A78" s="6">
        <f>A77+30</f>
        <v>46262</v>
      </c>
      <c r="B78" s="11" t="s">
        <v>10</v>
      </c>
      <c r="C78" s="12">
        <v>22522454.616666667</v>
      </c>
      <c r="D78" s="294">
        <f t="shared" si="8"/>
        <v>9590811.9242638871</v>
      </c>
      <c r="E78" s="12"/>
      <c r="F78" s="294">
        <f t="shared" si="9"/>
        <v>22522454.616666667</v>
      </c>
      <c r="G78" s="13">
        <f t="shared" si="7"/>
        <v>1621616732.3999996</v>
      </c>
    </row>
    <row r="79" spans="1:7" x14ac:dyDescent="0.25">
      <c r="A79" s="6">
        <f>A78+31</f>
        <v>46293</v>
      </c>
      <c r="B79" s="11" t="s">
        <v>10</v>
      </c>
      <c r="C79" s="12">
        <v>22522454.616666667</v>
      </c>
      <c r="D79" s="294">
        <f t="shared" si="8"/>
        <v>9459430.9389999993</v>
      </c>
      <c r="E79" s="12"/>
      <c r="F79" s="294">
        <f t="shared" si="9"/>
        <v>22522454.616666667</v>
      </c>
      <c r="G79" s="13">
        <f t="shared" si="7"/>
        <v>1599094277.7833331</v>
      </c>
    </row>
    <row r="80" spans="1:7" x14ac:dyDescent="0.25">
      <c r="A80" s="6">
        <f>A79+30</f>
        <v>46323</v>
      </c>
      <c r="B80" s="11" t="s">
        <v>10</v>
      </c>
      <c r="C80" s="12">
        <v>22522454.616666667</v>
      </c>
      <c r="D80" s="294">
        <f t="shared" si="8"/>
        <v>9328049.9537361097</v>
      </c>
      <c r="E80" s="12"/>
      <c r="F80" s="294">
        <f t="shared" si="9"/>
        <v>22522454.616666667</v>
      </c>
      <c r="G80" s="13">
        <f t="shared" si="7"/>
        <v>1576571823.1666665</v>
      </c>
    </row>
    <row r="81" spans="1:7" x14ac:dyDescent="0.25">
      <c r="A81" s="6">
        <f>A80+31</f>
        <v>46354</v>
      </c>
      <c r="B81" s="11" t="s">
        <v>10</v>
      </c>
      <c r="C81" s="12">
        <v>22522454.616666667</v>
      </c>
      <c r="D81" s="294">
        <f t="shared" si="8"/>
        <v>9196668.9684722219</v>
      </c>
      <c r="E81" s="12"/>
      <c r="F81" s="294">
        <f t="shared" si="9"/>
        <v>22522454.616666667</v>
      </c>
      <c r="G81" s="13">
        <f t="shared" si="7"/>
        <v>1554049368.55</v>
      </c>
    </row>
    <row r="82" spans="1:7" x14ac:dyDescent="0.25">
      <c r="A82" s="6">
        <f>A81+31</f>
        <v>46385</v>
      </c>
      <c r="B82" s="11" t="s">
        <v>10</v>
      </c>
      <c r="C82" s="12">
        <v>22522454.616666667</v>
      </c>
      <c r="D82" s="294">
        <f t="shared" si="8"/>
        <v>9065287.9832083322</v>
      </c>
      <c r="E82" s="12"/>
      <c r="F82" s="294">
        <f t="shared" si="9"/>
        <v>22522454.616666667</v>
      </c>
      <c r="G82" s="13">
        <f t="shared" si="7"/>
        <v>1531526913.9333334</v>
      </c>
    </row>
    <row r="83" spans="1:7" x14ac:dyDescent="0.25">
      <c r="A83" s="6">
        <f>A82+28</f>
        <v>46413</v>
      </c>
      <c r="B83" s="11" t="s">
        <v>10</v>
      </c>
      <c r="C83" s="12">
        <v>22522454.616666667</v>
      </c>
      <c r="D83" s="294">
        <f t="shared" si="8"/>
        <v>8933906.9979444444</v>
      </c>
      <c r="E83" s="12"/>
      <c r="F83" s="294">
        <f t="shared" si="9"/>
        <v>22522454.616666667</v>
      </c>
      <c r="G83" s="13">
        <f t="shared" si="7"/>
        <v>1509004459.3166668</v>
      </c>
    </row>
    <row r="84" spans="1:7" x14ac:dyDescent="0.25">
      <c r="A84" s="6">
        <f>A83+31</f>
        <v>46444</v>
      </c>
      <c r="B84" s="11" t="s">
        <v>10</v>
      </c>
      <c r="C84" s="12">
        <v>22522454.616666667</v>
      </c>
      <c r="D84" s="294">
        <f t="shared" si="8"/>
        <v>8802526.0126805585</v>
      </c>
      <c r="E84" s="12"/>
      <c r="F84" s="294">
        <f t="shared" si="9"/>
        <v>22522454.616666667</v>
      </c>
      <c r="G84" s="13">
        <f t="shared" si="7"/>
        <v>1486482004.7000003</v>
      </c>
    </row>
    <row r="85" spans="1:7" x14ac:dyDescent="0.25">
      <c r="A85" s="6">
        <f>A84+30</f>
        <v>46474</v>
      </c>
      <c r="B85" s="11" t="s">
        <v>10</v>
      </c>
      <c r="C85" s="12">
        <v>22522454.616666667</v>
      </c>
      <c r="D85" s="294">
        <f t="shared" si="8"/>
        <v>8671145.0274166688</v>
      </c>
      <c r="E85" s="12"/>
      <c r="F85" s="294">
        <f t="shared" si="9"/>
        <v>22522454.616666667</v>
      </c>
      <c r="G85" s="13">
        <f t="shared" si="7"/>
        <v>1463959550.0833337</v>
      </c>
    </row>
    <row r="86" spans="1:7" x14ac:dyDescent="0.25">
      <c r="A86" s="6">
        <f>A85+31</f>
        <v>46505</v>
      </c>
      <c r="B86" s="11" t="s">
        <v>10</v>
      </c>
      <c r="C86" s="12">
        <v>22522454.616666667</v>
      </c>
      <c r="D86" s="294">
        <f t="shared" si="8"/>
        <v>8539764.042152781</v>
      </c>
      <c r="E86" s="12"/>
      <c r="F86" s="294">
        <f t="shared" si="9"/>
        <v>22522454.616666667</v>
      </c>
      <c r="G86" s="13">
        <f t="shared" si="7"/>
        <v>1441437095.4666672</v>
      </c>
    </row>
    <row r="87" spans="1:7" x14ac:dyDescent="0.25">
      <c r="A87" s="6">
        <f>A86+30</f>
        <v>46535</v>
      </c>
      <c r="B87" s="11" t="s">
        <v>10</v>
      </c>
      <c r="C87" s="12">
        <v>22522454.616666667</v>
      </c>
      <c r="D87" s="294">
        <f t="shared" si="8"/>
        <v>8408383.0568888932</v>
      </c>
      <c r="E87" s="12"/>
      <c r="F87" s="294">
        <f t="shared" si="9"/>
        <v>22522454.616666667</v>
      </c>
      <c r="G87" s="13">
        <f t="shared" si="7"/>
        <v>1418914640.8500006</v>
      </c>
    </row>
    <row r="88" spans="1:7" x14ac:dyDescent="0.25">
      <c r="A88" s="6">
        <f>A87+31</f>
        <v>46566</v>
      </c>
      <c r="B88" s="11" t="s">
        <v>10</v>
      </c>
      <c r="C88" s="12">
        <v>22522454.616666667</v>
      </c>
      <c r="D88" s="294">
        <f t="shared" si="8"/>
        <v>8277002.0716250045</v>
      </c>
      <c r="E88" s="12"/>
      <c r="F88" s="294">
        <f t="shared" si="9"/>
        <v>22522454.616666667</v>
      </c>
      <c r="G88" s="13">
        <f t="shared" si="7"/>
        <v>1396392186.2333341</v>
      </c>
    </row>
    <row r="89" spans="1:7" x14ac:dyDescent="0.25">
      <c r="A89" s="6">
        <f>A88+31</f>
        <v>46597</v>
      </c>
      <c r="B89" s="11" t="s">
        <v>10</v>
      </c>
      <c r="C89" s="12">
        <v>22522454.616666667</v>
      </c>
      <c r="D89" s="294">
        <f t="shared" si="8"/>
        <v>8145621.0863611167</v>
      </c>
      <c r="E89" s="12"/>
      <c r="F89" s="294">
        <f t="shared" si="9"/>
        <v>22522454.616666667</v>
      </c>
      <c r="G89" s="13">
        <f t="shared" si="7"/>
        <v>1373869731.6166675</v>
      </c>
    </row>
    <row r="90" spans="1:7" x14ac:dyDescent="0.25">
      <c r="A90" s="6">
        <f>A89+30</f>
        <v>46627</v>
      </c>
      <c r="B90" s="11" t="s">
        <v>10</v>
      </c>
      <c r="C90" s="12">
        <v>22522454.616666667</v>
      </c>
      <c r="D90" s="294">
        <f t="shared" si="8"/>
        <v>8014240.1010972271</v>
      </c>
      <c r="E90" s="12"/>
      <c r="F90" s="294">
        <f t="shared" si="9"/>
        <v>22522454.616666667</v>
      </c>
      <c r="G90" s="13">
        <f t="shared" si="7"/>
        <v>1351347277.000001</v>
      </c>
    </row>
    <row r="91" spans="1:7" x14ac:dyDescent="0.25">
      <c r="A91" s="6">
        <f>A90+31</f>
        <v>46658</v>
      </c>
      <c r="B91" s="11" t="s">
        <v>10</v>
      </c>
      <c r="C91" s="12">
        <v>22522454.616666667</v>
      </c>
      <c r="D91" s="294">
        <f t="shared" si="8"/>
        <v>7882859.1158333393</v>
      </c>
      <c r="E91" s="12"/>
      <c r="F91" s="294">
        <f t="shared" si="9"/>
        <v>22522454.616666667</v>
      </c>
      <c r="G91" s="13">
        <f t="shared" si="7"/>
        <v>1328824822.3833344</v>
      </c>
    </row>
    <row r="92" spans="1:7" x14ac:dyDescent="0.25">
      <c r="A92" s="6">
        <f>A91+30</f>
        <v>46688</v>
      </c>
      <c r="B92" s="11" t="s">
        <v>10</v>
      </c>
      <c r="C92" s="12">
        <v>22522454.616666667</v>
      </c>
      <c r="D92" s="294">
        <f t="shared" si="8"/>
        <v>7751478.1305694515</v>
      </c>
      <c r="E92" s="12"/>
      <c r="F92" s="294">
        <f t="shared" si="9"/>
        <v>22522454.616666667</v>
      </c>
      <c r="G92" s="13">
        <f t="shared" si="7"/>
        <v>1306302367.7666678</v>
      </c>
    </row>
    <row r="93" spans="1:7" x14ac:dyDescent="0.25">
      <c r="A93" s="6">
        <f>A92+31</f>
        <v>46719</v>
      </c>
      <c r="B93" s="11" t="s">
        <v>10</v>
      </c>
      <c r="C93" s="12">
        <v>22522454.616666667</v>
      </c>
      <c r="D93" s="294">
        <f t="shared" si="8"/>
        <v>7620097.1453055637</v>
      </c>
      <c r="E93" s="12"/>
      <c r="F93" s="294">
        <f t="shared" si="9"/>
        <v>22522454.616666667</v>
      </c>
      <c r="G93" s="13">
        <f t="shared" si="7"/>
        <v>1283779913.1500013</v>
      </c>
    </row>
    <row r="94" spans="1:7" x14ac:dyDescent="0.25">
      <c r="A94" s="6">
        <f>A93+31</f>
        <v>46750</v>
      </c>
      <c r="B94" s="11" t="s">
        <v>10</v>
      </c>
      <c r="C94" s="12">
        <v>22522454.616666667</v>
      </c>
      <c r="D94" s="294">
        <f t="shared" si="8"/>
        <v>7488716.160041675</v>
      </c>
      <c r="E94" s="12"/>
      <c r="F94" s="294">
        <f t="shared" si="9"/>
        <v>22522454.616666667</v>
      </c>
      <c r="G94" s="13">
        <f t="shared" si="7"/>
        <v>1261257458.5333347</v>
      </c>
    </row>
    <row r="95" spans="1:7" x14ac:dyDescent="0.25">
      <c r="A95" s="6">
        <f>A94+28</f>
        <v>46778</v>
      </c>
      <c r="B95" s="11" t="s">
        <v>10</v>
      </c>
      <c r="C95" s="12">
        <v>22522454.616666667</v>
      </c>
      <c r="D95" s="294">
        <f t="shared" si="8"/>
        <v>7357335.1747777872</v>
      </c>
      <c r="E95" s="12"/>
      <c r="F95" s="294">
        <f t="shared" si="9"/>
        <v>22522454.616666667</v>
      </c>
      <c r="G95" s="13">
        <f t="shared" ref="G95:G126" si="10">+G94-C95</f>
        <v>1238735003.9166682</v>
      </c>
    </row>
    <row r="96" spans="1:7" x14ac:dyDescent="0.25">
      <c r="A96" s="6">
        <f>A95+31</f>
        <v>46809</v>
      </c>
      <c r="B96" s="11" t="s">
        <v>10</v>
      </c>
      <c r="C96" s="12">
        <v>22522454.616666667</v>
      </c>
      <c r="D96" s="294">
        <f t="shared" si="8"/>
        <v>7225954.1895138975</v>
      </c>
      <c r="E96" s="12"/>
      <c r="F96" s="294">
        <f t="shared" si="9"/>
        <v>22522454.616666667</v>
      </c>
      <c r="G96" s="13">
        <f t="shared" si="10"/>
        <v>1216212549.3000016</v>
      </c>
    </row>
    <row r="97" spans="1:7" x14ac:dyDescent="0.25">
      <c r="A97" s="6">
        <f>A96+30</f>
        <v>46839</v>
      </c>
      <c r="B97" s="11" t="s">
        <v>10</v>
      </c>
      <c r="C97" s="12">
        <v>22522454.616666667</v>
      </c>
      <c r="D97" s="294">
        <f t="shared" si="8"/>
        <v>7094573.2042500097</v>
      </c>
      <c r="E97" s="12"/>
      <c r="F97" s="294">
        <f t="shared" si="9"/>
        <v>22522454.616666667</v>
      </c>
      <c r="G97" s="13">
        <f t="shared" si="10"/>
        <v>1193690094.6833351</v>
      </c>
    </row>
    <row r="98" spans="1:7" x14ac:dyDescent="0.25">
      <c r="A98" s="6">
        <f>A97+31</f>
        <v>46870</v>
      </c>
      <c r="B98" s="11" t="s">
        <v>10</v>
      </c>
      <c r="C98" s="12">
        <v>22522454.616666667</v>
      </c>
      <c r="D98" s="294">
        <f t="shared" si="8"/>
        <v>6963192.2189861219</v>
      </c>
      <c r="E98" s="12"/>
      <c r="F98" s="294">
        <f t="shared" si="9"/>
        <v>22522454.616666667</v>
      </c>
      <c r="G98" s="13">
        <f t="shared" si="10"/>
        <v>1171167640.0666685</v>
      </c>
    </row>
    <row r="99" spans="1:7" x14ac:dyDescent="0.25">
      <c r="A99" s="6">
        <f>A98+30</f>
        <v>46900</v>
      </c>
      <c r="B99" s="11" t="s">
        <v>10</v>
      </c>
      <c r="C99" s="12">
        <v>22522454.616666667</v>
      </c>
      <c r="D99" s="294">
        <f t="shared" ref="D99:D130" si="11">G98*$I$157*$I$156/360</f>
        <v>6831811.2337222341</v>
      </c>
      <c r="E99" s="12"/>
      <c r="F99" s="294">
        <f t="shared" si="9"/>
        <v>22522454.616666667</v>
      </c>
      <c r="G99" s="13">
        <f t="shared" si="10"/>
        <v>1148645185.450002</v>
      </c>
    </row>
    <row r="100" spans="1:7" x14ac:dyDescent="0.25">
      <c r="A100" s="6">
        <f>A99+31</f>
        <v>46931</v>
      </c>
      <c r="B100" s="11" t="s">
        <v>10</v>
      </c>
      <c r="C100" s="12">
        <v>22522454.616666667</v>
      </c>
      <c r="D100" s="294">
        <f t="shared" si="11"/>
        <v>6700430.2484583454</v>
      </c>
      <c r="E100" s="12"/>
      <c r="F100" s="294">
        <f t="shared" si="9"/>
        <v>22522454.616666667</v>
      </c>
      <c r="G100" s="13">
        <f t="shared" si="10"/>
        <v>1126122730.8333354</v>
      </c>
    </row>
    <row r="101" spans="1:7" x14ac:dyDescent="0.25">
      <c r="A101" s="6">
        <f>A100+31</f>
        <v>46962</v>
      </c>
      <c r="B101" s="11" t="s">
        <v>10</v>
      </c>
      <c r="C101" s="12">
        <v>22522454.616666667</v>
      </c>
      <c r="D101" s="294">
        <f t="shared" si="11"/>
        <v>6569049.2631944567</v>
      </c>
      <c r="E101" s="12"/>
      <c r="F101" s="294">
        <f t="shared" si="9"/>
        <v>22522454.616666667</v>
      </c>
      <c r="G101" s="13">
        <f t="shared" si="10"/>
        <v>1103600276.2166688</v>
      </c>
    </row>
    <row r="102" spans="1:7" x14ac:dyDescent="0.25">
      <c r="A102" s="6">
        <f>A101+30</f>
        <v>46992</v>
      </c>
      <c r="B102" s="11" t="s">
        <v>10</v>
      </c>
      <c r="C102" s="12">
        <v>22522454.616666667</v>
      </c>
      <c r="D102" s="294">
        <f t="shared" si="11"/>
        <v>6437668.277930568</v>
      </c>
      <c r="E102" s="12"/>
      <c r="F102" s="294">
        <f t="shared" si="9"/>
        <v>22522454.616666667</v>
      </c>
      <c r="G102" s="13">
        <f t="shared" si="10"/>
        <v>1081077821.6000023</v>
      </c>
    </row>
    <row r="103" spans="1:7" x14ac:dyDescent="0.25">
      <c r="A103" s="6">
        <f>A102+31</f>
        <v>47023</v>
      </c>
      <c r="B103" s="11" t="s">
        <v>10</v>
      </c>
      <c r="C103" s="12">
        <v>22522454.616666667</v>
      </c>
      <c r="D103" s="294">
        <f t="shared" si="11"/>
        <v>6306287.292666682</v>
      </c>
      <c r="E103" s="12"/>
      <c r="F103" s="294">
        <f t="shared" si="9"/>
        <v>22522454.616666667</v>
      </c>
      <c r="G103" s="13">
        <f t="shared" si="10"/>
        <v>1058555366.9833356</v>
      </c>
    </row>
    <row r="104" spans="1:7" x14ac:dyDescent="0.25">
      <c r="A104" s="6">
        <f>A103+30</f>
        <v>47053</v>
      </c>
      <c r="B104" s="11" t="s">
        <v>10</v>
      </c>
      <c r="C104" s="12">
        <v>22522454.616666667</v>
      </c>
      <c r="D104" s="294">
        <f t="shared" si="11"/>
        <v>6174906.3074027924</v>
      </c>
      <c r="E104" s="12"/>
      <c r="F104" s="294">
        <f t="shared" si="9"/>
        <v>22522454.616666667</v>
      </c>
      <c r="G104" s="13">
        <f t="shared" si="10"/>
        <v>1036032912.3666689</v>
      </c>
    </row>
    <row r="105" spans="1:7" x14ac:dyDescent="0.25">
      <c r="A105" s="6">
        <f>A104+31</f>
        <v>47084</v>
      </c>
      <c r="B105" s="11" t="s">
        <v>10</v>
      </c>
      <c r="C105" s="12">
        <v>22522454.616666667</v>
      </c>
      <c r="D105" s="294">
        <f t="shared" si="11"/>
        <v>6043525.3221389027</v>
      </c>
      <c r="E105" s="12"/>
      <c r="F105" s="294">
        <f t="shared" si="9"/>
        <v>22522454.616666667</v>
      </c>
      <c r="G105" s="13">
        <f t="shared" si="10"/>
        <v>1013510457.7500023</v>
      </c>
    </row>
    <row r="106" spans="1:7" x14ac:dyDescent="0.25">
      <c r="A106" s="6">
        <f>A105+31</f>
        <v>47115</v>
      </c>
      <c r="B106" s="11" t="s">
        <v>10</v>
      </c>
      <c r="C106" s="12">
        <v>22522454.616666667</v>
      </c>
      <c r="D106" s="294">
        <f t="shared" si="11"/>
        <v>5912144.336875014</v>
      </c>
      <c r="E106" s="12"/>
      <c r="F106" s="294">
        <f t="shared" si="9"/>
        <v>22522454.616666667</v>
      </c>
      <c r="G106" s="13">
        <f t="shared" si="10"/>
        <v>990988003.13333559</v>
      </c>
    </row>
    <row r="107" spans="1:7" x14ac:dyDescent="0.25">
      <c r="A107" s="6">
        <f>A106+29</f>
        <v>47144</v>
      </c>
      <c r="B107" s="11" t="s">
        <v>10</v>
      </c>
      <c r="C107" s="12">
        <v>22522454.616666667</v>
      </c>
      <c r="D107" s="294">
        <f t="shared" si="11"/>
        <v>5780763.3516111244</v>
      </c>
      <c r="E107" s="12"/>
      <c r="F107" s="294">
        <f t="shared" si="9"/>
        <v>22522454.616666667</v>
      </c>
      <c r="G107" s="13">
        <f t="shared" si="10"/>
        <v>968465548.51666892</v>
      </c>
    </row>
    <row r="108" spans="1:7" x14ac:dyDescent="0.25">
      <c r="A108" s="6">
        <f>A107+31</f>
        <v>47175</v>
      </c>
      <c r="B108" s="11" t="s">
        <v>10</v>
      </c>
      <c r="C108" s="12">
        <v>22522454.616666667</v>
      </c>
      <c r="D108" s="294">
        <f t="shared" si="11"/>
        <v>5649382.3663472366</v>
      </c>
      <c r="E108" s="12"/>
      <c r="F108" s="294">
        <f t="shared" si="9"/>
        <v>22522454.616666667</v>
      </c>
      <c r="G108" s="13">
        <f t="shared" si="10"/>
        <v>945943093.90000224</v>
      </c>
    </row>
    <row r="109" spans="1:7" x14ac:dyDescent="0.25">
      <c r="A109" s="6">
        <f>A108+30</f>
        <v>47205</v>
      </c>
      <c r="B109" s="11" t="s">
        <v>10</v>
      </c>
      <c r="C109" s="12">
        <v>22522454.616666667</v>
      </c>
      <c r="D109" s="294">
        <f t="shared" si="11"/>
        <v>5518001.3810833469</v>
      </c>
      <c r="E109" s="12"/>
      <c r="F109" s="294">
        <f t="shared" si="9"/>
        <v>22522454.616666667</v>
      </c>
      <c r="G109" s="13">
        <f t="shared" si="10"/>
        <v>923420639.28333557</v>
      </c>
    </row>
    <row r="110" spans="1:7" x14ac:dyDescent="0.25">
      <c r="A110" s="6">
        <f>A109+31</f>
        <v>47236</v>
      </c>
      <c r="B110" s="11" t="s">
        <v>10</v>
      </c>
      <c r="C110" s="12">
        <v>22522454.616666667</v>
      </c>
      <c r="D110" s="294">
        <f t="shared" si="11"/>
        <v>5386620.3958194582</v>
      </c>
      <c r="E110" s="12"/>
      <c r="F110" s="294">
        <f t="shared" si="9"/>
        <v>22522454.616666667</v>
      </c>
      <c r="G110" s="13">
        <f t="shared" si="10"/>
        <v>900898184.66666889</v>
      </c>
    </row>
    <row r="111" spans="1:7" x14ac:dyDescent="0.25">
      <c r="A111" s="6">
        <f>A110+30</f>
        <v>47266</v>
      </c>
      <c r="B111" s="11" t="s">
        <v>10</v>
      </c>
      <c r="C111" s="12">
        <v>22522454.616666667</v>
      </c>
      <c r="D111" s="294">
        <f t="shared" si="11"/>
        <v>5255239.4105555685</v>
      </c>
      <c r="E111" s="12"/>
      <c r="F111" s="294">
        <f t="shared" si="9"/>
        <v>22522454.616666667</v>
      </c>
      <c r="G111" s="13">
        <f t="shared" si="10"/>
        <v>878375730.05000222</v>
      </c>
    </row>
    <row r="112" spans="1:7" x14ac:dyDescent="0.25">
      <c r="A112" s="6">
        <f>A111+31</f>
        <v>47297</v>
      </c>
      <c r="B112" s="11" t="s">
        <v>10</v>
      </c>
      <c r="C112" s="12">
        <v>22522454.616666667</v>
      </c>
      <c r="D112" s="294">
        <f t="shared" si="11"/>
        <v>5123858.4252916798</v>
      </c>
      <c r="E112" s="12"/>
      <c r="F112" s="294">
        <f t="shared" si="9"/>
        <v>22522454.616666667</v>
      </c>
      <c r="G112" s="13">
        <f t="shared" si="10"/>
        <v>855853275.43333554</v>
      </c>
    </row>
    <row r="113" spans="1:7" x14ac:dyDescent="0.25">
      <c r="A113" s="6">
        <f>A112+31</f>
        <v>47328</v>
      </c>
      <c r="B113" s="11" t="s">
        <v>10</v>
      </c>
      <c r="C113" s="12">
        <v>22522454.616666667</v>
      </c>
      <c r="D113" s="294">
        <f t="shared" si="11"/>
        <v>4992477.4400277911</v>
      </c>
      <c r="E113" s="12"/>
      <c r="F113" s="294">
        <f t="shared" si="9"/>
        <v>22522454.616666667</v>
      </c>
      <c r="G113" s="13">
        <f t="shared" si="10"/>
        <v>833330820.81666887</v>
      </c>
    </row>
    <row r="114" spans="1:7" x14ac:dyDescent="0.25">
      <c r="A114" s="6">
        <f>A113+31</f>
        <v>47359</v>
      </c>
      <c r="B114" s="11" t="s">
        <v>10</v>
      </c>
      <c r="C114" s="12">
        <v>22522454.616666667</v>
      </c>
      <c r="D114" s="294">
        <f t="shared" si="11"/>
        <v>4861096.4547639024</v>
      </c>
      <c r="E114" s="12"/>
      <c r="F114" s="294">
        <f t="shared" si="9"/>
        <v>22522454.616666667</v>
      </c>
      <c r="G114" s="13">
        <f t="shared" si="10"/>
        <v>810808366.20000219</v>
      </c>
    </row>
    <row r="115" spans="1:7" x14ac:dyDescent="0.25">
      <c r="A115" s="6">
        <f>A114+30</f>
        <v>47389</v>
      </c>
      <c r="B115" s="11" t="s">
        <v>10</v>
      </c>
      <c r="C115" s="12">
        <v>22522454.616666667</v>
      </c>
      <c r="D115" s="294">
        <f t="shared" si="11"/>
        <v>4729715.4695000136</v>
      </c>
      <c r="E115" s="12"/>
      <c r="F115" s="294">
        <f t="shared" si="9"/>
        <v>22522454.616666667</v>
      </c>
      <c r="G115" s="13">
        <f t="shared" si="10"/>
        <v>788285911.58333552</v>
      </c>
    </row>
    <row r="116" spans="1:7" x14ac:dyDescent="0.25">
      <c r="A116" s="6">
        <f>A115+30</f>
        <v>47419</v>
      </c>
      <c r="B116" s="11" t="s">
        <v>10</v>
      </c>
      <c r="C116" s="12">
        <v>22522454.616666667</v>
      </c>
      <c r="D116" s="294">
        <f t="shared" si="11"/>
        <v>4598334.4842361249</v>
      </c>
      <c r="E116" s="12"/>
      <c r="F116" s="294">
        <f t="shared" si="9"/>
        <v>22522454.616666667</v>
      </c>
      <c r="G116" s="13">
        <f t="shared" si="10"/>
        <v>765763456.96666884</v>
      </c>
    </row>
    <row r="117" spans="1:7" x14ac:dyDescent="0.25">
      <c r="A117" s="6">
        <f>A116+31</f>
        <v>47450</v>
      </c>
      <c r="B117" s="11" t="s">
        <v>10</v>
      </c>
      <c r="C117" s="12">
        <v>22522454.616666667</v>
      </c>
      <c r="D117" s="294">
        <f t="shared" si="11"/>
        <v>4466953.4989722352</v>
      </c>
      <c r="E117" s="12"/>
      <c r="F117" s="294">
        <f t="shared" si="9"/>
        <v>22522454.616666667</v>
      </c>
      <c r="G117" s="13">
        <f t="shared" si="10"/>
        <v>743241002.35000217</v>
      </c>
    </row>
    <row r="118" spans="1:7" x14ac:dyDescent="0.25">
      <c r="A118" s="6">
        <f>A117+31</f>
        <v>47481</v>
      </c>
      <c r="B118" s="11" t="s">
        <v>10</v>
      </c>
      <c r="C118" s="12">
        <v>22522454.616666667</v>
      </c>
      <c r="D118" s="294">
        <f t="shared" si="11"/>
        <v>4335572.5137083465</v>
      </c>
      <c r="E118" s="12"/>
      <c r="F118" s="294">
        <f t="shared" si="9"/>
        <v>22522454.616666667</v>
      </c>
      <c r="G118" s="13">
        <f t="shared" si="10"/>
        <v>720718547.73333549</v>
      </c>
    </row>
    <row r="119" spans="1:7" x14ac:dyDescent="0.25">
      <c r="A119" s="6">
        <f>A118+28</f>
        <v>47509</v>
      </c>
      <c r="B119" s="11" t="s">
        <v>10</v>
      </c>
      <c r="C119" s="12">
        <v>22522454.616666667</v>
      </c>
      <c r="D119" s="294">
        <f t="shared" si="11"/>
        <v>4204191.5284444569</v>
      </c>
      <c r="E119" s="12"/>
      <c r="F119" s="294">
        <f t="shared" si="9"/>
        <v>22522454.616666667</v>
      </c>
      <c r="G119" s="13">
        <f t="shared" si="10"/>
        <v>698196093.11666882</v>
      </c>
    </row>
    <row r="120" spans="1:7" x14ac:dyDescent="0.25">
      <c r="A120" s="6">
        <f>A119+31</f>
        <v>47540</v>
      </c>
      <c r="B120" s="11" t="s">
        <v>10</v>
      </c>
      <c r="C120" s="12">
        <v>22522454.616666667</v>
      </c>
      <c r="D120" s="294">
        <f t="shared" si="11"/>
        <v>4072810.5431805691</v>
      </c>
      <c r="E120" s="12"/>
      <c r="F120" s="294">
        <f t="shared" si="9"/>
        <v>22522454.616666667</v>
      </c>
      <c r="G120" s="13">
        <f t="shared" si="10"/>
        <v>675673638.50000215</v>
      </c>
    </row>
    <row r="121" spans="1:7" x14ac:dyDescent="0.25">
      <c r="A121" s="6">
        <f>A120+30</f>
        <v>47570</v>
      </c>
      <c r="B121" s="11" t="s">
        <v>10</v>
      </c>
      <c r="C121" s="12">
        <v>22522454.616666667</v>
      </c>
      <c r="D121" s="294">
        <f t="shared" si="11"/>
        <v>3941429.5579166794</v>
      </c>
      <c r="E121" s="12"/>
      <c r="F121" s="294">
        <f t="shared" si="9"/>
        <v>22522454.616666667</v>
      </c>
      <c r="G121" s="13">
        <f t="shared" si="10"/>
        <v>653151183.88333547</v>
      </c>
    </row>
    <row r="122" spans="1:7" x14ac:dyDescent="0.25">
      <c r="A122" s="6">
        <f>A121+31</f>
        <v>47601</v>
      </c>
      <c r="B122" s="11" t="s">
        <v>10</v>
      </c>
      <c r="C122" s="12">
        <v>22522454.616666667</v>
      </c>
      <c r="D122" s="294">
        <f t="shared" si="11"/>
        <v>3810048.5726527912</v>
      </c>
      <c r="E122" s="12"/>
      <c r="F122" s="294">
        <f t="shared" si="9"/>
        <v>22522454.616666667</v>
      </c>
      <c r="G122" s="13">
        <f t="shared" si="10"/>
        <v>630628729.2666688</v>
      </c>
    </row>
    <row r="123" spans="1:7" x14ac:dyDescent="0.25">
      <c r="A123" s="6">
        <f>A122+30</f>
        <v>47631</v>
      </c>
      <c r="B123" s="11" t="s">
        <v>10</v>
      </c>
      <c r="C123" s="12">
        <v>22522454.616666667</v>
      </c>
      <c r="D123" s="294">
        <f t="shared" si="11"/>
        <v>3678667.5873889015</v>
      </c>
      <c r="E123" s="12"/>
      <c r="F123" s="294">
        <f t="shared" si="9"/>
        <v>22522454.616666667</v>
      </c>
      <c r="G123" s="13">
        <f t="shared" si="10"/>
        <v>608106274.65000212</v>
      </c>
    </row>
    <row r="124" spans="1:7" x14ac:dyDescent="0.25">
      <c r="A124" s="6">
        <f>A123+31</f>
        <v>47662</v>
      </c>
      <c r="B124" s="11" t="s">
        <v>10</v>
      </c>
      <c r="C124" s="12">
        <v>22522454.616666667</v>
      </c>
      <c r="D124" s="294">
        <f t="shared" si="11"/>
        <v>3547286.6021250128</v>
      </c>
      <c r="E124" s="12"/>
      <c r="F124" s="294">
        <f t="shared" si="9"/>
        <v>22522454.616666667</v>
      </c>
      <c r="G124" s="13">
        <f t="shared" si="10"/>
        <v>585583820.03333545</v>
      </c>
    </row>
    <row r="125" spans="1:7" x14ac:dyDescent="0.25">
      <c r="A125" s="6">
        <f>A124+31</f>
        <v>47693</v>
      </c>
      <c r="B125" s="11" t="s">
        <v>10</v>
      </c>
      <c r="C125" s="12">
        <v>22522454.616666667</v>
      </c>
      <c r="D125" s="294">
        <f t="shared" si="11"/>
        <v>3415905.6168611236</v>
      </c>
      <c r="E125" s="12"/>
      <c r="F125" s="294">
        <f t="shared" si="9"/>
        <v>22522454.616666667</v>
      </c>
      <c r="G125" s="13">
        <f t="shared" si="10"/>
        <v>563061365.41666877</v>
      </c>
    </row>
    <row r="126" spans="1:7" x14ac:dyDescent="0.25">
      <c r="A126" s="6">
        <f>A125+30</f>
        <v>47723</v>
      </c>
      <c r="B126" s="11" t="s">
        <v>10</v>
      </c>
      <c r="C126" s="12">
        <v>22522454.616666667</v>
      </c>
      <c r="D126" s="294">
        <f t="shared" si="11"/>
        <v>3284524.6315972349</v>
      </c>
      <c r="E126" s="12"/>
      <c r="F126" s="294">
        <f t="shared" si="9"/>
        <v>22522454.616666667</v>
      </c>
      <c r="G126" s="13">
        <f t="shared" si="10"/>
        <v>540538910.8000021</v>
      </c>
    </row>
    <row r="127" spans="1:7" x14ac:dyDescent="0.25">
      <c r="A127" s="6">
        <f>A126+31</f>
        <v>47754</v>
      </c>
      <c r="B127" s="11" t="s">
        <v>10</v>
      </c>
      <c r="C127" s="12">
        <v>22522454.616666667</v>
      </c>
      <c r="D127" s="294">
        <f t="shared" si="11"/>
        <v>3153143.6463333461</v>
      </c>
      <c r="E127" s="12"/>
      <c r="F127" s="294">
        <f t="shared" si="9"/>
        <v>22522454.616666667</v>
      </c>
      <c r="G127" s="13">
        <f t="shared" ref="G127:G150" si="12">+G126-C127</f>
        <v>518016456.18333542</v>
      </c>
    </row>
    <row r="128" spans="1:7" x14ac:dyDescent="0.25">
      <c r="A128" s="6">
        <f>A127+30</f>
        <v>47784</v>
      </c>
      <c r="B128" s="11" t="s">
        <v>10</v>
      </c>
      <c r="C128" s="12">
        <v>22522454.616666667</v>
      </c>
      <c r="D128" s="294">
        <f t="shared" si="11"/>
        <v>3021762.6610694574</v>
      </c>
      <c r="E128" s="12"/>
      <c r="F128" s="294">
        <f t="shared" si="9"/>
        <v>22522454.616666667</v>
      </c>
      <c r="G128" s="13">
        <f t="shared" si="12"/>
        <v>495494001.56666875</v>
      </c>
    </row>
    <row r="129" spans="1:7" x14ac:dyDescent="0.25">
      <c r="A129" s="6">
        <f>A128+31</f>
        <v>47815</v>
      </c>
      <c r="B129" s="11" t="s">
        <v>10</v>
      </c>
      <c r="C129" s="12">
        <v>22522454.616666667</v>
      </c>
      <c r="D129" s="294">
        <f t="shared" si="11"/>
        <v>2890381.6758055682</v>
      </c>
      <c r="E129" s="12"/>
      <c r="F129" s="294">
        <f t="shared" si="9"/>
        <v>22522454.616666667</v>
      </c>
      <c r="G129" s="13">
        <f t="shared" si="12"/>
        <v>472971546.95000207</v>
      </c>
    </row>
    <row r="130" spans="1:7" x14ac:dyDescent="0.25">
      <c r="A130" s="6">
        <f>A129+31</f>
        <v>47846</v>
      </c>
      <c r="B130" s="11" t="s">
        <v>10</v>
      </c>
      <c r="C130" s="12">
        <v>22522454.616666667</v>
      </c>
      <c r="D130" s="294">
        <f t="shared" si="11"/>
        <v>2759000.690541679</v>
      </c>
      <c r="E130" s="12"/>
      <c r="F130" s="294">
        <f t="shared" si="9"/>
        <v>22522454.616666667</v>
      </c>
      <c r="G130" s="13">
        <f t="shared" si="12"/>
        <v>450449092.3333354</v>
      </c>
    </row>
    <row r="131" spans="1:7" x14ac:dyDescent="0.25">
      <c r="A131" s="6">
        <f>A130+28</f>
        <v>47874</v>
      </c>
      <c r="B131" s="11" t="s">
        <v>10</v>
      </c>
      <c r="C131" s="12">
        <v>22522454.616666667</v>
      </c>
      <c r="D131" s="294">
        <f t="shared" ref="D131:D150" si="13">G130*$I$157*$I$156/360</f>
        <v>2627619.7052777898</v>
      </c>
      <c r="E131" s="12"/>
      <c r="F131" s="294">
        <f t="shared" si="9"/>
        <v>22522454.616666667</v>
      </c>
      <c r="G131" s="13">
        <f t="shared" si="12"/>
        <v>427926637.71666873</v>
      </c>
    </row>
    <row r="132" spans="1:7" x14ac:dyDescent="0.25">
      <c r="A132" s="6">
        <f>A131+31</f>
        <v>47905</v>
      </c>
      <c r="B132" s="11" t="s">
        <v>10</v>
      </c>
      <c r="C132" s="12">
        <v>22522454.616666667</v>
      </c>
      <c r="D132" s="294">
        <f t="shared" si="13"/>
        <v>2496238.7200139011</v>
      </c>
      <c r="E132" s="12"/>
      <c r="F132" s="294">
        <f t="shared" si="9"/>
        <v>22522454.616666667</v>
      </c>
      <c r="G132" s="13">
        <f t="shared" si="12"/>
        <v>405404183.10000205</v>
      </c>
    </row>
    <row r="133" spans="1:7" x14ac:dyDescent="0.25">
      <c r="A133" s="6">
        <f>A132+30</f>
        <v>47935</v>
      </c>
      <c r="B133" s="11" t="s">
        <v>10</v>
      </c>
      <c r="C133" s="12">
        <v>22522454.616666667</v>
      </c>
      <c r="D133" s="294">
        <f t="shared" si="13"/>
        <v>2364857.7347500124</v>
      </c>
      <c r="E133" s="12"/>
      <c r="F133" s="294">
        <f t="shared" si="9"/>
        <v>22522454.616666667</v>
      </c>
      <c r="G133" s="13">
        <f t="shared" si="12"/>
        <v>382881728.48333538</v>
      </c>
    </row>
    <row r="134" spans="1:7" x14ac:dyDescent="0.25">
      <c r="A134" s="6">
        <f>A133+31</f>
        <v>47966</v>
      </c>
      <c r="B134" s="11" t="s">
        <v>10</v>
      </c>
      <c r="C134" s="12">
        <v>22522454.616666667</v>
      </c>
      <c r="D134" s="294">
        <f t="shared" si="13"/>
        <v>2233476.7494861232</v>
      </c>
      <c r="E134" s="12"/>
      <c r="F134" s="294">
        <f t="shared" si="9"/>
        <v>22522454.616666667</v>
      </c>
      <c r="G134" s="13">
        <f t="shared" si="12"/>
        <v>360359273.8666687</v>
      </c>
    </row>
    <row r="135" spans="1:7" x14ac:dyDescent="0.25">
      <c r="A135" s="6">
        <f>A134+30</f>
        <v>47996</v>
      </c>
      <c r="B135" s="11" t="s">
        <v>10</v>
      </c>
      <c r="C135" s="12">
        <v>22522454.616666667</v>
      </c>
      <c r="D135" s="294">
        <f t="shared" si="13"/>
        <v>2102095.764222234</v>
      </c>
      <c r="E135" s="12"/>
      <c r="F135" s="294">
        <f t="shared" si="9"/>
        <v>22522454.616666667</v>
      </c>
      <c r="G135" s="13">
        <f t="shared" si="12"/>
        <v>337836819.25000203</v>
      </c>
    </row>
    <row r="136" spans="1:7" x14ac:dyDescent="0.25">
      <c r="A136" s="6">
        <f>A135+31</f>
        <v>48027</v>
      </c>
      <c r="B136" s="11" t="s">
        <v>10</v>
      </c>
      <c r="C136" s="12">
        <v>22522454.616666667</v>
      </c>
      <c r="D136" s="294">
        <f t="shared" si="13"/>
        <v>1970714.7789583455</v>
      </c>
      <c r="E136" s="12"/>
      <c r="F136" s="294">
        <f t="shared" ref="F136:F150" si="14">E136+C136</f>
        <v>22522454.616666667</v>
      </c>
      <c r="G136" s="13">
        <f t="shared" si="12"/>
        <v>315314364.63333535</v>
      </c>
    </row>
    <row r="137" spans="1:7" x14ac:dyDescent="0.25">
      <c r="A137" s="6">
        <f>A136+31</f>
        <v>48058</v>
      </c>
      <c r="B137" s="11" t="s">
        <v>10</v>
      </c>
      <c r="C137" s="12">
        <v>22522454.616666667</v>
      </c>
      <c r="D137" s="294">
        <f t="shared" si="13"/>
        <v>1839333.7936944563</v>
      </c>
      <c r="E137" s="12"/>
      <c r="F137" s="294">
        <f t="shared" si="14"/>
        <v>22522454.616666667</v>
      </c>
      <c r="G137" s="13">
        <f t="shared" si="12"/>
        <v>292791910.01666868</v>
      </c>
    </row>
    <row r="138" spans="1:7" x14ac:dyDescent="0.25">
      <c r="A138" s="6">
        <f>A137+30</f>
        <v>48088</v>
      </c>
      <c r="B138" s="11" t="s">
        <v>10</v>
      </c>
      <c r="C138" s="12">
        <v>22522454.616666667</v>
      </c>
      <c r="D138" s="294">
        <f t="shared" si="13"/>
        <v>1707952.8084305674</v>
      </c>
      <c r="E138" s="12"/>
      <c r="F138" s="294">
        <f t="shared" si="14"/>
        <v>22522454.616666667</v>
      </c>
      <c r="G138" s="13">
        <f t="shared" si="12"/>
        <v>270269455.400002</v>
      </c>
    </row>
    <row r="139" spans="1:7" x14ac:dyDescent="0.25">
      <c r="A139" s="6">
        <f>A138+31</f>
        <v>48119</v>
      </c>
      <c r="B139" s="11" t="s">
        <v>10</v>
      </c>
      <c r="C139" s="12">
        <v>22522454.616666667</v>
      </c>
      <c r="D139" s="294">
        <f t="shared" si="13"/>
        <v>1576571.8231666784</v>
      </c>
      <c r="E139" s="12"/>
      <c r="F139" s="294">
        <f t="shared" si="14"/>
        <v>22522454.616666667</v>
      </c>
      <c r="G139" s="13">
        <f t="shared" si="12"/>
        <v>247747000.78333533</v>
      </c>
    </row>
    <row r="140" spans="1:7" x14ac:dyDescent="0.25">
      <c r="A140" s="6">
        <f>A139+30</f>
        <v>48149</v>
      </c>
      <c r="B140" s="11" t="s">
        <v>10</v>
      </c>
      <c r="C140" s="12">
        <v>22522454.616666667</v>
      </c>
      <c r="D140" s="294">
        <f t="shared" si="13"/>
        <v>1445190.8379027897</v>
      </c>
      <c r="E140" s="12"/>
      <c r="F140" s="294">
        <f t="shared" si="14"/>
        <v>22522454.616666667</v>
      </c>
      <c r="G140" s="13">
        <f t="shared" si="12"/>
        <v>225224546.16666865</v>
      </c>
    </row>
    <row r="141" spans="1:7" x14ac:dyDescent="0.25">
      <c r="A141" s="6">
        <f>A140+31</f>
        <v>48180</v>
      </c>
      <c r="B141" s="11" t="s">
        <v>10</v>
      </c>
      <c r="C141" s="12">
        <v>22522454.616666667</v>
      </c>
      <c r="D141" s="294">
        <f t="shared" si="13"/>
        <v>1313809.8526389005</v>
      </c>
      <c r="E141" s="12"/>
      <c r="F141" s="294">
        <f t="shared" si="14"/>
        <v>22522454.616666667</v>
      </c>
      <c r="G141" s="13">
        <f t="shared" si="12"/>
        <v>202702091.55000198</v>
      </c>
    </row>
    <row r="142" spans="1:7" x14ac:dyDescent="0.25">
      <c r="A142" s="6">
        <f>A141+31</f>
        <v>48211</v>
      </c>
      <c r="B142" s="11" t="s">
        <v>10</v>
      </c>
      <c r="C142" s="12">
        <v>22522454.616666667</v>
      </c>
      <c r="D142" s="294">
        <f t="shared" si="13"/>
        <v>1182428.8673750118</v>
      </c>
      <c r="E142" s="12"/>
      <c r="F142" s="294">
        <f t="shared" si="14"/>
        <v>22522454.616666667</v>
      </c>
      <c r="G142" s="13">
        <f t="shared" si="12"/>
        <v>180179636.9333353</v>
      </c>
    </row>
    <row r="143" spans="1:7" x14ac:dyDescent="0.25">
      <c r="A143" s="6">
        <f>A142+28</f>
        <v>48239</v>
      </c>
      <c r="B143" s="11" t="s">
        <v>10</v>
      </c>
      <c r="C143" s="12">
        <v>22522454.616666667</v>
      </c>
      <c r="D143" s="294">
        <f t="shared" si="13"/>
        <v>1051047.8821111226</v>
      </c>
      <c r="E143" s="12"/>
      <c r="F143" s="294">
        <f t="shared" si="14"/>
        <v>22522454.616666667</v>
      </c>
      <c r="G143" s="13">
        <f t="shared" si="12"/>
        <v>157657182.31666863</v>
      </c>
    </row>
    <row r="144" spans="1:7" x14ac:dyDescent="0.25">
      <c r="A144" s="6">
        <f>A143+31</f>
        <v>48270</v>
      </c>
      <c r="B144" s="11" t="s">
        <v>10</v>
      </c>
      <c r="C144" s="12">
        <v>22522454.616666667</v>
      </c>
      <c r="D144" s="294">
        <f t="shared" si="13"/>
        <v>919666.89684723387</v>
      </c>
      <c r="E144" s="12"/>
      <c r="F144" s="294">
        <f t="shared" si="14"/>
        <v>22522454.616666667</v>
      </c>
      <c r="G144" s="13">
        <f t="shared" si="12"/>
        <v>135134727.70000196</v>
      </c>
    </row>
    <row r="145" spans="1:19" x14ac:dyDescent="0.25">
      <c r="A145" s="6">
        <f>A144+30</f>
        <v>48300</v>
      </c>
      <c r="B145" s="11" t="s">
        <v>10</v>
      </c>
      <c r="C145" s="12">
        <v>22522454.616666667</v>
      </c>
      <c r="D145" s="294">
        <f t="shared" si="13"/>
        <v>788285.9115833448</v>
      </c>
      <c r="E145" s="12"/>
      <c r="F145" s="294">
        <f t="shared" si="14"/>
        <v>22522454.616666667</v>
      </c>
      <c r="G145" s="13">
        <f t="shared" si="12"/>
        <v>112612273.08333528</v>
      </c>
    </row>
    <row r="146" spans="1:19" x14ac:dyDescent="0.25">
      <c r="A146" s="6">
        <f>A145+31</f>
        <v>48331</v>
      </c>
      <c r="B146" s="11" t="s">
        <v>10</v>
      </c>
      <c r="C146" s="12">
        <v>22522454.616666667</v>
      </c>
      <c r="D146" s="294">
        <f t="shared" si="13"/>
        <v>656904.92631945584</v>
      </c>
      <c r="E146" s="12"/>
      <c r="F146" s="294">
        <f t="shared" si="14"/>
        <v>22522454.616666667</v>
      </c>
      <c r="G146" s="13">
        <f t="shared" si="12"/>
        <v>90089818.466668606</v>
      </c>
    </row>
    <row r="147" spans="1:19" x14ac:dyDescent="0.25">
      <c r="A147" s="6">
        <f>A146+30</f>
        <v>48361</v>
      </c>
      <c r="B147" s="11" t="s">
        <v>10</v>
      </c>
      <c r="C147" s="12">
        <v>22522454.616666667</v>
      </c>
      <c r="D147" s="294">
        <f t="shared" si="13"/>
        <v>525523.94105556689</v>
      </c>
      <c r="E147" s="12"/>
      <c r="F147" s="294">
        <f t="shared" si="14"/>
        <v>22522454.616666667</v>
      </c>
      <c r="G147" s="13">
        <f t="shared" si="12"/>
        <v>67567363.850001931</v>
      </c>
    </row>
    <row r="148" spans="1:19" x14ac:dyDescent="0.25">
      <c r="A148" s="6">
        <f>A147+31</f>
        <v>48392</v>
      </c>
      <c r="B148" s="11" t="s">
        <v>10</v>
      </c>
      <c r="C148" s="12">
        <v>22522454.616666667</v>
      </c>
      <c r="D148" s="294">
        <f t="shared" si="13"/>
        <v>394142.95579167793</v>
      </c>
      <c r="E148" s="12"/>
      <c r="F148" s="294">
        <f t="shared" si="14"/>
        <v>22522454.616666667</v>
      </c>
      <c r="G148" s="13">
        <f t="shared" si="12"/>
        <v>45044909.233335264</v>
      </c>
    </row>
    <row r="149" spans="1:19" x14ac:dyDescent="0.25">
      <c r="A149" s="6">
        <f>A148+31</f>
        <v>48423</v>
      </c>
      <c r="B149" s="11" t="s">
        <v>10</v>
      </c>
      <c r="C149" s="12">
        <v>22522454.616666667</v>
      </c>
      <c r="D149" s="294">
        <f t="shared" si="13"/>
        <v>262761.97052778903</v>
      </c>
      <c r="E149" s="12"/>
      <c r="F149" s="294">
        <f t="shared" si="14"/>
        <v>22522454.616666667</v>
      </c>
      <c r="G149" s="13">
        <f t="shared" si="12"/>
        <v>22522454.616668597</v>
      </c>
    </row>
    <row r="150" spans="1:19" x14ac:dyDescent="0.25">
      <c r="A150" s="6">
        <f>A149+30</f>
        <v>48453</v>
      </c>
      <c r="B150" s="11" t="s">
        <v>10</v>
      </c>
      <c r="C150" s="12">
        <v>22522454.616666667</v>
      </c>
      <c r="D150" s="294">
        <f t="shared" si="13"/>
        <v>131380.98526390016</v>
      </c>
      <c r="E150" s="12"/>
      <c r="F150" s="294">
        <f t="shared" si="14"/>
        <v>22522454.616666667</v>
      </c>
      <c r="G150" s="13">
        <f t="shared" si="12"/>
        <v>1.9297003746032715E-6</v>
      </c>
    </row>
    <row r="151" spans="1:19" x14ac:dyDescent="0.25">
      <c r="A151" s="15"/>
      <c r="B151" s="16" t="s">
        <v>11</v>
      </c>
      <c r="C151" s="17">
        <f>SUM(C6:C150)</f>
        <v>2702694553.9999981</v>
      </c>
      <c r="D151" s="17">
        <f t="shared" ref="D151:F151" si="15">SUM(D6:D150)</f>
        <v>1257910621.777297</v>
      </c>
      <c r="E151" s="17">
        <f t="shared" si="15"/>
        <v>42767888.917881668</v>
      </c>
      <c r="F151" s="17">
        <f t="shared" si="15"/>
        <v>2745462442.9178801</v>
      </c>
      <c r="G151" s="17">
        <v>0</v>
      </c>
    </row>
    <row r="152" spans="1:19" x14ac:dyDescent="0.25">
      <c r="A152" s="19" t="s">
        <v>42</v>
      </c>
      <c r="B152" s="20"/>
      <c r="C152" s="20"/>
      <c r="D152" s="20"/>
      <c r="E152" s="20"/>
      <c r="F152" s="20"/>
      <c r="G152" s="20"/>
      <c r="H152" s="20"/>
      <c r="I152" s="20"/>
      <c r="J152" s="20"/>
    </row>
    <row r="153" spans="1:19" x14ac:dyDescent="0.25">
      <c r="A153" s="351"/>
      <c r="B153" s="315" t="s">
        <v>3143</v>
      </c>
      <c r="C153" s="315" t="s">
        <v>3129</v>
      </c>
      <c r="D153" s="315" t="s">
        <v>3130</v>
      </c>
      <c r="E153" s="315" t="s">
        <v>3140</v>
      </c>
      <c r="F153" s="315" t="s">
        <v>3168</v>
      </c>
      <c r="G153" s="315" t="s">
        <v>3148</v>
      </c>
      <c r="H153" s="315" t="s">
        <v>3149</v>
      </c>
      <c r="I153" s="315" t="s">
        <v>3150</v>
      </c>
      <c r="J153" s="315"/>
      <c r="K153" s="315"/>
      <c r="L153" s="315"/>
      <c r="M153" s="100"/>
      <c r="N153" s="100"/>
      <c r="O153" s="100"/>
      <c r="P153" s="97"/>
      <c r="Q153" s="97"/>
    </row>
    <row r="154" spans="1:19" ht="25.5" x14ac:dyDescent="0.25">
      <c r="A154" s="39" t="s">
        <v>3151</v>
      </c>
      <c r="B154" s="88">
        <v>2.0070000000000001E-2</v>
      </c>
      <c r="C154" s="88">
        <v>1.8380000000000001E-2</v>
      </c>
      <c r="D154" s="88">
        <v>1.7180000000000001E-2</v>
      </c>
      <c r="E154" s="33">
        <v>1.7139999999999999E-2</v>
      </c>
      <c r="F154" s="88">
        <v>1.712E-2</v>
      </c>
      <c r="G154" s="88">
        <v>0.04</v>
      </c>
      <c r="H154" s="33">
        <v>4.4999999999999998E-2</v>
      </c>
      <c r="I154" s="33">
        <v>0.05</v>
      </c>
      <c r="J154" s="33"/>
      <c r="K154" s="33"/>
      <c r="L154" s="33"/>
      <c r="M154" s="334"/>
      <c r="N154" s="334"/>
      <c r="O154" s="334"/>
      <c r="P154" s="97"/>
      <c r="Q154" s="97"/>
    </row>
    <row r="155" spans="1:19" ht="25.5" x14ac:dyDescent="0.25">
      <c r="A155" s="39" t="s">
        <v>376</v>
      </c>
      <c r="B155" s="33">
        <v>0.02</v>
      </c>
      <c r="C155" s="88">
        <v>0.02</v>
      </c>
      <c r="D155" s="88">
        <v>0.02</v>
      </c>
      <c r="E155" s="88">
        <v>0.02</v>
      </c>
      <c r="F155" s="88">
        <v>0.02</v>
      </c>
      <c r="G155" s="88">
        <v>0.02</v>
      </c>
      <c r="H155" s="88">
        <v>0.02</v>
      </c>
      <c r="I155" s="88">
        <v>0.02</v>
      </c>
      <c r="J155" s="88">
        <v>0.02</v>
      </c>
      <c r="K155" s="88">
        <v>0.02</v>
      </c>
      <c r="L155" s="88">
        <v>0.02</v>
      </c>
      <c r="M155" s="336"/>
      <c r="N155" s="336"/>
      <c r="O155" s="336"/>
      <c r="P155" s="97"/>
      <c r="Q155" s="97"/>
    </row>
    <row r="156" spans="1:19" x14ac:dyDescent="0.25">
      <c r="A156" s="39" t="s">
        <v>377</v>
      </c>
      <c r="B156" s="67">
        <v>30</v>
      </c>
      <c r="C156" s="67">
        <v>30</v>
      </c>
      <c r="D156" s="67">
        <v>30</v>
      </c>
      <c r="E156" s="67">
        <v>30</v>
      </c>
      <c r="F156" s="67">
        <v>30</v>
      </c>
      <c r="G156" s="67">
        <v>30</v>
      </c>
      <c r="H156" s="67">
        <v>30</v>
      </c>
      <c r="I156" s="67">
        <v>30</v>
      </c>
      <c r="J156" s="67">
        <v>90</v>
      </c>
      <c r="K156" s="67">
        <v>90</v>
      </c>
      <c r="L156" s="67">
        <v>90</v>
      </c>
      <c r="M156" s="346"/>
      <c r="N156" s="346"/>
      <c r="O156" s="346"/>
      <c r="P156" s="97"/>
      <c r="Q156" s="97"/>
    </row>
    <row r="157" spans="1:19" x14ac:dyDescent="0.25">
      <c r="A157" s="39" t="s">
        <v>3152</v>
      </c>
      <c r="B157" s="142">
        <f t="shared" ref="B157:E157" si="16">+B154+B155</f>
        <v>4.0070000000000001E-2</v>
      </c>
      <c r="C157" s="142">
        <f t="shared" si="16"/>
        <v>3.8379999999999997E-2</v>
      </c>
      <c r="D157" s="142">
        <f t="shared" si="16"/>
        <v>3.7180000000000005E-2</v>
      </c>
      <c r="E157" s="142">
        <f t="shared" si="16"/>
        <v>3.7139999999999999E-2</v>
      </c>
      <c r="F157" s="142">
        <f>+F154+F155</f>
        <v>3.712E-2</v>
      </c>
      <c r="G157" s="142">
        <f>+G154+G155</f>
        <v>0.06</v>
      </c>
      <c r="H157" s="142">
        <f>+H154+H155</f>
        <v>6.5000000000000002E-2</v>
      </c>
      <c r="I157" s="142">
        <f>+I154+I155</f>
        <v>7.0000000000000007E-2</v>
      </c>
      <c r="J157" s="67"/>
      <c r="K157" s="67"/>
      <c r="L157" s="67"/>
      <c r="M157" s="346"/>
      <c r="N157" s="346"/>
      <c r="O157" s="346"/>
      <c r="P157" s="97"/>
      <c r="Q157" s="97"/>
    </row>
    <row r="158" spans="1:19" x14ac:dyDescent="0.25">
      <c r="A158" s="43" t="s">
        <v>39</v>
      </c>
      <c r="B158" s="44">
        <f>+E7</f>
        <v>9024747.5648983326</v>
      </c>
      <c r="C158" s="44">
        <f>+E8</f>
        <v>8644118.0818766654</v>
      </c>
      <c r="D158" s="44">
        <f>+E9</f>
        <v>8373848.6264766678</v>
      </c>
      <c r="E158" s="44">
        <f>+E10</f>
        <v>8364839.64463</v>
      </c>
      <c r="F158" s="44">
        <f>+E11</f>
        <v>8360335</v>
      </c>
      <c r="G158" s="44"/>
      <c r="H158" s="44"/>
      <c r="I158" s="44"/>
      <c r="J158" s="44">
        <f>+D14</f>
        <v>13513472.77</v>
      </c>
      <c r="K158" s="44">
        <f>+D15</f>
        <v>13513472.77</v>
      </c>
      <c r="L158" s="44">
        <f>+D16</f>
        <v>13513472.77</v>
      </c>
      <c r="M158" s="101"/>
      <c r="N158" s="101"/>
      <c r="O158" s="101"/>
      <c r="P158" s="98"/>
      <c r="Q158" s="99"/>
    </row>
    <row r="159" spans="1:19" x14ac:dyDescent="0.25">
      <c r="L159" s="97"/>
      <c r="M159" s="97"/>
      <c r="N159" s="97"/>
      <c r="O159" s="97"/>
      <c r="P159" s="97"/>
      <c r="Q159" s="97"/>
      <c r="S159" s="45">
        <f>SUM(B159:R159)</f>
        <v>0</v>
      </c>
    </row>
    <row r="162" spans="2:19" x14ac:dyDescent="0.25">
      <c r="S162" s="45">
        <f>SUM(B162:R162)</f>
        <v>0</v>
      </c>
    </row>
    <row r="165" spans="2:19" x14ac:dyDescent="0.25">
      <c r="B165" s="50" t="s">
        <v>42</v>
      </c>
      <c r="C165" s="50" t="s">
        <v>42</v>
      </c>
    </row>
  </sheetData>
  <mergeCells count="4">
    <mergeCell ref="A1:G1"/>
    <mergeCell ref="A2:G2"/>
    <mergeCell ref="A3:G3"/>
    <mergeCell ref="A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25"/>
  <sheetViews>
    <sheetView workbookViewId="0">
      <selection activeCell="E34" sqref="E34"/>
    </sheetView>
  </sheetViews>
  <sheetFormatPr baseColWidth="10" defaultColWidth="11.5703125" defaultRowHeight="15" x14ac:dyDescent="0.25"/>
  <cols>
    <col min="1" max="1" width="29" customWidth="1"/>
    <col min="2" max="2" width="19.140625" bestFit="1" customWidth="1"/>
    <col min="3" max="3" width="17" bestFit="1" customWidth="1"/>
    <col min="4" max="4" width="11.28515625" bestFit="1" customWidth="1"/>
    <col min="5" max="5" width="13.28515625" customWidth="1"/>
    <col min="6" max="6" width="18.42578125" customWidth="1"/>
    <col min="7" max="7" width="22.85546875" bestFit="1" customWidth="1"/>
    <col min="8" max="8" width="18.28515625" customWidth="1"/>
    <col min="9" max="9" width="17" customWidth="1"/>
    <col min="10" max="10" width="17.42578125" bestFit="1" customWidth="1"/>
    <col min="11" max="11" width="20" customWidth="1"/>
    <col min="257" max="257" width="29" customWidth="1"/>
    <col min="258" max="258" width="19.140625" bestFit="1" customWidth="1"/>
    <col min="259" max="259" width="17" bestFit="1" customWidth="1"/>
    <col min="260" max="260" width="11.28515625" bestFit="1" customWidth="1"/>
    <col min="261" max="261" width="13.28515625" customWidth="1"/>
    <col min="262" max="262" width="18.42578125" customWidth="1"/>
    <col min="263" max="263" width="22.85546875" bestFit="1" customWidth="1"/>
    <col min="264" max="264" width="18.28515625" customWidth="1"/>
    <col min="265" max="265" width="17" customWidth="1"/>
    <col min="266" max="266" width="16.7109375" customWidth="1"/>
    <col min="267" max="267" width="20" customWidth="1"/>
    <col min="513" max="513" width="29" customWidth="1"/>
    <col min="514" max="514" width="19.140625" bestFit="1" customWidth="1"/>
    <col min="515" max="515" width="17" bestFit="1" customWidth="1"/>
    <col min="516" max="516" width="11.28515625" bestFit="1" customWidth="1"/>
    <col min="517" max="517" width="13.28515625" customWidth="1"/>
    <col min="518" max="518" width="18.42578125" customWidth="1"/>
    <col min="519" max="519" width="22.85546875" bestFit="1" customWidth="1"/>
    <col min="520" max="520" width="18.28515625" customWidth="1"/>
    <col min="521" max="521" width="17" customWidth="1"/>
    <col min="522" max="522" width="16.7109375" customWidth="1"/>
    <col min="523" max="523" width="20" customWidth="1"/>
    <col min="769" max="769" width="29" customWidth="1"/>
    <col min="770" max="770" width="19.140625" bestFit="1" customWidth="1"/>
    <col min="771" max="771" width="17" bestFit="1" customWidth="1"/>
    <col min="772" max="772" width="11.28515625" bestFit="1" customWidth="1"/>
    <col min="773" max="773" width="13.28515625" customWidth="1"/>
    <col min="774" max="774" width="18.42578125" customWidth="1"/>
    <col min="775" max="775" width="22.85546875" bestFit="1" customWidth="1"/>
    <col min="776" max="776" width="18.28515625" customWidth="1"/>
    <col min="777" max="777" width="17" customWidth="1"/>
    <col min="778" max="778" width="16.7109375" customWidth="1"/>
    <col min="779" max="779" width="20" customWidth="1"/>
    <col min="1025" max="1025" width="29" customWidth="1"/>
    <col min="1026" max="1026" width="19.140625" bestFit="1" customWidth="1"/>
    <col min="1027" max="1027" width="17" bestFit="1" customWidth="1"/>
    <col min="1028" max="1028" width="11.28515625" bestFit="1" customWidth="1"/>
    <col min="1029" max="1029" width="13.28515625" customWidth="1"/>
    <col min="1030" max="1030" width="18.42578125" customWidth="1"/>
    <col min="1031" max="1031" width="22.85546875" bestFit="1" customWidth="1"/>
    <col min="1032" max="1032" width="18.28515625" customWidth="1"/>
    <col min="1033" max="1033" width="17" customWidth="1"/>
    <col min="1034" max="1034" width="16.7109375" customWidth="1"/>
    <col min="1035" max="1035" width="20" customWidth="1"/>
    <col min="1281" max="1281" width="29" customWidth="1"/>
    <col min="1282" max="1282" width="19.140625" bestFit="1" customWidth="1"/>
    <col min="1283" max="1283" width="17" bestFit="1" customWidth="1"/>
    <col min="1284" max="1284" width="11.28515625" bestFit="1" customWidth="1"/>
    <col min="1285" max="1285" width="13.28515625" customWidth="1"/>
    <col min="1286" max="1286" width="18.42578125" customWidth="1"/>
    <col min="1287" max="1287" width="22.85546875" bestFit="1" customWidth="1"/>
    <col min="1288" max="1288" width="18.28515625" customWidth="1"/>
    <col min="1289" max="1289" width="17" customWidth="1"/>
    <col min="1290" max="1290" width="16.7109375" customWidth="1"/>
    <col min="1291" max="1291" width="20" customWidth="1"/>
    <col min="1537" max="1537" width="29" customWidth="1"/>
    <col min="1538" max="1538" width="19.140625" bestFit="1" customWidth="1"/>
    <col min="1539" max="1539" width="17" bestFit="1" customWidth="1"/>
    <col min="1540" max="1540" width="11.28515625" bestFit="1" customWidth="1"/>
    <col min="1541" max="1541" width="13.28515625" customWidth="1"/>
    <col min="1542" max="1542" width="18.42578125" customWidth="1"/>
    <col min="1543" max="1543" width="22.85546875" bestFit="1" customWidth="1"/>
    <col min="1544" max="1544" width="18.28515625" customWidth="1"/>
    <col min="1545" max="1545" width="17" customWidth="1"/>
    <col min="1546" max="1546" width="16.7109375" customWidth="1"/>
    <col min="1547" max="1547" width="20" customWidth="1"/>
    <col min="1793" max="1793" width="29" customWidth="1"/>
    <col min="1794" max="1794" width="19.140625" bestFit="1" customWidth="1"/>
    <col min="1795" max="1795" width="17" bestFit="1" customWidth="1"/>
    <col min="1796" max="1796" width="11.28515625" bestFit="1" customWidth="1"/>
    <col min="1797" max="1797" width="13.28515625" customWidth="1"/>
    <col min="1798" max="1798" width="18.42578125" customWidth="1"/>
    <col min="1799" max="1799" width="22.85546875" bestFit="1" customWidth="1"/>
    <col min="1800" max="1800" width="18.28515625" customWidth="1"/>
    <col min="1801" max="1801" width="17" customWidth="1"/>
    <col min="1802" max="1802" width="16.7109375" customWidth="1"/>
    <col min="1803" max="1803" width="20" customWidth="1"/>
    <col min="2049" max="2049" width="29" customWidth="1"/>
    <col min="2050" max="2050" width="19.140625" bestFit="1" customWidth="1"/>
    <col min="2051" max="2051" width="17" bestFit="1" customWidth="1"/>
    <col min="2052" max="2052" width="11.28515625" bestFit="1" customWidth="1"/>
    <col min="2053" max="2053" width="13.28515625" customWidth="1"/>
    <col min="2054" max="2054" width="18.42578125" customWidth="1"/>
    <col min="2055" max="2055" width="22.85546875" bestFit="1" customWidth="1"/>
    <col min="2056" max="2056" width="18.28515625" customWidth="1"/>
    <col min="2057" max="2057" width="17" customWidth="1"/>
    <col min="2058" max="2058" width="16.7109375" customWidth="1"/>
    <col min="2059" max="2059" width="20" customWidth="1"/>
    <col min="2305" max="2305" width="29" customWidth="1"/>
    <col min="2306" max="2306" width="19.140625" bestFit="1" customWidth="1"/>
    <col min="2307" max="2307" width="17" bestFit="1" customWidth="1"/>
    <col min="2308" max="2308" width="11.28515625" bestFit="1" customWidth="1"/>
    <col min="2309" max="2309" width="13.28515625" customWidth="1"/>
    <col min="2310" max="2310" width="18.42578125" customWidth="1"/>
    <col min="2311" max="2311" width="22.85546875" bestFit="1" customWidth="1"/>
    <col min="2312" max="2312" width="18.28515625" customWidth="1"/>
    <col min="2313" max="2313" width="17" customWidth="1"/>
    <col min="2314" max="2314" width="16.7109375" customWidth="1"/>
    <col min="2315" max="2315" width="20" customWidth="1"/>
    <col min="2561" max="2561" width="29" customWidth="1"/>
    <col min="2562" max="2562" width="19.140625" bestFit="1" customWidth="1"/>
    <col min="2563" max="2563" width="17" bestFit="1" customWidth="1"/>
    <col min="2564" max="2564" width="11.28515625" bestFit="1" customWidth="1"/>
    <col min="2565" max="2565" width="13.28515625" customWidth="1"/>
    <col min="2566" max="2566" width="18.42578125" customWidth="1"/>
    <col min="2567" max="2567" width="22.85546875" bestFit="1" customWidth="1"/>
    <col min="2568" max="2568" width="18.28515625" customWidth="1"/>
    <col min="2569" max="2569" width="17" customWidth="1"/>
    <col min="2570" max="2570" width="16.7109375" customWidth="1"/>
    <col min="2571" max="2571" width="20" customWidth="1"/>
    <col min="2817" max="2817" width="29" customWidth="1"/>
    <col min="2818" max="2818" width="19.140625" bestFit="1" customWidth="1"/>
    <col min="2819" max="2819" width="17" bestFit="1" customWidth="1"/>
    <col min="2820" max="2820" width="11.28515625" bestFit="1" customWidth="1"/>
    <col min="2821" max="2821" width="13.28515625" customWidth="1"/>
    <col min="2822" max="2822" width="18.42578125" customWidth="1"/>
    <col min="2823" max="2823" width="22.85546875" bestFit="1" customWidth="1"/>
    <col min="2824" max="2824" width="18.28515625" customWidth="1"/>
    <col min="2825" max="2825" width="17" customWidth="1"/>
    <col min="2826" max="2826" width="16.7109375" customWidth="1"/>
    <col min="2827" max="2827" width="20" customWidth="1"/>
    <col min="3073" max="3073" width="29" customWidth="1"/>
    <col min="3074" max="3074" width="19.140625" bestFit="1" customWidth="1"/>
    <col min="3075" max="3075" width="17" bestFit="1" customWidth="1"/>
    <col min="3076" max="3076" width="11.28515625" bestFit="1" customWidth="1"/>
    <col min="3077" max="3077" width="13.28515625" customWidth="1"/>
    <col min="3078" max="3078" width="18.42578125" customWidth="1"/>
    <col min="3079" max="3079" width="22.85546875" bestFit="1" customWidth="1"/>
    <col min="3080" max="3080" width="18.28515625" customWidth="1"/>
    <col min="3081" max="3081" width="17" customWidth="1"/>
    <col min="3082" max="3082" width="16.7109375" customWidth="1"/>
    <col min="3083" max="3083" width="20" customWidth="1"/>
    <col min="3329" max="3329" width="29" customWidth="1"/>
    <col min="3330" max="3330" width="19.140625" bestFit="1" customWidth="1"/>
    <col min="3331" max="3331" width="17" bestFit="1" customWidth="1"/>
    <col min="3332" max="3332" width="11.28515625" bestFit="1" customWidth="1"/>
    <col min="3333" max="3333" width="13.28515625" customWidth="1"/>
    <col min="3334" max="3334" width="18.42578125" customWidth="1"/>
    <col min="3335" max="3335" width="22.85546875" bestFit="1" customWidth="1"/>
    <col min="3336" max="3336" width="18.28515625" customWidth="1"/>
    <col min="3337" max="3337" width="17" customWidth="1"/>
    <col min="3338" max="3338" width="16.7109375" customWidth="1"/>
    <col min="3339" max="3339" width="20" customWidth="1"/>
    <col min="3585" max="3585" width="29" customWidth="1"/>
    <col min="3586" max="3586" width="19.140625" bestFit="1" customWidth="1"/>
    <col min="3587" max="3587" width="17" bestFit="1" customWidth="1"/>
    <col min="3588" max="3588" width="11.28515625" bestFit="1" customWidth="1"/>
    <col min="3589" max="3589" width="13.28515625" customWidth="1"/>
    <col min="3590" max="3590" width="18.42578125" customWidth="1"/>
    <col min="3591" max="3591" width="22.85546875" bestFit="1" customWidth="1"/>
    <col min="3592" max="3592" width="18.28515625" customWidth="1"/>
    <col min="3593" max="3593" width="17" customWidth="1"/>
    <col min="3594" max="3594" width="16.7109375" customWidth="1"/>
    <col min="3595" max="3595" width="20" customWidth="1"/>
    <col min="3841" max="3841" width="29" customWidth="1"/>
    <col min="3842" max="3842" width="19.140625" bestFit="1" customWidth="1"/>
    <col min="3843" max="3843" width="17" bestFit="1" customWidth="1"/>
    <col min="3844" max="3844" width="11.28515625" bestFit="1" customWidth="1"/>
    <col min="3845" max="3845" width="13.28515625" customWidth="1"/>
    <col min="3846" max="3846" width="18.42578125" customWidth="1"/>
    <col min="3847" max="3847" width="22.85546875" bestFit="1" customWidth="1"/>
    <col min="3848" max="3848" width="18.28515625" customWidth="1"/>
    <col min="3849" max="3849" width="17" customWidth="1"/>
    <col min="3850" max="3850" width="16.7109375" customWidth="1"/>
    <col min="3851" max="3851" width="20" customWidth="1"/>
    <col min="4097" max="4097" width="29" customWidth="1"/>
    <col min="4098" max="4098" width="19.140625" bestFit="1" customWidth="1"/>
    <col min="4099" max="4099" width="17" bestFit="1" customWidth="1"/>
    <col min="4100" max="4100" width="11.28515625" bestFit="1" customWidth="1"/>
    <col min="4101" max="4101" width="13.28515625" customWidth="1"/>
    <col min="4102" max="4102" width="18.42578125" customWidth="1"/>
    <col min="4103" max="4103" width="22.85546875" bestFit="1" customWidth="1"/>
    <col min="4104" max="4104" width="18.28515625" customWidth="1"/>
    <col min="4105" max="4105" width="17" customWidth="1"/>
    <col min="4106" max="4106" width="16.7109375" customWidth="1"/>
    <col min="4107" max="4107" width="20" customWidth="1"/>
    <col min="4353" max="4353" width="29" customWidth="1"/>
    <col min="4354" max="4354" width="19.140625" bestFit="1" customWidth="1"/>
    <col min="4355" max="4355" width="17" bestFit="1" customWidth="1"/>
    <col min="4356" max="4356" width="11.28515625" bestFit="1" customWidth="1"/>
    <col min="4357" max="4357" width="13.28515625" customWidth="1"/>
    <col min="4358" max="4358" width="18.42578125" customWidth="1"/>
    <col min="4359" max="4359" width="22.85546875" bestFit="1" customWidth="1"/>
    <col min="4360" max="4360" width="18.28515625" customWidth="1"/>
    <col min="4361" max="4361" width="17" customWidth="1"/>
    <col min="4362" max="4362" width="16.7109375" customWidth="1"/>
    <col min="4363" max="4363" width="20" customWidth="1"/>
    <col min="4609" max="4609" width="29" customWidth="1"/>
    <col min="4610" max="4610" width="19.140625" bestFit="1" customWidth="1"/>
    <col min="4611" max="4611" width="17" bestFit="1" customWidth="1"/>
    <col min="4612" max="4612" width="11.28515625" bestFit="1" customWidth="1"/>
    <col min="4613" max="4613" width="13.28515625" customWidth="1"/>
    <col min="4614" max="4614" width="18.42578125" customWidth="1"/>
    <col min="4615" max="4615" width="22.85546875" bestFit="1" customWidth="1"/>
    <col min="4616" max="4616" width="18.28515625" customWidth="1"/>
    <col min="4617" max="4617" width="17" customWidth="1"/>
    <col min="4618" max="4618" width="16.7109375" customWidth="1"/>
    <col min="4619" max="4619" width="20" customWidth="1"/>
    <col min="4865" max="4865" width="29" customWidth="1"/>
    <col min="4866" max="4866" width="19.140625" bestFit="1" customWidth="1"/>
    <col min="4867" max="4867" width="17" bestFit="1" customWidth="1"/>
    <col min="4868" max="4868" width="11.28515625" bestFit="1" customWidth="1"/>
    <col min="4869" max="4869" width="13.28515625" customWidth="1"/>
    <col min="4870" max="4870" width="18.42578125" customWidth="1"/>
    <col min="4871" max="4871" width="22.85546875" bestFit="1" customWidth="1"/>
    <col min="4872" max="4872" width="18.28515625" customWidth="1"/>
    <col min="4873" max="4873" width="17" customWidth="1"/>
    <col min="4874" max="4874" width="16.7109375" customWidth="1"/>
    <col min="4875" max="4875" width="20" customWidth="1"/>
    <col min="5121" max="5121" width="29" customWidth="1"/>
    <col min="5122" max="5122" width="19.140625" bestFit="1" customWidth="1"/>
    <col min="5123" max="5123" width="17" bestFit="1" customWidth="1"/>
    <col min="5124" max="5124" width="11.28515625" bestFit="1" customWidth="1"/>
    <col min="5125" max="5125" width="13.28515625" customWidth="1"/>
    <col min="5126" max="5126" width="18.42578125" customWidth="1"/>
    <col min="5127" max="5127" width="22.85546875" bestFit="1" customWidth="1"/>
    <col min="5128" max="5128" width="18.28515625" customWidth="1"/>
    <col min="5129" max="5129" width="17" customWidth="1"/>
    <col min="5130" max="5130" width="16.7109375" customWidth="1"/>
    <col min="5131" max="5131" width="20" customWidth="1"/>
    <col min="5377" max="5377" width="29" customWidth="1"/>
    <col min="5378" max="5378" width="19.140625" bestFit="1" customWidth="1"/>
    <col min="5379" max="5379" width="17" bestFit="1" customWidth="1"/>
    <col min="5380" max="5380" width="11.28515625" bestFit="1" customWidth="1"/>
    <col min="5381" max="5381" width="13.28515625" customWidth="1"/>
    <col min="5382" max="5382" width="18.42578125" customWidth="1"/>
    <col min="5383" max="5383" width="22.85546875" bestFit="1" customWidth="1"/>
    <col min="5384" max="5384" width="18.28515625" customWidth="1"/>
    <col min="5385" max="5385" width="17" customWidth="1"/>
    <col min="5386" max="5386" width="16.7109375" customWidth="1"/>
    <col min="5387" max="5387" width="20" customWidth="1"/>
    <col min="5633" max="5633" width="29" customWidth="1"/>
    <col min="5634" max="5634" width="19.140625" bestFit="1" customWidth="1"/>
    <col min="5635" max="5635" width="17" bestFit="1" customWidth="1"/>
    <col min="5636" max="5636" width="11.28515625" bestFit="1" customWidth="1"/>
    <col min="5637" max="5637" width="13.28515625" customWidth="1"/>
    <col min="5638" max="5638" width="18.42578125" customWidth="1"/>
    <col min="5639" max="5639" width="22.85546875" bestFit="1" customWidth="1"/>
    <col min="5640" max="5640" width="18.28515625" customWidth="1"/>
    <col min="5641" max="5641" width="17" customWidth="1"/>
    <col min="5642" max="5642" width="16.7109375" customWidth="1"/>
    <col min="5643" max="5643" width="20" customWidth="1"/>
    <col min="5889" max="5889" width="29" customWidth="1"/>
    <col min="5890" max="5890" width="19.140625" bestFit="1" customWidth="1"/>
    <col min="5891" max="5891" width="17" bestFit="1" customWidth="1"/>
    <col min="5892" max="5892" width="11.28515625" bestFit="1" customWidth="1"/>
    <col min="5893" max="5893" width="13.28515625" customWidth="1"/>
    <col min="5894" max="5894" width="18.42578125" customWidth="1"/>
    <col min="5895" max="5895" width="22.85546875" bestFit="1" customWidth="1"/>
    <col min="5896" max="5896" width="18.28515625" customWidth="1"/>
    <col min="5897" max="5897" width="17" customWidth="1"/>
    <col min="5898" max="5898" width="16.7109375" customWidth="1"/>
    <col min="5899" max="5899" width="20" customWidth="1"/>
    <col min="6145" max="6145" width="29" customWidth="1"/>
    <col min="6146" max="6146" width="19.140625" bestFit="1" customWidth="1"/>
    <col min="6147" max="6147" width="17" bestFit="1" customWidth="1"/>
    <col min="6148" max="6148" width="11.28515625" bestFit="1" customWidth="1"/>
    <col min="6149" max="6149" width="13.28515625" customWidth="1"/>
    <col min="6150" max="6150" width="18.42578125" customWidth="1"/>
    <col min="6151" max="6151" width="22.85546875" bestFit="1" customWidth="1"/>
    <col min="6152" max="6152" width="18.28515625" customWidth="1"/>
    <col min="6153" max="6153" width="17" customWidth="1"/>
    <col min="6154" max="6154" width="16.7109375" customWidth="1"/>
    <col min="6155" max="6155" width="20" customWidth="1"/>
    <col min="6401" max="6401" width="29" customWidth="1"/>
    <col min="6402" max="6402" width="19.140625" bestFit="1" customWidth="1"/>
    <col min="6403" max="6403" width="17" bestFit="1" customWidth="1"/>
    <col min="6404" max="6404" width="11.28515625" bestFit="1" customWidth="1"/>
    <col min="6405" max="6405" width="13.28515625" customWidth="1"/>
    <col min="6406" max="6406" width="18.42578125" customWidth="1"/>
    <col min="6407" max="6407" width="22.85546875" bestFit="1" customWidth="1"/>
    <col min="6408" max="6408" width="18.28515625" customWidth="1"/>
    <col min="6409" max="6409" width="17" customWidth="1"/>
    <col min="6410" max="6410" width="16.7109375" customWidth="1"/>
    <col min="6411" max="6411" width="20" customWidth="1"/>
    <col min="6657" max="6657" width="29" customWidth="1"/>
    <col min="6658" max="6658" width="19.140625" bestFit="1" customWidth="1"/>
    <col min="6659" max="6659" width="17" bestFit="1" customWidth="1"/>
    <col min="6660" max="6660" width="11.28515625" bestFit="1" customWidth="1"/>
    <col min="6661" max="6661" width="13.28515625" customWidth="1"/>
    <col min="6662" max="6662" width="18.42578125" customWidth="1"/>
    <col min="6663" max="6663" width="22.85546875" bestFit="1" customWidth="1"/>
    <col min="6664" max="6664" width="18.28515625" customWidth="1"/>
    <col min="6665" max="6665" width="17" customWidth="1"/>
    <col min="6666" max="6666" width="16.7109375" customWidth="1"/>
    <col min="6667" max="6667" width="20" customWidth="1"/>
    <col min="6913" max="6913" width="29" customWidth="1"/>
    <col min="6914" max="6914" width="19.140625" bestFit="1" customWidth="1"/>
    <col min="6915" max="6915" width="17" bestFit="1" customWidth="1"/>
    <col min="6916" max="6916" width="11.28515625" bestFit="1" customWidth="1"/>
    <col min="6917" max="6917" width="13.28515625" customWidth="1"/>
    <col min="6918" max="6918" width="18.42578125" customWidth="1"/>
    <col min="6919" max="6919" width="22.85546875" bestFit="1" customWidth="1"/>
    <col min="6920" max="6920" width="18.28515625" customWidth="1"/>
    <col min="6921" max="6921" width="17" customWidth="1"/>
    <col min="6922" max="6922" width="16.7109375" customWidth="1"/>
    <col min="6923" max="6923" width="20" customWidth="1"/>
    <col min="7169" max="7169" width="29" customWidth="1"/>
    <col min="7170" max="7170" width="19.140625" bestFit="1" customWidth="1"/>
    <col min="7171" max="7171" width="17" bestFit="1" customWidth="1"/>
    <col min="7172" max="7172" width="11.28515625" bestFit="1" customWidth="1"/>
    <col min="7173" max="7173" width="13.28515625" customWidth="1"/>
    <col min="7174" max="7174" width="18.42578125" customWidth="1"/>
    <col min="7175" max="7175" width="22.85546875" bestFit="1" customWidth="1"/>
    <col min="7176" max="7176" width="18.28515625" customWidth="1"/>
    <col min="7177" max="7177" width="17" customWidth="1"/>
    <col min="7178" max="7178" width="16.7109375" customWidth="1"/>
    <col min="7179" max="7179" width="20" customWidth="1"/>
    <col min="7425" max="7425" width="29" customWidth="1"/>
    <col min="7426" max="7426" width="19.140625" bestFit="1" customWidth="1"/>
    <col min="7427" max="7427" width="17" bestFit="1" customWidth="1"/>
    <col min="7428" max="7428" width="11.28515625" bestFit="1" customWidth="1"/>
    <col min="7429" max="7429" width="13.28515625" customWidth="1"/>
    <col min="7430" max="7430" width="18.42578125" customWidth="1"/>
    <col min="7431" max="7431" width="22.85546875" bestFit="1" customWidth="1"/>
    <col min="7432" max="7432" width="18.28515625" customWidth="1"/>
    <col min="7433" max="7433" width="17" customWidth="1"/>
    <col min="7434" max="7434" width="16.7109375" customWidth="1"/>
    <col min="7435" max="7435" width="20" customWidth="1"/>
    <col min="7681" max="7681" width="29" customWidth="1"/>
    <col min="7682" max="7682" width="19.140625" bestFit="1" customWidth="1"/>
    <col min="7683" max="7683" width="17" bestFit="1" customWidth="1"/>
    <col min="7684" max="7684" width="11.28515625" bestFit="1" customWidth="1"/>
    <col min="7685" max="7685" width="13.28515625" customWidth="1"/>
    <col min="7686" max="7686" width="18.42578125" customWidth="1"/>
    <col min="7687" max="7687" width="22.85546875" bestFit="1" customWidth="1"/>
    <col min="7688" max="7688" width="18.28515625" customWidth="1"/>
    <col min="7689" max="7689" width="17" customWidth="1"/>
    <col min="7690" max="7690" width="16.7109375" customWidth="1"/>
    <col min="7691" max="7691" width="20" customWidth="1"/>
    <col min="7937" max="7937" width="29" customWidth="1"/>
    <col min="7938" max="7938" width="19.140625" bestFit="1" customWidth="1"/>
    <col min="7939" max="7939" width="17" bestFit="1" customWidth="1"/>
    <col min="7940" max="7940" width="11.28515625" bestFit="1" customWidth="1"/>
    <col min="7941" max="7941" width="13.28515625" customWidth="1"/>
    <col min="7942" max="7942" width="18.42578125" customWidth="1"/>
    <col min="7943" max="7943" width="22.85546875" bestFit="1" customWidth="1"/>
    <col min="7944" max="7944" width="18.28515625" customWidth="1"/>
    <col min="7945" max="7945" width="17" customWidth="1"/>
    <col min="7946" max="7946" width="16.7109375" customWidth="1"/>
    <col min="7947" max="7947" width="20" customWidth="1"/>
    <col min="8193" max="8193" width="29" customWidth="1"/>
    <col min="8194" max="8194" width="19.140625" bestFit="1" customWidth="1"/>
    <col min="8195" max="8195" width="17" bestFit="1" customWidth="1"/>
    <col min="8196" max="8196" width="11.28515625" bestFit="1" customWidth="1"/>
    <col min="8197" max="8197" width="13.28515625" customWidth="1"/>
    <col min="8198" max="8198" width="18.42578125" customWidth="1"/>
    <col min="8199" max="8199" width="22.85546875" bestFit="1" customWidth="1"/>
    <col min="8200" max="8200" width="18.28515625" customWidth="1"/>
    <col min="8201" max="8201" width="17" customWidth="1"/>
    <col min="8202" max="8202" width="16.7109375" customWidth="1"/>
    <col min="8203" max="8203" width="20" customWidth="1"/>
    <col min="8449" max="8449" width="29" customWidth="1"/>
    <col min="8450" max="8450" width="19.140625" bestFit="1" customWidth="1"/>
    <col min="8451" max="8451" width="17" bestFit="1" customWidth="1"/>
    <col min="8452" max="8452" width="11.28515625" bestFit="1" customWidth="1"/>
    <col min="8453" max="8453" width="13.28515625" customWidth="1"/>
    <col min="8454" max="8454" width="18.42578125" customWidth="1"/>
    <col min="8455" max="8455" width="22.85546875" bestFit="1" customWidth="1"/>
    <col min="8456" max="8456" width="18.28515625" customWidth="1"/>
    <col min="8457" max="8457" width="17" customWidth="1"/>
    <col min="8458" max="8458" width="16.7109375" customWidth="1"/>
    <col min="8459" max="8459" width="20" customWidth="1"/>
    <col min="8705" max="8705" width="29" customWidth="1"/>
    <col min="8706" max="8706" width="19.140625" bestFit="1" customWidth="1"/>
    <col min="8707" max="8707" width="17" bestFit="1" customWidth="1"/>
    <col min="8708" max="8708" width="11.28515625" bestFit="1" customWidth="1"/>
    <col min="8709" max="8709" width="13.28515625" customWidth="1"/>
    <col min="8710" max="8710" width="18.42578125" customWidth="1"/>
    <col min="8711" max="8711" width="22.85546875" bestFit="1" customWidth="1"/>
    <col min="8712" max="8712" width="18.28515625" customWidth="1"/>
    <col min="8713" max="8713" width="17" customWidth="1"/>
    <col min="8714" max="8714" width="16.7109375" customWidth="1"/>
    <col min="8715" max="8715" width="20" customWidth="1"/>
    <col min="8961" max="8961" width="29" customWidth="1"/>
    <col min="8962" max="8962" width="19.140625" bestFit="1" customWidth="1"/>
    <col min="8963" max="8963" width="17" bestFit="1" customWidth="1"/>
    <col min="8964" max="8964" width="11.28515625" bestFit="1" customWidth="1"/>
    <col min="8965" max="8965" width="13.28515625" customWidth="1"/>
    <col min="8966" max="8966" width="18.42578125" customWidth="1"/>
    <col min="8967" max="8967" width="22.85546875" bestFit="1" customWidth="1"/>
    <col min="8968" max="8968" width="18.28515625" customWidth="1"/>
    <col min="8969" max="8969" width="17" customWidth="1"/>
    <col min="8970" max="8970" width="16.7109375" customWidth="1"/>
    <col min="8971" max="8971" width="20" customWidth="1"/>
    <col min="9217" max="9217" width="29" customWidth="1"/>
    <col min="9218" max="9218" width="19.140625" bestFit="1" customWidth="1"/>
    <col min="9219" max="9219" width="17" bestFit="1" customWidth="1"/>
    <col min="9220" max="9220" width="11.28515625" bestFit="1" customWidth="1"/>
    <col min="9221" max="9221" width="13.28515625" customWidth="1"/>
    <col min="9222" max="9222" width="18.42578125" customWidth="1"/>
    <col min="9223" max="9223" width="22.85546875" bestFit="1" customWidth="1"/>
    <col min="9224" max="9224" width="18.28515625" customWidth="1"/>
    <col min="9225" max="9225" width="17" customWidth="1"/>
    <col min="9226" max="9226" width="16.7109375" customWidth="1"/>
    <col min="9227" max="9227" width="20" customWidth="1"/>
    <col min="9473" max="9473" width="29" customWidth="1"/>
    <col min="9474" max="9474" width="19.140625" bestFit="1" customWidth="1"/>
    <col min="9475" max="9475" width="17" bestFit="1" customWidth="1"/>
    <col min="9476" max="9476" width="11.28515625" bestFit="1" customWidth="1"/>
    <col min="9477" max="9477" width="13.28515625" customWidth="1"/>
    <col min="9478" max="9478" width="18.42578125" customWidth="1"/>
    <col min="9479" max="9479" width="22.85546875" bestFit="1" customWidth="1"/>
    <col min="9480" max="9480" width="18.28515625" customWidth="1"/>
    <col min="9481" max="9481" width="17" customWidth="1"/>
    <col min="9482" max="9482" width="16.7109375" customWidth="1"/>
    <col min="9483" max="9483" width="20" customWidth="1"/>
    <col min="9729" max="9729" width="29" customWidth="1"/>
    <col min="9730" max="9730" width="19.140625" bestFit="1" customWidth="1"/>
    <col min="9731" max="9731" width="17" bestFit="1" customWidth="1"/>
    <col min="9732" max="9732" width="11.28515625" bestFit="1" customWidth="1"/>
    <col min="9733" max="9733" width="13.28515625" customWidth="1"/>
    <col min="9734" max="9734" width="18.42578125" customWidth="1"/>
    <col min="9735" max="9735" width="22.85546875" bestFit="1" customWidth="1"/>
    <col min="9736" max="9736" width="18.28515625" customWidth="1"/>
    <col min="9737" max="9737" width="17" customWidth="1"/>
    <col min="9738" max="9738" width="16.7109375" customWidth="1"/>
    <col min="9739" max="9739" width="20" customWidth="1"/>
    <col min="9985" max="9985" width="29" customWidth="1"/>
    <col min="9986" max="9986" width="19.140625" bestFit="1" customWidth="1"/>
    <col min="9987" max="9987" width="17" bestFit="1" customWidth="1"/>
    <col min="9988" max="9988" width="11.28515625" bestFit="1" customWidth="1"/>
    <col min="9989" max="9989" width="13.28515625" customWidth="1"/>
    <col min="9990" max="9990" width="18.42578125" customWidth="1"/>
    <col min="9991" max="9991" width="22.85546875" bestFit="1" customWidth="1"/>
    <col min="9992" max="9992" width="18.28515625" customWidth="1"/>
    <col min="9993" max="9993" width="17" customWidth="1"/>
    <col min="9994" max="9994" width="16.7109375" customWidth="1"/>
    <col min="9995" max="9995" width="20" customWidth="1"/>
    <col min="10241" max="10241" width="29" customWidth="1"/>
    <col min="10242" max="10242" width="19.140625" bestFit="1" customWidth="1"/>
    <col min="10243" max="10243" width="17" bestFit="1" customWidth="1"/>
    <col min="10244" max="10244" width="11.28515625" bestFit="1" customWidth="1"/>
    <col min="10245" max="10245" width="13.28515625" customWidth="1"/>
    <col min="10246" max="10246" width="18.42578125" customWidth="1"/>
    <col min="10247" max="10247" width="22.85546875" bestFit="1" customWidth="1"/>
    <col min="10248" max="10248" width="18.28515625" customWidth="1"/>
    <col min="10249" max="10249" width="17" customWidth="1"/>
    <col min="10250" max="10250" width="16.7109375" customWidth="1"/>
    <col min="10251" max="10251" width="20" customWidth="1"/>
    <col min="10497" max="10497" width="29" customWidth="1"/>
    <col min="10498" max="10498" width="19.140625" bestFit="1" customWidth="1"/>
    <col min="10499" max="10499" width="17" bestFit="1" customWidth="1"/>
    <col min="10500" max="10500" width="11.28515625" bestFit="1" customWidth="1"/>
    <col min="10501" max="10501" width="13.28515625" customWidth="1"/>
    <col min="10502" max="10502" width="18.42578125" customWidth="1"/>
    <col min="10503" max="10503" width="22.85546875" bestFit="1" customWidth="1"/>
    <col min="10504" max="10504" width="18.28515625" customWidth="1"/>
    <col min="10505" max="10505" width="17" customWidth="1"/>
    <col min="10506" max="10506" width="16.7109375" customWidth="1"/>
    <col min="10507" max="10507" width="20" customWidth="1"/>
    <col min="10753" max="10753" width="29" customWidth="1"/>
    <col min="10754" max="10754" width="19.140625" bestFit="1" customWidth="1"/>
    <col min="10755" max="10755" width="17" bestFit="1" customWidth="1"/>
    <col min="10756" max="10756" width="11.28515625" bestFit="1" customWidth="1"/>
    <col min="10757" max="10757" width="13.28515625" customWidth="1"/>
    <col min="10758" max="10758" width="18.42578125" customWidth="1"/>
    <col min="10759" max="10759" width="22.85546875" bestFit="1" customWidth="1"/>
    <col min="10760" max="10760" width="18.28515625" customWidth="1"/>
    <col min="10761" max="10761" width="17" customWidth="1"/>
    <col min="10762" max="10762" width="16.7109375" customWidth="1"/>
    <col min="10763" max="10763" width="20" customWidth="1"/>
    <col min="11009" max="11009" width="29" customWidth="1"/>
    <col min="11010" max="11010" width="19.140625" bestFit="1" customWidth="1"/>
    <col min="11011" max="11011" width="17" bestFit="1" customWidth="1"/>
    <col min="11012" max="11012" width="11.28515625" bestFit="1" customWidth="1"/>
    <col min="11013" max="11013" width="13.28515625" customWidth="1"/>
    <col min="11014" max="11014" width="18.42578125" customWidth="1"/>
    <col min="11015" max="11015" width="22.85546875" bestFit="1" customWidth="1"/>
    <col min="11016" max="11016" width="18.28515625" customWidth="1"/>
    <col min="11017" max="11017" width="17" customWidth="1"/>
    <col min="11018" max="11018" width="16.7109375" customWidth="1"/>
    <col min="11019" max="11019" width="20" customWidth="1"/>
    <col min="11265" max="11265" width="29" customWidth="1"/>
    <col min="11266" max="11266" width="19.140625" bestFit="1" customWidth="1"/>
    <col min="11267" max="11267" width="17" bestFit="1" customWidth="1"/>
    <col min="11268" max="11268" width="11.28515625" bestFit="1" customWidth="1"/>
    <col min="11269" max="11269" width="13.28515625" customWidth="1"/>
    <col min="11270" max="11270" width="18.42578125" customWidth="1"/>
    <col min="11271" max="11271" width="22.85546875" bestFit="1" customWidth="1"/>
    <col min="11272" max="11272" width="18.28515625" customWidth="1"/>
    <col min="11273" max="11273" width="17" customWidth="1"/>
    <col min="11274" max="11274" width="16.7109375" customWidth="1"/>
    <col min="11275" max="11275" width="20" customWidth="1"/>
    <col min="11521" max="11521" width="29" customWidth="1"/>
    <col min="11522" max="11522" width="19.140625" bestFit="1" customWidth="1"/>
    <col min="11523" max="11523" width="17" bestFit="1" customWidth="1"/>
    <col min="11524" max="11524" width="11.28515625" bestFit="1" customWidth="1"/>
    <col min="11525" max="11525" width="13.28515625" customWidth="1"/>
    <col min="11526" max="11526" width="18.42578125" customWidth="1"/>
    <col min="11527" max="11527" width="22.85546875" bestFit="1" customWidth="1"/>
    <col min="11528" max="11528" width="18.28515625" customWidth="1"/>
    <col min="11529" max="11529" width="17" customWidth="1"/>
    <col min="11530" max="11530" width="16.7109375" customWidth="1"/>
    <col min="11531" max="11531" width="20" customWidth="1"/>
    <col min="11777" max="11777" width="29" customWidth="1"/>
    <col min="11778" max="11778" width="19.140625" bestFit="1" customWidth="1"/>
    <col min="11779" max="11779" width="17" bestFit="1" customWidth="1"/>
    <col min="11780" max="11780" width="11.28515625" bestFit="1" customWidth="1"/>
    <col min="11781" max="11781" width="13.28515625" customWidth="1"/>
    <col min="11782" max="11782" width="18.42578125" customWidth="1"/>
    <col min="11783" max="11783" width="22.85546875" bestFit="1" customWidth="1"/>
    <col min="11784" max="11784" width="18.28515625" customWidth="1"/>
    <col min="11785" max="11785" width="17" customWidth="1"/>
    <col min="11786" max="11786" width="16.7109375" customWidth="1"/>
    <col min="11787" max="11787" width="20" customWidth="1"/>
    <col min="12033" max="12033" width="29" customWidth="1"/>
    <col min="12034" max="12034" width="19.140625" bestFit="1" customWidth="1"/>
    <col min="12035" max="12035" width="17" bestFit="1" customWidth="1"/>
    <col min="12036" max="12036" width="11.28515625" bestFit="1" customWidth="1"/>
    <col min="12037" max="12037" width="13.28515625" customWidth="1"/>
    <col min="12038" max="12038" width="18.42578125" customWidth="1"/>
    <col min="12039" max="12039" width="22.85546875" bestFit="1" customWidth="1"/>
    <col min="12040" max="12040" width="18.28515625" customWidth="1"/>
    <col min="12041" max="12041" width="17" customWidth="1"/>
    <col min="12042" max="12042" width="16.7109375" customWidth="1"/>
    <col min="12043" max="12043" width="20" customWidth="1"/>
    <col min="12289" max="12289" width="29" customWidth="1"/>
    <col min="12290" max="12290" width="19.140625" bestFit="1" customWidth="1"/>
    <col min="12291" max="12291" width="17" bestFit="1" customWidth="1"/>
    <col min="12292" max="12292" width="11.28515625" bestFit="1" customWidth="1"/>
    <col min="12293" max="12293" width="13.28515625" customWidth="1"/>
    <col min="12294" max="12294" width="18.42578125" customWidth="1"/>
    <col min="12295" max="12295" width="22.85546875" bestFit="1" customWidth="1"/>
    <col min="12296" max="12296" width="18.28515625" customWidth="1"/>
    <col min="12297" max="12297" width="17" customWidth="1"/>
    <col min="12298" max="12298" width="16.7109375" customWidth="1"/>
    <col min="12299" max="12299" width="20" customWidth="1"/>
    <col min="12545" max="12545" width="29" customWidth="1"/>
    <col min="12546" max="12546" width="19.140625" bestFit="1" customWidth="1"/>
    <col min="12547" max="12547" width="17" bestFit="1" customWidth="1"/>
    <col min="12548" max="12548" width="11.28515625" bestFit="1" customWidth="1"/>
    <col min="12549" max="12549" width="13.28515625" customWidth="1"/>
    <col min="12550" max="12550" width="18.42578125" customWidth="1"/>
    <col min="12551" max="12551" width="22.85546875" bestFit="1" customWidth="1"/>
    <col min="12552" max="12552" width="18.28515625" customWidth="1"/>
    <col min="12553" max="12553" width="17" customWidth="1"/>
    <col min="12554" max="12554" width="16.7109375" customWidth="1"/>
    <col min="12555" max="12555" width="20" customWidth="1"/>
    <col min="12801" max="12801" width="29" customWidth="1"/>
    <col min="12802" max="12802" width="19.140625" bestFit="1" customWidth="1"/>
    <col min="12803" max="12803" width="17" bestFit="1" customWidth="1"/>
    <col min="12804" max="12804" width="11.28515625" bestFit="1" customWidth="1"/>
    <col min="12805" max="12805" width="13.28515625" customWidth="1"/>
    <col min="12806" max="12806" width="18.42578125" customWidth="1"/>
    <col min="12807" max="12807" width="22.85546875" bestFit="1" customWidth="1"/>
    <col min="12808" max="12808" width="18.28515625" customWidth="1"/>
    <col min="12809" max="12809" width="17" customWidth="1"/>
    <col min="12810" max="12810" width="16.7109375" customWidth="1"/>
    <col min="12811" max="12811" width="20" customWidth="1"/>
    <col min="13057" max="13057" width="29" customWidth="1"/>
    <col min="13058" max="13058" width="19.140625" bestFit="1" customWidth="1"/>
    <col min="13059" max="13059" width="17" bestFit="1" customWidth="1"/>
    <col min="13060" max="13060" width="11.28515625" bestFit="1" customWidth="1"/>
    <col min="13061" max="13061" width="13.28515625" customWidth="1"/>
    <col min="13062" max="13062" width="18.42578125" customWidth="1"/>
    <col min="13063" max="13063" width="22.85546875" bestFit="1" customWidth="1"/>
    <col min="13064" max="13064" width="18.28515625" customWidth="1"/>
    <col min="13065" max="13065" width="17" customWidth="1"/>
    <col min="13066" max="13066" width="16.7109375" customWidth="1"/>
    <col min="13067" max="13067" width="20" customWidth="1"/>
    <col min="13313" max="13313" width="29" customWidth="1"/>
    <col min="13314" max="13314" width="19.140625" bestFit="1" customWidth="1"/>
    <col min="13315" max="13315" width="17" bestFit="1" customWidth="1"/>
    <col min="13316" max="13316" width="11.28515625" bestFit="1" customWidth="1"/>
    <col min="13317" max="13317" width="13.28515625" customWidth="1"/>
    <col min="13318" max="13318" width="18.42578125" customWidth="1"/>
    <col min="13319" max="13319" width="22.85546875" bestFit="1" customWidth="1"/>
    <col min="13320" max="13320" width="18.28515625" customWidth="1"/>
    <col min="13321" max="13321" width="17" customWidth="1"/>
    <col min="13322" max="13322" width="16.7109375" customWidth="1"/>
    <col min="13323" max="13323" width="20" customWidth="1"/>
    <col min="13569" max="13569" width="29" customWidth="1"/>
    <col min="13570" max="13570" width="19.140625" bestFit="1" customWidth="1"/>
    <col min="13571" max="13571" width="17" bestFit="1" customWidth="1"/>
    <col min="13572" max="13572" width="11.28515625" bestFit="1" customWidth="1"/>
    <col min="13573" max="13573" width="13.28515625" customWidth="1"/>
    <col min="13574" max="13574" width="18.42578125" customWidth="1"/>
    <col min="13575" max="13575" width="22.85546875" bestFit="1" customWidth="1"/>
    <col min="13576" max="13576" width="18.28515625" customWidth="1"/>
    <col min="13577" max="13577" width="17" customWidth="1"/>
    <col min="13578" max="13578" width="16.7109375" customWidth="1"/>
    <col min="13579" max="13579" width="20" customWidth="1"/>
    <col min="13825" max="13825" width="29" customWidth="1"/>
    <col min="13826" max="13826" width="19.140625" bestFit="1" customWidth="1"/>
    <col min="13827" max="13827" width="17" bestFit="1" customWidth="1"/>
    <col min="13828" max="13828" width="11.28515625" bestFit="1" customWidth="1"/>
    <col min="13829" max="13829" width="13.28515625" customWidth="1"/>
    <col min="13830" max="13830" width="18.42578125" customWidth="1"/>
    <col min="13831" max="13831" width="22.85546875" bestFit="1" customWidth="1"/>
    <col min="13832" max="13832" width="18.28515625" customWidth="1"/>
    <col min="13833" max="13833" width="17" customWidth="1"/>
    <col min="13834" max="13834" width="16.7109375" customWidth="1"/>
    <col min="13835" max="13835" width="20" customWidth="1"/>
    <col min="14081" max="14081" width="29" customWidth="1"/>
    <col min="14082" max="14082" width="19.140625" bestFit="1" customWidth="1"/>
    <col min="14083" max="14083" width="17" bestFit="1" customWidth="1"/>
    <col min="14084" max="14084" width="11.28515625" bestFit="1" customWidth="1"/>
    <col min="14085" max="14085" width="13.28515625" customWidth="1"/>
    <col min="14086" max="14086" width="18.42578125" customWidth="1"/>
    <col min="14087" max="14087" width="22.85546875" bestFit="1" customWidth="1"/>
    <col min="14088" max="14088" width="18.28515625" customWidth="1"/>
    <col min="14089" max="14089" width="17" customWidth="1"/>
    <col min="14090" max="14090" width="16.7109375" customWidth="1"/>
    <col min="14091" max="14091" width="20" customWidth="1"/>
    <col min="14337" max="14337" width="29" customWidth="1"/>
    <col min="14338" max="14338" width="19.140625" bestFit="1" customWidth="1"/>
    <col min="14339" max="14339" width="17" bestFit="1" customWidth="1"/>
    <col min="14340" max="14340" width="11.28515625" bestFit="1" customWidth="1"/>
    <col min="14341" max="14341" width="13.28515625" customWidth="1"/>
    <col min="14342" max="14342" width="18.42578125" customWidth="1"/>
    <col min="14343" max="14343" width="22.85546875" bestFit="1" customWidth="1"/>
    <col min="14344" max="14344" width="18.28515625" customWidth="1"/>
    <col min="14345" max="14345" width="17" customWidth="1"/>
    <col min="14346" max="14346" width="16.7109375" customWidth="1"/>
    <col min="14347" max="14347" width="20" customWidth="1"/>
    <col min="14593" max="14593" width="29" customWidth="1"/>
    <col min="14594" max="14594" width="19.140625" bestFit="1" customWidth="1"/>
    <col min="14595" max="14595" width="17" bestFit="1" customWidth="1"/>
    <col min="14596" max="14596" width="11.28515625" bestFit="1" customWidth="1"/>
    <col min="14597" max="14597" width="13.28515625" customWidth="1"/>
    <col min="14598" max="14598" width="18.42578125" customWidth="1"/>
    <col min="14599" max="14599" width="22.85546875" bestFit="1" customWidth="1"/>
    <col min="14600" max="14600" width="18.28515625" customWidth="1"/>
    <col min="14601" max="14601" width="17" customWidth="1"/>
    <col min="14602" max="14602" width="16.7109375" customWidth="1"/>
    <col min="14603" max="14603" width="20" customWidth="1"/>
    <col min="14849" max="14849" width="29" customWidth="1"/>
    <col min="14850" max="14850" width="19.140625" bestFit="1" customWidth="1"/>
    <col min="14851" max="14851" width="17" bestFit="1" customWidth="1"/>
    <col min="14852" max="14852" width="11.28515625" bestFit="1" customWidth="1"/>
    <col min="14853" max="14853" width="13.28515625" customWidth="1"/>
    <col min="14854" max="14854" width="18.42578125" customWidth="1"/>
    <col min="14855" max="14855" width="22.85546875" bestFit="1" customWidth="1"/>
    <col min="14856" max="14856" width="18.28515625" customWidth="1"/>
    <col min="14857" max="14857" width="17" customWidth="1"/>
    <col min="14858" max="14858" width="16.7109375" customWidth="1"/>
    <col min="14859" max="14859" width="20" customWidth="1"/>
    <col min="15105" max="15105" width="29" customWidth="1"/>
    <col min="15106" max="15106" width="19.140625" bestFit="1" customWidth="1"/>
    <col min="15107" max="15107" width="17" bestFit="1" customWidth="1"/>
    <col min="15108" max="15108" width="11.28515625" bestFit="1" customWidth="1"/>
    <col min="15109" max="15109" width="13.28515625" customWidth="1"/>
    <col min="15110" max="15110" width="18.42578125" customWidth="1"/>
    <col min="15111" max="15111" width="22.85546875" bestFit="1" customWidth="1"/>
    <col min="15112" max="15112" width="18.28515625" customWidth="1"/>
    <col min="15113" max="15113" width="17" customWidth="1"/>
    <col min="15114" max="15114" width="16.7109375" customWidth="1"/>
    <col min="15115" max="15115" width="20" customWidth="1"/>
    <col min="15361" max="15361" width="29" customWidth="1"/>
    <col min="15362" max="15362" width="19.140625" bestFit="1" customWidth="1"/>
    <col min="15363" max="15363" width="17" bestFit="1" customWidth="1"/>
    <col min="15364" max="15364" width="11.28515625" bestFit="1" customWidth="1"/>
    <col min="15365" max="15365" width="13.28515625" customWidth="1"/>
    <col min="15366" max="15366" width="18.42578125" customWidth="1"/>
    <col min="15367" max="15367" width="22.85546875" bestFit="1" customWidth="1"/>
    <col min="15368" max="15368" width="18.28515625" customWidth="1"/>
    <col min="15369" max="15369" width="17" customWidth="1"/>
    <col min="15370" max="15370" width="16.7109375" customWidth="1"/>
    <col min="15371" max="15371" width="20" customWidth="1"/>
    <col min="15617" max="15617" width="29" customWidth="1"/>
    <col min="15618" max="15618" width="19.140625" bestFit="1" customWidth="1"/>
    <col min="15619" max="15619" width="17" bestFit="1" customWidth="1"/>
    <col min="15620" max="15620" width="11.28515625" bestFit="1" customWidth="1"/>
    <col min="15621" max="15621" width="13.28515625" customWidth="1"/>
    <col min="15622" max="15622" width="18.42578125" customWidth="1"/>
    <col min="15623" max="15623" width="22.85546875" bestFit="1" customWidth="1"/>
    <col min="15624" max="15624" width="18.28515625" customWidth="1"/>
    <col min="15625" max="15625" width="17" customWidth="1"/>
    <col min="15626" max="15626" width="16.7109375" customWidth="1"/>
    <col min="15627" max="15627" width="20" customWidth="1"/>
    <col min="15873" max="15873" width="29" customWidth="1"/>
    <col min="15874" max="15874" width="19.140625" bestFit="1" customWidth="1"/>
    <col min="15875" max="15875" width="17" bestFit="1" customWidth="1"/>
    <col min="15876" max="15876" width="11.28515625" bestFit="1" customWidth="1"/>
    <col min="15877" max="15877" width="13.28515625" customWidth="1"/>
    <col min="15878" max="15878" width="18.42578125" customWidth="1"/>
    <col min="15879" max="15879" width="22.85546875" bestFit="1" customWidth="1"/>
    <col min="15880" max="15880" width="18.28515625" customWidth="1"/>
    <col min="15881" max="15881" width="17" customWidth="1"/>
    <col min="15882" max="15882" width="16.7109375" customWidth="1"/>
    <col min="15883" max="15883" width="20" customWidth="1"/>
    <col min="16129" max="16129" width="29" customWidth="1"/>
    <col min="16130" max="16130" width="19.140625" bestFit="1" customWidth="1"/>
    <col min="16131" max="16131" width="17" bestFit="1" customWidth="1"/>
    <col min="16132" max="16132" width="11.28515625" bestFit="1" customWidth="1"/>
    <col min="16133" max="16133" width="13.28515625" customWidth="1"/>
    <col min="16134" max="16134" width="18.42578125" customWidth="1"/>
    <col min="16135" max="16135" width="22.85546875" bestFit="1" customWidth="1"/>
    <col min="16136" max="16136" width="18.28515625" customWidth="1"/>
    <col min="16137" max="16137" width="17" customWidth="1"/>
    <col min="16138" max="16138" width="16.7109375" customWidth="1"/>
    <col min="16139" max="16139" width="20" customWidth="1"/>
  </cols>
  <sheetData>
    <row r="1" spans="1:11" ht="15.75" thickBot="1" x14ac:dyDescent="0.3">
      <c r="A1" s="83"/>
      <c r="B1" s="83"/>
      <c r="C1" s="83"/>
      <c r="D1" s="83"/>
      <c r="E1" s="83"/>
      <c r="F1" s="83"/>
      <c r="G1" s="83"/>
      <c r="H1" s="83"/>
    </row>
    <row r="2" spans="1:11" ht="15.75" x14ac:dyDescent="0.25">
      <c r="A2" s="527" t="s">
        <v>2989</v>
      </c>
      <c r="B2" s="528"/>
      <c r="C2" s="528"/>
      <c r="D2" s="528"/>
      <c r="E2" s="528"/>
      <c r="F2" s="528"/>
      <c r="G2" s="528"/>
      <c r="H2" s="528"/>
      <c r="I2" s="528"/>
      <c r="J2" s="529"/>
    </row>
    <row r="3" spans="1:11" ht="15.75" x14ac:dyDescent="0.25">
      <c r="A3" s="530" t="s">
        <v>2990</v>
      </c>
      <c r="B3" s="531"/>
      <c r="C3" s="531"/>
      <c r="D3" s="531"/>
      <c r="E3" s="531"/>
      <c r="F3" s="531"/>
      <c r="G3" s="531"/>
      <c r="H3" s="531"/>
      <c r="I3" s="531"/>
      <c r="J3" s="532"/>
    </row>
    <row r="4" spans="1:11" ht="16.5" thickBot="1" x14ac:dyDescent="0.3">
      <c r="A4" s="533" t="s">
        <v>2991</v>
      </c>
      <c r="B4" s="534"/>
      <c r="C4" s="534"/>
      <c r="D4" s="534"/>
      <c r="E4" s="534"/>
      <c r="F4" s="534"/>
      <c r="G4" s="534"/>
      <c r="H4" s="534"/>
      <c r="I4" s="534"/>
      <c r="J4" s="535"/>
    </row>
    <row r="5" spans="1:11" ht="16.5" thickBot="1" x14ac:dyDescent="0.3">
      <c r="A5" s="536" t="s">
        <v>3024</v>
      </c>
      <c r="B5" s="537"/>
      <c r="C5" s="537"/>
      <c r="D5" s="537"/>
      <c r="E5" s="537"/>
      <c r="F5" s="537"/>
      <c r="G5" s="537"/>
      <c r="H5" s="537"/>
      <c r="I5" s="537"/>
      <c r="J5" s="538"/>
    </row>
    <row r="6" spans="1:11" ht="48" thickBot="1" x14ac:dyDescent="0.3">
      <c r="A6" s="196" t="s">
        <v>13</v>
      </c>
      <c r="B6" s="197" t="s">
        <v>14</v>
      </c>
      <c r="C6" s="197" t="s">
        <v>22</v>
      </c>
      <c r="D6" s="198" t="s">
        <v>48</v>
      </c>
      <c r="E6" s="199" t="s">
        <v>2992</v>
      </c>
      <c r="F6" s="224" t="s">
        <v>20</v>
      </c>
      <c r="G6" s="224" t="s">
        <v>2993</v>
      </c>
      <c r="H6" s="200" t="s">
        <v>2994</v>
      </c>
      <c r="I6" s="200" t="s">
        <v>2995</v>
      </c>
      <c r="J6" s="224" t="s">
        <v>17</v>
      </c>
    </row>
    <row r="7" spans="1:11" ht="30" thickBot="1" x14ac:dyDescent="0.3">
      <c r="A7" s="201" t="s">
        <v>2996</v>
      </c>
      <c r="B7" s="202" t="s">
        <v>18</v>
      </c>
      <c r="C7" s="203">
        <v>611516974</v>
      </c>
      <c r="D7" s="204" t="s">
        <v>2997</v>
      </c>
      <c r="E7" s="267">
        <v>4.1480000000000003E-2</v>
      </c>
      <c r="F7" s="269" t="e">
        <f>#REF!</f>
        <v>#REF!</v>
      </c>
      <c r="G7" s="206" t="e">
        <f>#REF!</f>
        <v>#REF!</v>
      </c>
      <c r="H7" s="207">
        <v>0</v>
      </c>
      <c r="I7" s="208" t="e">
        <f>#REF!</f>
        <v>#REF!</v>
      </c>
      <c r="J7" s="274" t="e">
        <f>+H7+I7</f>
        <v>#REF!</v>
      </c>
    </row>
    <row r="8" spans="1:11" ht="29.25" x14ac:dyDescent="0.25">
      <c r="A8" s="226" t="s">
        <v>3001</v>
      </c>
      <c r="B8" s="209"/>
      <c r="C8" s="203">
        <v>611516974</v>
      </c>
      <c r="D8" s="204" t="s">
        <v>2997</v>
      </c>
      <c r="E8" s="268">
        <v>4.1480000000000003E-2</v>
      </c>
      <c r="F8" s="270" t="e">
        <f>#REF!</f>
        <v>#REF!</v>
      </c>
      <c r="G8" s="271" t="e">
        <f>#REF!</f>
        <v>#REF!</v>
      </c>
      <c r="H8" s="207">
        <v>0</v>
      </c>
      <c r="I8" s="211" t="e">
        <f>#REF!</f>
        <v>#REF!</v>
      </c>
      <c r="J8" s="276" t="e">
        <f>H8+I8</f>
        <v>#REF!</v>
      </c>
    </row>
    <row r="9" spans="1:11" ht="29.25" x14ac:dyDescent="0.25">
      <c r="A9" s="227"/>
      <c r="B9" s="209"/>
      <c r="C9" s="203">
        <v>611516974</v>
      </c>
      <c r="D9" s="204" t="s">
        <v>2997</v>
      </c>
      <c r="E9" s="268">
        <v>4.1480000000000003E-2</v>
      </c>
      <c r="F9" s="270" t="e">
        <f>#REF!</f>
        <v>#REF!</v>
      </c>
      <c r="G9" s="271" t="e">
        <f>#REF!</f>
        <v>#REF!</v>
      </c>
      <c r="H9" s="207">
        <v>0</v>
      </c>
      <c r="I9" s="211" t="e">
        <f>#REF!</f>
        <v>#REF!</v>
      </c>
      <c r="J9" s="276" t="e">
        <f>H9+I9</f>
        <v>#REF!</v>
      </c>
    </row>
    <row r="10" spans="1:11" ht="29.25" x14ac:dyDescent="0.25">
      <c r="A10" s="227"/>
      <c r="B10" s="209"/>
      <c r="C10" s="221">
        <v>611516974</v>
      </c>
      <c r="D10" s="204" t="s">
        <v>2997</v>
      </c>
      <c r="E10" s="268">
        <v>4.1480000000000003E-2</v>
      </c>
      <c r="F10" s="270">
        <v>43399</v>
      </c>
      <c r="G10" s="271" t="e">
        <f>#REF!</f>
        <v>#REF!</v>
      </c>
      <c r="H10" s="207">
        <v>0</v>
      </c>
      <c r="I10" s="211" t="e">
        <f>#REF!</f>
        <v>#REF!</v>
      </c>
      <c r="J10" s="276" t="e">
        <f>H10+I10</f>
        <v>#REF!</v>
      </c>
    </row>
    <row r="11" spans="1:11" ht="30" thickBot="1" x14ac:dyDescent="0.3">
      <c r="A11" s="227"/>
      <c r="B11" s="209"/>
      <c r="C11" s="221">
        <v>611516974</v>
      </c>
      <c r="D11" s="204" t="s">
        <v>2997</v>
      </c>
      <c r="E11" s="268">
        <v>4.1459999999999997E-2</v>
      </c>
      <c r="F11" s="272" t="e">
        <f>#REF!</f>
        <v>#REF!</v>
      </c>
      <c r="G11" s="273" t="e">
        <f>#REF!</f>
        <v>#REF!</v>
      </c>
      <c r="H11" s="207">
        <v>0</v>
      </c>
      <c r="I11" s="211" t="e">
        <f>#REF!</f>
        <v>#REF!</v>
      </c>
      <c r="J11" s="275" t="e">
        <f>H11+I11</f>
        <v>#REF!</v>
      </c>
    </row>
    <row r="12" spans="1:11" ht="29.25" thickBot="1" x14ac:dyDescent="0.3">
      <c r="A12" s="222" t="s">
        <v>23</v>
      </c>
      <c r="B12" s="223" t="s">
        <v>24</v>
      </c>
      <c r="C12" s="223" t="s">
        <v>25</v>
      </c>
      <c r="D12" s="539" t="s">
        <v>2969</v>
      </c>
      <c r="E12" s="539"/>
      <c r="F12" s="540"/>
      <c r="G12" s="540"/>
      <c r="H12" s="539"/>
      <c r="I12" s="541"/>
      <c r="J12" s="212" t="e">
        <f>SUM(J7:J11)</f>
        <v>#REF!</v>
      </c>
    </row>
    <row r="13" spans="1:11" x14ac:dyDescent="0.25">
      <c r="A13" s="228"/>
      <c r="B13" s="526" t="s">
        <v>42</v>
      </c>
      <c r="C13" s="526"/>
      <c r="D13" s="213"/>
      <c r="E13" s="214"/>
      <c r="F13" s="214"/>
      <c r="G13" s="214"/>
      <c r="H13" s="214"/>
      <c r="I13" s="214"/>
      <c r="J13" s="215"/>
      <c r="K13" s="216"/>
    </row>
    <row r="14" spans="1:11" x14ac:dyDescent="0.25">
      <c r="A14" s="229"/>
      <c r="B14" s="214"/>
      <c r="C14" s="214"/>
      <c r="D14" s="217"/>
      <c r="E14" s="214"/>
      <c r="F14" s="214"/>
      <c r="G14" s="214"/>
      <c r="H14" s="214"/>
      <c r="I14" s="214"/>
      <c r="J14" s="215"/>
    </row>
    <row r="15" spans="1:11" x14ac:dyDescent="0.25">
      <c r="A15" s="229"/>
      <c r="B15" s="214"/>
      <c r="C15" s="214"/>
      <c r="D15" s="217"/>
      <c r="E15" s="214"/>
      <c r="F15" s="214"/>
      <c r="G15" s="214"/>
      <c r="H15" s="214"/>
      <c r="I15" s="214"/>
      <c r="J15" s="215"/>
    </row>
    <row r="16" spans="1:11" x14ac:dyDescent="0.25">
      <c r="A16" s="229"/>
      <c r="B16" s="214"/>
      <c r="C16" s="214"/>
      <c r="D16" s="217"/>
      <c r="E16" s="214"/>
      <c r="F16" s="214"/>
      <c r="G16" s="214"/>
      <c r="H16" s="214"/>
      <c r="I16" s="214"/>
      <c r="J16" s="215"/>
    </row>
    <row r="17" spans="1:10" x14ac:dyDescent="0.25">
      <c r="A17" s="230"/>
      <c r="B17" s="217"/>
      <c r="C17" s="217"/>
      <c r="D17" s="217"/>
      <c r="E17" s="214"/>
      <c r="F17" s="214"/>
      <c r="G17" s="214"/>
      <c r="H17" s="214"/>
      <c r="I17" s="214"/>
      <c r="J17" s="215"/>
    </row>
    <row r="18" spans="1:10" x14ac:dyDescent="0.25">
      <c r="A18" s="230"/>
      <c r="B18" s="217"/>
      <c r="C18" s="217"/>
      <c r="D18" s="217"/>
      <c r="E18" s="214"/>
      <c r="F18" s="214"/>
      <c r="G18" s="214"/>
      <c r="H18" s="214"/>
      <c r="I18" s="214"/>
      <c r="J18" s="215"/>
    </row>
    <row r="19" spans="1:10" x14ac:dyDescent="0.25">
      <c r="A19" s="230"/>
      <c r="B19" s="217"/>
      <c r="C19" s="217"/>
      <c r="D19" s="217"/>
      <c r="E19" s="214"/>
      <c r="F19" s="214"/>
      <c r="G19" s="214"/>
      <c r="H19" s="214"/>
      <c r="I19" s="214"/>
      <c r="J19" s="215"/>
    </row>
    <row r="20" spans="1:10" x14ac:dyDescent="0.25">
      <c r="A20" s="230"/>
      <c r="B20" s="217"/>
      <c r="C20" s="217"/>
      <c r="D20" s="217"/>
      <c r="E20" s="214"/>
      <c r="F20" s="214"/>
      <c r="G20" s="214"/>
      <c r="H20" s="214"/>
      <c r="I20" s="214"/>
      <c r="J20" s="215"/>
    </row>
    <row r="21" spans="1:10" x14ac:dyDescent="0.25">
      <c r="A21" s="229"/>
      <c r="B21" s="214"/>
      <c r="C21" s="214"/>
      <c r="D21" s="214"/>
      <c r="E21" s="214"/>
      <c r="F21" s="214"/>
      <c r="G21" s="214"/>
      <c r="H21" s="214"/>
      <c r="I21" s="214"/>
      <c r="J21" s="215"/>
    </row>
    <row r="22" spans="1:10" ht="15.75" x14ac:dyDescent="0.25">
      <c r="A22" s="229"/>
      <c r="B22" s="214"/>
      <c r="C22" s="214"/>
      <c r="D22" s="214"/>
      <c r="E22" s="214"/>
      <c r="F22" s="218" t="s">
        <v>3025</v>
      </c>
      <c r="G22" s="214"/>
      <c r="H22" s="214"/>
      <c r="I22" s="214"/>
      <c r="J22" s="215"/>
    </row>
    <row r="23" spans="1:10" ht="15.75" x14ac:dyDescent="0.25">
      <c r="A23" s="229"/>
      <c r="B23" s="214"/>
      <c r="C23" s="214"/>
      <c r="D23" s="214"/>
      <c r="E23" s="214"/>
      <c r="F23" s="218" t="s">
        <v>3026</v>
      </c>
      <c r="G23" s="214"/>
      <c r="H23" s="214"/>
      <c r="I23" s="214"/>
      <c r="J23" s="215"/>
    </row>
    <row r="24" spans="1:10" x14ac:dyDescent="0.25">
      <c r="A24" s="229"/>
      <c r="B24" s="214"/>
      <c r="C24" s="214"/>
      <c r="D24" s="214"/>
      <c r="E24" s="214"/>
      <c r="F24" s="214"/>
      <c r="G24" s="214"/>
      <c r="H24" s="214"/>
      <c r="I24" s="214"/>
      <c r="J24" s="215"/>
    </row>
    <row r="25" spans="1:10" ht="15.75" thickBot="1" x14ac:dyDescent="0.3">
      <c r="A25" s="231" t="s">
        <v>3000</v>
      </c>
      <c r="B25" s="219"/>
      <c r="C25" s="219"/>
      <c r="D25" s="219"/>
      <c r="E25" s="219"/>
      <c r="F25" s="219"/>
      <c r="G25" s="219"/>
      <c r="H25" s="219"/>
      <c r="I25" s="219"/>
      <c r="J25" s="220"/>
    </row>
  </sheetData>
  <mergeCells count="6">
    <mergeCell ref="B13:C13"/>
    <mergeCell ref="A2:J2"/>
    <mergeCell ref="A3:J3"/>
    <mergeCell ref="A4:J4"/>
    <mergeCell ref="A5:J5"/>
    <mergeCell ref="D12:I12"/>
  </mergeCells>
  <printOptions horizontalCentered="1" verticalCentered="1"/>
  <pageMargins left="0.51181102362204722" right="0.51181102362204722" top="1.7322834645669292" bottom="0.55118110236220474" header="0.31496062992125984" footer="0.31496062992125984"/>
  <pageSetup scale="6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78"/>
  <sheetViews>
    <sheetView workbookViewId="0">
      <selection activeCell="B67" sqref="B67"/>
    </sheetView>
  </sheetViews>
  <sheetFormatPr baseColWidth="10" defaultColWidth="11.5703125" defaultRowHeight="15" x14ac:dyDescent="0.25"/>
  <cols>
    <col min="1" max="1" width="15.42578125" customWidth="1"/>
    <col min="2" max="2" width="21" customWidth="1"/>
    <col min="3" max="3" width="18.7109375" customWidth="1"/>
    <col min="4" max="7" width="16.28515625" customWidth="1"/>
    <col min="8" max="8" width="15.28515625" bestFit="1" customWidth="1"/>
    <col min="9" max="9" width="16.5703125" customWidth="1"/>
    <col min="10" max="10" width="18.5703125" customWidth="1"/>
    <col min="11" max="11" width="20.28515625" bestFit="1" customWidth="1"/>
    <col min="12" max="12" width="17.28515625" customWidth="1"/>
    <col min="13" max="13" width="16.7109375" bestFit="1" customWidth="1"/>
    <col min="14" max="14" width="14.140625" customWidth="1"/>
    <col min="15" max="15" width="13" customWidth="1"/>
    <col min="16" max="17" width="13.5703125" customWidth="1"/>
    <col min="18" max="18" width="12.42578125" customWidth="1"/>
    <col min="19" max="19" width="13.7109375" bestFit="1" customWidth="1"/>
    <col min="261" max="261" width="15.42578125" customWidth="1"/>
    <col min="262" max="262" width="20.85546875" customWidth="1"/>
    <col min="263" max="263" width="18.7109375" customWidth="1"/>
    <col min="264" max="264" width="14.42578125" customWidth="1"/>
    <col min="265" max="265" width="16.5703125" customWidth="1"/>
    <col min="266" max="266" width="18.5703125" customWidth="1"/>
    <col min="267" max="267" width="12.85546875" customWidth="1"/>
    <col min="268" max="268" width="17.28515625" customWidth="1"/>
    <col min="269" max="269" width="13" customWidth="1"/>
    <col min="270" max="270" width="14.140625" customWidth="1"/>
    <col min="271" max="271" width="13" customWidth="1"/>
    <col min="272" max="273" width="13.5703125" customWidth="1"/>
    <col min="274" max="274" width="12.42578125" customWidth="1"/>
    <col min="275" max="275" width="13.7109375" bestFit="1" customWidth="1"/>
    <col min="517" max="517" width="15.42578125" customWidth="1"/>
    <col min="518" max="518" width="20.85546875" customWidth="1"/>
    <col min="519" max="519" width="18.7109375" customWidth="1"/>
    <col min="520" max="520" width="14.42578125" customWidth="1"/>
    <col min="521" max="521" width="16.5703125" customWidth="1"/>
    <col min="522" max="522" width="18.5703125" customWidth="1"/>
    <col min="523" max="523" width="12.85546875" customWidth="1"/>
    <col min="524" max="524" width="17.28515625" customWidth="1"/>
    <col min="525" max="525" width="13" customWidth="1"/>
    <col min="526" max="526" width="14.140625" customWidth="1"/>
    <col min="527" max="527" width="13" customWidth="1"/>
    <col min="528" max="529" width="13.5703125" customWidth="1"/>
    <col min="530" max="530" width="12.42578125" customWidth="1"/>
    <col min="531" max="531" width="13.7109375" bestFit="1" customWidth="1"/>
    <col min="773" max="773" width="15.42578125" customWidth="1"/>
    <col min="774" max="774" width="20.85546875" customWidth="1"/>
    <col min="775" max="775" width="18.7109375" customWidth="1"/>
    <col min="776" max="776" width="14.42578125" customWidth="1"/>
    <col min="777" max="777" width="16.5703125" customWidth="1"/>
    <col min="778" max="778" width="18.5703125" customWidth="1"/>
    <col min="779" max="779" width="12.85546875" customWidth="1"/>
    <col min="780" max="780" width="17.28515625" customWidth="1"/>
    <col min="781" max="781" width="13" customWidth="1"/>
    <col min="782" max="782" width="14.140625" customWidth="1"/>
    <col min="783" max="783" width="13" customWidth="1"/>
    <col min="784" max="785" width="13.5703125" customWidth="1"/>
    <col min="786" max="786" width="12.42578125" customWidth="1"/>
    <col min="787" max="787" width="13.7109375" bestFit="1" customWidth="1"/>
    <col min="1029" max="1029" width="15.42578125" customWidth="1"/>
    <col min="1030" max="1030" width="20.85546875" customWidth="1"/>
    <col min="1031" max="1031" width="18.7109375" customWidth="1"/>
    <col min="1032" max="1032" width="14.42578125" customWidth="1"/>
    <col min="1033" max="1033" width="16.5703125" customWidth="1"/>
    <col min="1034" max="1034" width="18.5703125" customWidth="1"/>
    <col min="1035" max="1035" width="12.85546875" customWidth="1"/>
    <col min="1036" max="1036" width="17.28515625" customWidth="1"/>
    <col min="1037" max="1037" width="13" customWidth="1"/>
    <col min="1038" max="1038" width="14.140625" customWidth="1"/>
    <col min="1039" max="1039" width="13" customWidth="1"/>
    <col min="1040" max="1041" width="13.5703125" customWidth="1"/>
    <col min="1042" max="1042" width="12.42578125" customWidth="1"/>
    <col min="1043" max="1043" width="13.7109375" bestFit="1" customWidth="1"/>
    <col min="1285" max="1285" width="15.42578125" customWidth="1"/>
    <col min="1286" max="1286" width="20.85546875" customWidth="1"/>
    <col min="1287" max="1287" width="18.7109375" customWidth="1"/>
    <col min="1288" max="1288" width="14.42578125" customWidth="1"/>
    <col min="1289" max="1289" width="16.5703125" customWidth="1"/>
    <col min="1290" max="1290" width="18.5703125" customWidth="1"/>
    <col min="1291" max="1291" width="12.85546875" customWidth="1"/>
    <col min="1292" max="1292" width="17.28515625" customWidth="1"/>
    <col min="1293" max="1293" width="13" customWidth="1"/>
    <col min="1294" max="1294" width="14.140625" customWidth="1"/>
    <col min="1295" max="1295" width="13" customWidth="1"/>
    <col min="1296" max="1297" width="13.5703125" customWidth="1"/>
    <col min="1298" max="1298" width="12.42578125" customWidth="1"/>
    <col min="1299" max="1299" width="13.7109375" bestFit="1" customWidth="1"/>
    <col min="1541" max="1541" width="15.42578125" customWidth="1"/>
    <col min="1542" max="1542" width="20.85546875" customWidth="1"/>
    <col min="1543" max="1543" width="18.7109375" customWidth="1"/>
    <col min="1544" max="1544" width="14.42578125" customWidth="1"/>
    <col min="1545" max="1545" width="16.5703125" customWidth="1"/>
    <col min="1546" max="1546" width="18.5703125" customWidth="1"/>
    <col min="1547" max="1547" width="12.85546875" customWidth="1"/>
    <col min="1548" max="1548" width="17.28515625" customWidth="1"/>
    <col min="1549" max="1549" width="13" customWidth="1"/>
    <col min="1550" max="1550" width="14.140625" customWidth="1"/>
    <col min="1551" max="1551" width="13" customWidth="1"/>
    <col min="1552" max="1553" width="13.5703125" customWidth="1"/>
    <col min="1554" max="1554" width="12.42578125" customWidth="1"/>
    <col min="1555" max="1555" width="13.7109375" bestFit="1" customWidth="1"/>
    <col min="1797" max="1797" width="15.42578125" customWidth="1"/>
    <col min="1798" max="1798" width="20.85546875" customWidth="1"/>
    <col min="1799" max="1799" width="18.7109375" customWidth="1"/>
    <col min="1800" max="1800" width="14.42578125" customWidth="1"/>
    <col min="1801" max="1801" width="16.5703125" customWidth="1"/>
    <col min="1802" max="1802" width="18.5703125" customWidth="1"/>
    <col min="1803" max="1803" width="12.85546875" customWidth="1"/>
    <col min="1804" max="1804" width="17.28515625" customWidth="1"/>
    <col min="1805" max="1805" width="13" customWidth="1"/>
    <col min="1806" max="1806" width="14.140625" customWidth="1"/>
    <col min="1807" max="1807" width="13" customWidth="1"/>
    <col min="1808" max="1809" width="13.5703125" customWidth="1"/>
    <col min="1810" max="1810" width="12.42578125" customWidth="1"/>
    <col min="1811" max="1811" width="13.7109375" bestFit="1" customWidth="1"/>
    <col min="2053" max="2053" width="15.42578125" customWidth="1"/>
    <col min="2054" max="2054" width="20.85546875" customWidth="1"/>
    <col min="2055" max="2055" width="18.7109375" customWidth="1"/>
    <col min="2056" max="2056" width="14.42578125" customWidth="1"/>
    <col min="2057" max="2057" width="16.5703125" customWidth="1"/>
    <col min="2058" max="2058" width="18.5703125" customWidth="1"/>
    <col min="2059" max="2059" width="12.85546875" customWidth="1"/>
    <col min="2060" max="2060" width="17.28515625" customWidth="1"/>
    <col min="2061" max="2061" width="13" customWidth="1"/>
    <col min="2062" max="2062" width="14.140625" customWidth="1"/>
    <col min="2063" max="2063" width="13" customWidth="1"/>
    <col min="2064" max="2065" width="13.5703125" customWidth="1"/>
    <col min="2066" max="2066" width="12.42578125" customWidth="1"/>
    <col min="2067" max="2067" width="13.7109375" bestFit="1" customWidth="1"/>
    <col min="2309" max="2309" width="15.42578125" customWidth="1"/>
    <col min="2310" max="2310" width="20.85546875" customWidth="1"/>
    <col min="2311" max="2311" width="18.7109375" customWidth="1"/>
    <col min="2312" max="2312" width="14.42578125" customWidth="1"/>
    <col min="2313" max="2313" width="16.5703125" customWidth="1"/>
    <col min="2314" max="2314" width="18.5703125" customWidth="1"/>
    <col min="2315" max="2315" width="12.85546875" customWidth="1"/>
    <col min="2316" max="2316" width="17.28515625" customWidth="1"/>
    <col min="2317" max="2317" width="13" customWidth="1"/>
    <col min="2318" max="2318" width="14.140625" customWidth="1"/>
    <col min="2319" max="2319" width="13" customWidth="1"/>
    <col min="2320" max="2321" width="13.5703125" customWidth="1"/>
    <col min="2322" max="2322" width="12.42578125" customWidth="1"/>
    <col min="2323" max="2323" width="13.7109375" bestFit="1" customWidth="1"/>
    <col min="2565" max="2565" width="15.42578125" customWidth="1"/>
    <col min="2566" max="2566" width="20.85546875" customWidth="1"/>
    <col min="2567" max="2567" width="18.7109375" customWidth="1"/>
    <col min="2568" max="2568" width="14.42578125" customWidth="1"/>
    <col min="2569" max="2569" width="16.5703125" customWidth="1"/>
    <col min="2570" max="2570" width="18.5703125" customWidth="1"/>
    <col min="2571" max="2571" width="12.85546875" customWidth="1"/>
    <col min="2572" max="2572" width="17.28515625" customWidth="1"/>
    <col min="2573" max="2573" width="13" customWidth="1"/>
    <col min="2574" max="2574" width="14.140625" customWidth="1"/>
    <col min="2575" max="2575" width="13" customWidth="1"/>
    <col min="2576" max="2577" width="13.5703125" customWidth="1"/>
    <col min="2578" max="2578" width="12.42578125" customWidth="1"/>
    <col min="2579" max="2579" width="13.7109375" bestFit="1" customWidth="1"/>
    <col min="2821" max="2821" width="15.42578125" customWidth="1"/>
    <col min="2822" max="2822" width="20.85546875" customWidth="1"/>
    <col min="2823" max="2823" width="18.7109375" customWidth="1"/>
    <col min="2824" max="2824" width="14.42578125" customWidth="1"/>
    <col min="2825" max="2825" width="16.5703125" customWidth="1"/>
    <col min="2826" max="2826" width="18.5703125" customWidth="1"/>
    <col min="2827" max="2827" width="12.85546875" customWidth="1"/>
    <col min="2828" max="2828" width="17.28515625" customWidth="1"/>
    <col min="2829" max="2829" width="13" customWidth="1"/>
    <col min="2830" max="2830" width="14.140625" customWidth="1"/>
    <col min="2831" max="2831" width="13" customWidth="1"/>
    <col min="2832" max="2833" width="13.5703125" customWidth="1"/>
    <col min="2834" max="2834" width="12.42578125" customWidth="1"/>
    <col min="2835" max="2835" width="13.7109375" bestFit="1" customWidth="1"/>
    <col min="3077" max="3077" width="15.42578125" customWidth="1"/>
    <col min="3078" max="3078" width="20.85546875" customWidth="1"/>
    <col min="3079" max="3079" width="18.7109375" customWidth="1"/>
    <col min="3080" max="3080" width="14.42578125" customWidth="1"/>
    <col min="3081" max="3081" width="16.5703125" customWidth="1"/>
    <col min="3082" max="3082" width="18.5703125" customWidth="1"/>
    <col min="3083" max="3083" width="12.85546875" customWidth="1"/>
    <col min="3084" max="3084" width="17.28515625" customWidth="1"/>
    <col min="3085" max="3085" width="13" customWidth="1"/>
    <col min="3086" max="3086" width="14.140625" customWidth="1"/>
    <col min="3087" max="3087" width="13" customWidth="1"/>
    <col min="3088" max="3089" width="13.5703125" customWidth="1"/>
    <col min="3090" max="3090" width="12.42578125" customWidth="1"/>
    <col min="3091" max="3091" width="13.7109375" bestFit="1" customWidth="1"/>
    <col min="3333" max="3333" width="15.42578125" customWidth="1"/>
    <col min="3334" max="3334" width="20.85546875" customWidth="1"/>
    <col min="3335" max="3335" width="18.7109375" customWidth="1"/>
    <col min="3336" max="3336" width="14.42578125" customWidth="1"/>
    <col min="3337" max="3337" width="16.5703125" customWidth="1"/>
    <col min="3338" max="3338" width="18.5703125" customWidth="1"/>
    <col min="3339" max="3339" width="12.85546875" customWidth="1"/>
    <col min="3340" max="3340" width="17.28515625" customWidth="1"/>
    <col min="3341" max="3341" width="13" customWidth="1"/>
    <col min="3342" max="3342" width="14.140625" customWidth="1"/>
    <col min="3343" max="3343" width="13" customWidth="1"/>
    <col min="3344" max="3345" width="13.5703125" customWidth="1"/>
    <col min="3346" max="3346" width="12.42578125" customWidth="1"/>
    <col min="3347" max="3347" width="13.7109375" bestFit="1" customWidth="1"/>
    <col min="3589" max="3589" width="15.42578125" customWidth="1"/>
    <col min="3590" max="3590" width="20.85546875" customWidth="1"/>
    <col min="3591" max="3591" width="18.7109375" customWidth="1"/>
    <col min="3592" max="3592" width="14.42578125" customWidth="1"/>
    <col min="3593" max="3593" width="16.5703125" customWidth="1"/>
    <col min="3594" max="3594" width="18.5703125" customWidth="1"/>
    <col min="3595" max="3595" width="12.85546875" customWidth="1"/>
    <col min="3596" max="3596" width="17.28515625" customWidth="1"/>
    <col min="3597" max="3597" width="13" customWidth="1"/>
    <col min="3598" max="3598" width="14.140625" customWidth="1"/>
    <col min="3599" max="3599" width="13" customWidth="1"/>
    <col min="3600" max="3601" width="13.5703125" customWidth="1"/>
    <col min="3602" max="3602" width="12.42578125" customWidth="1"/>
    <col min="3603" max="3603" width="13.7109375" bestFit="1" customWidth="1"/>
    <col min="3845" max="3845" width="15.42578125" customWidth="1"/>
    <col min="3846" max="3846" width="20.85546875" customWidth="1"/>
    <col min="3847" max="3847" width="18.7109375" customWidth="1"/>
    <col min="3848" max="3848" width="14.42578125" customWidth="1"/>
    <col min="3849" max="3849" width="16.5703125" customWidth="1"/>
    <col min="3850" max="3850" width="18.5703125" customWidth="1"/>
    <col min="3851" max="3851" width="12.85546875" customWidth="1"/>
    <col min="3852" max="3852" width="17.28515625" customWidth="1"/>
    <col min="3853" max="3853" width="13" customWidth="1"/>
    <col min="3854" max="3854" width="14.140625" customWidth="1"/>
    <col min="3855" max="3855" width="13" customWidth="1"/>
    <col min="3856" max="3857" width="13.5703125" customWidth="1"/>
    <col min="3858" max="3858" width="12.42578125" customWidth="1"/>
    <col min="3859" max="3859" width="13.7109375" bestFit="1" customWidth="1"/>
    <col min="4101" max="4101" width="15.42578125" customWidth="1"/>
    <col min="4102" max="4102" width="20.85546875" customWidth="1"/>
    <col min="4103" max="4103" width="18.7109375" customWidth="1"/>
    <col min="4104" max="4104" width="14.42578125" customWidth="1"/>
    <col min="4105" max="4105" width="16.5703125" customWidth="1"/>
    <col min="4106" max="4106" width="18.5703125" customWidth="1"/>
    <col min="4107" max="4107" width="12.85546875" customWidth="1"/>
    <col min="4108" max="4108" width="17.28515625" customWidth="1"/>
    <col min="4109" max="4109" width="13" customWidth="1"/>
    <col min="4110" max="4110" width="14.140625" customWidth="1"/>
    <col min="4111" max="4111" width="13" customWidth="1"/>
    <col min="4112" max="4113" width="13.5703125" customWidth="1"/>
    <col min="4114" max="4114" width="12.42578125" customWidth="1"/>
    <col min="4115" max="4115" width="13.7109375" bestFit="1" customWidth="1"/>
    <col min="4357" max="4357" width="15.42578125" customWidth="1"/>
    <col min="4358" max="4358" width="20.85546875" customWidth="1"/>
    <col min="4359" max="4359" width="18.7109375" customWidth="1"/>
    <col min="4360" max="4360" width="14.42578125" customWidth="1"/>
    <col min="4361" max="4361" width="16.5703125" customWidth="1"/>
    <col min="4362" max="4362" width="18.5703125" customWidth="1"/>
    <col min="4363" max="4363" width="12.85546875" customWidth="1"/>
    <col min="4364" max="4364" width="17.28515625" customWidth="1"/>
    <col min="4365" max="4365" width="13" customWidth="1"/>
    <col min="4366" max="4366" width="14.140625" customWidth="1"/>
    <col min="4367" max="4367" width="13" customWidth="1"/>
    <col min="4368" max="4369" width="13.5703125" customWidth="1"/>
    <col min="4370" max="4370" width="12.42578125" customWidth="1"/>
    <col min="4371" max="4371" width="13.7109375" bestFit="1" customWidth="1"/>
    <col min="4613" max="4613" width="15.42578125" customWidth="1"/>
    <col min="4614" max="4614" width="20.85546875" customWidth="1"/>
    <col min="4615" max="4615" width="18.7109375" customWidth="1"/>
    <col min="4616" max="4616" width="14.42578125" customWidth="1"/>
    <col min="4617" max="4617" width="16.5703125" customWidth="1"/>
    <col min="4618" max="4618" width="18.5703125" customWidth="1"/>
    <col min="4619" max="4619" width="12.85546875" customWidth="1"/>
    <col min="4620" max="4620" width="17.28515625" customWidth="1"/>
    <col min="4621" max="4621" width="13" customWidth="1"/>
    <col min="4622" max="4622" width="14.140625" customWidth="1"/>
    <col min="4623" max="4623" width="13" customWidth="1"/>
    <col min="4624" max="4625" width="13.5703125" customWidth="1"/>
    <col min="4626" max="4626" width="12.42578125" customWidth="1"/>
    <col min="4627" max="4627" width="13.7109375" bestFit="1" customWidth="1"/>
    <col min="4869" max="4869" width="15.42578125" customWidth="1"/>
    <col min="4870" max="4870" width="20.85546875" customWidth="1"/>
    <col min="4871" max="4871" width="18.7109375" customWidth="1"/>
    <col min="4872" max="4872" width="14.42578125" customWidth="1"/>
    <col min="4873" max="4873" width="16.5703125" customWidth="1"/>
    <col min="4874" max="4874" width="18.5703125" customWidth="1"/>
    <col min="4875" max="4875" width="12.85546875" customWidth="1"/>
    <col min="4876" max="4876" width="17.28515625" customWidth="1"/>
    <col min="4877" max="4877" width="13" customWidth="1"/>
    <col min="4878" max="4878" width="14.140625" customWidth="1"/>
    <col min="4879" max="4879" width="13" customWidth="1"/>
    <col min="4880" max="4881" width="13.5703125" customWidth="1"/>
    <col min="4882" max="4882" width="12.42578125" customWidth="1"/>
    <col min="4883" max="4883" width="13.7109375" bestFit="1" customWidth="1"/>
    <col min="5125" max="5125" width="15.42578125" customWidth="1"/>
    <col min="5126" max="5126" width="20.85546875" customWidth="1"/>
    <col min="5127" max="5127" width="18.7109375" customWidth="1"/>
    <col min="5128" max="5128" width="14.42578125" customWidth="1"/>
    <col min="5129" max="5129" width="16.5703125" customWidth="1"/>
    <col min="5130" max="5130" width="18.5703125" customWidth="1"/>
    <col min="5131" max="5131" width="12.85546875" customWidth="1"/>
    <col min="5132" max="5132" width="17.28515625" customWidth="1"/>
    <col min="5133" max="5133" width="13" customWidth="1"/>
    <col min="5134" max="5134" width="14.140625" customWidth="1"/>
    <col min="5135" max="5135" width="13" customWidth="1"/>
    <col min="5136" max="5137" width="13.5703125" customWidth="1"/>
    <col min="5138" max="5138" width="12.42578125" customWidth="1"/>
    <col min="5139" max="5139" width="13.7109375" bestFit="1" customWidth="1"/>
    <col min="5381" max="5381" width="15.42578125" customWidth="1"/>
    <col min="5382" max="5382" width="20.85546875" customWidth="1"/>
    <col min="5383" max="5383" width="18.7109375" customWidth="1"/>
    <col min="5384" max="5384" width="14.42578125" customWidth="1"/>
    <col min="5385" max="5385" width="16.5703125" customWidth="1"/>
    <col min="5386" max="5386" width="18.5703125" customWidth="1"/>
    <col min="5387" max="5387" width="12.85546875" customWidth="1"/>
    <col min="5388" max="5388" width="17.28515625" customWidth="1"/>
    <col min="5389" max="5389" width="13" customWidth="1"/>
    <col min="5390" max="5390" width="14.140625" customWidth="1"/>
    <col min="5391" max="5391" width="13" customWidth="1"/>
    <col min="5392" max="5393" width="13.5703125" customWidth="1"/>
    <col min="5394" max="5394" width="12.42578125" customWidth="1"/>
    <col min="5395" max="5395" width="13.7109375" bestFit="1" customWidth="1"/>
    <col min="5637" max="5637" width="15.42578125" customWidth="1"/>
    <col min="5638" max="5638" width="20.85546875" customWidth="1"/>
    <col min="5639" max="5639" width="18.7109375" customWidth="1"/>
    <col min="5640" max="5640" width="14.42578125" customWidth="1"/>
    <col min="5641" max="5641" width="16.5703125" customWidth="1"/>
    <col min="5642" max="5642" width="18.5703125" customWidth="1"/>
    <col min="5643" max="5643" width="12.85546875" customWidth="1"/>
    <col min="5644" max="5644" width="17.28515625" customWidth="1"/>
    <col min="5645" max="5645" width="13" customWidth="1"/>
    <col min="5646" max="5646" width="14.140625" customWidth="1"/>
    <col min="5647" max="5647" width="13" customWidth="1"/>
    <col min="5648" max="5649" width="13.5703125" customWidth="1"/>
    <col min="5650" max="5650" width="12.42578125" customWidth="1"/>
    <col min="5651" max="5651" width="13.7109375" bestFit="1" customWidth="1"/>
    <col min="5893" max="5893" width="15.42578125" customWidth="1"/>
    <col min="5894" max="5894" width="20.85546875" customWidth="1"/>
    <col min="5895" max="5895" width="18.7109375" customWidth="1"/>
    <col min="5896" max="5896" width="14.42578125" customWidth="1"/>
    <col min="5897" max="5897" width="16.5703125" customWidth="1"/>
    <col min="5898" max="5898" width="18.5703125" customWidth="1"/>
    <col min="5899" max="5899" width="12.85546875" customWidth="1"/>
    <col min="5900" max="5900" width="17.28515625" customWidth="1"/>
    <col min="5901" max="5901" width="13" customWidth="1"/>
    <col min="5902" max="5902" width="14.140625" customWidth="1"/>
    <col min="5903" max="5903" width="13" customWidth="1"/>
    <col min="5904" max="5905" width="13.5703125" customWidth="1"/>
    <col min="5906" max="5906" width="12.42578125" customWidth="1"/>
    <col min="5907" max="5907" width="13.7109375" bestFit="1" customWidth="1"/>
    <col min="6149" max="6149" width="15.42578125" customWidth="1"/>
    <col min="6150" max="6150" width="20.85546875" customWidth="1"/>
    <col min="6151" max="6151" width="18.7109375" customWidth="1"/>
    <col min="6152" max="6152" width="14.42578125" customWidth="1"/>
    <col min="6153" max="6153" width="16.5703125" customWidth="1"/>
    <col min="6154" max="6154" width="18.5703125" customWidth="1"/>
    <col min="6155" max="6155" width="12.85546875" customWidth="1"/>
    <col min="6156" max="6156" width="17.28515625" customWidth="1"/>
    <col min="6157" max="6157" width="13" customWidth="1"/>
    <col min="6158" max="6158" width="14.140625" customWidth="1"/>
    <col min="6159" max="6159" width="13" customWidth="1"/>
    <col min="6160" max="6161" width="13.5703125" customWidth="1"/>
    <col min="6162" max="6162" width="12.42578125" customWidth="1"/>
    <col min="6163" max="6163" width="13.7109375" bestFit="1" customWidth="1"/>
    <col min="6405" max="6405" width="15.42578125" customWidth="1"/>
    <col min="6406" max="6406" width="20.85546875" customWidth="1"/>
    <col min="6407" max="6407" width="18.7109375" customWidth="1"/>
    <col min="6408" max="6408" width="14.42578125" customWidth="1"/>
    <col min="6409" max="6409" width="16.5703125" customWidth="1"/>
    <col min="6410" max="6410" width="18.5703125" customWidth="1"/>
    <col min="6411" max="6411" width="12.85546875" customWidth="1"/>
    <col min="6412" max="6412" width="17.28515625" customWidth="1"/>
    <col min="6413" max="6413" width="13" customWidth="1"/>
    <col min="6414" max="6414" width="14.140625" customWidth="1"/>
    <col min="6415" max="6415" width="13" customWidth="1"/>
    <col min="6416" max="6417" width="13.5703125" customWidth="1"/>
    <col min="6418" max="6418" width="12.42578125" customWidth="1"/>
    <col min="6419" max="6419" width="13.7109375" bestFit="1" customWidth="1"/>
    <col min="6661" max="6661" width="15.42578125" customWidth="1"/>
    <col min="6662" max="6662" width="20.85546875" customWidth="1"/>
    <col min="6663" max="6663" width="18.7109375" customWidth="1"/>
    <col min="6664" max="6664" width="14.42578125" customWidth="1"/>
    <col min="6665" max="6665" width="16.5703125" customWidth="1"/>
    <col min="6666" max="6666" width="18.5703125" customWidth="1"/>
    <col min="6667" max="6667" width="12.85546875" customWidth="1"/>
    <col min="6668" max="6668" width="17.28515625" customWidth="1"/>
    <col min="6669" max="6669" width="13" customWidth="1"/>
    <col min="6670" max="6670" width="14.140625" customWidth="1"/>
    <col min="6671" max="6671" width="13" customWidth="1"/>
    <col min="6672" max="6673" width="13.5703125" customWidth="1"/>
    <col min="6674" max="6674" width="12.42578125" customWidth="1"/>
    <col min="6675" max="6675" width="13.7109375" bestFit="1" customWidth="1"/>
    <col min="6917" max="6917" width="15.42578125" customWidth="1"/>
    <col min="6918" max="6918" width="20.85546875" customWidth="1"/>
    <col min="6919" max="6919" width="18.7109375" customWidth="1"/>
    <col min="6920" max="6920" width="14.42578125" customWidth="1"/>
    <col min="6921" max="6921" width="16.5703125" customWidth="1"/>
    <col min="6922" max="6922" width="18.5703125" customWidth="1"/>
    <col min="6923" max="6923" width="12.85546875" customWidth="1"/>
    <col min="6924" max="6924" width="17.28515625" customWidth="1"/>
    <col min="6925" max="6925" width="13" customWidth="1"/>
    <col min="6926" max="6926" width="14.140625" customWidth="1"/>
    <col min="6927" max="6927" width="13" customWidth="1"/>
    <col min="6928" max="6929" width="13.5703125" customWidth="1"/>
    <col min="6930" max="6930" width="12.42578125" customWidth="1"/>
    <col min="6931" max="6931" width="13.7109375" bestFit="1" customWidth="1"/>
    <col min="7173" max="7173" width="15.42578125" customWidth="1"/>
    <col min="7174" max="7174" width="20.85546875" customWidth="1"/>
    <col min="7175" max="7175" width="18.7109375" customWidth="1"/>
    <col min="7176" max="7176" width="14.42578125" customWidth="1"/>
    <col min="7177" max="7177" width="16.5703125" customWidth="1"/>
    <col min="7178" max="7178" width="18.5703125" customWidth="1"/>
    <col min="7179" max="7179" width="12.85546875" customWidth="1"/>
    <col min="7180" max="7180" width="17.28515625" customWidth="1"/>
    <col min="7181" max="7181" width="13" customWidth="1"/>
    <col min="7182" max="7182" width="14.140625" customWidth="1"/>
    <col min="7183" max="7183" width="13" customWidth="1"/>
    <col min="7184" max="7185" width="13.5703125" customWidth="1"/>
    <col min="7186" max="7186" width="12.42578125" customWidth="1"/>
    <col min="7187" max="7187" width="13.7109375" bestFit="1" customWidth="1"/>
    <col min="7429" max="7429" width="15.42578125" customWidth="1"/>
    <col min="7430" max="7430" width="20.85546875" customWidth="1"/>
    <col min="7431" max="7431" width="18.7109375" customWidth="1"/>
    <col min="7432" max="7432" width="14.42578125" customWidth="1"/>
    <col min="7433" max="7433" width="16.5703125" customWidth="1"/>
    <col min="7434" max="7434" width="18.5703125" customWidth="1"/>
    <col min="7435" max="7435" width="12.85546875" customWidth="1"/>
    <col min="7436" max="7436" width="17.28515625" customWidth="1"/>
    <col min="7437" max="7437" width="13" customWidth="1"/>
    <col min="7438" max="7438" width="14.140625" customWidth="1"/>
    <col min="7439" max="7439" width="13" customWidth="1"/>
    <col min="7440" max="7441" width="13.5703125" customWidth="1"/>
    <col min="7442" max="7442" width="12.42578125" customWidth="1"/>
    <col min="7443" max="7443" width="13.7109375" bestFit="1" customWidth="1"/>
    <col min="7685" max="7685" width="15.42578125" customWidth="1"/>
    <col min="7686" max="7686" width="20.85546875" customWidth="1"/>
    <col min="7687" max="7687" width="18.7109375" customWidth="1"/>
    <col min="7688" max="7688" width="14.42578125" customWidth="1"/>
    <col min="7689" max="7689" width="16.5703125" customWidth="1"/>
    <col min="7690" max="7690" width="18.5703125" customWidth="1"/>
    <col min="7691" max="7691" width="12.85546875" customWidth="1"/>
    <col min="7692" max="7692" width="17.28515625" customWidth="1"/>
    <col min="7693" max="7693" width="13" customWidth="1"/>
    <col min="7694" max="7694" width="14.140625" customWidth="1"/>
    <col min="7695" max="7695" width="13" customWidth="1"/>
    <col min="7696" max="7697" width="13.5703125" customWidth="1"/>
    <col min="7698" max="7698" width="12.42578125" customWidth="1"/>
    <col min="7699" max="7699" width="13.7109375" bestFit="1" customWidth="1"/>
    <col min="7941" max="7941" width="15.42578125" customWidth="1"/>
    <col min="7942" max="7942" width="20.85546875" customWidth="1"/>
    <col min="7943" max="7943" width="18.7109375" customWidth="1"/>
    <col min="7944" max="7944" width="14.42578125" customWidth="1"/>
    <col min="7945" max="7945" width="16.5703125" customWidth="1"/>
    <col min="7946" max="7946" width="18.5703125" customWidth="1"/>
    <col min="7947" max="7947" width="12.85546875" customWidth="1"/>
    <col min="7948" max="7948" width="17.28515625" customWidth="1"/>
    <col min="7949" max="7949" width="13" customWidth="1"/>
    <col min="7950" max="7950" width="14.140625" customWidth="1"/>
    <col min="7951" max="7951" width="13" customWidth="1"/>
    <col min="7952" max="7953" width="13.5703125" customWidth="1"/>
    <col min="7954" max="7954" width="12.42578125" customWidth="1"/>
    <col min="7955" max="7955" width="13.7109375" bestFit="1" customWidth="1"/>
    <col min="8197" max="8197" width="15.42578125" customWidth="1"/>
    <col min="8198" max="8198" width="20.85546875" customWidth="1"/>
    <col min="8199" max="8199" width="18.7109375" customWidth="1"/>
    <col min="8200" max="8200" width="14.42578125" customWidth="1"/>
    <col min="8201" max="8201" width="16.5703125" customWidth="1"/>
    <col min="8202" max="8202" width="18.5703125" customWidth="1"/>
    <col min="8203" max="8203" width="12.85546875" customWidth="1"/>
    <col min="8204" max="8204" width="17.28515625" customWidth="1"/>
    <col min="8205" max="8205" width="13" customWidth="1"/>
    <col min="8206" max="8206" width="14.140625" customWidth="1"/>
    <col min="8207" max="8207" width="13" customWidth="1"/>
    <col min="8208" max="8209" width="13.5703125" customWidth="1"/>
    <col min="8210" max="8210" width="12.42578125" customWidth="1"/>
    <col min="8211" max="8211" width="13.7109375" bestFit="1" customWidth="1"/>
    <col min="8453" max="8453" width="15.42578125" customWidth="1"/>
    <col min="8454" max="8454" width="20.85546875" customWidth="1"/>
    <col min="8455" max="8455" width="18.7109375" customWidth="1"/>
    <col min="8456" max="8456" width="14.42578125" customWidth="1"/>
    <col min="8457" max="8457" width="16.5703125" customWidth="1"/>
    <col min="8458" max="8458" width="18.5703125" customWidth="1"/>
    <col min="8459" max="8459" width="12.85546875" customWidth="1"/>
    <col min="8460" max="8460" width="17.28515625" customWidth="1"/>
    <col min="8461" max="8461" width="13" customWidth="1"/>
    <col min="8462" max="8462" width="14.140625" customWidth="1"/>
    <col min="8463" max="8463" width="13" customWidth="1"/>
    <col min="8464" max="8465" width="13.5703125" customWidth="1"/>
    <col min="8466" max="8466" width="12.42578125" customWidth="1"/>
    <col min="8467" max="8467" width="13.7109375" bestFit="1" customWidth="1"/>
    <col min="8709" max="8709" width="15.42578125" customWidth="1"/>
    <col min="8710" max="8710" width="20.85546875" customWidth="1"/>
    <col min="8711" max="8711" width="18.7109375" customWidth="1"/>
    <col min="8712" max="8712" width="14.42578125" customWidth="1"/>
    <col min="8713" max="8713" width="16.5703125" customWidth="1"/>
    <col min="8714" max="8714" width="18.5703125" customWidth="1"/>
    <col min="8715" max="8715" width="12.85546875" customWidth="1"/>
    <col min="8716" max="8716" width="17.28515625" customWidth="1"/>
    <col min="8717" max="8717" width="13" customWidth="1"/>
    <col min="8718" max="8718" width="14.140625" customWidth="1"/>
    <col min="8719" max="8719" width="13" customWidth="1"/>
    <col min="8720" max="8721" width="13.5703125" customWidth="1"/>
    <col min="8722" max="8722" width="12.42578125" customWidth="1"/>
    <col min="8723" max="8723" width="13.7109375" bestFit="1" customWidth="1"/>
    <col min="8965" max="8965" width="15.42578125" customWidth="1"/>
    <col min="8966" max="8966" width="20.85546875" customWidth="1"/>
    <col min="8967" max="8967" width="18.7109375" customWidth="1"/>
    <col min="8968" max="8968" width="14.42578125" customWidth="1"/>
    <col min="8969" max="8969" width="16.5703125" customWidth="1"/>
    <col min="8970" max="8970" width="18.5703125" customWidth="1"/>
    <col min="8971" max="8971" width="12.85546875" customWidth="1"/>
    <col min="8972" max="8972" width="17.28515625" customWidth="1"/>
    <col min="8973" max="8973" width="13" customWidth="1"/>
    <col min="8974" max="8974" width="14.140625" customWidth="1"/>
    <col min="8975" max="8975" width="13" customWidth="1"/>
    <col min="8976" max="8977" width="13.5703125" customWidth="1"/>
    <col min="8978" max="8978" width="12.42578125" customWidth="1"/>
    <col min="8979" max="8979" width="13.7109375" bestFit="1" customWidth="1"/>
    <col min="9221" max="9221" width="15.42578125" customWidth="1"/>
    <col min="9222" max="9222" width="20.85546875" customWidth="1"/>
    <col min="9223" max="9223" width="18.7109375" customWidth="1"/>
    <col min="9224" max="9224" width="14.42578125" customWidth="1"/>
    <col min="9225" max="9225" width="16.5703125" customWidth="1"/>
    <col min="9226" max="9226" width="18.5703125" customWidth="1"/>
    <col min="9227" max="9227" width="12.85546875" customWidth="1"/>
    <col min="9228" max="9228" width="17.28515625" customWidth="1"/>
    <col min="9229" max="9229" width="13" customWidth="1"/>
    <col min="9230" max="9230" width="14.140625" customWidth="1"/>
    <col min="9231" max="9231" width="13" customWidth="1"/>
    <col min="9232" max="9233" width="13.5703125" customWidth="1"/>
    <col min="9234" max="9234" width="12.42578125" customWidth="1"/>
    <col min="9235" max="9235" width="13.7109375" bestFit="1" customWidth="1"/>
    <col min="9477" max="9477" width="15.42578125" customWidth="1"/>
    <col min="9478" max="9478" width="20.85546875" customWidth="1"/>
    <col min="9479" max="9479" width="18.7109375" customWidth="1"/>
    <col min="9480" max="9480" width="14.42578125" customWidth="1"/>
    <col min="9481" max="9481" width="16.5703125" customWidth="1"/>
    <col min="9482" max="9482" width="18.5703125" customWidth="1"/>
    <col min="9483" max="9483" width="12.85546875" customWidth="1"/>
    <col min="9484" max="9484" width="17.28515625" customWidth="1"/>
    <col min="9485" max="9485" width="13" customWidth="1"/>
    <col min="9486" max="9486" width="14.140625" customWidth="1"/>
    <col min="9487" max="9487" width="13" customWidth="1"/>
    <col min="9488" max="9489" width="13.5703125" customWidth="1"/>
    <col min="9490" max="9490" width="12.42578125" customWidth="1"/>
    <col min="9491" max="9491" width="13.7109375" bestFit="1" customWidth="1"/>
    <col min="9733" max="9733" width="15.42578125" customWidth="1"/>
    <col min="9734" max="9734" width="20.85546875" customWidth="1"/>
    <col min="9735" max="9735" width="18.7109375" customWidth="1"/>
    <col min="9736" max="9736" width="14.42578125" customWidth="1"/>
    <col min="9737" max="9737" width="16.5703125" customWidth="1"/>
    <col min="9738" max="9738" width="18.5703125" customWidth="1"/>
    <col min="9739" max="9739" width="12.85546875" customWidth="1"/>
    <col min="9740" max="9740" width="17.28515625" customWidth="1"/>
    <col min="9741" max="9741" width="13" customWidth="1"/>
    <col min="9742" max="9742" width="14.140625" customWidth="1"/>
    <col min="9743" max="9743" width="13" customWidth="1"/>
    <col min="9744" max="9745" width="13.5703125" customWidth="1"/>
    <col min="9746" max="9746" width="12.42578125" customWidth="1"/>
    <col min="9747" max="9747" width="13.7109375" bestFit="1" customWidth="1"/>
    <col min="9989" max="9989" width="15.42578125" customWidth="1"/>
    <col min="9990" max="9990" width="20.85546875" customWidth="1"/>
    <col min="9991" max="9991" width="18.7109375" customWidth="1"/>
    <col min="9992" max="9992" width="14.42578125" customWidth="1"/>
    <col min="9993" max="9993" width="16.5703125" customWidth="1"/>
    <col min="9994" max="9994" width="18.5703125" customWidth="1"/>
    <col min="9995" max="9995" width="12.85546875" customWidth="1"/>
    <col min="9996" max="9996" width="17.28515625" customWidth="1"/>
    <col min="9997" max="9997" width="13" customWidth="1"/>
    <col min="9998" max="9998" width="14.140625" customWidth="1"/>
    <col min="9999" max="9999" width="13" customWidth="1"/>
    <col min="10000" max="10001" width="13.5703125" customWidth="1"/>
    <col min="10002" max="10002" width="12.42578125" customWidth="1"/>
    <col min="10003" max="10003" width="13.7109375" bestFit="1" customWidth="1"/>
    <col min="10245" max="10245" width="15.42578125" customWidth="1"/>
    <col min="10246" max="10246" width="20.85546875" customWidth="1"/>
    <col min="10247" max="10247" width="18.7109375" customWidth="1"/>
    <col min="10248" max="10248" width="14.42578125" customWidth="1"/>
    <col min="10249" max="10249" width="16.5703125" customWidth="1"/>
    <col min="10250" max="10250" width="18.5703125" customWidth="1"/>
    <col min="10251" max="10251" width="12.85546875" customWidth="1"/>
    <col min="10252" max="10252" width="17.28515625" customWidth="1"/>
    <col min="10253" max="10253" width="13" customWidth="1"/>
    <col min="10254" max="10254" width="14.140625" customWidth="1"/>
    <col min="10255" max="10255" width="13" customWidth="1"/>
    <col min="10256" max="10257" width="13.5703125" customWidth="1"/>
    <col min="10258" max="10258" width="12.42578125" customWidth="1"/>
    <col min="10259" max="10259" width="13.7109375" bestFit="1" customWidth="1"/>
    <col min="10501" max="10501" width="15.42578125" customWidth="1"/>
    <col min="10502" max="10502" width="20.85546875" customWidth="1"/>
    <col min="10503" max="10503" width="18.7109375" customWidth="1"/>
    <col min="10504" max="10504" width="14.42578125" customWidth="1"/>
    <col min="10505" max="10505" width="16.5703125" customWidth="1"/>
    <col min="10506" max="10506" width="18.5703125" customWidth="1"/>
    <col min="10507" max="10507" width="12.85546875" customWidth="1"/>
    <col min="10508" max="10508" width="17.28515625" customWidth="1"/>
    <col min="10509" max="10509" width="13" customWidth="1"/>
    <col min="10510" max="10510" width="14.140625" customWidth="1"/>
    <col min="10511" max="10511" width="13" customWidth="1"/>
    <col min="10512" max="10513" width="13.5703125" customWidth="1"/>
    <col min="10514" max="10514" width="12.42578125" customWidth="1"/>
    <col min="10515" max="10515" width="13.7109375" bestFit="1" customWidth="1"/>
    <col min="10757" max="10757" width="15.42578125" customWidth="1"/>
    <col min="10758" max="10758" width="20.85546875" customWidth="1"/>
    <col min="10759" max="10759" width="18.7109375" customWidth="1"/>
    <col min="10760" max="10760" width="14.42578125" customWidth="1"/>
    <col min="10761" max="10761" width="16.5703125" customWidth="1"/>
    <col min="10762" max="10762" width="18.5703125" customWidth="1"/>
    <col min="10763" max="10763" width="12.85546875" customWidth="1"/>
    <col min="10764" max="10764" width="17.28515625" customWidth="1"/>
    <col min="10765" max="10765" width="13" customWidth="1"/>
    <col min="10766" max="10766" width="14.140625" customWidth="1"/>
    <col min="10767" max="10767" width="13" customWidth="1"/>
    <col min="10768" max="10769" width="13.5703125" customWidth="1"/>
    <col min="10770" max="10770" width="12.42578125" customWidth="1"/>
    <col min="10771" max="10771" width="13.7109375" bestFit="1" customWidth="1"/>
    <col min="11013" max="11013" width="15.42578125" customWidth="1"/>
    <col min="11014" max="11014" width="20.85546875" customWidth="1"/>
    <col min="11015" max="11015" width="18.7109375" customWidth="1"/>
    <col min="11016" max="11016" width="14.42578125" customWidth="1"/>
    <col min="11017" max="11017" width="16.5703125" customWidth="1"/>
    <col min="11018" max="11018" width="18.5703125" customWidth="1"/>
    <col min="11019" max="11019" width="12.85546875" customWidth="1"/>
    <col min="11020" max="11020" width="17.28515625" customWidth="1"/>
    <col min="11021" max="11021" width="13" customWidth="1"/>
    <col min="11022" max="11022" width="14.140625" customWidth="1"/>
    <col min="11023" max="11023" width="13" customWidth="1"/>
    <col min="11024" max="11025" width="13.5703125" customWidth="1"/>
    <col min="11026" max="11026" width="12.42578125" customWidth="1"/>
    <col min="11027" max="11027" width="13.7109375" bestFit="1" customWidth="1"/>
    <col min="11269" max="11269" width="15.42578125" customWidth="1"/>
    <col min="11270" max="11270" width="20.85546875" customWidth="1"/>
    <col min="11271" max="11271" width="18.7109375" customWidth="1"/>
    <col min="11272" max="11272" width="14.42578125" customWidth="1"/>
    <col min="11273" max="11273" width="16.5703125" customWidth="1"/>
    <col min="11274" max="11274" width="18.5703125" customWidth="1"/>
    <col min="11275" max="11275" width="12.85546875" customWidth="1"/>
    <col min="11276" max="11276" width="17.28515625" customWidth="1"/>
    <col min="11277" max="11277" width="13" customWidth="1"/>
    <col min="11278" max="11278" width="14.140625" customWidth="1"/>
    <col min="11279" max="11279" width="13" customWidth="1"/>
    <col min="11280" max="11281" width="13.5703125" customWidth="1"/>
    <col min="11282" max="11282" width="12.42578125" customWidth="1"/>
    <col min="11283" max="11283" width="13.7109375" bestFit="1" customWidth="1"/>
    <col min="11525" max="11525" width="15.42578125" customWidth="1"/>
    <col min="11526" max="11526" width="20.85546875" customWidth="1"/>
    <col min="11527" max="11527" width="18.7109375" customWidth="1"/>
    <col min="11528" max="11528" width="14.42578125" customWidth="1"/>
    <col min="11529" max="11529" width="16.5703125" customWidth="1"/>
    <col min="11530" max="11530" width="18.5703125" customWidth="1"/>
    <col min="11531" max="11531" width="12.85546875" customWidth="1"/>
    <col min="11532" max="11532" width="17.28515625" customWidth="1"/>
    <col min="11533" max="11533" width="13" customWidth="1"/>
    <col min="11534" max="11534" width="14.140625" customWidth="1"/>
    <col min="11535" max="11535" width="13" customWidth="1"/>
    <col min="11536" max="11537" width="13.5703125" customWidth="1"/>
    <col min="11538" max="11538" width="12.42578125" customWidth="1"/>
    <col min="11539" max="11539" width="13.7109375" bestFit="1" customWidth="1"/>
    <col min="11781" max="11781" width="15.42578125" customWidth="1"/>
    <col min="11782" max="11782" width="20.85546875" customWidth="1"/>
    <col min="11783" max="11783" width="18.7109375" customWidth="1"/>
    <col min="11784" max="11784" width="14.42578125" customWidth="1"/>
    <col min="11785" max="11785" width="16.5703125" customWidth="1"/>
    <col min="11786" max="11786" width="18.5703125" customWidth="1"/>
    <col min="11787" max="11787" width="12.85546875" customWidth="1"/>
    <col min="11788" max="11788" width="17.28515625" customWidth="1"/>
    <col min="11789" max="11789" width="13" customWidth="1"/>
    <col min="11790" max="11790" width="14.140625" customWidth="1"/>
    <col min="11791" max="11791" width="13" customWidth="1"/>
    <col min="11792" max="11793" width="13.5703125" customWidth="1"/>
    <col min="11794" max="11794" width="12.42578125" customWidth="1"/>
    <col min="11795" max="11795" width="13.7109375" bestFit="1" customWidth="1"/>
    <col min="12037" max="12037" width="15.42578125" customWidth="1"/>
    <col min="12038" max="12038" width="20.85546875" customWidth="1"/>
    <col min="12039" max="12039" width="18.7109375" customWidth="1"/>
    <col min="12040" max="12040" width="14.42578125" customWidth="1"/>
    <col min="12041" max="12041" width="16.5703125" customWidth="1"/>
    <col min="12042" max="12042" width="18.5703125" customWidth="1"/>
    <col min="12043" max="12043" width="12.85546875" customWidth="1"/>
    <col min="12044" max="12044" width="17.28515625" customWidth="1"/>
    <col min="12045" max="12045" width="13" customWidth="1"/>
    <col min="12046" max="12046" width="14.140625" customWidth="1"/>
    <col min="12047" max="12047" width="13" customWidth="1"/>
    <col min="12048" max="12049" width="13.5703125" customWidth="1"/>
    <col min="12050" max="12050" width="12.42578125" customWidth="1"/>
    <col min="12051" max="12051" width="13.7109375" bestFit="1" customWidth="1"/>
    <col min="12293" max="12293" width="15.42578125" customWidth="1"/>
    <col min="12294" max="12294" width="20.85546875" customWidth="1"/>
    <col min="12295" max="12295" width="18.7109375" customWidth="1"/>
    <col min="12296" max="12296" width="14.42578125" customWidth="1"/>
    <col min="12297" max="12297" width="16.5703125" customWidth="1"/>
    <col min="12298" max="12298" width="18.5703125" customWidth="1"/>
    <col min="12299" max="12299" width="12.85546875" customWidth="1"/>
    <col min="12300" max="12300" width="17.28515625" customWidth="1"/>
    <col min="12301" max="12301" width="13" customWidth="1"/>
    <col min="12302" max="12302" width="14.140625" customWidth="1"/>
    <col min="12303" max="12303" width="13" customWidth="1"/>
    <col min="12304" max="12305" width="13.5703125" customWidth="1"/>
    <col min="12306" max="12306" width="12.42578125" customWidth="1"/>
    <col min="12307" max="12307" width="13.7109375" bestFit="1" customWidth="1"/>
    <col min="12549" max="12549" width="15.42578125" customWidth="1"/>
    <col min="12550" max="12550" width="20.85546875" customWidth="1"/>
    <col min="12551" max="12551" width="18.7109375" customWidth="1"/>
    <col min="12552" max="12552" width="14.42578125" customWidth="1"/>
    <col min="12553" max="12553" width="16.5703125" customWidth="1"/>
    <col min="12554" max="12554" width="18.5703125" customWidth="1"/>
    <col min="12555" max="12555" width="12.85546875" customWidth="1"/>
    <col min="12556" max="12556" width="17.28515625" customWidth="1"/>
    <col min="12557" max="12557" width="13" customWidth="1"/>
    <col min="12558" max="12558" width="14.140625" customWidth="1"/>
    <col min="12559" max="12559" width="13" customWidth="1"/>
    <col min="12560" max="12561" width="13.5703125" customWidth="1"/>
    <col min="12562" max="12562" width="12.42578125" customWidth="1"/>
    <col min="12563" max="12563" width="13.7109375" bestFit="1" customWidth="1"/>
    <col min="12805" max="12805" width="15.42578125" customWidth="1"/>
    <col min="12806" max="12806" width="20.85546875" customWidth="1"/>
    <col min="12807" max="12807" width="18.7109375" customWidth="1"/>
    <col min="12808" max="12808" width="14.42578125" customWidth="1"/>
    <col min="12809" max="12809" width="16.5703125" customWidth="1"/>
    <col min="12810" max="12810" width="18.5703125" customWidth="1"/>
    <col min="12811" max="12811" width="12.85546875" customWidth="1"/>
    <col min="12812" max="12812" width="17.28515625" customWidth="1"/>
    <col min="12813" max="12813" width="13" customWidth="1"/>
    <col min="12814" max="12814" width="14.140625" customWidth="1"/>
    <col min="12815" max="12815" width="13" customWidth="1"/>
    <col min="12816" max="12817" width="13.5703125" customWidth="1"/>
    <col min="12818" max="12818" width="12.42578125" customWidth="1"/>
    <col min="12819" max="12819" width="13.7109375" bestFit="1" customWidth="1"/>
    <col min="13061" max="13061" width="15.42578125" customWidth="1"/>
    <col min="13062" max="13062" width="20.85546875" customWidth="1"/>
    <col min="13063" max="13063" width="18.7109375" customWidth="1"/>
    <col min="13064" max="13064" width="14.42578125" customWidth="1"/>
    <col min="13065" max="13065" width="16.5703125" customWidth="1"/>
    <col min="13066" max="13066" width="18.5703125" customWidth="1"/>
    <col min="13067" max="13067" width="12.85546875" customWidth="1"/>
    <col min="13068" max="13068" width="17.28515625" customWidth="1"/>
    <col min="13069" max="13069" width="13" customWidth="1"/>
    <col min="13070" max="13070" width="14.140625" customWidth="1"/>
    <col min="13071" max="13071" width="13" customWidth="1"/>
    <col min="13072" max="13073" width="13.5703125" customWidth="1"/>
    <col min="13074" max="13074" width="12.42578125" customWidth="1"/>
    <col min="13075" max="13075" width="13.7109375" bestFit="1" customWidth="1"/>
    <col min="13317" max="13317" width="15.42578125" customWidth="1"/>
    <col min="13318" max="13318" width="20.85546875" customWidth="1"/>
    <col min="13319" max="13319" width="18.7109375" customWidth="1"/>
    <col min="13320" max="13320" width="14.42578125" customWidth="1"/>
    <col min="13321" max="13321" width="16.5703125" customWidth="1"/>
    <col min="13322" max="13322" width="18.5703125" customWidth="1"/>
    <col min="13323" max="13323" width="12.85546875" customWidth="1"/>
    <col min="13324" max="13324" width="17.28515625" customWidth="1"/>
    <col min="13325" max="13325" width="13" customWidth="1"/>
    <col min="13326" max="13326" width="14.140625" customWidth="1"/>
    <col min="13327" max="13327" width="13" customWidth="1"/>
    <col min="13328" max="13329" width="13.5703125" customWidth="1"/>
    <col min="13330" max="13330" width="12.42578125" customWidth="1"/>
    <col min="13331" max="13331" width="13.7109375" bestFit="1" customWidth="1"/>
    <col min="13573" max="13573" width="15.42578125" customWidth="1"/>
    <col min="13574" max="13574" width="20.85546875" customWidth="1"/>
    <col min="13575" max="13575" width="18.7109375" customWidth="1"/>
    <col min="13576" max="13576" width="14.42578125" customWidth="1"/>
    <col min="13577" max="13577" width="16.5703125" customWidth="1"/>
    <col min="13578" max="13578" width="18.5703125" customWidth="1"/>
    <col min="13579" max="13579" width="12.85546875" customWidth="1"/>
    <col min="13580" max="13580" width="17.28515625" customWidth="1"/>
    <col min="13581" max="13581" width="13" customWidth="1"/>
    <col min="13582" max="13582" width="14.140625" customWidth="1"/>
    <col min="13583" max="13583" width="13" customWidth="1"/>
    <col min="13584" max="13585" width="13.5703125" customWidth="1"/>
    <col min="13586" max="13586" width="12.42578125" customWidth="1"/>
    <col min="13587" max="13587" width="13.7109375" bestFit="1" customWidth="1"/>
    <col min="13829" max="13829" width="15.42578125" customWidth="1"/>
    <col min="13830" max="13830" width="20.85546875" customWidth="1"/>
    <col min="13831" max="13831" width="18.7109375" customWidth="1"/>
    <col min="13832" max="13832" width="14.42578125" customWidth="1"/>
    <col min="13833" max="13833" width="16.5703125" customWidth="1"/>
    <col min="13834" max="13834" width="18.5703125" customWidth="1"/>
    <col min="13835" max="13835" width="12.85546875" customWidth="1"/>
    <col min="13836" max="13836" width="17.28515625" customWidth="1"/>
    <col min="13837" max="13837" width="13" customWidth="1"/>
    <col min="13838" max="13838" width="14.140625" customWidth="1"/>
    <col min="13839" max="13839" width="13" customWidth="1"/>
    <col min="13840" max="13841" width="13.5703125" customWidth="1"/>
    <col min="13842" max="13842" width="12.42578125" customWidth="1"/>
    <col min="13843" max="13843" width="13.7109375" bestFit="1" customWidth="1"/>
    <col min="14085" max="14085" width="15.42578125" customWidth="1"/>
    <col min="14086" max="14086" width="20.85546875" customWidth="1"/>
    <col min="14087" max="14087" width="18.7109375" customWidth="1"/>
    <col min="14088" max="14088" width="14.42578125" customWidth="1"/>
    <col min="14089" max="14089" width="16.5703125" customWidth="1"/>
    <col min="14090" max="14090" width="18.5703125" customWidth="1"/>
    <col min="14091" max="14091" width="12.85546875" customWidth="1"/>
    <col min="14092" max="14092" width="17.28515625" customWidth="1"/>
    <col min="14093" max="14093" width="13" customWidth="1"/>
    <col min="14094" max="14094" width="14.140625" customWidth="1"/>
    <col min="14095" max="14095" width="13" customWidth="1"/>
    <col min="14096" max="14097" width="13.5703125" customWidth="1"/>
    <col min="14098" max="14098" width="12.42578125" customWidth="1"/>
    <col min="14099" max="14099" width="13.7109375" bestFit="1" customWidth="1"/>
    <col min="14341" max="14341" width="15.42578125" customWidth="1"/>
    <col min="14342" max="14342" width="20.85546875" customWidth="1"/>
    <col min="14343" max="14343" width="18.7109375" customWidth="1"/>
    <col min="14344" max="14344" width="14.42578125" customWidth="1"/>
    <col min="14345" max="14345" width="16.5703125" customWidth="1"/>
    <col min="14346" max="14346" width="18.5703125" customWidth="1"/>
    <col min="14347" max="14347" width="12.85546875" customWidth="1"/>
    <col min="14348" max="14348" width="17.28515625" customWidth="1"/>
    <col min="14349" max="14349" width="13" customWidth="1"/>
    <col min="14350" max="14350" width="14.140625" customWidth="1"/>
    <col min="14351" max="14351" width="13" customWidth="1"/>
    <col min="14352" max="14353" width="13.5703125" customWidth="1"/>
    <col min="14354" max="14354" width="12.42578125" customWidth="1"/>
    <col min="14355" max="14355" width="13.7109375" bestFit="1" customWidth="1"/>
    <col min="14597" max="14597" width="15.42578125" customWidth="1"/>
    <col min="14598" max="14598" width="20.85546875" customWidth="1"/>
    <col min="14599" max="14599" width="18.7109375" customWidth="1"/>
    <col min="14600" max="14600" width="14.42578125" customWidth="1"/>
    <col min="14601" max="14601" width="16.5703125" customWidth="1"/>
    <col min="14602" max="14602" width="18.5703125" customWidth="1"/>
    <col min="14603" max="14603" width="12.85546875" customWidth="1"/>
    <col min="14604" max="14604" width="17.28515625" customWidth="1"/>
    <col min="14605" max="14605" width="13" customWidth="1"/>
    <col min="14606" max="14606" width="14.140625" customWidth="1"/>
    <col min="14607" max="14607" width="13" customWidth="1"/>
    <col min="14608" max="14609" width="13.5703125" customWidth="1"/>
    <col min="14610" max="14610" width="12.42578125" customWidth="1"/>
    <col min="14611" max="14611" width="13.7109375" bestFit="1" customWidth="1"/>
    <col min="14853" max="14853" width="15.42578125" customWidth="1"/>
    <col min="14854" max="14854" width="20.85546875" customWidth="1"/>
    <col min="14855" max="14855" width="18.7109375" customWidth="1"/>
    <col min="14856" max="14856" width="14.42578125" customWidth="1"/>
    <col min="14857" max="14857" width="16.5703125" customWidth="1"/>
    <col min="14858" max="14858" width="18.5703125" customWidth="1"/>
    <col min="14859" max="14859" width="12.85546875" customWidth="1"/>
    <col min="14860" max="14860" width="17.28515625" customWidth="1"/>
    <col min="14861" max="14861" width="13" customWidth="1"/>
    <col min="14862" max="14862" width="14.140625" customWidth="1"/>
    <col min="14863" max="14863" width="13" customWidth="1"/>
    <col min="14864" max="14865" width="13.5703125" customWidth="1"/>
    <col min="14866" max="14866" width="12.42578125" customWidth="1"/>
    <col min="14867" max="14867" width="13.7109375" bestFit="1" customWidth="1"/>
    <col min="15109" max="15109" width="15.42578125" customWidth="1"/>
    <col min="15110" max="15110" width="20.85546875" customWidth="1"/>
    <col min="15111" max="15111" width="18.7109375" customWidth="1"/>
    <col min="15112" max="15112" width="14.42578125" customWidth="1"/>
    <col min="15113" max="15113" width="16.5703125" customWidth="1"/>
    <col min="15114" max="15114" width="18.5703125" customWidth="1"/>
    <col min="15115" max="15115" width="12.85546875" customWidth="1"/>
    <col min="15116" max="15116" width="17.28515625" customWidth="1"/>
    <col min="15117" max="15117" width="13" customWidth="1"/>
    <col min="15118" max="15118" width="14.140625" customWidth="1"/>
    <col min="15119" max="15119" width="13" customWidth="1"/>
    <col min="15120" max="15121" width="13.5703125" customWidth="1"/>
    <col min="15122" max="15122" width="12.42578125" customWidth="1"/>
    <col min="15123" max="15123" width="13.7109375" bestFit="1" customWidth="1"/>
    <col min="15365" max="15365" width="15.42578125" customWidth="1"/>
    <col min="15366" max="15366" width="20.85546875" customWidth="1"/>
    <col min="15367" max="15367" width="18.7109375" customWidth="1"/>
    <col min="15368" max="15368" width="14.42578125" customWidth="1"/>
    <col min="15369" max="15369" width="16.5703125" customWidth="1"/>
    <col min="15370" max="15370" width="18.5703125" customWidth="1"/>
    <col min="15371" max="15371" width="12.85546875" customWidth="1"/>
    <col min="15372" max="15372" width="17.28515625" customWidth="1"/>
    <col min="15373" max="15373" width="13" customWidth="1"/>
    <col min="15374" max="15374" width="14.140625" customWidth="1"/>
    <col min="15375" max="15375" width="13" customWidth="1"/>
    <col min="15376" max="15377" width="13.5703125" customWidth="1"/>
    <col min="15378" max="15378" width="12.42578125" customWidth="1"/>
    <col min="15379" max="15379" width="13.7109375" bestFit="1" customWidth="1"/>
    <col min="15621" max="15621" width="15.42578125" customWidth="1"/>
    <col min="15622" max="15622" width="20.85546875" customWidth="1"/>
    <col min="15623" max="15623" width="18.7109375" customWidth="1"/>
    <col min="15624" max="15624" width="14.42578125" customWidth="1"/>
    <col min="15625" max="15625" width="16.5703125" customWidth="1"/>
    <col min="15626" max="15626" width="18.5703125" customWidth="1"/>
    <col min="15627" max="15627" width="12.85546875" customWidth="1"/>
    <col min="15628" max="15628" width="17.28515625" customWidth="1"/>
    <col min="15629" max="15629" width="13" customWidth="1"/>
    <col min="15630" max="15630" width="14.140625" customWidth="1"/>
    <col min="15631" max="15631" width="13" customWidth="1"/>
    <col min="15632" max="15633" width="13.5703125" customWidth="1"/>
    <col min="15634" max="15634" width="12.42578125" customWidth="1"/>
    <col min="15635" max="15635" width="13.7109375" bestFit="1" customWidth="1"/>
    <col min="15877" max="15877" width="15.42578125" customWidth="1"/>
    <col min="15878" max="15878" width="20.85546875" customWidth="1"/>
    <col min="15879" max="15879" width="18.7109375" customWidth="1"/>
    <col min="15880" max="15880" width="14.42578125" customWidth="1"/>
    <col min="15881" max="15881" width="16.5703125" customWidth="1"/>
    <col min="15882" max="15882" width="18.5703125" customWidth="1"/>
    <col min="15883" max="15883" width="12.85546875" customWidth="1"/>
    <col min="15884" max="15884" width="17.28515625" customWidth="1"/>
    <col min="15885" max="15885" width="13" customWidth="1"/>
    <col min="15886" max="15886" width="14.140625" customWidth="1"/>
    <col min="15887" max="15887" width="13" customWidth="1"/>
    <col min="15888" max="15889" width="13.5703125" customWidth="1"/>
    <col min="15890" max="15890" width="12.42578125" customWidth="1"/>
    <col min="15891" max="15891" width="13.7109375" bestFit="1" customWidth="1"/>
    <col min="16133" max="16133" width="15.42578125" customWidth="1"/>
    <col min="16134" max="16134" width="20.85546875" customWidth="1"/>
    <col min="16135" max="16135" width="18.7109375" customWidth="1"/>
    <col min="16136" max="16136" width="14.42578125" customWidth="1"/>
    <col min="16137" max="16137" width="16.5703125" customWidth="1"/>
    <col min="16138" max="16138" width="18.5703125" customWidth="1"/>
    <col min="16139" max="16139" width="12.85546875" customWidth="1"/>
    <col min="16140" max="16140" width="17.28515625" customWidth="1"/>
    <col min="16141" max="16141" width="13" customWidth="1"/>
    <col min="16142" max="16142" width="14.140625" customWidth="1"/>
    <col min="16143" max="16143" width="13" customWidth="1"/>
    <col min="16144" max="16145" width="13.5703125" customWidth="1"/>
    <col min="16146" max="16146" width="12.42578125" customWidth="1"/>
    <col min="16147" max="16147" width="13.7109375" bestFit="1" customWidth="1"/>
  </cols>
  <sheetData>
    <row r="1" spans="1:15" ht="16.5" thickBot="1" x14ac:dyDescent="0.3">
      <c r="A1" s="502" t="s">
        <v>2</v>
      </c>
      <c r="B1" s="503"/>
      <c r="C1" s="503"/>
      <c r="D1" s="503"/>
      <c r="E1" s="503"/>
      <c r="F1" s="503"/>
      <c r="G1" s="503"/>
      <c r="H1" s="504"/>
    </row>
    <row r="2" spans="1:15" ht="15.75" x14ac:dyDescent="0.25">
      <c r="A2" s="502" t="s">
        <v>2787</v>
      </c>
      <c r="B2" s="503"/>
      <c r="C2" s="503"/>
      <c r="D2" s="503"/>
      <c r="E2" s="503"/>
      <c r="F2" s="503"/>
      <c r="G2" s="503"/>
      <c r="H2" s="504"/>
    </row>
    <row r="3" spans="1:15" ht="16.5" thickBot="1" x14ac:dyDescent="0.3">
      <c r="A3" s="505" t="s">
        <v>2786</v>
      </c>
      <c r="B3" s="506"/>
      <c r="C3" s="506"/>
      <c r="D3" s="506"/>
      <c r="E3" s="506"/>
      <c r="F3" s="506"/>
      <c r="G3" s="506"/>
      <c r="H3" s="506"/>
    </row>
    <row r="4" spans="1:15" ht="60.75" thickBot="1" x14ac:dyDescent="0.3">
      <c r="A4" s="1" t="s">
        <v>5</v>
      </c>
      <c r="B4" s="2" t="s">
        <v>6</v>
      </c>
      <c r="C4" s="3" t="s">
        <v>7</v>
      </c>
      <c r="D4" s="3" t="s">
        <v>382</v>
      </c>
      <c r="E4" s="4" t="s">
        <v>383</v>
      </c>
      <c r="F4" s="3" t="s">
        <v>41</v>
      </c>
      <c r="G4" s="4" t="s">
        <v>384</v>
      </c>
      <c r="H4" s="5" t="s">
        <v>8</v>
      </c>
    </row>
    <row r="5" spans="1:15" ht="30" x14ac:dyDescent="0.25">
      <c r="A5" s="87">
        <v>43277</v>
      </c>
      <c r="B5" s="55" t="s">
        <v>2777</v>
      </c>
      <c r="C5" s="8">
        <v>0</v>
      </c>
      <c r="D5" s="8">
        <v>0</v>
      </c>
      <c r="E5" s="8"/>
      <c r="F5" s="94"/>
      <c r="G5" s="94"/>
      <c r="H5" s="56">
        <v>40000000000</v>
      </c>
    </row>
    <row r="6" spans="1:15" x14ac:dyDescent="0.25">
      <c r="A6" s="124">
        <f>A5+92</f>
        <v>43369</v>
      </c>
      <c r="B6" s="11" t="s">
        <v>9</v>
      </c>
      <c r="C6" s="12">
        <v>0</v>
      </c>
      <c r="D6" s="57">
        <f>(H5*$B$70*B$68)/360</f>
        <v>1106426342.7776399</v>
      </c>
      <c r="E6" s="57">
        <f>C6+D6</f>
        <v>1106426342.7776399</v>
      </c>
      <c r="F6" s="95"/>
      <c r="G6" s="95"/>
      <c r="H6" s="13">
        <f t="shared" ref="H6:H53" si="0">+H5-C6</f>
        <v>40000000000</v>
      </c>
      <c r="I6" s="76" t="s">
        <v>42</v>
      </c>
      <c r="J6" t="s">
        <v>42</v>
      </c>
      <c r="K6" s="76" t="s">
        <v>42</v>
      </c>
    </row>
    <row r="7" spans="1:15" x14ac:dyDescent="0.25">
      <c r="A7" s="124">
        <f>A6+91</f>
        <v>43460</v>
      </c>
      <c r="B7" s="11" t="s">
        <v>9</v>
      </c>
      <c r="C7" s="12">
        <v>0</v>
      </c>
      <c r="D7" s="57">
        <f>(H6*$C$70*C$68)/360</f>
        <v>1106426342.7776399</v>
      </c>
      <c r="E7" s="57">
        <f t="shared" ref="E7:E53" si="1">C7+D7</f>
        <v>1106426342.7776399</v>
      </c>
      <c r="F7" s="95"/>
      <c r="G7" s="95"/>
      <c r="H7" s="13">
        <f t="shared" si="0"/>
        <v>40000000000</v>
      </c>
      <c r="J7" t="s">
        <v>42</v>
      </c>
    </row>
    <row r="8" spans="1:15" x14ac:dyDescent="0.25">
      <c r="A8" s="125">
        <f>A7+90</f>
        <v>43550</v>
      </c>
      <c r="B8" s="11" t="s">
        <v>9</v>
      </c>
      <c r="C8" s="12">
        <v>0</v>
      </c>
      <c r="D8" s="57">
        <f>(H7*$D$70*D$68)/360</f>
        <v>1106426342.7776399</v>
      </c>
      <c r="E8" s="57">
        <f t="shared" si="1"/>
        <v>1106426342.7776399</v>
      </c>
      <c r="F8" s="95"/>
      <c r="G8" s="95"/>
      <c r="H8" s="13">
        <f t="shared" si="0"/>
        <v>40000000000</v>
      </c>
      <c r="J8" t="s">
        <v>42</v>
      </c>
    </row>
    <row r="9" spans="1:15" x14ac:dyDescent="0.25">
      <c r="A9" s="125">
        <f>A8+92</f>
        <v>43642</v>
      </c>
      <c r="B9" s="11" t="s">
        <v>9</v>
      </c>
      <c r="C9" s="12">
        <v>0</v>
      </c>
      <c r="D9" s="57">
        <f t="shared" ref="D9:D53" si="2">(H8*$D$70*D$68)/360</f>
        <v>1106426342.7776399</v>
      </c>
      <c r="E9" s="57">
        <f t="shared" si="1"/>
        <v>1106426342.7776399</v>
      </c>
      <c r="F9" s="95"/>
      <c r="G9" s="95"/>
      <c r="H9" s="13">
        <f t="shared" si="0"/>
        <v>40000000000</v>
      </c>
    </row>
    <row r="10" spans="1:15" x14ac:dyDescent="0.25">
      <c r="A10" s="125">
        <f>A9+92</f>
        <v>43734</v>
      </c>
      <c r="B10" s="11" t="s">
        <v>9</v>
      </c>
      <c r="C10" s="12">
        <v>0</v>
      </c>
      <c r="D10" s="57">
        <f t="shared" si="2"/>
        <v>1106426342.7776399</v>
      </c>
      <c r="E10" s="57">
        <f t="shared" si="1"/>
        <v>1106426342.7776399</v>
      </c>
      <c r="F10" s="95"/>
      <c r="G10" s="95"/>
      <c r="H10" s="13">
        <f t="shared" si="0"/>
        <v>40000000000</v>
      </c>
    </row>
    <row r="11" spans="1:15" x14ac:dyDescent="0.25">
      <c r="A11" s="125">
        <f>A10+91</f>
        <v>43825</v>
      </c>
      <c r="B11" s="11" t="s">
        <v>9</v>
      </c>
      <c r="C11" s="12">
        <v>0</v>
      </c>
      <c r="D11" s="57">
        <f t="shared" si="2"/>
        <v>1106426342.7776399</v>
      </c>
      <c r="E11" s="57">
        <f t="shared" si="1"/>
        <v>1106426342.7776399</v>
      </c>
      <c r="F11" s="95"/>
      <c r="G11" s="95"/>
      <c r="H11" s="13">
        <f t="shared" si="0"/>
        <v>40000000000</v>
      </c>
    </row>
    <row r="12" spans="1:15" x14ac:dyDescent="0.25">
      <c r="A12" s="126">
        <f>A11+91</f>
        <v>43916</v>
      </c>
      <c r="B12" s="11" t="s">
        <v>10</v>
      </c>
      <c r="C12" s="12">
        <v>0</v>
      </c>
      <c r="D12" s="57">
        <f t="shared" si="2"/>
        <v>1106426342.7776399</v>
      </c>
      <c r="E12" s="57">
        <f t="shared" si="1"/>
        <v>1106426342.7776399</v>
      </c>
      <c r="F12" s="95"/>
      <c r="G12" s="95"/>
      <c r="H12" s="13">
        <f t="shared" si="0"/>
        <v>40000000000</v>
      </c>
      <c r="J12" s="58"/>
    </row>
    <row r="13" spans="1:15" x14ac:dyDescent="0.25">
      <c r="A13" s="126">
        <f>A12+92</f>
        <v>44008</v>
      </c>
      <c r="B13" s="11" t="s">
        <v>10</v>
      </c>
      <c r="C13" s="12">
        <v>0</v>
      </c>
      <c r="D13" s="57">
        <f t="shared" si="2"/>
        <v>1106426342.7776399</v>
      </c>
      <c r="E13" s="57">
        <f t="shared" si="1"/>
        <v>1106426342.7776399</v>
      </c>
      <c r="F13" s="95"/>
      <c r="G13" s="95"/>
      <c r="H13" s="13">
        <f t="shared" si="0"/>
        <v>40000000000</v>
      </c>
      <c r="N13" s="54" t="e">
        <f>SUM(#REF!)</f>
        <v>#REF!</v>
      </c>
      <c r="O13" s="54" t="e">
        <f>SUM(#REF!)</f>
        <v>#REF!</v>
      </c>
    </row>
    <row r="14" spans="1:15" x14ac:dyDescent="0.25">
      <c r="A14" s="126">
        <f>A13+92</f>
        <v>44100</v>
      </c>
      <c r="B14" s="11" t="s">
        <v>10</v>
      </c>
      <c r="C14" s="12">
        <f t="shared" ref="C14:C53" si="3">+$H$5/40</f>
        <v>1000000000</v>
      </c>
      <c r="D14" s="57">
        <f t="shared" si="2"/>
        <v>1106426342.7776399</v>
      </c>
      <c r="E14" s="57">
        <f t="shared" si="1"/>
        <v>2106426342.7776399</v>
      </c>
      <c r="F14" s="95"/>
      <c r="G14" s="95"/>
      <c r="H14" s="13">
        <f t="shared" si="0"/>
        <v>39000000000</v>
      </c>
    </row>
    <row r="15" spans="1:15" x14ac:dyDescent="0.25">
      <c r="A15" s="126">
        <f>A14+91</f>
        <v>44191</v>
      </c>
      <c r="B15" s="11" t="s">
        <v>10</v>
      </c>
      <c r="C15" s="12">
        <f t="shared" si="3"/>
        <v>1000000000</v>
      </c>
      <c r="D15" s="57">
        <f t="shared" si="2"/>
        <v>1078765684.208199</v>
      </c>
      <c r="E15" s="57">
        <f t="shared" si="1"/>
        <v>2078765684.208199</v>
      </c>
      <c r="F15" s="95"/>
      <c r="G15" s="95"/>
      <c r="H15" s="13">
        <f t="shared" si="0"/>
        <v>38000000000</v>
      </c>
    </row>
    <row r="16" spans="1:15" x14ac:dyDescent="0.25">
      <c r="A16" s="127">
        <f>A15+90</f>
        <v>44281</v>
      </c>
      <c r="B16" s="11" t="s">
        <v>10</v>
      </c>
      <c r="C16" s="12">
        <f t="shared" si="3"/>
        <v>1000000000</v>
      </c>
      <c r="D16" s="57">
        <f t="shared" si="2"/>
        <v>1051105025.6387579</v>
      </c>
      <c r="E16" s="57">
        <f t="shared" si="1"/>
        <v>2051105025.6387579</v>
      </c>
      <c r="F16" s="95"/>
      <c r="G16" s="95"/>
      <c r="H16" s="13">
        <f t="shared" si="0"/>
        <v>37000000000</v>
      </c>
    </row>
    <row r="17" spans="1:8" x14ac:dyDescent="0.25">
      <c r="A17" s="127">
        <f>A16+92</f>
        <v>44373</v>
      </c>
      <c r="B17" s="11" t="s">
        <v>10</v>
      </c>
      <c r="C17" s="12">
        <f t="shared" si="3"/>
        <v>1000000000</v>
      </c>
      <c r="D17" s="57">
        <f t="shared" si="2"/>
        <v>1023444367.069317</v>
      </c>
      <c r="E17" s="57">
        <f t="shared" si="1"/>
        <v>2023444367.0693169</v>
      </c>
      <c r="F17" s="95"/>
      <c r="G17" s="95"/>
      <c r="H17" s="13">
        <f t="shared" si="0"/>
        <v>36000000000</v>
      </c>
    </row>
    <row r="18" spans="1:8" x14ac:dyDescent="0.25">
      <c r="A18" s="127">
        <f>A17+92</f>
        <v>44465</v>
      </c>
      <c r="B18" s="11" t="s">
        <v>10</v>
      </c>
      <c r="C18" s="12">
        <f t="shared" si="3"/>
        <v>1000000000</v>
      </c>
      <c r="D18" s="57">
        <f t="shared" si="2"/>
        <v>995783708.49987602</v>
      </c>
      <c r="E18" s="57">
        <f t="shared" si="1"/>
        <v>1995783708.499876</v>
      </c>
      <c r="F18" s="95"/>
      <c r="G18" s="95"/>
      <c r="H18" s="13">
        <f t="shared" si="0"/>
        <v>35000000000</v>
      </c>
    </row>
    <row r="19" spans="1:8" x14ac:dyDescent="0.25">
      <c r="A19" s="127">
        <f>A18+91</f>
        <v>44556</v>
      </c>
      <c r="B19" s="11" t="s">
        <v>10</v>
      </c>
      <c r="C19" s="12">
        <f t="shared" si="3"/>
        <v>1000000000</v>
      </c>
      <c r="D19" s="57">
        <f t="shared" si="2"/>
        <v>968123049.93043506</v>
      </c>
      <c r="E19" s="57">
        <f t="shared" si="1"/>
        <v>1968123049.9304352</v>
      </c>
      <c r="F19" s="95"/>
      <c r="G19" s="95"/>
      <c r="H19" s="13">
        <f t="shared" si="0"/>
        <v>34000000000</v>
      </c>
    </row>
    <row r="20" spans="1:8" x14ac:dyDescent="0.25">
      <c r="A20" s="128">
        <f>A19+90</f>
        <v>44646</v>
      </c>
      <c r="B20" s="11" t="s">
        <v>10</v>
      </c>
      <c r="C20" s="12">
        <f t="shared" si="3"/>
        <v>1000000000</v>
      </c>
      <c r="D20" s="57">
        <f t="shared" si="2"/>
        <v>940462391.36099398</v>
      </c>
      <c r="E20" s="57">
        <f t="shared" si="1"/>
        <v>1940462391.3609939</v>
      </c>
      <c r="F20" s="95"/>
      <c r="G20" s="95"/>
      <c r="H20" s="13">
        <f t="shared" si="0"/>
        <v>33000000000</v>
      </c>
    </row>
    <row r="21" spans="1:8" x14ac:dyDescent="0.25">
      <c r="A21" s="128">
        <f>A20+92</f>
        <v>44738</v>
      </c>
      <c r="B21" s="11" t="s">
        <v>10</v>
      </c>
      <c r="C21" s="12">
        <f t="shared" si="3"/>
        <v>1000000000</v>
      </c>
      <c r="D21" s="57">
        <f t="shared" si="2"/>
        <v>912801732.79155302</v>
      </c>
      <c r="E21" s="57">
        <f t="shared" si="1"/>
        <v>1912801732.791553</v>
      </c>
      <c r="F21" s="95"/>
      <c r="G21" s="95"/>
      <c r="H21" s="13">
        <f t="shared" si="0"/>
        <v>32000000000</v>
      </c>
    </row>
    <row r="22" spans="1:8" x14ac:dyDescent="0.25">
      <c r="A22" s="128">
        <f>A21+92</f>
        <v>44830</v>
      </c>
      <c r="B22" s="11" t="s">
        <v>10</v>
      </c>
      <c r="C22" s="12">
        <f t="shared" si="3"/>
        <v>1000000000</v>
      </c>
      <c r="D22" s="57">
        <f t="shared" si="2"/>
        <v>885141074.22211206</v>
      </c>
      <c r="E22" s="57">
        <f t="shared" si="1"/>
        <v>1885141074.2221122</v>
      </c>
      <c r="F22" s="95"/>
      <c r="G22" s="95"/>
      <c r="H22" s="13">
        <f t="shared" si="0"/>
        <v>31000000000</v>
      </c>
    </row>
    <row r="23" spans="1:8" x14ac:dyDescent="0.25">
      <c r="A23" s="128">
        <f>A22+91</f>
        <v>44921</v>
      </c>
      <c r="B23" s="11" t="s">
        <v>10</v>
      </c>
      <c r="C23" s="12">
        <f t="shared" si="3"/>
        <v>1000000000</v>
      </c>
      <c r="D23" s="57">
        <f t="shared" si="2"/>
        <v>857480415.65267098</v>
      </c>
      <c r="E23" s="57">
        <f t="shared" si="1"/>
        <v>1857480415.6526709</v>
      </c>
      <c r="F23" s="95"/>
      <c r="G23" s="95"/>
      <c r="H23" s="13">
        <f t="shared" si="0"/>
        <v>30000000000</v>
      </c>
    </row>
    <row r="24" spans="1:8" x14ac:dyDescent="0.25">
      <c r="A24" s="87">
        <f>A23+90</f>
        <v>45011</v>
      </c>
      <c r="B24" s="11" t="s">
        <v>10</v>
      </c>
      <c r="C24" s="12">
        <f t="shared" si="3"/>
        <v>1000000000</v>
      </c>
      <c r="D24" s="57">
        <f t="shared" si="2"/>
        <v>829819757.08323014</v>
      </c>
      <c r="E24" s="57">
        <f t="shared" si="1"/>
        <v>1829819757.08323</v>
      </c>
      <c r="F24" s="95"/>
      <c r="G24" s="95"/>
      <c r="H24" s="13">
        <f t="shared" si="0"/>
        <v>29000000000</v>
      </c>
    </row>
    <row r="25" spans="1:8" x14ac:dyDescent="0.25">
      <c r="A25" s="87">
        <f>A24+92</f>
        <v>45103</v>
      </c>
      <c r="B25" s="11" t="s">
        <v>10</v>
      </c>
      <c r="C25" s="12">
        <f t="shared" si="3"/>
        <v>1000000000</v>
      </c>
      <c r="D25" s="57">
        <f t="shared" si="2"/>
        <v>802159098.51378882</v>
      </c>
      <c r="E25" s="57">
        <f t="shared" si="1"/>
        <v>1802159098.5137887</v>
      </c>
      <c r="F25" s="95"/>
      <c r="G25" s="95"/>
      <c r="H25" s="13">
        <f t="shared" si="0"/>
        <v>28000000000</v>
      </c>
    </row>
    <row r="26" spans="1:8" x14ac:dyDescent="0.25">
      <c r="A26" s="87">
        <f>A25+92</f>
        <v>45195</v>
      </c>
      <c r="B26" s="11" t="s">
        <v>10</v>
      </c>
      <c r="C26" s="12">
        <f t="shared" si="3"/>
        <v>1000000000</v>
      </c>
      <c r="D26" s="57">
        <f t="shared" si="2"/>
        <v>774498439.94434798</v>
      </c>
      <c r="E26" s="57">
        <f t="shared" si="1"/>
        <v>1774498439.9443479</v>
      </c>
      <c r="F26" s="95"/>
      <c r="G26" s="95"/>
      <c r="H26" s="13">
        <f t="shared" si="0"/>
        <v>27000000000</v>
      </c>
    </row>
    <row r="27" spans="1:8" x14ac:dyDescent="0.25">
      <c r="A27" s="87">
        <f>A26+91</f>
        <v>45286</v>
      </c>
      <c r="B27" s="11" t="s">
        <v>10</v>
      </c>
      <c r="C27" s="12">
        <f t="shared" si="3"/>
        <v>1000000000</v>
      </c>
      <c r="D27" s="57">
        <f t="shared" si="2"/>
        <v>746837781.37490702</v>
      </c>
      <c r="E27" s="57">
        <f t="shared" si="1"/>
        <v>1746837781.374907</v>
      </c>
      <c r="F27" s="95"/>
      <c r="G27" s="95"/>
      <c r="H27" s="13">
        <f t="shared" si="0"/>
        <v>26000000000</v>
      </c>
    </row>
    <row r="28" spans="1:8" x14ac:dyDescent="0.25">
      <c r="A28" s="129">
        <f>A27+91</f>
        <v>45377</v>
      </c>
      <c r="B28" s="11" t="s">
        <v>10</v>
      </c>
      <c r="C28" s="12">
        <f t="shared" si="3"/>
        <v>1000000000</v>
      </c>
      <c r="D28" s="57">
        <f t="shared" si="2"/>
        <v>719177122.80546594</v>
      </c>
      <c r="E28" s="57">
        <f t="shared" si="1"/>
        <v>1719177122.8054659</v>
      </c>
      <c r="F28" s="95"/>
      <c r="G28" s="95"/>
      <c r="H28" s="13">
        <f t="shared" si="0"/>
        <v>25000000000</v>
      </c>
    </row>
    <row r="29" spans="1:8" x14ac:dyDescent="0.25">
      <c r="A29" s="129">
        <f>A28+92</f>
        <v>45469</v>
      </c>
      <c r="B29" s="11" t="s">
        <v>10</v>
      </c>
      <c r="C29" s="12">
        <f t="shared" si="3"/>
        <v>1000000000</v>
      </c>
      <c r="D29" s="57">
        <f t="shared" si="2"/>
        <v>691516464.23602498</v>
      </c>
      <c r="E29" s="57">
        <f t="shared" si="1"/>
        <v>1691516464.2360249</v>
      </c>
      <c r="F29" s="95"/>
      <c r="G29" s="95"/>
      <c r="H29" s="13">
        <f t="shared" si="0"/>
        <v>24000000000</v>
      </c>
    </row>
    <row r="30" spans="1:8" x14ac:dyDescent="0.25">
      <c r="A30" s="129">
        <f>A29+92</f>
        <v>45561</v>
      </c>
      <c r="B30" s="11" t="s">
        <v>10</v>
      </c>
      <c r="C30" s="12">
        <f t="shared" si="3"/>
        <v>1000000000</v>
      </c>
      <c r="D30" s="57">
        <f t="shared" si="2"/>
        <v>663855805.66658401</v>
      </c>
      <c r="E30" s="57">
        <f t="shared" si="1"/>
        <v>1663855805.666584</v>
      </c>
      <c r="F30" s="95"/>
      <c r="G30" s="95"/>
      <c r="H30" s="13">
        <f t="shared" si="0"/>
        <v>23000000000</v>
      </c>
    </row>
    <row r="31" spans="1:8" x14ac:dyDescent="0.25">
      <c r="A31" s="129">
        <f>A30+91</f>
        <v>45652</v>
      </c>
      <c r="B31" s="11" t="s">
        <v>10</v>
      </c>
      <c r="C31" s="12">
        <f t="shared" si="3"/>
        <v>1000000000</v>
      </c>
      <c r="D31" s="57">
        <f t="shared" si="2"/>
        <v>636195147.09714293</v>
      </c>
      <c r="E31" s="57">
        <f t="shared" si="1"/>
        <v>1636195147.0971429</v>
      </c>
      <c r="F31" s="95"/>
      <c r="G31" s="95"/>
      <c r="H31" s="13">
        <f t="shared" si="0"/>
        <v>22000000000</v>
      </c>
    </row>
    <row r="32" spans="1:8" x14ac:dyDescent="0.25">
      <c r="A32" s="87">
        <f>A31+90</f>
        <v>45742</v>
      </c>
      <c r="B32" s="11" t="s">
        <v>10</v>
      </c>
      <c r="C32" s="12">
        <f t="shared" si="3"/>
        <v>1000000000</v>
      </c>
      <c r="D32" s="57">
        <f t="shared" si="2"/>
        <v>608534488.52770197</v>
      </c>
      <c r="E32" s="57">
        <f t="shared" si="1"/>
        <v>1608534488.5277019</v>
      </c>
      <c r="F32" s="95"/>
      <c r="G32" s="95"/>
      <c r="H32" s="13">
        <f t="shared" si="0"/>
        <v>21000000000</v>
      </c>
    </row>
    <row r="33" spans="1:10" x14ac:dyDescent="0.25">
      <c r="A33" s="87">
        <f>A32+92</f>
        <v>45834</v>
      </c>
      <c r="B33" s="11" t="s">
        <v>10</v>
      </c>
      <c r="C33" s="12">
        <f t="shared" si="3"/>
        <v>1000000000</v>
      </c>
      <c r="D33" s="57">
        <f t="shared" si="2"/>
        <v>580873829.95826101</v>
      </c>
      <c r="E33" s="57">
        <f t="shared" si="1"/>
        <v>1580873829.958261</v>
      </c>
      <c r="F33" s="95"/>
      <c r="G33" s="95"/>
      <c r="H33" s="13">
        <f t="shared" si="0"/>
        <v>20000000000</v>
      </c>
    </row>
    <row r="34" spans="1:10" x14ac:dyDescent="0.25">
      <c r="A34" s="87">
        <f>A33+92</f>
        <v>45926</v>
      </c>
      <c r="B34" s="11" t="s">
        <v>10</v>
      </c>
      <c r="C34" s="12">
        <f t="shared" si="3"/>
        <v>1000000000</v>
      </c>
      <c r="D34" s="57">
        <f t="shared" si="2"/>
        <v>553213171.38881993</v>
      </c>
      <c r="E34" s="57">
        <f t="shared" si="1"/>
        <v>1553213171.3888199</v>
      </c>
      <c r="F34" s="95"/>
      <c r="G34" s="95"/>
      <c r="H34" s="13">
        <f t="shared" si="0"/>
        <v>19000000000</v>
      </c>
    </row>
    <row r="35" spans="1:10" x14ac:dyDescent="0.25">
      <c r="A35" s="87">
        <f>A34+91</f>
        <v>46017</v>
      </c>
      <c r="B35" s="11" t="s">
        <v>10</v>
      </c>
      <c r="C35" s="12">
        <f t="shared" si="3"/>
        <v>1000000000</v>
      </c>
      <c r="D35" s="57">
        <f t="shared" si="2"/>
        <v>525552512.81937897</v>
      </c>
      <c r="E35" s="57">
        <f t="shared" si="1"/>
        <v>1525552512.8193789</v>
      </c>
      <c r="F35" s="95"/>
      <c r="G35" s="95"/>
      <c r="H35" s="13">
        <f t="shared" si="0"/>
        <v>18000000000</v>
      </c>
    </row>
    <row r="36" spans="1:10" x14ac:dyDescent="0.25">
      <c r="A36" s="130">
        <f>A35+90</f>
        <v>46107</v>
      </c>
      <c r="B36" s="11" t="s">
        <v>10</v>
      </c>
      <c r="C36" s="12">
        <f t="shared" si="3"/>
        <v>1000000000</v>
      </c>
      <c r="D36" s="57">
        <f t="shared" si="2"/>
        <v>497891854.24993801</v>
      </c>
      <c r="E36" s="57">
        <f t="shared" si="1"/>
        <v>1497891854.249938</v>
      </c>
      <c r="F36" s="95"/>
      <c r="G36" s="95"/>
      <c r="H36" s="13">
        <f t="shared" si="0"/>
        <v>17000000000</v>
      </c>
    </row>
    <row r="37" spans="1:10" x14ac:dyDescent="0.25">
      <c r="A37" s="130">
        <f>A36+92</f>
        <v>46199</v>
      </c>
      <c r="B37" s="11" t="s">
        <v>10</v>
      </c>
      <c r="C37" s="12">
        <f t="shared" si="3"/>
        <v>1000000000</v>
      </c>
      <c r="D37" s="57">
        <f t="shared" si="2"/>
        <v>470231195.68049699</v>
      </c>
      <c r="E37" s="57">
        <f t="shared" si="1"/>
        <v>1470231195.6804969</v>
      </c>
      <c r="F37" s="95"/>
      <c r="G37" s="95"/>
      <c r="H37" s="13">
        <f t="shared" si="0"/>
        <v>16000000000</v>
      </c>
    </row>
    <row r="38" spans="1:10" x14ac:dyDescent="0.25">
      <c r="A38" s="130">
        <f>A37+92</f>
        <v>46291</v>
      </c>
      <c r="B38" s="11" t="s">
        <v>10</v>
      </c>
      <c r="C38" s="12">
        <f t="shared" si="3"/>
        <v>1000000000</v>
      </c>
      <c r="D38" s="57">
        <f t="shared" si="2"/>
        <v>442570537.11105603</v>
      </c>
      <c r="E38" s="57">
        <f t="shared" si="1"/>
        <v>1442570537.1110561</v>
      </c>
      <c r="F38" s="95"/>
      <c r="G38" s="95"/>
      <c r="H38" s="13">
        <f t="shared" si="0"/>
        <v>15000000000</v>
      </c>
    </row>
    <row r="39" spans="1:10" x14ac:dyDescent="0.25">
      <c r="A39" s="130">
        <f>A38+91</f>
        <v>46382</v>
      </c>
      <c r="B39" s="11" t="s">
        <v>10</v>
      </c>
      <c r="C39" s="12">
        <f t="shared" si="3"/>
        <v>1000000000</v>
      </c>
      <c r="D39" s="57">
        <f t="shared" si="2"/>
        <v>414909878.54161507</v>
      </c>
      <c r="E39" s="57">
        <f t="shared" si="1"/>
        <v>1414909878.541615</v>
      </c>
      <c r="F39" s="95"/>
      <c r="G39" s="95"/>
      <c r="H39" s="13">
        <f t="shared" si="0"/>
        <v>14000000000</v>
      </c>
    </row>
    <row r="40" spans="1:10" x14ac:dyDescent="0.25">
      <c r="A40" s="87">
        <f>A39+90</f>
        <v>46472</v>
      </c>
      <c r="B40" s="11" t="s">
        <v>10</v>
      </c>
      <c r="C40" s="12">
        <f t="shared" si="3"/>
        <v>1000000000</v>
      </c>
      <c r="D40" s="57">
        <f t="shared" si="2"/>
        <v>387249219.97217399</v>
      </c>
      <c r="E40" s="57">
        <f t="shared" si="1"/>
        <v>1387249219.9721739</v>
      </c>
      <c r="F40" s="95"/>
      <c r="G40" s="95"/>
      <c r="H40" s="13">
        <f t="shared" si="0"/>
        <v>13000000000</v>
      </c>
    </row>
    <row r="41" spans="1:10" x14ac:dyDescent="0.25">
      <c r="A41" s="87">
        <f>A40+92</f>
        <v>46564</v>
      </c>
      <c r="B41" s="11" t="s">
        <v>10</v>
      </c>
      <c r="C41" s="12">
        <f t="shared" si="3"/>
        <v>1000000000</v>
      </c>
      <c r="D41" s="57">
        <f t="shared" si="2"/>
        <v>359588561.40273297</v>
      </c>
      <c r="E41" s="57">
        <f t="shared" si="1"/>
        <v>1359588561.4027328</v>
      </c>
      <c r="F41" s="95"/>
      <c r="G41" s="95"/>
      <c r="H41" s="13">
        <f t="shared" si="0"/>
        <v>12000000000</v>
      </c>
    </row>
    <row r="42" spans="1:10" x14ac:dyDescent="0.25">
      <c r="A42" s="87">
        <f>A41+92</f>
        <v>46656</v>
      </c>
      <c r="B42" s="11" t="s">
        <v>10</v>
      </c>
      <c r="C42" s="12">
        <f t="shared" si="3"/>
        <v>1000000000</v>
      </c>
      <c r="D42" s="57">
        <f t="shared" si="2"/>
        <v>331927902.83329201</v>
      </c>
      <c r="E42" s="57">
        <f t="shared" si="1"/>
        <v>1331927902.833292</v>
      </c>
      <c r="F42" s="95"/>
      <c r="G42" s="95"/>
      <c r="H42" s="13">
        <f t="shared" si="0"/>
        <v>11000000000</v>
      </c>
      <c r="J42" t="s">
        <v>42</v>
      </c>
    </row>
    <row r="43" spans="1:10" x14ac:dyDescent="0.25">
      <c r="A43" s="87">
        <f>A42+91</f>
        <v>46747</v>
      </c>
      <c r="B43" s="11" t="s">
        <v>10</v>
      </c>
      <c r="C43" s="12">
        <f t="shared" si="3"/>
        <v>1000000000</v>
      </c>
      <c r="D43" s="57">
        <f t="shared" si="2"/>
        <v>304267244.26385099</v>
      </c>
      <c r="E43" s="57">
        <f t="shared" si="1"/>
        <v>1304267244.2638509</v>
      </c>
      <c r="F43" s="95"/>
      <c r="G43" s="95"/>
      <c r="H43" s="13">
        <f t="shared" si="0"/>
        <v>10000000000</v>
      </c>
    </row>
    <row r="44" spans="1:10" x14ac:dyDescent="0.25">
      <c r="A44" s="131">
        <f>A43+91</f>
        <v>46838</v>
      </c>
      <c r="B44" s="11" t="s">
        <v>10</v>
      </c>
      <c r="C44" s="12">
        <f t="shared" si="3"/>
        <v>1000000000</v>
      </c>
      <c r="D44" s="57">
        <f t="shared" si="2"/>
        <v>276606585.69440997</v>
      </c>
      <c r="E44" s="57">
        <f t="shared" si="1"/>
        <v>1276606585.6944098</v>
      </c>
      <c r="F44" s="95"/>
      <c r="G44" s="95"/>
      <c r="H44" s="13">
        <f t="shared" si="0"/>
        <v>9000000000</v>
      </c>
    </row>
    <row r="45" spans="1:10" x14ac:dyDescent="0.25">
      <c r="A45" s="131">
        <f>A44+92</f>
        <v>46930</v>
      </c>
      <c r="B45" s="11" t="s">
        <v>10</v>
      </c>
      <c r="C45" s="12">
        <f t="shared" si="3"/>
        <v>1000000000</v>
      </c>
      <c r="D45" s="57">
        <f t="shared" si="2"/>
        <v>248945927.12496901</v>
      </c>
      <c r="E45" s="57">
        <f t="shared" si="1"/>
        <v>1248945927.124969</v>
      </c>
      <c r="F45" s="95"/>
      <c r="G45" s="95"/>
      <c r="H45" s="13">
        <f t="shared" si="0"/>
        <v>8000000000</v>
      </c>
    </row>
    <row r="46" spans="1:10" x14ac:dyDescent="0.25">
      <c r="A46" s="131">
        <f>A45+92</f>
        <v>47022</v>
      </c>
      <c r="B46" s="11" t="s">
        <v>10</v>
      </c>
      <c r="C46" s="12">
        <f t="shared" si="3"/>
        <v>1000000000</v>
      </c>
      <c r="D46" s="57">
        <f t="shared" si="2"/>
        <v>221285268.55552801</v>
      </c>
      <c r="E46" s="57">
        <f t="shared" si="1"/>
        <v>1221285268.5555279</v>
      </c>
      <c r="F46" s="95"/>
      <c r="G46" s="95"/>
      <c r="H46" s="13">
        <f t="shared" si="0"/>
        <v>7000000000</v>
      </c>
    </row>
    <row r="47" spans="1:10" x14ac:dyDescent="0.25">
      <c r="A47" s="131">
        <f>A46+91</f>
        <v>47113</v>
      </c>
      <c r="B47" s="11" t="s">
        <v>10</v>
      </c>
      <c r="C47" s="12">
        <f t="shared" si="3"/>
        <v>1000000000</v>
      </c>
      <c r="D47" s="57">
        <f t="shared" si="2"/>
        <v>193624609.98608699</v>
      </c>
      <c r="E47" s="57">
        <f t="shared" si="1"/>
        <v>1193624609.9860871</v>
      </c>
      <c r="F47" s="95"/>
      <c r="G47" s="95"/>
      <c r="H47" s="13">
        <f t="shared" si="0"/>
        <v>6000000000</v>
      </c>
    </row>
    <row r="48" spans="1:10" x14ac:dyDescent="0.25">
      <c r="A48" s="132">
        <f>A47+90</f>
        <v>47203</v>
      </c>
      <c r="B48" s="11" t="s">
        <v>10</v>
      </c>
      <c r="C48" s="12">
        <f t="shared" si="3"/>
        <v>1000000000</v>
      </c>
      <c r="D48" s="57">
        <f t="shared" si="2"/>
        <v>165963951.416646</v>
      </c>
      <c r="E48" s="57">
        <f t="shared" si="1"/>
        <v>1165963951.416646</v>
      </c>
      <c r="F48" s="95"/>
      <c r="G48" s="95"/>
      <c r="H48" s="13">
        <f t="shared" si="0"/>
        <v>5000000000</v>
      </c>
    </row>
    <row r="49" spans="1:11" x14ac:dyDescent="0.25">
      <c r="A49" s="132">
        <f>A48+92</f>
        <v>47295</v>
      </c>
      <c r="B49" s="11" t="s">
        <v>10</v>
      </c>
      <c r="C49" s="12">
        <f t="shared" si="3"/>
        <v>1000000000</v>
      </c>
      <c r="D49" s="57">
        <f t="shared" si="2"/>
        <v>138303292.84720498</v>
      </c>
      <c r="E49" s="57">
        <f t="shared" si="1"/>
        <v>1138303292.8472049</v>
      </c>
      <c r="F49" s="95"/>
      <c r="G49" s="95"/>
      <c r="H49" s="13">
        <f t="shared" si="0"/>
        <v>4000000000</v>
      </c>
      <c r="J49" t="s">
        <v>42</v>
      </c>
    </row>
    <row r="50" spans="1:11" x14ac:dyDescent="0.25">
      <c r="A50" s="132">
        <f>A49+92</f>
        <v>47387</v>
      </c>
      <c r="B50" s="11" t="s">
        <v>10</v>
      </c>
      <c r="C50" s="12">
        <f t="shared" si="3"/>
        <v>1000000000</v>
      </c>
      <c r="D50" s="57">
        <f t="shared" si="2"/>
        <v>110642634.27776401</v>
      </c>
      <c r="E50" s="57">
        <f t="shared" si="1"/>
        <v>1110642634.2777641</v>
      </c>
      <c r="F50" s="95"/>
      <c r="G50" s="95"/>
      <c r="H50" s="13">
        <f t="shared" si="0"/>
        <v>3000000000</v>
      </c>
    </row>
    <row r="51" spans="1:11" x14ac:dyDescent="0.25">
      <c r="A51" s="132">
        <f>A50+91</f>
        <v>47478</v>
      </c>
      <c r="B51" s="11" t="s">
        <v>10</v>
      </c>
      <c r="C51" s="12">
        <f t="shared" si="3"/>
        <v>1000000000</v>
      </c>
      <c r="D51" s="57">
        <f t="shared" si="2"/>
        <v>82981975.708323002</v>
      </c>
      <c r="E51" s="57">
        <f t="shared" si="1"/>
        <v>1082981975.708323</v>
      </c>
      <c r="F51" s="95"/>
      <c r="G51" s="95"/>
      <c r="H51" s="13">
        <f t="shared" si="0"/>
        <v>2000000000</v>
      </c>
    </row>
    <row r="52" spans="1:11" x14ac:dyDescent="0.25">
      <c r="A52" s="87">
        <f>A51+90</f>
        <v>47568</v>
      </c>
      <c r="B52" s="11" t="s">
        <v>10</v>
      </c>
      <c r="C52" s="12">
        <f t="shared" si="3"/>
        <v>1000000000</v>
      </c>
      <c r="D52" s="57">
        <f t="shared" si="2"/>
        <v>55321317.138882004</v>
      </c>
      <c r="E52" s="57">
        <f t="shared" si="1"/>
        <v>1055321317.138882</v>
      </c>
      <c r="F52" s="95"/>
      <c r="G52" s="95"/>
      <c r="H52" s="13">
        <f t="shared" si="0"/>
        <v>1000000000</v>
      </c>
    </row>
    <row r="53" spans="1:11" x14ac:dyDescent="0.25">
      <c r="A53" s="87">
        <f>A52+92</f>
        <v>47660</v>
      </c>
      <c r="B53" s="11" t="s">
        <v>10</v>
      </c>
      <c r="C53" s="12">
        <f t="shared" si="3"/>
        <v>1000000000</v>
      </c>
      <c r="D53" s="57">
        <f t="shared" si="2"/>
        <v>27660658.569441002</v>
      </c>
      <c r="E53" s="57">
        <f t="shared" si="1"/>
        <v>1027660658.569441</v>
      </c>
      <c r="F53" s="95"/>
      <c r="G53" s="95"/>
      <c r="H53" s="13">
        <f t="shared" si="0"/>
        <v>0</v>
      </c>
    </row>
    <row r="54" spans="1:11" x14ac:dyDescent="0.25">
      <c r="A54" s="15"/>
      <c r="B54" s="16" t="s">
        <v>11</v>
      </c>
      <c r="C54" s="17">
        <f>SUM(C5:C53)</f>
        <v>40000000000</v>
      </c>
      <c r="D54" s="17">
        <f>SUM(D5:D53)</f>
        <v>31533150769.162743</v>
      </c>
      <c r="E54" s="17">
        <f>SUM(E6:E53)</f>
        <v>71533150769.162735</v>
      </c>
      <c r="F54" s="17"/>
      <c r="G54" s="17"/>
      <c r="H54" s="18"/>
      <c r="J54" s="54"/>
    </row>
    <row r="55" spans="1:11" ht="15.75" thickBot="1" x14ac:dyDescent="0.3">
      <c r="A55" s="19" t="s">
        <v>12</v>
      </c>
      <c r="B55" s="20"/>
      <c r="C55" s="20"/>
      <c r="D55" s="20"/>
      <c r="E55" s="20"/>
      <c r="F55" s="20"/>
      <c r="G55" s="20"/>
      <c r="H55" s="20"/>
      <c r="I55" s="20"/>
      <c r="J55" s="20"/>
    </row>
    <row r="56" spans="1:11" ht="26.25" thickBot="1" x14ac:dyDescent="0.3">
      <c r="A56" s="21" t="s">
        <v>13</v>
      </c>
      <c r="B56" s="22" t="s">
        <v>14</v>
      </c>
      <c r="C56" s="22" t="s">
        <v>15</v>
      </c>
      <c r="D56" s="22" t="s">
        <v>16</v>
      </c>
      <c r="E56" s="22" t="s">
        <v>2951</v>
      </c>
      <c r="F56" s="22" t="s">
        <v>2952</v>
      </c>
      <c r="G56" s="22" t="s">
        <v>2954</v>
      </c>
      <c r="H56" s="22"/>
      <c r="I56" s="22" t="s">
        <v>7</v>
      </c>
      <c r="J56" s="22" t="s">
        <v>365</v>
      </c>
      <c r="K56" s="23" t="s">
        <v>17</v>
      </c>
    </row>
    <row r="57" spans="1:11" ht="25.5" x14ac:dyDescent="0.25">
      <c r="A57" s="24" t="s">
        <v>364</v>
      </c>
      <c r="B57" s="25" t="s">
        <v>18</v>
      </c>
      <c r="C57" s="26"/>
      <c r="D57" s="27">
        <v>14675926776</v>
      </c>
      <c r="E57" s="27" t="s">
        <v>2953</v>
      </c>
      <c r="F57" s="140">
        <v>43214</v>
      </c>
      <c r="G57" s="27">
        <v>611517070</v>
      </c>
      <c r="H57" s="27"/>
      <c r="I57" s="27">
        <v>0</v>
      </c>
      <c r="J57" s="59">
        <f>D57*((1+C62)^(C61/360)-1)</f>
        <v>287367566.42829877</v>
      </c>
      <c r="K57" s="60">
        <f>+I57+J57</f>
        <v>287367566.42829877</v>
      </c>
    </row>
    <row r="58" spans="1:11" ht="25.5" x14ac:dyDescent="0.25">
      <c r="A58" s="28" t="s">
        <v>20</v>
      </c>
      <c r="B58" s="61">
        <v>3712572165</v>
      </c>
      <c r="C58" s="28" t="s">
        <v>366</v>
      </c>
      <c r="D58" s="30"/>
      <c r="E58" s="30"/>
      <c r="F58" s="30"/>
      <c r="G58" s="30"/>
      <c r="H58" s="30"/>
      <c r="I58" s="31"/>
      <c r="J58" s="31"/>
      <c r="K58" s="32"/>
    </row>
    <row r="59" spans="1:11" ht="26.25" x14ac:dyDescent="0.25">
      <c r="A59" s="62" t="s">
        <v>368</v>
      </c>
      <c r="B59" s="29"/>
      <c r="C59" s="33">
        <v>5.0599999999999999E-2</v>
      </c>
      <c r="D59" s="63"/>
      <c r="E59" s="63"/>
      <c r="F59" s="63"/>
      <c r="G59" s="63"/>
      <c r="H59" s="63"/>
      <c r="I59" s="31"/>
      <c r="J59" s="35"/>
      <c r="K59" s="32"/>
    </row>
    <row r="60" spans="1:11" x14ac:dyDescent="0.25">
      <c r="A60" s="64" t="s">
        <v>370</v>
      </c>
      <c r="B60" s="29"/>
      <c r="C60" s="33">
        <v>2.7E-2</v>
      </c>
      <c r="D60" s="65"/>
      <c r="E60" s="65"/>
      <c r="F60" s="65"/>
      <c r="G60" s="65"/>
      <c r="H60" s="65"/>
      <c r="I60" s="31"/>
      <c r="J60" s="31"/>
      <c r="K60" s="32"/>
    </row>
    <row r="61" spans="1:11" x14ac:dyDescent="0.25">
      <c r="A61" s="66" t="s">
        <v>372</v>
      </c>
      <c r="B61" s="29"/>
      <c r="C61" s="67">
        <v>90</v>
      </c>
      <c r="D61" s="36"/>
      <c r="E61" s="36"/>
      <c r="F61" s="36"/>
      <c r="G61" s="36"/>
      <c r="H61" s="36"/>
      <c r="I61" s="31"/>
      <c r="J61" s="31"/>
      <c r="K61" s="32"/>
    </row>
    <row r="62" spans="1:11" ht="25.5" x14ac:dyDescent="0.25">
      <c r="A62" s="28" t="s">
        <v>373</v>
      </c>
      <c r="B62" s="29"/>
      <c r="C62" s="68">
        <f>(1+(C59+C60)/90)^90-1</f>
        <v>8.0654163803858259E-2</v>
      </c>
      <c r="D62" s="34">
        <f>C59+C60</f>
        <v>7.7600000000000002E-2</v>
      </c>
      <c r="E62" s="34"/>
      <c r="F62" s="34"/>
      <c r="G62" s="34"/>
      <c r="H62" s="36" t="s">
        <v>42</v>
      </c>
      <c r="I62" s="31"/>
      <c r="J62" s="31"/>
      <c r="K62" s="32"/>
    </row>
    <row r="63" spans="1:11" ht="25.5" x14ac:dyDescent="0.25">
      <c r="A63" s="37" t="s">
        <v>22</v>
      </c>
      <c r="B63" s="69"/>
      <c r="C63" s="38"/>
      <c r="D63" s="31"/>
      <c r="E63" s="31"/>
      <c r="F63" s="31"/>
      <c r="G63" s="31"/>
      <c r="H63" s="31"/>
      <c r="I63" s="31"/>
      <c r="J63" s="31"/>
      <c r="K63" s="32"/>
    </row>
    <row r="64" spans="1:11" ht="25.5" x14ac:dyDescent="0.25">
      <c r="A64" s="37" t="s">
        <v>374</v>
      </c>
      <c r="B64" s="28" t="s">
        <v>24</v>
      </c>
      <c r="C64" s="28" t="s">
        <v>25</v>
      </c>
      <c r="D64" s="70"/>
      <c r="E64" s="71"/>
      <c r="F64" s="71"/>
      <c r="G64" s="71"/>
      <c r="H64" s="71"/>
      <c r="I64" s="71"/>
      <c r="J64" s="71"/>
      <c r="K64" s="72"/>
    </row>
    <row r="65" spans="1:17" x14ac:dyDescent="0.25">
      <c r="A65" s="39"/>
      <c r="B65" s="40" t="s">
        <v>2768</v>
      </c>
      <c r="C65" s="40" t="s">
        <v>28</v>
      </c>
      <c r="D65" s="40" t="s">
        <v>29</v>
      </c>
      <c r="E65" s="40" t="s">
        <v>30</v>
      </c>
      <c r="F65" s="40" t="s">
        <v>31</v>
      </c>
      <c r="G65" s="40" t="s">
        <v>32</v>
      </c>
      <c r="H65" s="40" t="s">
        <v>33</v>
      </c>
      <c r="I65" s="40" t="s">
        <v>34</v>
      </c>
      <c r="J65" s="40" t="s">
        <v>35</v>
      </c>
      <c r="K65" s="40" t="s">
        <v>36</v>
      </c>
      <c r="L65" s="40" t="s">
        <v>37</v>
      </c>
      <c r="M65" s="40" t="s">
        <v>38</v>
      </c>
      <c r="N65" s="40" t="s">
        <v>2734</v>
      </c>
    </row>
    <row r="66" spans="1:17" ht="25.5" x14ac:dyDescent="0.25">
      <c r="A66" s="39" t="s">
        <v>375</v>
      </c>
      <c r="B66" s="33">
        <v>0.06</v>
      </c>
      <c r="C66" s="33">
        <v>0.06</v>
      </c>
      <c r="D66" s="33">
        <v>0.06</v>
      </c>
      <c r="E66" s="33">
        <v>0.06</v>
      </c>
      <c r="F66" s="33">
        <v>0.06</v>
      </c>
      <c r="G66" s="33">
        <v>0.06</v>
      </c>
      <c r="H66" s="33">
        <v>0.06</v>
      </c>
      <c r="I66" s="33">
        <v>0.06</v>
      </c>
      <c r="J66" s="33">
        <v>0.06</v>
      </c>
      <c r="K66" s="33">
        <v>0.06</v>
      </c>
      <c r="L66" s="33">
        <v>0.06</v>
      </c>
      <c r="M66" s="33">
        <v>0.06</v>
      </c>
      <c r="N66" s="33">
        <v>0.06</v>
      </c>
    </row>
    <row r="67" spans="1:17" ht="25.5" x14ac:dyDescent="0.25">
      <c r="A67" s="39" t="s">
        <v>376</v>
      </c>
      <c r="B67" s="33">
        <v>4.4999999999999998E-2</v>
      </c>
      <c r="C67" s="33">
        <v>4.4999999999999998E-2</v>
      </c>
      <c r="D67" s="33">
        <v>4.4999999999999998E-2</v>
      </c>
      <c r="E67" s="33">
        <v>4.4999999999999998E-2</v>
      </c>
      <c r="F67" s="33">
        <v>4.4999999999999998E-2</v>
      </c>
      <c r="G67" s="33">
        <v>4.4999999999999998E-2</v>
      </c>
      <c r="H67" s="33">
        <v>4.4999999999999998E-2</v>
      </c>
      <c r="I67" s="33">
        <v>4.4999999999999998E-2</v>
      </c>
      <c r="J67" s="33">
        <v>4.4999999999999998E-2</v>
      </c>
      <c r="K67" s="33">
        <v>4.4999999999999998E-2</v>
      </c>
      <c r="L67" s="33">
        <v>4.4999999999999998E-2</v>
      </c>
      <c r="M67" s="33">
        <v>4.4999999999999998E-2</v>
      </c>
      <c r="N67" s="33">
        <v>4.4999999999999998E-2</v>
      </c>
    </row>
    <row r="68" spans="1:17" x14ac:dyDescent="0.25">
      <c r="A68" s="39" t="s">
        <v>377</v>
      </c>
      <c r="B68" s="67">
        <v>90</v>
      </c>
      <c r="C68" s="67">
        <v>90</v>
      </c>
      <c r="D68" s="67">
        <v>90</v>
      </c>
      <c r="E68" s="67">
        <v>90</v>
      </c>
      <c r="F68" s="67">
        <v>90</v>
      </c>
      <c r="G68" s="67">
        <v>90</v>
      </c>
      <c r="H68" s="67">
        <v>90</v>
      </c>
      <c r="I68" s="67">
        <v>90</v>
      </c>
      <c r="J68" s="67">
        <v>90</v>
      </c>
      <c r="K68" s="67">
        <v>90</v>
      </c>
      <c r="L68" s="67">
        <v>90</v>
      </c>
      <c r="M68" s="67">
        <v>90</v>
      </c>
      <c r="N68" s="67">
        <v>91</v>
      </c>
    </row>
    <row r="69" spans="1:17" ht="25.5" x14ac:dyDescent="0.25">
      <c r="A69" s="39" t="s">
        <v>2971</v>
      </c>
      <c r="B69" s="142">
        <f>B66+B67</f>
        <v>0.105</v>
      </c>
      <c r="C69" s="142">
        <f t="shared" ref="C69:N69" si="4">C66+C67</f>
        <v>0.105</v>
      </c>
      <c r="D69" s="142">
        <f t="shared" si="4"/>
        <v>0.105</v>
      </c>
      <c r="E69" s="142">
        <f t="shared" si="4"/>
        <v>0.105</v>
      </c>
      <c r="F69" s="142">
        <f t="shared" si="4"/>
        <v>0.105</v>
      </c>
      <c r="G69" s="142">
        <f t="shared" si="4"/>
        <v>0.105</v>
      </c>
      <c r="H69" s="142">
        <f t="shared" si="4"/>
        <v>0.105</v>
      </c>
      <c r="I69" s="142">
        <f t="shared" si="4"/>
        <v>0.105</v>
      </c>
      <c r="J69" s="142">
        <f t="shared" si="4"/>
        <v>0.105</v>
      </c>
      <c r="K69" s="142">
        <f t="shared" si="4"/>
        <v>0.105</v>
      </c>
      <c r="L69" s="142">
        <f t="shared" si="4"/>
        <v>0.105</v>
      </c>
      <c r="M69" s="142">
        <f t="shared" si="4"/>
        <v>0.105</v>
      </c>
      <c r="N69" s="142">
        <f t="shared" si="4"/>
        <v>0.105</v>
      </c>
    </row>
    <row r="70" spans="1:17" ht="38.25" x14ac:dyDescent="0.25">
      <c r="A70" s="39" t="s">
        <v>373</v>
      </c>
      <c r="B70" s="73">
        <f t="shared" ref="B70:N70" si="5">(1+(B66+B67)/90)^90-1</f>
        <v>0.110642634277764</v>
      </c>
      <c r="C70" s="73">
        <f t="shared" si="5"/>
        <v>0.110642634277764</v>
      </c>
      <c r="D70" s="73">
        <f t="shared" si="5"/>
        <v>0.110642634277764</v>
      </c>
      <c r="E70" s="73">
        <f t="shared" si="5"/>
        <v>0.110642634277764</v>
      </c>
      <c r="F70" s="73">
        <f t="shared" si="5"/>
        <v>0.110642634277764</v>
      </c>
      <c r="G70" s="73">
        <f t="shared" si="5"/>
        <v>0.110642634277764</v>
      </c>
      <c r="H70" s="73">
        <f t="shared" si="5"/>
        <v>0.110642634277764</v>
      </c>
      <c r="I70" s="73">
        <f t="shared" si="5"/>
        <v>0.110642634277764</v>
      </c>
      <c r="J70" s="73">
        <f t="shared" si="5"/>
        <v>0.110642634277764</v>
      </c>
      <c r="K70" s="73">
        <f t="shared" si="5"/>
        <v>0.110642634277764</v>
      </c>
      <c r="L70" s="73">
        <f t="shared" si="5"/>
        <v>0.110642634277764</v>
      </c>
      <c r="M70" s="73">
        <f t="shared" si="5"/>
        <v>0.110642634277764</v>
      </c>
      <c r="N70" s="73">
        <f t="shared" si="5"/>
        <v>0.110642634277764</v>
      </c>
    </row>
    <row r="71" spans="1:17" ht="38.25" x14ac:dyDescent="0.25">
      <c r="A71" s="41" t="s">
        <v>378</v>
      </c>
      <c r="B71" s="41">
        <v>2018</v>
      </c>
      <c r="C71" s="42">
        <v>2019</v>
      </c>
      <c r="D71" s="41">
        <v>2020</v>
      </c>
      <c r="E71" s="42">
        <v>2021</v>
      </c>
      <c r="F71" s="41">
        <v>2022</v>
      </c>
      <c r="G71" s="42">
        <v>2023</v>
      </c>
      <c r="H71" s="41">
        <v>2024</v>
      </c>
      <c r="I71" s="42">
        <v>2025</v>
      </c>
      <c r="J71" s="41">
        <v>2026</v>
      </c>
      <c r="K71" s="42">
        <v>2027</v>
      </c>
      <c r="L71" s="41">
        <v>2028</v>
      </c>
      <c r="M71" s="42">
        <v>2029</v>
      </c>
      <c r="N71" s="42">
        <v>2030</v>
      </c>
      <c r="Q71" s="46" t="s">
        <v>379</v>
      </c>
    </row>
    <row r="72" spans="1:17" x14ac:dyDescent="0.25">
      <c r="A72" s="43" t="s">
        <v>39</v>
      </c>
      <c r="B72" s="44">
        <f>+D$6+D$7</f>
        <v>2212852685.5552797</v>
      </c>
      <c r="C72" s="44">
        <f>+D$8+D$9+D$10+D$11</f>
        <v>4425705371.1105595</v>
      </c>
      <c r="D72" s="44">
        <f>+D$12+D$13+D$14+D$15</f>
        <v>4398044712.5411186</v>
      </c>
      <c r="E72" s="44">
        <f>+D$16+D$17+D$18+D$19</f>
        <v>4038456151.1383862</v>
      </c>
      <c r="F72" s="44">
        <f>+D$20+D$21+D$22+D$23</f>
        <v>3595885614.0273299</v>
      </c>
      <c r="G72" s="44">
        <f>+D$24+D$25+D$26+D$27</f>
        <v>3153315076.9162741</v>
      </c>
      <c r="H72" s="44">
        <f>+D$28+D$29+D$30+D$31</f>
        <v>2710744539.8052177</v>
      </c>
      <c r="I72" s="44">
        <f>+D$32+D$33+D$34+D$35</f>
        <v>2268174002.6941619</v>
      </c>
      <c r="J72" s="44">
        <f>+D$36+D$37+D$38+D$39</f>
        <v>1825603465.583106</v>
      </c>
      <c r="K72" s="44">
        <f>+D$40+D$41+D$42+D$43</f>
        <v>1383032928.47205</v>
      </c>
      <c r="L72" s="44">
        <f>+D$44+D$45+D$46+D$47</f>
        <v>940462391.36099398</v>
      </c>
      <c r="M72" s="44">
        <f>+D$48+D$49+D$50+D$51</f>
        <v>497891854.24993801</v>
      </c>
      <c r="N72" s="44">
        <f>+D$52+D$53</f>
        <v>82981975.708323002</v>
      </c>
      <c r="P72" s="54">
        <f>SUM(B72:M72)</f>
        <v>31450168793.454414</v>
      </c>
      <c r="Q72" s="74">
        <f>+P72-D54</f>
        <v>-82981975.708328247</v>
      </c>
    </row>
    <row r="73" spans="1:17" ht="51" x14ac:dyDescent="0.25">
      <c r="A73" s="41" t="s">
        <v>380</v>
      </c>
      <c r="B73" s="41">
        <v>2018</v>
      </c>
      <c r="C73" s="42">
        <v>2019</v>
      </c>
      <c r="D73" s="41">
        <v>2020</v>
      </c>
      <c r="E73" s="42">
        <v>2021</v>
      </c>
      <c r="F73" s="41">
        <v>2022</v>
      </c>
      <c r="G73" s="42">
        <v>2023</v>
      </c>
      <c r="H73" s="41">
        <v>2024</v>
      </c>
      <c r="I73" s="42">
        <v>2025</v>
      </c>
      <c r="J73" s="41">
        <v>2026</v>
      </c>
      <c r="K73" s="42">
        <v>2027</v>
      </c>
      <c r="L73" s="41">
        <v>2028</v>
      </c>
      <c r="M73" s="42">
        <v>2029</v>
      </c>
      <c r="N73" s="42">
        <v>2030</v>
      </c>
      <c r="Q73" s="46" t="s">
        <v>381</v>
      </c>
    </row>
    <row r="74" spans="1:17" x14ac:dyDescent="0.25">
      <c r="A74" s="43" t="s">
        <v>39</v>
      </c>
      <c r="B74" s="44">
        <f>+C$6+C$7</f>
        <v>0</v>
      </c>
      <c r="C74" s="44">
        <f>+C$8+C$9+C$10+C$11</f>
        <v>0</v>
      </c>
      <c r="D74" s="44">
        <f>+C$12+C$13+C$14+C$15</f>
        <v>2000000000</v>
      </c>
      <c r="E74" s="44">
        <f>+C$16+C$17+C$18+C$19</f>
        <v>4000000000</v>
      </c>
      <c r="F74" s="44">
        <f>+C$20+C$21+C$22+C$23</f>
        <v>4000000000</v>
      </c>
      <c r="G74" s="44">
        <f>+C$24+C$25+C$26+C$27</f>
        <v>4000000000</v>
      </c>
      <c r="H74" s="44">
        <f>+C$28+C$29+C$30+C$31</f>
        <v>4000000000</v>
      </c>
      <c r="I74" s="44">
        <f>+C$32+C$33+C$34+C$35</f>
        <v>4000000000</v>
      </c>
      <c r="J74" s="44">
        <f>+C$36+C$37+C$38+C$39</f>
        <v>4000000000</v>
      </c>
      <c r="K74" s="44">
        <f>+C$40+C$41+C$42+C$43</f>
        <v>4000000000</v>
      </c>
      <c r="L74" s="44">
        <f>+C$44+C$45+C$46+C$47</f>
        <v>4000000000</v>
      </c>
      <c r="M74" s="44">
        <f>+C$48+C$49+C$50+C$51</f>
        <v>4000000000</v>
      </c>
      <c r="N74" s="44">
        <f>+C$52+C$53</f>
        <v>2000000000</v>
      </c>
      <c r="P74" s="54" t="e">
        <f>SUM(#REF!)</f>
        <v>#REF!</v>
      </c>
      <c r="Q74" s="74" t="e">
        <f>+P74-H5</f>
        <v>#REF!</v>
      </c>
    </row>
    <row r="77" spans="1:17" ht="15.75" x14ac:dyDescent="0.25">
      <c r="A77" s="79"/>
      <c r="B77" s="78"/>
    </row>
    <row r="78" spans="1:17" ht="15.75" x14ac:dyDescent="0.25">
      <c r="A78" s="79"/>
      <c r="B78" s="78"/>
    </row>
  </sheetData>
  <mergeCells count="3">
    <mergeCell ref="A1:H1"/>
    <mergeCell ref="A2:H2"/>
    <mergeCell ref="A3:H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6"/>
  <sheetViews>
    <sheetView workbookViewId="0">
      <selection activeCell="M29" sqref="M29"/>
    </sheetView>
  </sheetViews>
  <sheetFormatPr baseColWidth="10" defaultColWidth="11.5703125" defaultRowHeight="15" x14ac:dyDescent="0.25"/>
  <cols>
    <col min="1" max="1" width="17.42578125" customWidth="1"/>
    <col min="7" max="7" width="8.42578125" customWidth="1"/>
    <col min="8" max="8" width="18.28515625" bestFit="1" customWidth="1"/>
    <col min="9" max="9" width="18.28515625" customWidth="1"/>
    <col min="10" max="10" width="15.28515625" bestFit="1" customWidth="1"/>
  </cols>
  <sheetData>
    <row r="1" spans="1:10" ht="30.75" thickBot="1" x14ac:dyDescent="0.3">
      <c r="A1" s="178" t="s">
        <v>20</v>
      </c>
      <c r="B1" s="542" t="s">
        <v>2963</v>
      </c>
      <c r="C1" s="543"/>
      <c r="D1" s="179" t="s">
        <v>2964</v>
      </c>
      <c r="E1" s="179" t="s">
        <v>2965</v>
      </c>
      <c r="F1" s="179" t="s">
        <v>2966</v>
      </c>
      <c r="G1" s="179" t="s">
        <v>2972</v>
      </c>
      <c r="H1" s="180" t="s">
        <v>8</v>
      </c>
      <c r="I1" s="261" t="s">
        <v>2733</v>
      </c>
      <c r="J1" s="181" t="s">
        <v>1</v>
      </c>
    </row>
    <row r="2" spans="1:10" x14ac:dyDescent="0.25">
      <c r="A2" s="182" t="e">
        <f>#REF!</f>
        <v>#REF!</v>
      </c>
      <c r="B2" s="183">
        <v>43460</v>
      </c>
      <c r="C2" s="183">
        <v>43550</v>
      </c>
      <c r="D2" s="184">
        <v>90</v>
      </c>
      <c r="E2" s="185">
        <v>4.1480000000000003E-2</v>
      </c>
      <c r="F2" s="186">
        <v>4.4999999999999998E-2</v>
      </c>
      <c r="G2" s="185">
        <f>E2+F2</f>
        <v>8.6480000000000001E-2</v>
      </c>
      <c r="H2" s="187" t="e">
        <f>#REF!</f>
        <v>#REF!</v>
      </c>
      <c r="I2" s="263">
        <v>0</v>
      </c>
      <c r="J2" s="188">
        <v>80265810</v>
      </c>
    </row>
    <row r="3" spans="1:10" ht="15" customHeight="1" x14ac:dyDescent="0.25">
      <c r="A3" s="189" t="e">
        <f>#REF!</f>
        <v>#REF!</v>
      </c>
      <c r="B3" s="190">
        <v>43460</v>
      </c>
      <c r="C3" s="190">
        <v>43550</v>
      </c>
      <c r="D3" s="191">
        <v>90</v>
      </c>
      <c r="E3" s="192">
        <v>4.1480000000000003E-2</v>
      </c>
      <c r="F3" s="193">
        <v>4.4999999999999998E-2</v>
      </c>
      <c r="G3" s="192">
        <f>E3+F3</f>
        <v>8.6480000000000001E-2</v>
      </c>
      <c r="H3" s="194" t="e">
        <f>#REF!</f>
        <v>#REF!</v>
      </c>
      <c r="I3" s="264">
        <v>0</v>
      </c>
      <c r="J3" s="195">
        <v>230614992</v>
      </c>
    </row>
    <row r="4" spans="1:10" ht="15" customHeight="1" thickBot="1" x14ac:dyDescent="0.3">
      <c r="A4" s="189" t="e">
        <f>#REF!</f>
        <v>#REF!</v>
      </c>
      <c r="B4" s="190">
        <v>43460</v>
      </c>
      <c r="C4" s="190">
        <v>43550</v>
      </c>
      <c r="D4" s="191">
        <v>90</v>
      </c>
      <c r="E4" s="192">
        <v>4.1480000000000003E-2</v>
      </c>
      <c r="F4" s="193">
        <v>4.4999999999999998E-2</v>
      </c>
      <c r="G4" s="262">
        <f>E4+F4</f>
        <v>8.6480000000000001E-2</v>
      </c>
      <c r="H4" s="194" t="e">
        <f>#REF!</f>
        <v>#REF!</v>
      </c>
      <c r="I4" s="264">
        <v>0</v>
      </c>
      <c r="J4" s="195">
        <v>124291162</v>
      </c>
    </row>
    <row r="5" spans="1:10" ht="15" customHeight="1" thickBot="1" x14ac:dyDescent="0.3">
      <c r="A5" s="544" t="s">
        <v>2969</v>
      </c>
      <c r="B5" s="545"/>
      <c r="C5" s="545"/>
      <c r="D5" s="545"/>
      <c r="E5" s="545"/>
      <c r="F5" s="545"/>
      <c r="G5" s="546"/>
      <c r="H5" s="162" t="e">
        <f>SUM(H2:H4)</f>
        <v>#REF!</v>
      </c>
      <c r="I5" s="162">
        <f>SUM(I2:I4)</f>
        <v>0</v>
      </c>
      <c r="J5" s="162">
        <f>SUM(J2:J4)</f>
        <v>435171964</v>
      </c>
    </row>
    <row r="6" spans="1:10" ht="14.45" customHeight="1" x14ac:dyDescent="0.25">
      <c r="A6" s="547" t="s">
        <v>2970</v>
      </c>
      <c r="B6" s="547"/>
      <c r="C6" s="547"/>
      <c r="D6" s="163"/>
      <c r="E6" s="163"/>
      <c r="F6" s="163"/>
      <c r="G6" s="163"/>
      <c r="H6" s="163"/>
      <c r="I6" s="163"/>
      <c r="J6" s="265" t="s">
        <v>42</v>
      </c>
    </row>
  </sheetData>
  <mergeCells count="3">
    <mergeCell ref="B1:C1"/>
    <mergeCell ref="A5:G5"/>
    <mergeCell ref="A6:C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77"/>
  <sheetViews>
    <sheetView topLeftCell="A4" workbookViewId="0">
      <selection activeCell="E8" sqref="E8"/>
    </sheetView>
  </sheetViews>
  <sheetFormatPr baseColWidth="10" defaultColWidth="11.5703125" defaultRowHeight="15" x14ac:dyDescent="0.25"/>
  <cols>
    <col min="1" max="1" width="12.5703125" customWidth="1"/>
    <col min="2" max="2" width="18.5703125" bestFit="1" customWidth="1"/>
    <col min="3" max="3" width="15.28515625" customWidth="1"/>
    <col min="4" max="4" width="18.140625" customWidth="1"/>
    <col min="5" max="5" width="15.85546875" customWidth="1"/>
    <col min="6" max="6" width="14.5703125" customWidth="1"/>
    <col min="7" max="7" width="15.85546875" customWidth="1"/>
    <col min="8" max="8" width="15.28515625" bestFit="1" customWidth="1"/>
    <col min="9" max="15" width="12.7109375" bestFit="1" customWidth="1"/>
  </cols>
  <sheetData>
    <row r="1" spans="1:15" ht="15.75" x14ac:dyDescent="0.25">
      <c r="A1" s="517" t="s">
        <v>2</v>
      </c>
      <c r="B1" s="518"/>
      <c r="C1" s="518"/>
      <c r="D1" s="518"/>
      <c r="E1" s="518"/>
      <c r="F1" s="518"/>
      <c r="G1" s="518"/>
      <c r="H1" s="519"/>
    </row>
    <row r="2" spans="1:15" ht="15.75" x14ac:dyDescent="0.25">
      <c r="A2" s="520" t="s">
        <v>3</v>
      </c>
      <c r="B2" s="521"/>
      <c r="C2" s="521"/>
      <c r="D2" s="521"/>
      <c r="E2" s="521"/>
      <c r="F2" s="521"/>
      <c r="G2" s="521"/>
      <c r="H2" s="522"/>
    </row>
    <row r="3" spans="1:15" ht="16.5" thickBot="1" x14ac:dyDescent="0.3">
      <c r="A3" s="523" t="s">
        <v>2782</v>
      </c>
      <c r="B3" s="524"/>
      <c r="C3" s="524"/>
      <c r="D3" s="524"/>
      <c r="E3" s="524"/>
      <c r="F3" s="524"/>
      <c r="G3" s="524"/>
      <c r="H3" s="525"/>
    </row>
    <row r="4" spans="1:15" ht="75.75" thickBot="1" x14ac:dyDescent="0.3">
      <c r="A4" s="1" t="s">
        <v>5</v>
      </c>
      <c r="B4" s="2" t="s">
        <v>6</v>
      </c>
      <c r="C4" s="3" t="s">
        <v>7</v>
      </c>
      <c r="D4" s="3" t="s">
        <v>40</v>
      </c>
      <c r="E4" s="4" t="s">
        <v>383</v>
      </c>
      <c r="F4" s="3" t="s">
        <v>41</v>
      </c>
      <c r="G4" s="4" t="s">
        <v>384</v>
      </c>
      <c r="H4" s="5" t="s">
        <v>8</v>
      </c>
      <c r="I4" s="51" t="s">
        <v>360</v>
      </c>
    </row>
    <row r="5" spans="1:15" x14ac:dyDescent="0.25">
      <c r="A5" s="6">
        <v>43364</v>
      </c>
      <c r="B5" s="7" t="s">
        <v>359</v>
      </c>
      <c r="C5" s="8">
        <v>0</v>
      </c>
      <c r="D5" s="8">
        <v>0</v>
      </c>
      <c r="E5" s="8"/>
      <c r="F5" s="8"/>
      <c r="G5" s="8">
        <f>+C5+D5</f>
        <v>0</v>
      </c>
      <c r="H5" s="9">
        <v>40000000000</v>
      </c>
    </row>
    <row r="6" spans="1:15" x14ac:dyDescent="0.25">
      <c r="A6" s="10">
        <f>A5+91</f>
        <v>43455</v>
      </c>
      <c r="B6" s="11" t="s">
        <v>9</v>
      </c>
      <c r="C6" s="12">
        <v>0</v>
      </c>
      <c r="D6" s="12">
        <f>H5*((1+$B$73)^(B$72/360)-1)</f>
        <v>866850619.12559652</v>
      </c>
      <c r="E6" s="12">
        <f>D6+C6</f>
        <v>866850619.12559652</v>
      </c>
      <c r="F6" s="12">
        <v>0</v>
      </c>
      <c r="G6" s="12">
        <f>+C6+F6</f>
        <v>0</v>
      </c>
      <c r="H6" s="13">
        <f t="shared" ref="H6:H53" si="0">+H5-C6</f>
        <v>40000000000</v>
      </c>
      <c r="I6" s="12" t="s">
        <v>42</v>
      </c>
      <c r="K6" s="75"/>
      <c r="L6" s="77"/>
    </row>
    <row r="7" spans="1:15" x14ac:dyDescent="0.25">
      <c r="A7" s="134">
        <f>A6+90</f>
        <v>43545</v>
      </c>
      <c r="B7" s="11" t="s">
        <v>9</v>
      </c>
      <c r="C7" s="12">
        <v>0</v>
      </c>
      <c r="D7" s="12">
        <f>H6*((1+$C$73)^(C$72/360)-1)</f>
        <v>960858017.53051043</v>
      </c>
      <c r="E7" s="12">
        <f t="shared" ref="E7:E53" si="1">D7+C7</f>
        <v>960858017.53051043</v>
      </c>
      <c r="F7" s="12">
        <v>0</v>
      </c>
      <c r="G7" s="12">
        <f t="shared" ref="G7:G53" si="2">+C7+F7</f>
        <v>0</v>
      </c>
      <c r="H7" s="13">
        <f t="shared" si="0"/>
        <v>40000000000</v>
      </c>
      <c r="I7" s="12" t="s">
        <v>42</v>
      </c>
    </row>
    <row r="8" spans="1:15" x14ac:dyDescent="0.25">
      <c r="A8" s="134">
        <f>A7+92</f>
        <v>43637</v>
      </c>
      <c r="B8" s="11" t="s">
        <v>9</v>
      </c>
      <c r="C8" s="12">
        <v>0</v>
      </c>
      <c r="D8" s="12">
        <f>H7*((1+$D$73)^(D$72/360)-1)</f>
        <v>1012035627.0046039</v>
      </c>
      <c r="E8" s="12">
        <f t="shared" si="1"/>
        <v>1012035627.0046039</v>
      </c>
      <c r="F8" s="12">
        <v>0</v>
      </c>
      <c r="G8" s="12">
        <f t="shared" si="2"/>
        <v>0</v>
      </c>
      <c r="H8" s="13">
        <f t="shared" si="0"/>
        <v>40000000000</v>
      </c>
      <c r="I8" s="12" t="s">
        <v>42</v>
      </c>
    </row>
    <row r="9" spans="1:15" x14ac:dyDescent="0.25">
      <c r="A9" s="134">
        <f>A8+92</f>
        <v>43729</v>
      </c>
      <c r="B9" s="11" t="s">
        <v>9</v>
      </c>
      <c r="C9" s="12">
        <v>0</v>
      </c>
      <c r="D9" s="12">
        <f>H8*((1+$D$73)^(D$72/360)-1)</f>
        <v>1012035627.0046039</v>
      </c>
      <c r="E9" s="12">
        <f t="shared" si="1"/>
        <v>1012035627.0046039</v>
      </c>
      <c r="F9" s="12">
        <v>0</v>
      </c>
      <c r="G9" s="12">
        <f t="shared" si="2"/>
        <v>0</v>
      </c>
      <c r="H9" s="13">
        <f t="shared" si="0"/>
        <v>40000000000</v>
      </c>
    </row>
    <row r="10" spans="1:15" x14ac:dyDescent="0.25">
      <c r="A10" s="134">
        <f>A9+91</f>
        <v>43820</v>
      </c>
      <c r="B10" s="11" t="s">
        <v>9</v>
      </c>
      <c r="C10" s="12">
        <v>0</v>
      </c>
      <c r="D10" s="12">
        <f>H9*((1+$D$73)^(D$72/360)-1)</f>
        <v>1012035627.0046039</v>
      </c>
      <c r="E10" s="12">
        <f t="shared" si="1"/>
        <v>1012035627.0046039</v>
      </c>
      <c r="F10" s="12">
        <v>0</v>
      </c>
      <c r="G10" s="12">
        <f t="shared" si="2"/>
        <v>0</v>
      </c>
      <c r="H10" s="13">
        <f t="shared" si="0"/>
        <v>40000000000</v>
      </c>
    </row>
    <row r="11" spans="1:15" x14ac:dyDescent="0.25">
      <c r="A11" s="135">
        <f>A10+91</f>
        <v>43911</v>
      </c>
      <c r="B11" s="11" t="s">
        <v>9</v>
      </c>
      <c r="C11" s="12">
        <v>0</v>
      </c>
      <c r="D11" s="12">
        <f>H10*((1+$D$73)^(D$72/360)-1)</f>
        <v>1012035627.0046039</v>
      </c>
      <c r="E11" s="12">
        <f t="shared" si="1"/>
        <v>1012035627.0046039</v>
      </c>
      <c r="F11" s="12">
        <v>0</v>
      </c>
      <c r="G11" s="12">
        <f t="shared" si="2"/>
        <v>0</v>
      </c>
      <c r="H11" s="13">
        <f t="shared" si="0"/>
        <v>40000000000</v>
      </c>
    </row>
    <row r="12" spans="1:15" x14ac:dyDescent="0.25">
      <c r="A12" s="135">
        <f>A11+92</f>
        <v>44003</v>
      </c>
      <c r="B12" s="11" t="s">
        <v>9</v>
      </c>
      <c r="C12" s="12">
        <v>0</v>
      </c>
      <c r="D12" s="12">
        <f>H11*((1+$E$73)^(E$72/360)-1)</f>
        <v>1012035627.0046039</v>
      </c>
      <c r="E12" s="12">
        <f t="shared" si="1"/>
        <v>1012035627.0046039</v>
      </c>
      <c r="F12" s="12">
        <v>0</v>
      </c>
      <c r="G12" s="12">
        <f t="shared" si="2"/>
        <v>0</v>
      </c>
      <c r="H12" s="13">
        <f t="shared" si="0"/>
        <v>40000000000</v>
      </c>
    </row>
    <row r="13" spans="1:15" x14ac:dyDescent="0.25">
      <c r="A13" s="135">
        <f>A12+92</f>
        <v>44095</v>
      </c>
      <c r="B13" s="11" t="s">
        <v>9</v>
      </c>
      <c r="C13" s="12">
        <v>0</v>
      </c>
      <c r="D13" s="12">
        <f>H12*((1+$E$73)^(E$72/360)-1)</f>
        <v>1012035627.0046039</v>
      </c>
      <c r="E13" s="12">
        <f t="shared" si="1"/>
        <v>1012035627.0046039</v>
      </c>
      <c r="F13" s="12">
        <v>0</v>
      </c>
      <c r="G13" s="12">
        <f t="shared" si="2"/>
        <v>0</v>
      </c>
      <c r="H13" s="13">
        <f t="shared" si="0"/>
        <v>40000000000</v>
      </c>
      <c r="N13" s="54"/>
      <c r="O13" s="54"/>
    </row>
    <row r="14" spans="1:15" x14ac:dyDescent="0.25">
      <c r="A14" s="135">
        <f>A13+91</f>
        <v>44186</v>
      </c>
      <c r="B14" s="11" t="s">
        <v>10</v>
      </c>
      <c r="C14" s="12">
        <f>+$H$5/40</f>
        <v>1000000000</v>
      </c>
      <c r="D14" s="12">
        <f>H13*((1+$E$73)^(E$72/360)-1)</f>
        <v>1012035627.0046039</v>
      </c>
      <c r="E14" s="12">
        <f t="shared" si="1"/>
        <v>2012035627.0046039</v>
      </c>
      <c r="F14" s="12"/>
      <c r="G14" s="12">
        <f t="shared" si="2"/>
        <v>1000000000</v>
      </c>
      <c r="H14" s="13">
        <f t="shared" si="0"/>
        <v>39000000000</v>
      </c>
      <c r="K14" s="76"/>
      <c r="L14" s="76"/>
      <c r="M14" s="84"/>
    </row>
    <row r="15" spans="1:15" x14ac:dyDescent="0.25">
      <c r="A15" s="134">
        <f>A14+90</f>
        <v>44276</v>
      </c>
      <c r="B15" s="11" t="s">
        <v>10</v>
      </c>
      <c r="C15" s="12">
        <f t="shared" ref="C15:C53" si="3">+$H$5/40</f>
        <v>1000000000</v>
      </c>
      <c r="D15" s="12">
        <f>H14*((1+$E$73)^(E$72/360)-1)</f>
        <v>986734736.32948875</v>
      </c>
      <c r="E15" s="12">
        <f t="shared" si="1"/>
        <v>1986734736.3294888</v>
      </c>
      <c r="F15" s="12"/>
      <c r="G15" s="12">
        <f t="shared" si="2"/>
        <v>1000000000</v>
      </c>
      <c r="H15" s="13">
        <f t="shared" si="0"/>
        <v>38000000000</v>
      </c>
      <c r="K15" s="76"/>
      <c r="L15" s="76"/>
      <c r="M15" s="84"/>
    </row>
    <row r="16" spans="1:15" x14ac:dyDescent="0.25">
      <c r="A16" s="134">
        <f>A15+92</f>
        <v>44368</v>
      </c>
      <c r="B16" s="11" t="s">
        <v>10</v>
      </c>
      <c r="C16" s="12">
        <f t="shared" si="3"/>
        <v>1000000000</v>
      </c>
      <c r="D16" s="12">
        <f>H15*((1+$F$73)^(F$72/360)-1)</f>
        <v>961433845.65437365</v>
      </c>
      <c r="E16" s="12">
        <f t="shared" si="1"/>
        <v>1961433845.6543736</v>
      </c>
      <c r="F16" s="12"/>
      <c r="G16" s="12">
        <f t="shared" si="2"/>
        <v>1000000000</v>
      </c>
      <c r="H16" s="13">
        <f t="shared" si="0"/>
        <v>37000000000</v>
      </c>
    </row>
    <row r="17" spans="1:15" x14ac:dyDescent="0.25">
      <c r="A17" s="134">
        <f>A16+92</f>
        <v>44460</v>
      </c>
      <c r="B17" s="11" t="s">
        <v>10</v>
      </c>
      <c r="C17" s="12">
        <f t="shared" si="3"/>
        <v>1000000000</v>
      </c>
      <c r="D17" s="12">
        <f>H16*((1+$F$73)^(F$72/360)-1)</f>
        <v>936132954.97925854</v>
      </c>
      <c r="E17" s="12">
        <f t="shared" si="1"/>
        <v>1936132954.9792585</v>
      </c>
      <c r="F17" s="12"/>
      <c r="G17" s="12">
        <f t="shared" si="2"/>
        <v>1000000000</v>
      </c>
      <c r="H17" s="13">
        <f t="shared" si="0"/>
        <v>36000000000</v>
      </c>
      <c r="K17" s="54"/>
      <c r="L17" s="76"/>
      <c r="M17" s="84"/>
      <c r="N17" s="84"/>
      <c r="O17" s="84"/>
    </row>
    <row r="18" spans="1:15" x14ac:dyDescent="0.25">
      <c r="A18" s="134">
        <f>A17+91</f>
        <v>44551</v>
      </c>
      <c r="B18" s="11" t="s">
        <v>10</v>
      </c>
      <c r="C18" s="12">
        <f t="shared" si="3"/>
        <v>1000000000</v>
      </c>
      <c r="D18" s="12">
        <f>H17*((1+$F$73)^(F$72/360)-1)</f>
        <v>910832064.30414343</v>
      </c>
      <c r="E18" s="12">
        <f t="shared" si="1"/>
        <v>1910832064.3041434</v>
      </c>
      <c r="F18" s="12"/>
      <c r="G18" s="12">
        <f t="shared" si="2"/>
        <v>1000000000</v>
      </c>
      <c r="H18" s="13">
        <f t="shared" si="0"/>
        <v>35000000000</v>
      </c>
      <c r="M18" s="76"/>
      <c r="N18" s="76"/>
      <c r="O18" s="84"/>
    </row>
    <row r="19" spans="1:15" x14ac:dyDescent="0.25">
      <c r="A19" s="10">
        <f>A18+90</f>
        <v>44641</v>
      </c>
      <c r="B19" s="11" t="s">
        <v>10</v>
      </c>
      <c r="C19" s="12">
        <f t="shared" si="3"/>
        <v>1000000000</v>
      </c>
      <c r="D19" s="12">
        <f>H18*((1+$F$73)^(F$72/360)-1)</f>
        <v>885531173.62902832</v>
      </c>
      <c r="E19" s="12">
        <f t="shared" si="1"/>
        <v>1885531173.6290283</v>
      </c>
      <c r="F19" s="12"/>
      <c r="G19" s="12">
        <f t="shared" si="2"/>
        <v>1000000000</v>
      </c>
      <c r="H19" s="13">
        <f t="shared" si="0"/>
        <v>34000000000</v>
      </c>
    </row>
    <row r="20" spans="1:15" x14ac:dyDescent="0.25">
      <c r="A20" s="10">
        <f>A19+92</f>
        <v>44733</v>
      </c>
      <c r="B20" s="11" t="s">
        <v>10</v>
      </c>
      <c r="C20" s="12">
        <f t="shared" si="3"/>
        <v>1000000000</v>
      </c>
      <c r="D20" s="12">
        <f>H19*((1+$G$73)^(G$72/360)-1)</f>
        <v>860230282.95391321</v>
      </c>
      <c r="E20" s="12">
        <f t="shared" si="1"/>
        <v>1860230282.9539132</v>
      </c>
      <c r="F20" s="12"/>
      <c r="G20" s="12">
        <f t="shared" si="2"/>
        <v>1000000000</v>
      </c>
      <c r="H20" s="13">
        <f t="shared" si="0"/>
        <v>33000000000</v>
      </c>
    </row>
    <row r="21" spans="1:15" x14ac:dyDescent="0.25">
      <c r="A21" s="10">
        <f>A20+92</f>
        <v>44825</v>
      </c>
      <c r="B21" s="11" t="s">
        <v>10</v>
      </c>
      <c r="C21" s="12">
        <f t="shared" si="3"/>
        <v>1000000000</v>
      </c>
      <c r="D21" s="12">
        <f>H20*((1+$G$73)^(G$72/360)-1)</f>
        <v>834929392.2787981</v>
      </c>
      <c r="E21" s="12">
        <f t="shared" si="1"/>
        <v>1834929392.2787981</v>
      </c>
      <c r="F21" s="12"/>
      <c r="G21" s="12">
        <f t="shared" si="2"/>
        <v>1000000000</v>
      </c>
      <c r="H21" s="13">
        <f t="shared" si="0"/>
        <v>32000000000</v>
      </c>
    </row>
    <row r="22" spans="1:15" x14ac:dyDescent="0.25">
      <c r="A22" s="10">
        <f>A21+91</f>
        <v>44916</v>
      </c>
      <c r="B22" s="11" t="s">
        <v>10</v>
      </c>
      <c r="C22" s="12">
        <f t="shared" si="3"/>
        <v>1000000000</v>
      </c>
      <c r="D22" s="12">
        <f>H21*((1+$G$73)^(G$72/360)-1)</f>
        <v>809628501.60368299</v>
      </c>
      <c r="E22" s="12">
        <f t="shared" si="1"/>
        <v>1809628501.603683</v>
      </c>
      <c r="F22" s="12"/>
      <c r="G22" s="12">
        <f t="shared" si="2"/>
        <v>1000000000</v>
      </c>
      <c r="H22" s="13">
        <f t="shared" si="0"/>
        <v>31000000000</v>
      </c>
    </row>
    <row r="23" spans="1:15" x14ac:dyDescent="0.25">
      <c r="A23" s="135">
        <f>A22+90</f>
        <v>45006</v>
      </c>
      <c r="B23" s="11" t="s">
        <v>10</v>
      </c>
      <c r="C23" s="12">
        <f t="shared" si="3"/>
        <v>1000000000</v>
      </c>
      <c r="D23" s="12">
        <f>H22*((1+$G$73)^(G$72/360)-1)</f>
        <v>784327610.92856801</v>
      </c>
      <c r="E23" s="12">
        <f t="shared" si="1"/>
        <v>1784327610.9285679</v>
      </c>
      <c r="F23" s="12"/>
      <c r="G23" s="12">
        <f t="shared" si="2"/>
        <v>1000000000</v>
      </c>
      <c r="H23" s="13">
        <f t="shared" si="0"/>
        <v>30000000000</v>
      </c>
    </row>
    <row r="24" spans="1:15" x14ac:dyDescent="0.25">
      <c r="A24" s="135">
        <f>A23+92</f>
        <v>45098</v>
      </c>
      <c r="B24" s="11" t="s">
        <v>10</v>
      </c>
      <c r="C24" s="12">
        <f t="shared" si="3"/>
        <v>1000000000</v>
      </c>
      <c r="D24" s="12">
        <f>H23*((1+$H$73)^(H$72/360)-1)</f>
        <v>759026720.2534529</v>
      </c>
      <c r="E24" s="12">
        <f t="shared" si="1"/>
        <v>1759026720.2534528</v>
      </c>
      <c r="F24" s="12"/>
      <c r="G24" s="12">
        <f t="shared" si="2"/>
        <v>1000000000</v>
      </c>
      <c r="H24" s="13">
        <f t="shared" si="0"/>
        <v>29000000000</v>
      </c>
    </row>
    <row r="25" spans="1:15" x14ac:dyDescent="0.25">
      <c r="A25" s="135">
        <f>A24+92</f>
        <v>45190</v>
      </c>
      <c r="B25" s="11" t="s">
        <v>10</v>
      </c>
      <c r="C25" s="12">
        <f t="shared" si="3"/>
        <v>1000000000</v>
      </c>
      <c r="D25" s="12">
        <f>H24*((1+$H$73)^(H$72/360)-1)</f>
        <v>733725829.57833779</v>
      </c>
      <c r="E25" s="12">
        <f t="shared" si="1"/>
        <v>1733725829.5783377</v>
      </c>
      <c r="F25" s="12"/>
      <c r="G25" s="12">
        <f t="shared" si="2"/>
        <v>1000000000</v>
      </c>
      <c r="H25" s="13">
        <f t="shared" si="0"/>
        <v>28000000000</v>
      </c>
    </row>
    <row r="26" spans="1:15" x14ac:dyDescent="0.25">
      <c r="A26" s="135">
        <f>A25+91</f>
        <v>45281</v>
      </c>
      <c r="B26" s="11" t="s">
        <v>10</v>
      </c>
      <c r="C26" s="12">
        <f t="shared" si="3"/>
        <v>1000000000</v>
      </c>
      <c r="D26" s="12">
        <f>H25*((1+$H$73)^(H$72/360)-1)</f>
        <v>708424938.90322268</v>
      </c>
      <c r="E26" s="12">
        <f t="shared" si="1"/>
        <v>1708424938.9032226</v>
      </c>
      <c r="F26" s="12"/>
      <c r="G26" s="12">
        <f t="shared" si="2"/>
        <v>1000000000</v>
      </c>
      <c r="H26" s="13">
        <f t="shared" si="0"/>
        <v>27000000000</v>
      </c>
    </row>
    <row r="27" spans="1:15" x14ac:dyDescent="0.25">
      <c r="A27" s="134">
        <f>A26+91</f>
        <v>45372</v>
      </c>
      <c r="B27" s="11" t="s">
        <v>10</v>
      </c>
      <c r="C27" s="12">
        <f t="shared" si="3"/>
        <v>1000000000</v>
      </c>
      <c r="D27" s="12">
        <f>H26*((1+$H$73)^(H$72/360)-1)</f>
        <v>683124048.22810757</v>
      </c>
      <c r="E27" s="12">
        <f t="shared" si="1"/>
        <v>1683124048.2281075</v>
      </c>
      <c r="F27" s="12"/>
      <c r="G27" s="12">
        <f t="shared" si="2"/>
        <v>1000000000</v>
      </c>
      <c r="H27" s="13">
        <f t="shared" si="0"/>
        <v>26000000000</v>
      </c>
    </row>
    <row r="28" spans="1:15" x14ac:dyDescent="0.25">
      <c r="A28" s="134">
        <f>A27+92</f>
        <v>45464</v>
      </c>
      <c r="B28" s="11" t="s">
        <v>10</v>
      </c>
      <c r="C28" s="12">
        <f t="shared" si="3"/>
        <v>1000000000</v>
      </c>
      <c r="D28" s="12">
        <f>H27*((1+$I$73)^(I$72/360)-1)</f>
        <v>657823157.55299246</v>
      </c>
      <c r="E28" s="12">
        <f t="shared" si="1"/>
        <v>1657823157.5529923</v>
      </c>
      <c r="F28" s="12"/>
      <c r="G28" s="12">
        <f t="shared" si="2"/>
        <v>1000000000</v>
      </c>
      <c r="H28" s="13">
        <f t="shared" si="0"/>
        <v>25000000000</v>
      </c>
    </row>
    <row r="29" spans="1:15" x14ac:dyDescent="0.25">
      <c r="A29" s="134">
        <f>A28+92</f>
        <v>45556</v>
      </c>
      <c r="B29" s="11" t="s">
        <v>10</v>
      </c>
      <c r="C29" s="12">
        <f t="shared" si="3"/>
        <v>1000000000</v>
      </c>
      <c r="D29" s="12">
        <f>H28*((1+$I$73)^(I$72/360)-1)</f>
        <v>632522266.87787735</v>
      </c>
      <c r="E29" s="12">
        <f t="shared" si="1"/>
        <v>1632522266.8778772</v>
      </c>
      <c r="F29" s="12"/>
      <c r="G29" s="12">
        <f t="shared" si="2"/>
        <v>1000000000</v>
      </c>
      <c r="H29" s="13">
        <f t="shared" si="0"/>
        <v>24000000000</v>
      </c>
    </row>
    <row r="30" spans="1:15" x14ac:dyDescent="0.25">
      <c r="A30" s="134">
        <f>A29+91</f>
        <v>45647</v>
      </c>
      <c r="B30" s="11" t="s">
        <v>10</v>
      </c>
      <c r="C30" s="12">
        <f t="shared" si="3"/>
        <v>1000000000</v>
      </c>
      <c r="D30" s="12">
        <f>H29*((1+$I$73)^(I$72/360)-1)</f>
        <v>607221376.20276225</v>
      </c>
      <c r="E30" s="12">
        <f t="shared" si="1"/>
        <v>1607221376.2027621</v>
      </c>
      <c r="F30" s="12"/>
      <c r="G30" s="12">
        <f t="shared" si="2"/>
        <v>1000000000</v>
      </c>
      <c r="H30" s="13">
        <f t="shared" si="0"/>
        <v>23000000000</v>
      </c>
    </row>
    <row r="31" spans="1:15" x14ac:dyDescent="0.25">
      <c r="A31" s="10">
        <f>A30+90</f>
        <v>45737</v>
      </c>
      <c r="B31" s="11" t="s">
        <v>10</v>
      </c>
      <c r="C31" s="12">
        <f t="shared" si="3"/>
        <v>1000000000</v>
      </c>
      <c r="D31" s="12">
        <f>H30*((1+$I$73)^(I$72/360)-1)</f>
        <v>581920485.52764714</v>
      </c>
      <c r="E31" s="12">
        <f t="shared" si="1"/>
        <v>1581920485.527647</v>
      </c>
      <c r="F31" s="12"/>
      <c r="G31" s="12">
        <f t="shared" si="2"/>
        <v>1000000000</v>
      </c>
      <c r="H31" s="13">
        <f t="shared" si="0"/>
        <v>22000000000</v>
      </c>
    </row>
    <row r="32" spans="1:15" x14ac:dyDescent="0.25">
      <c r="A32" s="10">
        <f>A31+92</f>
        <v>45829</v>
      </c>
      <c r="B32" s="11" t="s">
        <v>10</v>
      </c>
      <c r="C32" s="12">
        <f t="shared" si="3"/>
        <v>1000000000</v>
      </c>
      <c r="D32" s="12">
        <f>H31*((1+$J$73)^(J$72/360)-1)</f>
        <v>556619594.85253215</v>
      </c>
      <c r="E32" s="12">
        <f t="shared" si="1"/>
        <v>1556619594.8525321</v>
      </c>
      <c r="F32" s="12"/>
      <c r="G32" s="12">
        <f t="shared" si="2"/>
        <v>1000000000</v>
      </c>
      <c r="H32" s="13">
        <f t="shared" si="0"/>
        <v>21000000000</v>
      </c>
    </row>
    <row r="33" spans="1:8" x14ac:dyDescent="0.25">
      <c r="A33" s="10">
        <f>A32+92</f>
        <v>45921</v>
      </c>
      <c r="B33" s="11" t="s">
        <v>10</v>
      </c>
      <c r="C33" s="12">
        <f t="shared" si="3"/>
        <v>1000000000</v>
      </c>
      <c r="D33" s="12">
        <f>H32*((1+$J$73)^(J$72/360)-1)</f>
        <v>531318704.17741698</v>
      </c>
      <c r="E33" s="12">
        <f t="shared" si="1"/>
        <v>1531318704.177417</v>
      </c>
      <c r="F33" s="12"/>
      <c r="G33" s="12">
        <f t="shared" si="2"/>
        <v>1000000000</v>
      </c>
      <c r="H33" s="13">
        <f t="shared" si="0"/>
        <v>20000000000</v>
      </c>
    </row>
    <row r="34" spans="1:8" x14ac:dyDescent="0.25">
      <c r="A34" s="10">
        <f>A33+91</f>
        <v>46012</v>
      </c>
      <c r="B34" s="11" t="s">
        <v>10</v>
      </c>
      <c r="C34" s="12">
        <f t="shared" si="3"/>
        <v>1000000000</v>
      </c>
      <c r="D34" s="12">
        <f>H33*((1+$J$73)^(J$72/360)-1)</f>
        <v>506017813.50230193</v>
      </c>
      <c r="E34" s="12">
        <f t="shared" si="1"/>
        <v>1506017813.5023019</v>
      </c>
      <c r="F34" s="12"/>
      <c r="G34" s="12">
        <f t="shared" si="2"/>
        <v>1000000000</v>
      </c>
      <c r="H34" s="13">
        <f t="shared" si="0"/>
        <v>19000000000</v>
      </c>
    </row>
    <row r="35" spans="1:8" x14ac:dyDescent="0.25">
      <c r="A35" s="134">
        <f>A34+90</f>
        <v>46102</v>
      </c>
      <c r="B35" s="11" t="s">
        <v>10</v>
      </c>
      <c r="C35" s="12">
        <f t="shared" si="3"/>
        <v>1000000000</v>
      </c>
      <c r="D35" s="12">
        <f>H34*((1+$J$73)^(J$72/360)-1)</f>
        <v>480716922.82718682</v>
      </c>
      <c r="E35" s="12">
        <f t="shared" si="1"/>
        <v>1480716922.8271868</v>
      </c>
      <c r="F35" s="12"/>
      <c r="G35" s="12">
        <f t="shared" si="2"/>
        <v>1000000000</v>
      </c>
      <c r="H35" s="13">
        <f t="shared" si="0"/>
        <v>18000000000</v>
      </c>
    </row>
    <row r="36" spans="1:8" x14ac:dyDescent="0.25">
      <c r="A36" s="134">
        <f>A35+92</f>
        <v>46194</v>
      </c>
      <c r="B36" s="11" t="s">
        <v>10</v>
      </c>
      <c r="C36" s="12">
        <f t="shared" si="3"/>
        <v>1000000000</v>
      </c>
      <c r="D36" s="12">
        <f>H35*((1+$K$73)^(K$72/360)-1)</f>
        <v>455416032.15207171</v>
      </c>
      <c r="E36" s="12">
        <f t="shared" si="1"/>
        <v>1455416032.1520717</v>
      </c>
      <c r="F36" s="12"/>
      <c r="G36" s="12">
        <f t="shared" si="2"/>
        <v>1000000000</v>
      </c>
      <c r="H36" s="13">
        <f t="shared" si="0"/>
        <v>17000000000</v>
      </c>
    </row>
    <row r="37" spans="1:8" x14ac:dyDescent="0.25">
      <c r="A37" s="134">
        <f>A36+92</f>
        <v>46286</v>
      </c>
      <c r="B37" s="11" t="s">
        <v>10</v>
      </c>
      <c r="C37" s="12">
        <f t="shared" si="3"/>
        <v>1000000000</v>
      </c>
      <c r="D37" s="12">
        <f>H36*((1+$K$73)^(K$72/360)-1)</f>
        <v>430115141.47695661</v>
      </c>
      <c r="E37" s="12">
        <f t="shared" si="1"/>
        <v>1430115141.4769566</v>
      </c>
      <c r="F37" s="12"/>
      <c r="G37" s="12">
        <f t="shared" si="2"/>
        <v>1000000000</v>
      </c>
      <c r="H37" s="13">
        <f t="shared" si="0"/>
        <v>16000000000</v>
      </c>
    </row>
    <row r="38" spans="1:8" x14ac:dyDescent="0.25">
      <c r="A38" s="134">
        <f>A37+91</f>
        <v>46377</v>
      </c>
      <c r="B38" s="11" t="s">
        <v>10</v>
      </c>
      <c r="C38" s="12">
        <f t="shared" si="3"/>
        <v>1000000000</v>
      </c>
      <c r="D38" s="12">
        <f>H37*((1+$K$73)^(K$72/360)-1)</f>
        <v>404814250.8018415</v>
      </c>
      <c r="E38" s="12">
        <f t="shared" si="1"/>
        <v>1404814250.8018415</v>
      </c>
      <c r="F38" s="12"/>
      <c r="G38" s="12">
        <f t="shared" si="2"/>
        <v>1000000000</v>
      </c>
      <c r="H38" s="13">
        <f t="shared" si="0"/>
        <v>15000000000</v>
      </c>
    </row>
    <row r="39" spans="1:8" x14ac:dyDescent="0.25">
      <c r="A39" s="135">
        <f>A38+90</f>
        <v>46467</v>
      </c>
      <c r="B39" s="11" t="s">
        <v>10</v>
      </c>
      <c r="C39" s="12">
        <f t="shared" si="3"/>
        <v>1000000000</v>
      </c>
      <c r="D39" s="12">
        <f>H38*((1+$K$73)^(K$72/360)-1)</f>
        <v>379513360.12672645</v>
      </c>
      <c r="E39" s="12">
        <f t="shared" si="1"/>
        <v>1379513360.1267264</v>
      </c>
      <c r="F39" s="12"/>
      <c r="G39" s="12">
        <f t="shared" si="2"/>
        <v>1000000000</v>
      </c>
      <c r="H39" s="13">
        <f t="shared" si="0"/>
        <v>14000000000</v>
      </c>
    </row>
    <row r="40" spans="1:8" x14ac:dyDescent="0.25">
      <c r="A40" s="135">
        <f>A39+92</f>
        <v>46559</v>
      </c>
      <c r="B40" s="11" t="s">
        <v>10</v>
      </c>
      <c r="C40" s="12">
        <f t="shared" si="3"/>
        <v>1000000000</v>
      </c>
      <c r="D40" s="12">
        <f>H39*((1+$L$73)^(L$72/360)-1)</f>
        <v>354212469.45161134</v>
      </c>
      <c r="E40" s="12">
        <f t="shared" si="1"/>
        <v>1354212469.4516113</v>
      </c>
      <c r="F40" s="12"/>
      <c r="G40" s="12">
        <f t="shared" si="2"/>
        <v>1000000000</v>
      </c>
      <c r="H40" s="13">
        <f t="shared" si="0"/>
        <v>13000000000</v>
      </c>
    </row>
    <row r="41" spans="1:8" x14ac:dyDescent="0.25">
      <c r="A41" s="135">
        <f>A40+92</f>
        <v>46651</v>
      </c>
      <c r="B41" s="11" t="s">
        <v>10</v>
      </c>
      <c r="C41" s="12">
        <f t="shared" si="3"/>
        <v>1000000000</v>
      </c>
      <c r="D41" s="12">
        <f>H40*((1+$L$73)^(L$72/360)-1)</f>
        <v>328911578.77649623</v>
      </c>
      <c r="E41" s="12">
        <f t="shared" si="1"/>
        <v>1328911578.7764962</v>
      </c>
      <c r="F41" s="12"/>
      <c r="G41" s="12">
        <f t="shared" si="2"/>
        <v>1000000000</v>
      </c>
      <c r="H41" s="13">
        <f t="shared" si="0"/>
        <v>12000000000</v>
      </c>
    </row>
    <row r="42" spans="1:8" x14ac:dyDescent="0.25">
      <c r="A42" s="135">
        <f>A41+91</f>
        <v>46742</v>
      </c>
      <c r="B42" s="11" t="s">
        <v>10</v>
      </c>
      <c r="C42" s="12">
        <f t="shared" si="3"/>
        <v>1000000000</v>
      </c>
      <c r="D42" s="12">
        <f>H41*((1+$L$73)^(L$72/360)-1)</f>
        <v>303610688.10138112</v>
      </c>
      <c r="E42" s="12">
        <f t="shared" si="1"/>
        <v>1303610688.1013811</v>
      </c>
      <c r="F42" s="12"/>
      <c r="G42" s="12">
        <f t="shared" si="2"/>
        <v>1000000000</v>
      </c>
      <c r="H42" s="13">
        <f t="shared" si="0"/>
        <v>11000000000</v>
      </c>
    </row>
    <row r="43" spans="1:8" x14ac:dyDescent="0.25">
      <c r="A43" s="10">
        <f>A42+91</f>
        <v>46833</v>
      </c>
      <c r="B43" s="11" t="s">
        <v>10</v>
      </c>
      <c r="C43" s="12">
        <f t="shared" si="3"/>
        <v>1000000000</v>
      </c>
      <c r="D43" s="12">
        <f>H42*((1+$L$73)^(L$72/360)-1)</f>
        <v>278309797.42626607</v>
      </c>
      <c r="E43" s="12">
        <f t="shared" si="1"/>
        <v>1278309797.4262662</v>
      </c>
      <c r="F43" s="12"/>
      <c r="G43" s="12">
        <f t="shared" si="2"/>
        <v>1000000000</v>
      </c>
      <c r="H43" s="13">
        <f t="shared" si="0"/>
        <v>10000000000</v>
      </c>
    </row>
    <row r="44" spans="1:8" x14ac:dyDescent="0.25">
      <c r="A44" s="10">
        <f>A43+92</f>
        <v>46925</v>
      </c>
      <c r="B44" s="11" t="s">
        <v>10</v>
      </c>
      <c r="C44" s="12">
        <f t="shared" si="3"/>
        <v>1000000000</v>
      </c>
      <c r="D44" s="12">
        <f>H43*((1+$M$73)^(M$72/360)-1)</f>
        <v>253008906.75115097</v>
      </c>
      <c r="E44" s="12">
        <f t="shared" si="1"/>
        <v>1253008906.7511511</v>
      </c>
      <c r="F44" s="12"/>
      <c r="G44" s="12">
        <f t="shared" si="2"/>
        <v>1000000000</v>
      </c>
      <c r="H44" s="13">
        <f t="shared" si="0"/>
        <v>9000000000</v>
      </c>
    </row>
    <row r="45" spans="1:8" x14ac:dyDescent="0.25">
      <c r="A45" s="10">
        <f>A44+92</f>
        <v>47017</v>
      </c>
      <c r="B45" s="11" t="s">
        <v>10</v>
      </c>
      <c r="C45" s="12">
        <f t="shared" si="3"/>
        <v>1000000000</v>
      </c>
      <c r="D45" s="12">
        <f>H44*((1+$M$73)^(M$72/360)-1)</f>
        <v>227708016.07603586</v>
      </c>
      <c r="E45" s="12">
        <f t="shared" si="1"/>
        <v>1227708016.076036</v>
      </c>
      <c r="F45" s="12"/>
      <c r="G45" s="12">
        <f t="shared" si="2"/>
        <v>1000000000</v>
      </c>
      <c r="H45" s="13">
        <f t="shared" si="0"/>
        <v>8000000000</v>
      </c>
    </row>
    <row r="46" spans="1:8" x14ac:dyDescent="0.25">
      <c r="A46" s="10">
        <f>A45+91</f>
        <v>47108</v>
      </c>
      <c r="B46" s="11" t="s">
        <v>10</v>
      </c>
      <c r="C46" s="12">
        <f t="shared" si="3"/>
        <v>1000000000</v>
      </c>
      <c r="D46" s="12">
        <f>H45*((1+$M$73)^(M$72/360)-1)</f>
        <v>202407125.40092075</v>
      </c>
      <c r="E46" s="12">
        <f t="shared" si="1"/>
        <v>1202407125.4009209</v>
      </c>
      <c r="F46" s="12"/>
      <c r="G46" s="12">
        <f t="shared" si="2"/>
        <v>1000000000</v>
      </c>
      <c r="H46" s="13">
        <f t="shared" si="0"/>
        <v>7000000000</v>
      </c>
    </row>
    <row r="47" spans="1:8" x14ac:dyDescent="0.25">
      <c r="A47" s="135">
        <f>A46+90</f>
        <v>47198</v>
      </c>
      <c r="B47" s="11" t="s">
        <v>10</v>
      </c>
      <c r="C47" s="12">
        <f t="shared" si="3"/>
        <v>1000000000</v>
      </c>
      <c r="D47" s="12">
        <f>H46*((1+$M$73)^(M$72/360)-1)</f>
        <v>177106234.72580567</v>
      </c>
      <c r="E47" s="12">
        <f t="shared" si="1"/>
        <v>1177106234.7258058</v>
      </c>
      <c r="F47" s="12"/>
      <c r="G47" s="12">
        <f t="shared" si="2"/>
        <v>1000000000</v>
      </c>
      <c r="H47" s="13">
        <f t="shared" si="0"/>
        <v>6000000000</v>
      </c>
    </row>
    <row r="48" spans="1:8" x14ac:dyDescent="0.25">
      <c r="A48" s="135">
        <f>A47+92</f>
        <v>47290</v>
      </c>
      <c r="B48" s="11" t="s">
        <v>10</v>
      </c>
      <c r="C48" s="12">
        <f t="shared" si="3"/>
        <v>1000000000</v>
      </c>
      <c r="D48" s="12">
        <f>H47*((1+$N$73)^(N$72/360)-1)</f>
        <v>151805344.05069056</v>
      </c>
      <c r="E48" s="12">
        <f t="shared" si="1"/>
        <v>1151805344.0506907</v>
      </c>
      <c r="F48" s="12"/>
      <c r="G48" s="12">
        <f t="shared" si="2"/>
        <v>1000000000</v>
      </c>
      <c r="H48" s="13">
        <f t="shared" si="0"/>
        <v>5000000000</v>
      </c>
    </row>
    <row r="49" spans="1:13" x14ac:dyDescent="0.25">
      <c r="A49" s="135">
        <f>A48+92</f>
        <v>47382</v>
      </c>
      <c r="B49" s="11" t="s">
        <v>10</v>
      </c>
      <c r="C49" s="12">
        <f t="shared" si="3"/>
        <v>1000000000</v>
      </c>
      <c r="D49" s="12">
        <f>H48*((1+$N$73)^(N$72/360)-1)</f>
        <v>126504453.37557548</v>
      </c>
      <c r="E49" s="12">
        <f t="shared" si="1"/>
        <v>1126504453.3755755</v>
      </c>
      <c r="F49" s="12"/>
      <c r="G49" s="12">
        <f t="shared" si="2"/>
        <v>1000000000</v>
      </c>
      <c r="H49" s="13">
        <f t="shared" si="0"/>
        <v>4000000000</v>
      </c>
    </row>
    <row r="50" spans="1:13" x14ac:dyDescent="0.25">
      <c r="A50" s="135">
        <f>A49+91</f>
        <v>47473</v>
      </c>
      <c r="B50" s="11" t="s">
        <v>10</v>
      </c>
      <c r="C50" s="12">
        <f t="shared" si="3"/>
        <v>1000000000</v>
      </c>
      <c r="D50" s="12">
        <f>H49*((1+$N$73)^(N$72/360)-1)</f>
        <v>101203562.70046037</v>
      </c>
      <c r="E50" s="12">
        <f t="shared" si="1"/>
        <v>1101203562.7004604</v>
      </c>
      <c r="F50" s="12"/>
      <c r="G50" s="12">
        <f t="shared" si="2"/>
        <v>1000000000</v>
      </c>
      <c r="H50" s="13">
        <f t="shared" si="0"/>
        <v>3000000000</v>
      </c>
    </row>
    <row r="51" spans="1:13" x14ac:dyDescent="0.25">
      <c r="A51" s="10">
        <f>A50+90</f>
        <v>47563</v>
      </c>
      <c r="B51" s="11" t="s">
        <v>10</v>
      </c>
      <c r="C51" s="12">
        <f t="shared" si="3"/>
        <v>1000000000</v>
      </c>
      <c r="D51" s="12">
        <f>H50*((1+$N$73)^(N$72/360)-1)</f>
        <v>75902672.025345281</v>
      </c>
      <c r="E51" s="12">
        <f t="shared" si="1"/>
        <v>1075902672.0253453</v>
      </c>
      <c r="F51" s="12"/>
      <c r="G51" s="12">
        <f t="shared" si="2"/>
        <v>1000000000</v>
      </c>
      <c r="H51" s="13">
        <f t="shared" si="0"/>
        <v>2000000000</v>
      </c>
    </row>
    <row r="52" spans="1:13" x14ac:dyDescent="0.25">
      <c r="A52" s="10">
        <f>A51+92</f>
        <v>47655</v>
      </c>
      <c r="B52" s="11" t="s">
        <v>10</v>
      </c>
      <c r="C52" s="12">
        <f t="shared" si="3"/>
        <v>1000000000</v>
      </c>
      <c r="D52" s="12">
        <f>H51*((1+$O$73)^(O$72/360)-1)</f>
        <v>50601781.350230187</v>
      </c>
      <c r="E52" s="12">
        <f t="shared" si="1"/>
        <v>1050601781.3502302</v>
      </c>
      <c r="F52" s="12"/>
      <c r="G52" s="12">
        <f t="shared" si="2"/>
        <v>1000000000</v>
      </c>
      <c r="H52" s="13">
        <f t="shared" si="0"/>
        <v>1000000000</v>
      </c>
    </row>
    <row r="53" spans="1:13" x14ac:dyDescent="0.25">
      <c r="A53" s="10">
        <f>A52+92</f>
        <v>47747</v>
      </c>
      <c r="B53" s="11" t="s">
        <v>10</v>
      </c>
      <c r="C53" s="12">
        <f t="shared" si="3"/>
        <v>1000000000</v>
      </c>
      <c r="D53" s="12">
        <f>H52*((1+$O$73)^(O$72/360)-1)</f>
        <v>25300890.675115094</v>
      </c>
      <c r="E53" s="12">
        <f t="shared" si="1"/>
        <v>1025300890.6751151</v>
      </c>
      <c r="F53" s="12"/>
      <c r="G53" s="12">
        <f t="shared" si="2"/>
        <v>1000000000</v>
      </c>
      <c r="H53" s="14">
        <f t="shared" si="0"/>
        <v>0</v>
      </c>
    </row>
    <row r="54" spans="1:13" x14ac:dyDescent="0.25">
      <c r="A54" s="15"/>
      <c r="B54" s="16" t="s">
        <v>11</v>
      </c>
      <c r="C54" s="17">
        <f>SUM(C5:C53)</f>
        <v>40000000000</v>
      </c>
      <c r="D54" s="17">
        <f>SUM(D5:D53)</f>
        <v>28646652752.278107</v>
      </c>
      <c r="E54" s="17">
        <f>SUM(E6:E53)</f>
        <v>68646652752.278099</v>
      </c>
      <c r="F54" s="17"/>
      <c r="G54" s="17">
        <f>+C54+D54</f>
        <v>68646652752.278107</v>
      </c>
      <c r="H54" s="18"/>
      <c r="J54" s="76"/>
      <c r="K54" s="84"/>
      <c r="L54" s="84"/>
      <c r="M54" s="84"/>
    </row>
    <row r="55" spans="1:13" x14ac:dyDescent="0.25">
      <c r="A55" s="19" t="s">
        <v>42</v>
      </c>
      <c r="B55" s="20"/>
      <c r="C55" s="20"/>
      <c r="D55" s="20"/>
      <c r="E55" s="20"/>
      <c r="F55" s="20"/>
      <c r="G55" s="20"/>
      <c r="H55" s="20"/>
    </row>
    <row r="56" spans="1:13" ht="15.75" x14ac:dyDescent="0.25">
      <c r="A56" s="52" t="s">
        <v>363</v>
      </c>
      <c r="B56" s="20"/>
      <c r="C56" s="20"/>
      <c r="D56" s="20"/>
      <c r="E56" s="20"/>
      <c r="F56" s="20"/>
      <c r="G56" s="20"/>
      <c r="H56" s="20"/>
    </row>
    <row r="57" spans="1:13" x14ac:dyDescent="0.25">
      <c r="A57" s="19"/>
      <c r="B57" s="20"/>
      <c r="C57" s="20"/>
      <c r="D57" s="20"/>
      <c r="E57" s="20"/>
      <c r="F57" s="20"/>
      <c r="G57" s="20"/>
      <c r="H57" s="20"/>
    </row>
    <row r="58" spans="1:13" ht="15.75" x14ac:dyDescent="0.25">
      <c r="A58" s="53" t="s">
        <v>361</v>
      </c>
      <c r="B58" s="509"/>
      <c r="C58" s="510"/>
      <c r="D58" s="20"/>
      <c r="E58" s="20"/>
      <c r="F58" s="20"/>
      <c r="G58" s="20"/>
      <c r="H58" s="20"/>
    </row>
    <row r="59" spans="1:13" ht="15.75" thickBot="1" x14ac:dyDescent="0.3">
      <c r="A59" s="19"/>
      <c r="B59" s="20"/>
      <c r="C59" s="20"/>
      <c r="D59" s="20"/>
      <c r="E59" s="20"/>
      <c r="F59" s="20"/>
      <c r="G59" s="20"/>
      <c r="H59" s="20"/>
    </row>
    <row r="60" spans="1:13" ht="39" thickBot="1" x14ac:dyDescent="0.3">
      <c r="A60" s="21" t="s">
        <v>13</v>
      </c>
      <c r="B60" s="22" t="s">
        <v>14</v>
      </c>
      <c r="C60" s="22" t="s">
        <v>15</v>
      </c>
      <c r="D60" s="22" t="s">
        <v>16</v>
      </c>
      <c r="E60" s="22"/>
      <c r="F60" s="22"/>
      <c r="G60" s="22" t="s">
        <v>7</v>
      </c>
      <c r="H60" s="22" t="s">
        <v>365</v>
      </c>
      <c r="I60" s="23" t="s">
        <v>17</v>
      </c>
    </row>
    <row r="61" spans="1:13" ht="25.5" x14ac:dyDescent="0.25">
      <c r="A61" s="24" t="s">
        <v>385</v>
      </c>
      <c r="B61" s="25" t="s">
        <v>18</v>
      </c>
      <c r="C61" s="26"/>
      <c r="D61" s="27">
        <v>40000000000</v>
      </c>
      <c r="E61" s="27"/>
      <c r="F61" s="27"/>
      <c r="G61" s="27">
        <v>0</v>
      </c>
      <c r="H61" s="59">
        <f>D61*((1+C66)^(C65/360)-1)</f>
        <v>915872205.80028546</v>
      </c>
      <c r="I61" s="60">
        <f>+G61+H61</f>
        <v>915872205.80028546</v>
      </c>
    </row>
    <row r="62" spans="1:13" ht="38.25" x14ac:dyDescent="0.25">
      <c r="A62" s="28" t="s">
        <v>20</v>
      </c>
      <c r="B62" s="61">
        <v>14675926776</v>
      </c>
      <c r="C62" s="28" t="s">
        <v>366</v>
      </c>
      <c r="D62" s="30" t="s">
        <v>367</v>
      </c>
      <c r="E62" s="30"/>
      <c r="F62" s="30"/>
      <c r="G62" s="31"/>
      <c r="H62" s="31"/>
      <c r="I62" s="32"/>
    </row>
    <row r="63" spans="1:13" ht="26.25" x14ac:dyDescent="0.25">
      <c r="A63" s="62" t="s">
        <v>368</v>
      </c>
      <c r="B63" s="29"/>
      <c r="C63" s="33">
        <v>5.0599999999999999E-2</v>
      </c>
      <c r="D63" s="63" t="s">
        <v>369</v>
      </c>
      <c r="E63" s="63"/>
      <c r="F63" s="63"/>
      <c r="G63" s="31"/>
      <c r="H63" s="35"/>
      <c r="I63" s="32"/>
    </row>
    <row r="64" spans="1:13" x14ac:dyDescent="0.25">
      <c r="A64" s="64" t="s">
        <v>370</v>
      </c>
      <c r="B64" s="29"/>
      <c r="C64" s="33">
        <v>0.04</v>
      </c>
      <c r="D64" s="65" t="s">
        <v>371</v>
      </c>
      <c r="E64" s="65"/>
      <c r="F64" s="65"/>
      <c r="G64" s="31"/>
      <c r="H64" s="31"/>
      <c r="I64" s="32"/>
    </row>
    <row r="65" spans="1:17" x14ac:dyDescent="0.25">
      <c r="A65" s="66" t="s">
        <v>372</v>
      </c>
      <c r="B65" s="29"/>
      <c r="C65" s="67">
        <v>90</v>
      </c>
      <c r="D65" s="36"/>
      <c r="E65" s="36"/>
      <c r="F65" s="36"/>
      <c r="G65" s="31"/>
      <c r="H65" s="31"/>
      <c r="I65" s="32"/>
    </row>
    <row r="66" spans="1:17" ht="38.25" x14ac:dyDescent="0.25">
      <c r="A66" s="28" t="s">
        <v>373</v>
      </c>
      <c r="B66" s="29"/>
      <c r="C66" s="68">
        <f>(1+(C63+C64)/90)^90-1</f>
        <v>9.4781093401369532E-2</v>
      </c>
      <c r="D66" s="34">
        <f>C63+C64</f>
        <v>9.06E-2</v>
      </c>
      <c r="E66" s="34"/>
      <c r="F66" s="36" t="s">
        <v>42</v>
      </c>
      <c r="G66" s="31"/>
      <c r="H66" s="31"/>
      <c r="I66" s="32"/>
    </row>
    <row r="67" spans="1:17" ht="38.25" x14ac:dyDescent="0.25">
      <c r="A67" s="37" t="s">
        <v>22</v>
      </c>
      <c r="B67" s="69"/>
      <c r="C67" s="38"/>
      <c r="D67" s="31"/>
      <c r="E67" s="31"/>
      <c r="F67" s="31"/>
      <c r="G67" s="31"/>
      <c r="H67" s="31"/>
      <c r="I67" s="32"/>
    </row>
    <row r="68" spans="1:17" ht="25.5" x14ac:dyDescent="0.25">
      <c r="A68" s="37" t="s">
        <v>374</v>
      </c>
      <c r="B68" s="28" t="s">
        <v>24</v>
      </c>
      <c r="C68" s="28" t="s">
        <v>25</v>
      </c>
      <c r="D68" s="70"/>
      <c r="E68" s="71"/>
      <c r="F68" s="71"/>
      <c r="G68" s="71"/>
      <c r="H68" s="71"/>
      <c r="I68" s="72"/>
    </row>
    <row r="69" spans="1:17" x14ac:dyDescent="0.25">
      <c r="A69" s="39"/>
      <c r="B69" s="40" t="s">
        <v>27</v>
      </c>
      <c r="C69" s="40" t="s">
        <v>2779</v>
      </c>
      <c r="D69" s="40" t="s">
        <v>28</v>
      </c>
      <c r="E69" s="40" t="s">
        <v>29</v>
      </c>
      <c r="F69" s="40" t="s">
        <v>30</v>
      </c>
      <c r="G69" s="40" t="s">
        <v>31</v>
      </c>
      <c r="H69" s="40" t="s">
        <v>32</v>
      </c>
      <c r="I69" s="40" t="s">
        <v>33</v>
      </c>
      <c r="J69" s="40" t="s">
        <v>34</v>
      </c>
      <c r="K69" s="40" t="s">
        <v>35</v>
      </c>
      <c r="L69" s="40" t="s">
        <v>36</v>
      </c>
      <c r="M69" s="40" t="s">
        <v>37</v>
      </c>
      <c r="N69" s="40" t="s">
        <v>38</v>
      </c>
      <c r="O69" s="40" t="s">
        <v>2734</v>
      </c>
    </row>
    <row r="70" spans="1:17" ht="25.5" x14ac:dyDescent="0.25">
      <c r="A70" s="39" t="s">
        <v>375</v>
      </c>
      <c r="B70" s="33">
        <v>4.58E-2</v>
      </c>
      <c r="C70" s="33">
        <v>5.5E-2</v>
      </c>
      <c r="D70" s="33">
        <v>0.06</v>
      </c>
      <c r="E70" s="33">
        <v>0.06</v>
      </c>
      <c r="F70" s="33">
        <v>0.06</v>
      </c>
      <c r="G70" s="33">
        <v>0.06</v>
      </c>
      <c r="H70" s="33">
        <v>0.06</v>
      </c>
      <c r="I70" s="33">
        <v>0.06</v>
      </c>
      <c r="J70" s="33">
        <v>0.06</v>
      </c>
      <c r="K70" s="33">
        <v>0.06</v>
      </c>
      <c r="L70" s="33">
        <v>0.06</v>
      </c>
      <c r="M70" s="33">
        <v>0.06</v>
      </c>
      <c r="N70" s="33">
        <v>0.06</v>
      </c>
      <c r="O70" s="33">
        <v>0.06</v>
      </c>
    </row>
    <row r="71" spans="1:17" ht="25.5" x14ac:dyDescent="0.25">
      <c r="A71" s="39" t="s">
        <v>376</v>
      </c>
      <c r="B71" s="33">
        <v>0.04</v>
      </c>
      <c r="C71" s="33">
        <v>0.04</v>
      </c>
      <c r="D71" s="33">
        <v>0.04</v>
      </c>
      <c r="E71" s="33">
        <v>0.04</v>
      </c>
      <c r="F71" s="33">
        <v>0.04</v>
      </c>
      <c r="G71" s="33">
        <v>0.04</v>
      </c>
      <c r="H71" s="33">
        <v>0.04</v>
      </c>
      <c r="I71" s="33">
        <v>0.04</v>
      </c>
      <c r="J71" s="33">
        <v>0.04</v>
      </c>
      <c r="K71" s="33">
        <v>0.04</v>
      </c>
      <c r="L71" s="33">
        <v>0.04</v>
      </c>
      <c r="M71" s="33">
        <v>0.04</v>
      </c>
      <c r="N71" s="33">
        <v>0.04</v>
      </c>
      <c r="O71" s="33">
        <v>0.04</v>
      </c>
    </row>
    <row r="72" spans="1:17" x14ac:dyDescent="0.25">
      <c r="A72" s="39" t="s">
        <v>377</v>
      </c>
      <c r="B72" s="67">
        <v>90</v>
      </c>
      <c r="C72" s="67">
        <v>90</v>
      </c>
      <c r="D72" s="67">
        <v>90</v>
      </c>
      <c r="E72" s="67">
        <v>90</v>
      </c>
      <c r="F72" s="67">
        <v>90</v>
      </c>
      <c r="G72" s="67">
        <v>90</v>
      </c>
      <c r="H72" s="67">
        <v>90</v>
      </c>
      <c r="I72" s="67">
        <v>90</v>
      </c>
      <c r="J72" s="67">
        <v>90</v>
      </c>
      <c r="K72" s="67">
        <v>90</v>
      </c>
      <c r="L72" s="67">
        <v>90</v>
      </c>
      <c r="M72" s="67">
        <v>90</v>
      </c>
      <c r="N72" s="67">
        <v>90</v>
      </c>
      <c r="O72" s="67">
        <v>90</v>
      </c>
    </row>
    <row r="73" spans="1:17" ht="38.25" x14ac:dyDescent="0.25">
      <c r="A73" s="39" t="s">
        <v>373</v>
      </c>
      <c r="B73" s="73">
        <f>(1+(B70+B71)/90)^90-1</f>
        <v>8.9543856059675075E-2</v>
      </c>
      <c r="C73" s="73">
        <f>(1+(C70+C71)/90)^90-1</f>
        <v>9.9603759601696318E-2</v>
      </c>
      <c r="D73" s="73">
        <f>(1+(D70+D71)/90)^90-1</f>
        <v>0.10510956683667949</v>
      </c>
      <c r="E73" s="73">
        <f>(1+(E70+E71)/90)^90-1</f>
        <v>0.10510956683667949</v>
      </c>
      <c r="F73" s="73">
        <f t="shared" ref="F73:O73" si="4">(1+(F70+F71)/90)^90-1</f>
        <v>0.10510956683667949</v>
      </c>
      <c r="G73" s="73">
        <f t="shared" si="4"/>
        <v>0.10510956683667949</v>
      </c>
      <c r="H73" s="73">
        <f t="shared" si="4"/>
        <v>0.10510956683667949</v>
      </c>
      <c r="I73" s="73">
        <f t="shared" si="4"/>
        <v>0.10510956683667949</v>
      </c>
      <c r="J73" s="73">
        <f t="shared" si="4"/>
        <v>0.10510956683667949</v>
      </c>
      <c r="K73" s="73">
        <f t="shared" si="4"/>
        <v>0.10510956683667949</v>
      </c>
      <c r="L73" s="73">
        <f t="shared" si="4"/>
        <v>0.10510956683667949</v>
      </c>
      <c r="M73" s="73">
        <f t="shared" si="4"/>
        <v>0.10510956683667949</v>
      </c>
      <c r="N73" s="73">
        <f t="shared" si="4"/>
        <v>0.10510956683667949</v>
      </c>
      <c r="O73" s="73">
        <f t="shared" si="4"/>
        <v>0.10510956683667949</v>
      </c>
    </row>
    <row r="74" spans="1:17" ht="51" x14ac:dyDescent="0.25">
      <c r="A74" s="41" t="s">
        <v>378</v>
      </c>
      <c r="B74" s="42">
        <v>2018</v>
      </c>
      <c r="C74" s="42">
        <v>2018</v>
      </c>
      <c r="D74" s="41">
        <v>2019</v>
      </c>
      <c r="E74" s="42">
        <v>2020</v>
      </c>
      <c r="F74" s="41">
        <v>2021</v>
      </c>
      <c r="G74" s="42">
        <v>2022</v>
      </c>
      <c r="H74" s="41">
        <v>2023</v>
      </c>
      <c r="I74" s="42">
        <v>2024</v>
      </c>
      <c r="J74" s="41">
        <v>2025</v>
      </c>
      <c r="K74" s="42">
        <v>2026</v>
      </c>
      <c r="L74" s="41">
        <v>2027</v>
      </c>
      <c r="M74" s="42">
        <v>2028</v>
      </c>
      <c r="N74" s="41">
        <v>2029</v>
      </c>
      <c r="O74" s="42">
        <v>2030</v>
      </c>
      <c r="Q74" s="46" t="s">
        <v>42</v>
      </c>
    </row>
    <row r="75" spans="1:17" x14ac:dyDescent="0.25">
      <c r="A75" s="43" t="s">
        <v>39</v>
      </c>
      <c r="B75" s="44">
        <f>$D6</f>
        <v>866850619.12559652</v>
      </c>
      <c r="C75" s="44">
        <f>$D7</f>
        <v>960858017.53051043</v>
      </c>
      <c r="D75" s="44">
        <f>+D$8+D$9+D$10+D$11</f>
        <v>4048142508.0184155</v>
      </c>
      <c r="E75" s="44">
        <f>+D$12+D$13+D$14+D$15</f>
        <v>4022841617.3433003</v>
      </c>
      <c r="F75" s="44">
        <f>+D$16+D$17+D$18+D$19</f>
        <v>3693930038.5668039</v>
      </c>
      <c r="G75" s="44">
        <f>+D$20+D$21+D$22+D$23</f>
        <v>3289115787.7649622</v>
      </c>
      <c r="H75" s="44">
        <f>+D$24+D$25+D$26+D$27</f>
        <v>2884301536.9631209</v>
      </c>
      <c r="I75" s="44">
        <f>+D$28+D$29+D$30+D$31</f>
        <v>2479487286.1612792</v>
      </c>
      <c r="J75" s="44">
        <f>+D$32+D$33+D$34+D$35</f>
        <v>2074673035.3594379</v>
      </c>
      <c r="K75" s="44">
        <f>+D$36+D$37+D$38+D$39</f>
        <v>1669858784.5575962</v>
      </c>
      <c r="L75" s="44">
        <f>+D$40+D$41+D$42+D$43</f>
        <v>1265044533.7557549</v>
      </c>
      <c r="M75" s="44">
        <f>+D$44+D$45+D$46+D$47</f>
        <v>860230282.95391321</v>
      </c>
      <c r="N75" s="44">
        <f>+D$48+D$49+D$50+D$51</f>
        <v>455416032.15207171</v>
      </c>
      <c r="O75" s="44">
        <f>+D$52+D$53</f>
        <v>75902672.025345281</v>
      </c>
      <c r="P75" s="54" t="s">
        <v>42</v>
      </c>
      <c r="Q75" s="74" t="s">
        <v>42</v>
      </c>
    </row>
    <row r="76" spans="1:17" ht="76.5" x14ac:dyDescent="0.25">
      <c r="A76" s="41" t="s">
        <v>380</v>
      </c>
      <c r="B76" s="42">
        <v>2017</v>
      </c>
      <c r="C76" s="42">
        <v>2018</v>
      </c>
      <c r="D76" s="41">
        <f>C76+1</f>
        <v>2019</v>
      </c>
      <c r="E76" s="41">
        <f t="shared" ref="E76:O76" si="5">D76+1</f>
        <v>2020</v>
      </c>
      <c r="F76" s="41">
        <f t="shared" si="5"/>
        <v>2021</v>
      </c>
      <c r="G76" s="41">
        <f t="shared" si="5"/>
        <v>2022</v>
      </c>
      <c r="H76" s="41">
        <f t="shared" si="5"/>
        <v>2023</v>
      </c>
      <c r="I76" s="41">
        <f t="shared" si="5"/>
        <v>2024</v>
      </c>
      <c r="J76" s="41">
        <f t="shared" si="5"/>
        <v>2025</v>
      </c>
      <c r="K76" s="41">
        <f t="shared" si="5"/>
        <v>2026</v>
      </c>
      <c r="L76" s="41">
        <f t="shared" si="5"/>
        <v>2027</v>
      </c>
      <c r="M76" s="41">
        <f t="shared" si="5"/>
        <v>2028</v>
      </c>
      <c r="N76" s="41">
        <f t="shared" si="5"/>
        <v>2029</v>
      </c>
      <c r="O76" s="41">
        <f t="shared" si="5"/>
        <v>2030</v>
      </c>
    </row>
    <row r="77" spans="1:17" x14ac:dyDescent="0.25">
      <c r="B77" s="44">
        <f>$C8</f>
        <v>0</v>
      </c>
      <c r="C77" s="44">
        <f>$C9</f>
        <v>0</v>
      </c>
      <c r="D77" s="44">
        <f>+C$8+C$9+C$10+C$11</f>
        <v>0</v>
      </c>
      <c r="E77" s="44">
        <f>+C$12+C$13+C$14+C$15</f>
        <v>2000000000</v>
      </c>
      <c r="F77" s="44">
        <f>+C$16+C$17+C$18+C$19</f>
        <v>4000000000</v>
      </c>
      <c r="G77" s="44">
        <f>+C$20+C$21+C$22+C$23</f>
        <v>4000000000</v>
      </c>
      <c r="H77" s="44">
        <f>+C$24+C$25+C$26+C$27</f>
        <v>4000000000</v>
      </c>
      <c r="I77" s="44">
        <f>+C$28+C$29+C$30+C$31</f>
        <v>4000000000</v>
      </c>
      <c r="J77" s="44">
        <f>+C$32+C$33+C$34+C$35</f>
        <v>4000000000</v>
      </c>
      <c r="K77" s="44">
        <f>+C$36+C$37+C$38+C$39</f>
        <v>4000000000</v>
      </c>
      <c r="L77" s="44">
        <f>+C$40+C$41+C$42+C$43</f>
        <v>4000000000</v>
      </c>
      <c r="M77" s="44">
        <f>+C$44+C$45+C$46+C$47</f>
        <v>4000000000</v>
      </c>
      <c r="N77" s="44">
        <f>+C$48+C$49+C$50+C$51</f>
        <v>4000000000</v>
      </c>
      <c r="O77" s="44">
        <f>+C$52+C$53</f>
        <v>2000000000</v>
      </c>
    </row>
  </sheetData>
  <mergeCells count="4">
    <mergeCell ref="A1:H1"/>
    <mergeCell ref="A2:H2"/>
    <mergeCell ref="A3:H3"/>
    <mergeCell ref="B58:C5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Q76"/>
  <sheetViews>
    <sheetView workbookViewId="0">
      <selection activeCell="B60" sqref="B60"/>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9" customWidth="1"/>
    <col min="6" max="6" width="13" hidden="1" customWidth="1"/>
    <col min="7" max="7" width="16.85546875" hidden="1" customWidth="1"/>
    <col min="8" max="8" width="17.7109375" customWidth="1"/>
    <col min="9" max="9" width="14.140625" bestFit="1" customWidth="1"/>
    <col min="10" max="10" width="13.5703125" bestFit="1" customWidth="1"/>
    <col min="11" max="11" width="12.710937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ht="15.75" x14ac:dyDescent="0.25">
      <c r="A1" s="548" t="s">
        <v>2</v>
      </c>
      <c r="B1" s="549"/>
      <c r="C1" s="549"/>
      <c r="D1" s="549"/>
      <c r="E1" s="549"/>
      <c r="F1" s="549"/>
      <c r="G1" s="549"/>
      <c r="H1" s="550"/>
    </row>
    <row r="2" spans="1:15" ht="15.75" x14ac:dyDescent="0.25">
      <c r="A2" s="551" t="s">
        <v>2974</v>
      </c>
      <c r="B2" s="552"/>
      <c r="C2" s="552"/>
      <c r="D2" s="552"/>
      <c r="E2" s="552"/>
      <c r="F2" s="552"/>
      <c r="G2" s="552"/>
      <c r="H2" s="553"/>
    </row>
    <row r="3" spans="1:15" ht="16.5" thickBot="1" x14ac:dyDescent="0.3">
      <c r="A3" s="554" t="s">
        <v>4</v>
      </c>
      <c r="B3" s="555"/>
      <c r="C3" s="555"/>
      <c r="D3" s="555"/>
      <c r="E3" s="555"/>
      <c r="F3" s="555"/>
      <c r="G3" s="555"/>
      <c r="H3" s="556"/>
    </row>
    <row r="4" spans="1:15" ht="45.75" thickBot="1" x14ac:dyDescent="0.3">
      <c r="A4" s="150" t="s">
        <v>5</v>
      </c>
      <c r="B4" s="151" t="s">
        <v>6</v>
      </c>
      <c r="C4" s="152" t="s">
        <v>7</v>
      </c>
      <c r="D4" s="152" t="s">
        <v>40</v>
      </c>
      <c r="E4" s="153" t="s">
        <v>383</v>
      </c>
      <c r="F4" s="152" t="s">
        <v>41</v>
      </c>
      <c r="G4" s="153" t="s">
        <v>384</v>
      </c>
      <c r="H4" s="154" t="s">
        <v>8</v>
      </c>
    </row>
    <row r="5" spans="1:15" x14ac:dyDescent="0.25">
      <c r="A5" s="6">
        <v>43390</v>
      </c>
      <c r="B5" s="7" t="s">
        <v>359</v>
      </c>
      <c r="C5" s="8">
        <v>0</v>
      </c>
      <c r="D5" s="8">
        <v>0</v>
      </c>
      <c r="E5" s="8"/>
      <c r="F5" s="8"/>
      <c r="G5" s="8">
        <f>+C5+D5</f>
        <v>0</v>
      </c>
      <c r="H5" s="9">
        <v>34000000000</v>
      </c>
    </row>
    <row r="6" spans="1:15" x14ac:dyDescent="0.25">
      <c r="A6" s="155">
        <f>A5+92</f>
        <v>43482</v>
      </c>
      <c r="B6" s="11" t="s">
        <v>9</v>
      </c>
      <c r="C6" s="12">
        <v>0</v>
      </c>
      <c r="D6" s="12">
        <f>H5*((1+$B$65)^(B$64/360)-1)</f>
        <v>736823026.25675702</v>
      </c>
      <c r="E6" s="12">
        <f>D6+C6</f>
        <v>736823026.25675702</v>
      </c>
      <c r="F6" s="12">
        <v>0</v>
      </c>
      <c r="G6" s="12">
        <f>+C6+F6</f>
        <v>0</v>
      </c>
      <c r="H6" s="13">
        <f t="shared" ref="H6:H45" si="0">+H5-C6</f>
        <v>34000000000</v>
      </c>
    </row>
    <row r="7" spans="1:15" x14ac:dyDescent="0.25">
      <c r="A7" s="155">
        <f>A6+90</f>
        <v>43572</v>
      </c>
      <c r="B7" s="11" t="s">
        <v>9</v>
      </c>
      <c r="C7" s="12">
        <v>0</v>
      </c>
      <c r="D7" s="12">
        <f>H6*((1+$C$65)^(C$64/360)-1)</f>
        <v>773280220.59515703</v>
      </c>
      <c r="E7" s="12">
        <f t="shared" ref="E7:E45" si="1">D7+C7</f>
        <v>773280220.59515703</v>
      </c>
      <c r="F7" s="12">
        <v>0</v>
      </c>
      <c r="G7" s="12">
        <f t="shared" ref="G7:G45" si="2">+C7+F7</f>
        <v>0</v>
      </c>
      <c r="H7" s="13">
        <f t="shared" si="0"/>
        <v>34000000000</v>
      </c>
    </row>
    <row r="8" spans="1:15" x14ac:dyDescent="0.25">
      <c r="A8" s="155">
        <f>A7+91</f>
        <v>43663</v>
      </c>
      <c r="B8" s="11" t="s">
        <v>9</v>
      </c>
      <c r="C8" s="12">
        <v>0</v>
      </c>
      <c r="D8" s="12">
        <f>H7*((1+$D$65)^(D$64/360)-1)</f>
        <v>860230282.95391321</v>
      </c>
      <c r="E8" s="12">
        <f t="shared" si="1"/>
        <v>860230282.95391321</v>
      </c>
      <c r="F8" s="12">
        <v>0</v>
      </c>
      <c r="G8" s="12">
        <f t="shared" si="2"/>
        <v>0</v>
      </c>
      <c r="H8" s="13">
        <f t="shared" si="0"/>
        <v>34000000000</v>
      </c>
    </row>
    <row r="9" spans="1:15" x14ac:dyDescent="0.25">
      <c r="A9" s="155">
        <f>A8+92</f>
        <v>43755</v>
      </c>
      <c r="B9" s="11" t="s">
        <v>9</v>
      </c>
      <c r="C9" s="12">
        <v>0</v>
      </c>
      <c r="D9" s="12">
        <f>H8*((1+$D$65)^(D$64/360)-1)</f>
        <v>860230282.95391321</v>
      </c>
      <c r="E9" s="12">
        <f t="shared" si="1"/>
        <v>860230282.95391321</v>
      </c>
      <c r="F9" s="12">
        <v>0</v>
      </c>
      <c r="G9" s="12">
        <f t="shared" si="2"/>
        <v>0</v>
      </c>
      <c r="H9" s="13">
        <f t="shared" si="0"/>
        <v>34000000000</v>
      </c>
    </row>
    <row r="10" spans="1:15" x14ac:dyDescent="0.25">
      <c r="A10" s="147">
        <f>A9+92</f>
        <v>43847</v>
      </c>
      <c r="B10" s="11" t="s">
        <v>9</v>
      </c>
      <c r="C10" s="12">
        <v>0</v>
      </c>
      <c r="D10" s="12">
        <f>H9*((1+$D$65)^(D$64/360)-1)</f>
        <v>860230282.95391321</v>
      </c>
      <c r="E10" s="12">
        <f t="shared" si="1"/>
        <v>860230282.95391321</v>
      </c>
      <c r="F10" s="12">
        <v>0</v>
      </c>
      <c r="G10" s="12">
        <f t="shared" si="2"/>
        <v>0</v>
      </c>
      <c r="H10" s="13">
        <f t="shared" si="0"/>
        <v>34000000000</v>
      </c>
    </row>
    <row r="11" spans="1:15" x14ac:dyDescent="0.25">
      <c r="A11" s="147">
        <f>A10+91</f>
        <v>43938</v>
      </c>
      <c r="B11" s="11" t="s">
        <v>9</v>
      </c>
      <c r="C11" s="12">
        <v>0</v>
      </c>
      <c r="D11" s="12">
        <f>H10*((1+$D$65)^(D$64/360)-1)</f>
        <v>860230282.95391321</v>
      </c>
      <c r="E11" s="12">
        <f t="shared" si="1"/>
        <v>860230282.95391321</v>
      </c>
      <c r="F11" s="12">
        <v>0</v>
      </c>
      <c r="G11" s="12">
        <f t="shared" si="2"/>
        <v>0</v>
      </c>
      <c r="H11" s="13">
        <f t="shared" si="0"/>
        <v>34000000000</v>
      </c>
    </row>
    <row r="12" spans="1:15" x14ac:dyDescent="0.25">
      <c r="A12" s="147">
        <f>A11+91</f>
        <v>44029</v>
      </c>
      <c r="B12" s="11" t="s">
        <v>9</v>
      </c>
      <c r="C12" s="12">
        <v>0</v>
      </c>
      <c r="D12" s="12">
        <f>H11*((1+$E$65)^(E$64/360)-1)</f>
        <v>860230282.95391321</v>
      </c>
      <c r="E12" s="12">
        <f t="shared" si="1"/>
        <v>860230282.95391321</v>
      </c>
      <c r="F12" s="12">
        <v>0</v>
      </c>
      <c r="G12" s="12">
        <f t="shared" si="2"/>
        <v>0</v>
      </c>
      <c r="H12" s="13">
        <f t="shared" si="0"/>
        <v>34000000000</v>
      </c>
    </row>
    <row r="13" spans="1:15" x14ac:dyDescent="0.25">
      <c r="A13" s="147">
        <f>A12+92</f>
        <v>44121</v>
      </c>
      <c r="B13" s="11" t="s">
        <v>9</v>
      </c>
      <c r="C13" s="12">
        <v>0</v>
      </c>
      <c r="D13" s="12">
        <f>H12*((1+$E$65)^(E$64/360)-1)</f>
        <v>860230282.95391321</v>
      </c>
      <c r="E13" s="12">
        <f t="shared" si="1"/>
        <v>860230282.95391321</v>
      </c>
      <c r="F13" s="12">
        <v>0</v>
      </c>
      <c r="G13" s="12">
        <f t="shared" si="2"/>
        <v>0</v>
      </c>
      <c r="H13" s="13">
        <f t="shared" si="0"/>
        <v>34000000000</v>
      </c>
      <c r="N13" s="54"/>
      <c r="O13" s="54"/>
    </row>
    <row r="14" spans="1:15" x14ac:dyDescent="0.25">
      <c r="A14" s="148">
        <f>A13+92</f>
        <v>44213</v>
      </c>
      <c r="B14" s="11" t="s">
        <v>10</v>
      </c>
      <c r="C14" s="12">
        <f>+$H$5/32</f>
        <v>1062500000</v>
      </c>
      <c r="D14" s="12">
        <f>H13*((1+$E$65)^(E$64/360)-1)</f>
        <v>860230282.95391321</v>
      </c>
      <c r="E14" s="12">
        <f t="shared" si="1"/>
        <v>1922730282.9539132</v>
      </c>
      <c r="F14" s="12"/>
      <c r="G14" s="12">
        <f t="shared" si="2"/>
        <v>1062500000</v>
      </c>
      <c r="H14" s="13">
        <f t="shared" si="0"/>
        <v>32937500000</v>
      </c>
    </row>
    <row r="15" spans="1:15" x14ac:dyDescent="0.25">
      <c r="A15" s="148">
        <f>A14+90</f>
        <v>44303</v>
      </c>
      <c r="B15" s="11" t="s">
        <v>10</v>
      </c>
      <c r="C15" s="12">
        <f t="shared" ref="C15:C45" si="3">+$H$5/32</f>
        <v>1062500000</v>
      </c>
      <c r="D15" s="12">
        <f>H14*((1+$E$65)^(E$64/360)-1)</f>
        <v>833348086.6116035</v>
      </c>
      <c r="E15" s="12">
        <f t="shared" si="1"/>
        <v>1895848086.6116035</v>
      </c>
      <c r="F15" s="12"/>
      <c r="G15" s="12">
        <f t="shared" si="2"/>
        <v>1062500000</v>
      </c>
      <c r="H15" s="13">
        <f t="shared" si="0"/>
        <v>31875000000</v>
      </c>
    </row>
    <row r="16" spans="1:15" x14ac:dyDescent="0.25">
      <c r="A16" s="148">
        <f>A15+91</f>
        <v>44394</v>
      </c>
      <c r="B16" s="11" t="s">
        <v>10</v>
      </c>
      <c r="C16" s="12">
        <f t="shared" si="3"/>
        <v>1062500000</v>
      </c>
      <c r="D16" s="12">
        <f>H15*((1+$F$65)^(F$64/360)-1)</f>
        <v>806465890.26929367</v>
      </c>
      <c r="E16" s="12">
        <f t="shared" si="1"/>
        <v>1868965890.2692938</v>
      </c>
      <c r="F16" s="12"/>
      <c r="G16" s="12">
        <f t="shared" si="2"/>
        <v>1062500000</v>
      </c>
      <c r="H16" s="13">
        <f t="shared" si="0"/>
        <v>30812500000</v>
      </c>
    </row>
    <row r="17" spans="1:8" x14ac:dyDescent="0.25">
      <c r="A17" s="148">
        <f>A16+92</f>
        <v>44486</v>
      </c>
      <c r="B17" s="11" t="s">
        <v>10</v>
      </c>
      <c r="C17" s="12">
        <f t="shared" si="3"/>
        <v>1062500000</v>
      </c>
      <c r="D17" s="12">
        <f>H16*((1+$F$65)^(F$64/360)-1)</f>
        <v>779583693.92698383</v>
      </c>
      <c r="E17" s="12">
        <f t="shared" si="1"/>
        <v>1842083693.9269838</v>
      </c>
      <c r="F17" s="12"/>
      <c r="G17" s="12">
        <f t="shared" si="2"/>
        <v>1062500000</v>
      </c>
      <c r="H17" s="13">
        <f t="shared" si="0"/>
        <v>29750000000</v>
      </c>
    </row>
    <row r="18" spans="1:8" x14ac:dyDescent="0.25">
      <c r="A18" s="149">
        <f>A17+92</f>
        <v>44578</v>
      </c>
      <c r="B18" s="11" t="s">
        <v>10</v>
      </c>
      <c r="C18" s="12">
        <f t="shared" si="3"/>
        <v>1062500000</v>
      </c>
      <c r="D18" s="12">
        <f>H17*((1+$F$65)^(F$64/360)-1)</f>
        <v>752701497.58467412</v>
      </c>
      <c r="E18" s="12">
        <f t="shared" si="1"/>
        <v>1815201497.5846741</v>
      </c>
      <c r="F18" s="12"/>
      <c r="G18" s="12">
        <f t="shared" si="2"/>
        <v>1062500000</v>
      </c>
      <c r="H18" s="13">
        <f t="shared" si="0"/>
        <v>28687500000</v>
      </c>
    </row>
    <row r="19" spans="1:8" x14ac:dyDescent="0.25">
      <c r="A19" s="149">
        <f>A18+90</f>
        <v>44668</v>
      </c>
      <c r="B19" s="11" t="s">
        <v>10</v>
      </c>
      <c r="C19" s="12">
        <f t="shared" si="3"/>
        <v>1062500000</v>
      </c>
      <c r="D19" s="12">
        <f>H18*((1+$F$65)^(F$64/360)-1)</f>
        <v>725819301.24236429</v>
      </c>
      <c r="E19" s="12">
        <f t="shared" si="1"/>
        <v>1788319301.2423644</v>
      </c>
      <c r="F19" s="12"/>
      <c r="G19" s="12">
        <f t="shared" si="2"/>
        <v>1062500000</v>
      </c>
      <c r="H19" s="13">
        <f t="shared" si="0"/>
        <v>27625000000</v>
      </c>
    </row>
    <row r="20" spans="1:8" x14ac:dyDescent="0.25">
      <c r="A20" s="149">
        <f>A19+91</f>
        <v>44759</v>
      </c>
      <c r="B20" s="11" t="s">
        <v>10</v>
      </c>
      <c r="C20" s="12">
        <f t="shared" si="3"/>
        <v>1062500000</v>
      </c>
      <c r="D20" s="12">
        <f>H19*((1+$G$65)^(G$64/360)-1)</f>
        <v>698937104.90005445</v>
      </c>
      <c r="E20" s="12">
        <f t="shared" si="1"/>
        <v>1761437104.9000545</v>
      </c>
      <c r="F20" s="12"/>
      <c r="G20" s="12">
        <f t="shared" si="2"/>
        <v>1062500000</v>
      </c>
      <c r="H20" s="13">
        <f t="shared" si="0"/>
        <v>26562500000</v>
      </c>
    </row>
    <row r="21" spans="1:8" x14ac:dyDescent="0.25">
      <c r="A21" s="149">
        <f>A20+92</f>
        <v>44851</v>
      </c>
      <c r="B21" s="11" t="s">
        <v>10</v>
      </c>
      <c r="C21" s="12">
        <f t="shared" si="3"/>
        <v>1062500000</v>
      </c>
      <c r="D21" s="12">
        <f>H20*((1+$G$65)^(G$64/360)-1)</f>
        <v>672054908.55774474</v>
      </c>
      <c r="E21" s="12">
        <f t="shared" si="1"/>
        <v>1734554908.5577447</v>
      </c>
      <c r="F21" s="12"/>
      <c r="G21" s="12">
        <f t="shared" si="2"/>
        <v>1062500000</v>
      </c>
      <c r="H21" s="13">
        <f t="shared" si="0"/>
        <v>25500000000</v>
      </c>
    </row>
    <row r="22" spans="1:8" x14ac:dyDescent="0.25">
      <c r="A22" s="155">
        <f>A21+92</f>
        <v>44943</v>
      </c>
      <c r="B22" s="11" t="s">
        <v>10</v>
      </c>
      <c r="C22" s="12">
        <f t="shared" si="3"/>
        <v>1062500000</v>
      </c>
      <c r="D22" s="12">
        <f>H21*((1+$G$65)^(G$64/360)-1)</f>
        <v>645172712.21543491</v>
      </c>
      <c r="E22" s="12">
        <f t="shared" si="1"/>
        <v>1707672712.215435</v>
      </c>
      <c r="F22" s="12"/>
      <c r="G22" s="12">
        <f t="shared" si="2"/>
        <v>1062500000</v>
      </c>
      <c r="H22" s="13">
        <f t="shared" si="0"/>
        <v>24437500000</v>
      </c>
    </row>
    <row r="23" spans="1:8" x14ac:dyDescent="0.25">
      <c r="A23" s="155">
        <f>A22+90</f>
        <v>45033</v>
      </c>
      <c r="B23" s="11" t="s">
        <v>10</v>
      </c>
      <c r="C23" s="12">
        <f t="shared" si="3"/>
        <v>1062500000</v>
      </c>
      <c r="D23" s="12">
        <f>H22*((1+$G$65)^(G$64/360)-1)</f>
        <v>618290515.8731252</v>
      </c>
      <c r="E23" s="12">
        <f t="shared" si="1"/>
        <v>1680790515.8731251</v>
      </c>
      <c r="F23" s="12"/>
      <c r="G23" s="12">
        <f t="shared" si="2"/>
        <v>1062500000</v>
      </c>
      <c r="H23" s="13">
        <f t="shared" si="0"/>
        <v>23375000000</v>
      </c>
    </row>
    <row r="24" spans="1:8" x14ac:dyDescent="0.25">
      <c r="A24" s="155">
        <f>A23+91</f>
        <v>45124</v>
      </c>
      <c r="B24" s="11" t="s">
        <v>10</v>
      </c>
      <c r="C24" s="12">
        <f t="shared" si="3"/>
        <v>1062500000</v>
      </c>
      <c r="D24" s="12">
        <f>H23*((1+$H$65)^(H$64/360)-1)</f>
        <v>591408319.53081536</v>
      </c>
      <c r="E24" s="12">
        <f t="shared" si="1"/>
        <v>1653908319.5308154</v>
      </c>
      <c r="F24" s="12"/>
      <c r="G24" s="12">
        <f t="shared" si="2"/>
        <v>1062500000</v>
      </c>
      <c r="H24" s="13">
        <f t="shared" si="0"/>
        <v>22312500000</v>
      </c>
    </row>
    <row r="25" spans="1:8" x14ac:dyDescent="0.25">
      <c r="A25" s="155">
        <f>A24+92</f>
        <v>45216</v>
      </c>
      <c r="B25" s="11" t="s">
        <v>10</v>
      </c>
      <c r="C25" s="12">
        <f t="shared" si="3"/>
        <v>1062500000</v>
      </c>
      <c r="D25" s="12">
        <f>H24*((1+$H$65)^(H$64/360)-1)</f>
        <v>564526123.18850553</v>
      </c>
      <c r="E25" s="12">
        <f t="shared" si="1"/>
        <v>1627026123.1885056</v>
      </c>
      <c r="F25" s="12"/>
      <c r="G25" s="12">
        <f t="shared" si="2"/>
        <v>1062500000</v>
      </c>
      <c r="H25" s="13">
        <f t="shared" si="0"/>
        <v>21250000000</v>
      </c>
    </row>
    <row r="26" spans="1:8" x14ac:dyDescent="0.25">
      <c r="A26" s="147">
        <f>A25+92</f>
        <v>45308</v>
      </c>
      <c r="B26" s="11" t="s">
        <v>10</v>
      </c>
      <c r="C26" s="12">
        <f t="shared" si="3"/>
        <v>1062500000</v>
      </c>
      <c r="D26" s="12">
        <f>H25*((1+$H$65)^(H$64/360)-1)</f>
        <v>537643926.84619582</v>
      </c>
      <c r="E26" s="12">
        <f t="shared" si="1"/>
        <v>1600143926.8461957</v>
      </c>
      <c r="F26" s="12"/>
      <c r="G26" s="12">
        <f t="shared" si="2"/>
        <v>1062500000</v>
      </c>
      <c r="H26" s="13">
        <f t="shared" si="0"/>
        <v>20187500000</v>
      </c>
    </row>
    <row r="27" spans="1:8" x14ac:dyDescent="0.25">
      <c r="A27" s="147">
        <f>A26+91</f>
        <v>45399</v>
      </c>
      <c r="B27" s="11" t="s">
        <v>10</v>
      </c>
      <c r="C27" s="12">
        <f t="shared" si="3"/>
        <v>1062500000</v>
      </c>
      <c r="D27" s="12">
        <f>H26*((1+$H$65)^(H$64/360)-1)</f>
        <v>510761730.50388598</v>
      </c>
      <c r="E27" s="12">
        <f t="shared" si="1"/>
        <v>1573261730.503886</v>
      </c>
      <c r="F27" s="12"/>
      <c r="G27" s="12">
        <f t="shared" si="2"/>
        <v>1062500000</v>
      </c>
      <c r="H27" s="13">
        <f t="shared" si="0"/>
        <v>19125000000</v>
      </c>
    </row>
    <row r="28" spans="1:8" x14ac:dyDescent="0.25">
      <c r="A28" s="147">
        <f>A27+91</f>
        <v>45490</v>
      </c>
      <c r="B28" s="11" t="s">
        <v>10</v>
      </c>
      <c r="C28" s="12">
        <f t="shared" si="3"/>
        <v>1062500000</v>
      </c>
      <c r="D28" s="12">
        <f>H27*((1+$I$65)^(I$64/360)-1)</f>
        <v>483879534.16157621</v>
      </c>
      <c r="E28" s="12">
        <f t="shared" si="1"/>
        <v>1546379534.1615763</v>
      </c>
      <c r="F28" s="12"/>
      <c r="G28" s="12">
        <f t="shared" si="2"/>
        <v>1062500000</v>
      </c>
      <c r="H28" s="13">
        <f t="shared" si="0"/>
        <v>18062500000</v>
      </c>
    </row>
    <row r="29" spans="1:8" x14ac:dyDescent="0.25">
      <c r="A29" s="147">
        <f>A28+92</f>
        <v>45582</v>
      </c>
      <c r="B29" s="11" t="s">
        <v>10</v>
      </c>
      <c r="C29" s="12">
        <f t="shared" si="3"/>
        <v>1062500000</v>
      </c>
      <c r="D29" s="12">
        <f>H28*((1+$I$65)^(I$64/360)-1)</f>
        <v>456997337.81926638</v>
      </c>
      <c r="E29" s="12">
        <f t="shared" si="1"/>
        <v>1519497337.8192663</v>
      </c>
      <c r="F29" s="12"/>
      <c r="G29" s="12">
        <f t="shared" si="2"/>
        <v>1062500000</v>
      </c>
      <c r="H29" s="13">
        <f t="shared" si="0"/>
        <v>17000000000</v>
      </c>
    </row>
    <row r="30" spans="1:8" x14ac:dyDescent="0.25">
      <c r="A30" s="148">
        <f>A29+92</f>
        <v>45674</v>
      </c>
      <c r="B30" s="11" t="s">
        <v>10</v>
      </c>
      <c r="C30" s="12">
        <f t="shared" si="3"/>
        <v>1062500000</v>
      </c>
      <c r="D30" s="12">
        <f>H29*((1+$I$65)^(I$64/360)-1)</f>
        <v>430115141.47695661</v>
      </c>
      <c r="E30" s="12">
        <f t="shared" si="1"/>
        <v>1492615141.4769566</v>
      </c>
      <c r="F30" s="12"/>
      <c r="G30" s="12">
        <f t="shared" si="2"/>
        <v>1062500000</v>
      </c>
      <c r="H30" s="13">
        <f t="shared" si="0"/>
        <v>15937500000</v>
      </c>
    </row>
    <row r="31" spans="1:8" x14ac:dyDescent="0.25">
      <c r="A31" s="148">
        <f>A30+90</f>
        <v>45764</v>
      </c>
      <c r="B31" s="11" t="s">
        <v>10</v>
      </c>
      <c r="C31" s="12">
        <f t="shared" si="3"/>
        <v>1062500000</v>
      </c>
      <c r="D31" s="12">
        <f>H30*((1+$I$65)^(I$64/360)-1)</f>
        <v>403232945.13464683</v>
      </c>
      <c r="E31" s="12">
        <f t="shared" si="1"/>
        <v>1465732945.1346469</v>
      </c>
      <c r="F31" s="12"/>
      <c r="G31" s="12">
        <f t="shared" si="2"/>
        <v>1062500000</v>
      </c>
      <c r="H31" s="13">
        <f t="shared" si="0"/>
        <v>14875000000</v>
      </c>
    </row>
    <row r="32" spans="1:8" x14ac:dyDescent="0.25">
      <c r="A32" s="148">
        <f>A31+91</f>
        <v>45855</v>
      </c>
      <c r="B32" s="11" t="s">
        <v>10</v>
      </c>
      <c r="C32" s="12">
        <f t="shared" si="3"/>
        <v>1062500000</v>
      </c>
      <c r="D32" s="12">
        <f>H31*((1+$J$65)^(J$64/360)-1)</f>
        <v>376350748.79233706</v>
      </c>
      <c r="E32" s="12">
        <f t="shared" si="1"/>
        <v>1438850748.7923369</v>
      </c>
      <c r="F32" s="12"/>
      <c r="G32" s="12">
        <f t="shared" si="2"/>
        <v>1062500000</v>
      </c>
      <c r="H32" s="13">
        <f t="shared" si="0"/>
        <v>13812500000</v>
      </c>
    </row>
    <row r="33" spans="1:8" x14ac:dyDescent="0.25">
      <c r="A33" s="148">
        <f>A32+92</f>
        <v>45947</v>
      </c>
      <c r="B33" s="11" t="s">
        <v>10</v>
      </c>
      <c r="C33" s="12">
        <f t="shared" si="3"/>
        <v>1062500000</v>
      </c>
      <c r="D33" s="12">
        <f>H32*((1+$J$65)^(J$64/360)-1)</f>
        <v>349468552.45002723</v>
      </c>
      <c r="E33" s="12">
        <f t="shared" si="1"/>
        <v>1411968552.4500272</v>
      </c>
      <c r="F33" s="12"/>
      <c r="G33" s="12">
        <f t="shared" si="2"/>
        <v>1062500000</v>
      </c>
      <c r="H33" s="13">
        <f t="shared" si="0"/>
        <v>12750000000</v>
      </c>
    </row>
    <row r="34" spans="1:8" x14ac:dyDescent="0.25">
      <c r="A34" s="149">
        <f>A33+92</f>
        <v>46039</v>
      </c>
      <c r="B34" s="11" t="s">
        <v>10</v>
      </c>
      <c r="C34" s="12">
        <f t="shared" si="3"/>
        <v>1062500000</v>
      </c>
      <c r="D34" s="12">
        <f>H33*((1+$J$65)^(J$64/360)-1)</f>
        <v>322586356.10771745</v>
      </c>
      <c r="E34" s="12">
        <f t="shared" si="1"/>
        <v>1385086356.1077175</v>
      </c>
      <c r="F34" s="12"/>
      <c r="G34" s="12">
        <f t="shared" si="2"/>
        <v>1062500000</v>
      </c>
      <c r="H34" s="13">
        <f t="shared" si="0"/>
        <v>11687500000</v>
      </c>
    </row>
    <row r="35" spans="1:8" x14ac:dyDescent="0.25">
      <c r="A35" s="149">
        <f>A34+90</f>
        <v>46129</v>
      </c>
      <c r="B35" s="11" t="s">
        <v>10</v>
      </c>
      <c r="C35" s="12">
        <f t="shared" si="3"/>
        <v>1062500000</v>
      </c>
      <c r="D35" s="12">
        <f>H34*((1+$J$65)^(J$64/360)-1)</f>
        <v>295704159.76540768</v>
      </c>
      <c r="E35" s="12">
        <f t="shared" si="1"/>
        <v>1358204159.7654076</v>
      </c>
      <c r="F35" s="12"/>
      <c r="G35" s="12">
        <f t="shared" si="2"/>
        <v>1062500000</v>
      </c>
      <c r="H35" s="13">
        <f t="shared" si="0"/>
        <v>10625000000</v>
      </c>
    </row>
    <row r="36" spans="1:8" x14ac:dyDescent="0.25">
      <c r="A36" s="149">
        <f>A35+91</f>
        <v>46220</v>
      </c>
      <c r="B36" s="11" t="s">
        <v>10</v>
      </c>
      <c r="C36" s="12">
        <f t="shared" si="3"/>
        <v>1062500000</v>
      </c>
      <c r="D36" s="12">
        <f>H35*((1+$K$65)^(K$64/360)-1)</f>
        <v>268821963.42309791</v>
      </c>
      <c r="E36" s="12">
        <f t="shared" si="1"/>
        <v>1331321963.4230978</v>
      </c>
      <c r="F36" s="12"/>
      <c r="G36" s="12">
        <f t="shared" si="2"/>
        <v>1062500000</v>
      </c>
      <c r="H36" s="13">
        <f t="shared" si="0"/>
        <v>9562500000</v>
      </c>
    </row>
    <row r="37" spans="1:8" x14ac:dyDescent="0.25">
      <c r="A37" s="149">
        <f>A36+92</f>
        <v>46312</v>
      </c>
      <c r="B37" s="11" t="s">
        <v>10</v>
      </c>
      <c r="C37" s="12">
        <f t="shared" si="3"/>
        <v>1062500000</v>
      </c>
      <c r="D37" s="12">
        <f>H36*((1+$K$65)^(K$64/360)-1)</f>
        <v>241939767.08078811</v>
      </c>
      <c r="E37" s="12">
        <f t="shared" si="1"/>
        <v>1304439767.0807881</v>
      </c>
      <c r="F37" s="12"/>
      <c r="G37" s="12">
        <f t="shared" si="2"/>
        <v>1062500000</v>
      </c>
      <c r="H37" s="13">
        <f t="shared" si="0"/>
        <v>8500000000</v>
      </c>
    </row>
    <row r="38" spans="1:8" x14ac:dyDescent="0.25">
      <c r="A38" s="155">
        <f>A37+92</f>
        <v>46404</v>
      </c>
      <c r="B38" s="11" t="s">
        <v>10</v>
      </c>
      <c r="C38" s="12">
        <f t="shared" si="3"/>
        <v>1062500000</v>
      </c>
      <c r="D38" s="12">
        <f>H37*((1+$K$65)^(K$64/360)-1)</f>
        <v>215057570.7384783</v>
      </c>
      <c r="E38" s="12">
        <f t="shared" si="1"/>
        <v>1277557570.7384782</v>
      </c>
      <c r="F38" s="12"/>
      <c r="G38" s="12">
        <f t="shared" si="2"/>
        <v>1062500000</v>
      </c>
      <c r="H38" s="13">
        <f t="shared" si="0"/>
        <v>7437500000</v>
      </c>
    </row>
    <row r="39" spans="1:8" x14ac:dyDescent="0.25">
      <c r="A39" s="155">
        <f>A38+90</f>
        <v>46494</v>
      </c>
      <c r="B39" s="11" t="s">
        <v>10</v>
      </c>
      <c r="C39" s="12">
        <f t="shared" si="3"/>
        <v>1062500000</v>
      </c>
      <c r="D39" s="12">
        <f>H38*((1+$K$65)^(K$64/360)-1)</f>
        <v>188175374.39616853</v>
      </c>
      <c r="E39" s="12">
        <f t="shared" si="1"/>
        <v>1250675374.3961685</v>
      </c>
      <c r="F39" s="12"/>
      <c r="G39" s="12">
        <f t="shared" si="2"/>
        <v>1062500000</v>
      </c>
      <c r="H39" s="13">
        <f t="shared" si="0"/>
        <v>6375000000</v>
      </c>
    </row>
    <row r="40" spans="1:8" x14ac:dyDescent="0.25">
      <c r="A40" s="155">
        <f>A39+91</f>
        <v>46585</v>
      </c>
      <c r="B40" s="11" t="s">
        <v>10</v>
      </c>
      <c r="C40" s="12">
        <f t="shared" si="3"/>
        <v>1062500000</v>
      </c>
      <c r="D40" s="12">
        <f>H39*((1+$L$65)^(L$64/360)-1)</f>
        <v>161293178.05385873</v>
      </c>
      <c r="E40" s="12">
        <f t="shared" si="1"/>
        <v>1223793178.0538588</v>
      </c>
      <c r="F40" s="12"/>
      <c r="G40" s="12">
        <f t="shared" si="2"/>
        <v>1062500000</v>
      </c>
      <c r="H40" s="13">
        <f t="shared" si="0"/>
        <v>5312500000</v>
      </c>
    </row>
    <row r="41" spans="1:8" x14ac:dyDescent="0.25">
      <c r="A41" s="155">
        <f>A40+92</f>
        <v>46677</v>
      </c>
      <c r="B41" s="11" t="s">
        <v>10</v>
      </c>
      <c r="C41" s="12">
        <f t="shared" si="3"/>
        <v>1062500000</v>
      </c>
      <c r="D41" s="12">
        <f>H40*((1+$L$65)^(L$64/360)-1)</f>
        <v>134410981.71154895</v>
      </c>
      <c r="E41" s="12">
        <f t="shared" si="1"/>
        <v>1196910981.711549</v>
      </c>
      <c r="F41" s="12"/>
      <c r="G41" s="12">
        <f t="shared" si="2"/>
        <v>1062500000</v>
      </c>
      <c r="H41" s="13">
        <f t="shared" si="0"/>
        <v>4250000000</v>
      </c>
    </row>
    <row r="42" spans="1:8" x14ac:dyDescent="0.25">
      <c r="A42" s="147">
        <f>A41+92</f>
        <v>46769</v>
      </c>
      <c r="B42" s="11" t="s">
        <v>10</v>
      </c>
      <c r="C42" s="12">
        <f t="shared" si="3"/>
        <v>1062500000</v>
      </c>
      <c r="D42" s="12">
        <f>H41*((1+$L$65)^(L$64/360)-1)</f>
        <v>107528785.36923915</v>
      </c>
      <c r="E42" s="12">
        <f t="shared" si="1"/>
        <v>1170028785.3692391</v>
      </c>
      <c r="F42" s="12"/>
      <c r="G42" s="12">
        <f t="shared" si="2"/>
        <v>1062500000</v>
      </c>
      <c r="H42" s="13">
        <f t="shared" si="0"/>
        <v>3187500000</v>
      </c>
    </row>
    <row r="43" spans="1:8" x14ac:dyDescent="0.25">
      <c r="A43" s="147">
        <f>A42+91</f>
        <v>46860</v>
      </c>
      <c r="B43" s="11" t="s">
        <v>10</v>
      </c>
      <c r="C43" s="12">
        <f t="shared" si="3"/>
        <v>1062500000</v>
      </c>
      <c r="D43" s="12">
        <f>H42*((1+$L$65)^(L$64/360)-1)</f>
        <v>80646589.026929364</v>
      </c>
      <c r="E43" s="12">
        <f t="shared" si="1"/>
        <v>1143146589.0269294</v>
      </c>
      <c r="F43" s="12"/>
      <c r="G43" s="12">
        <f t="shared" si="2"/>
        <v>1062500000</v>
      </c>
      <c r="H43" s="13">
        <f t="shared" si="0"/>
        <v>2125000000</v>
      </c>
    </row>
    <row r="44" spans="1:8" x14ac:dyDescent="0.25">
      <c r="A44" s="147">
        <f>A43+91</f>
        <v>46951</v>
      </c>
      <c r="B44" s="11" t="s">
        <v>10</v>
      </c>
      <c r="C44" s="12">
        <f t="shared" si="3"/>
        <v>1062500000</v>
      </c>
      <c r="D44" s="12">
        <f>H43*((1+$M$65)^(M$64/360)-1)</f>
        <v>58939077.872566916</v>
      </c>
      <c r="E44" s="12">
        <f t="shared" si="1"/>
        <v>1121439077.8725669</v>
      </c>
      <c r="F44" s="12"/>
      <c r="G44" s="12">
        <f t="shared" si="2"/>
        <v>1062500000</v>
      </c>
      <c r="H44" s="13">
        <f t="shared" si="0"/>
        <v>1062500000</v>
      </c>
    </row>
    <row r="45" spans="1:8" x14ac:dyDescent="0.25">
      <c r="A45" s="147">
        <f>A44+92</f>
        <v>47043</v>
      </c>
      <c r="B45" s="11" t="s">
        <v>10</v>
      </c>
      <c r="C45" s="12">
        <f t="shared" si="3"/>
        <v>1062500000</v>
      </c>
      <c r="D45" s="12">
        <f>H44*((1+$M$65)^(M$64/360)-1)</f>
        <v>29469538.936283458</v>
      </c>
      <c r="E45" s="12">
        <f t="shared" si="1"/>
        <v>1091969538.9362833</v>
      </c>
      <c r="F45" s="12"/>
      <c r="G45" s="12">
        <f t="shared" si="2"/>
        <v>1062500000</v>
      </c>
      <c r="H45" s="13">
        <f t="shared" si="0"/>
        <v>0</v>
      </c>
    </row>
    <row r="46" spans="1:8" ht="15.75" thickBot="1" x14ac:dyDescent="0.3">
      <c r="A46" s="156"/>
      <c r="B46" s="157" t="s">
        <v>11</v>
      </c>
      <c r="C46" s="158">
        <f>SUM(C5:C45)</f>
        <v>34000000000</v>
      </c>
      <c r="D46" s="158">
        <f>SUM(D5:D45)</f>
        <v>20873046641.096874</v>
      </c>
      <c r="E46" s="158">
        <f>SUM(E6:E45)</f>
        <v>54873046641.096878</v>
      </c>
      <c r="F46" s="158"/>
      <c r="G46" s="158">
        <f>+C46+D46</f>
        <v>54873046641.096878</v>
      </c>
      <c r="H46" s="159"/>
    </row>
    <row r="47" spans="1:8" x14ac:dyDescent="0.25">
      <c r="A47" s="19" t="s">
        <v>42</v>
      </c>
      <c r="B47" s="20"/>
      <c r="C47" s="20"/>
      <c r="D47" s="20"/>
      <c r="E47" s="20"/>
      <c r="F47" s="20"/>
      <c r="G47" s="20"/>
      <c r="H47" s="20"/>
    </row>
    <row r="48" spans="1:8" ht="15.75" x14ac:dyDescent="0.25">
      <c r="A48" s="52" t="s">
        <v>363</v>
      </c>
      <c r="B48" s="20"/>
      <c r="C48" s="20"/>
      <c r="D48" s="20"/>
      <c r="E48" s="20"/>
      <c r="F48" s="20"/>
      <c r="G48" s="20"/>
      <c r="H48" s="20"/>
    </row>
    <row r="49" spans="1:15" x14ac:dyDescent="0.25">
      <c r="A49" s="19"/>
      <c r="B49" s="20"/>
      <c r="C49" s="20"/>
      <c r="D49" s="20"/>
      <c r="E49" s="20"/>
      <c r="F49" s="20"/>
      <c r="G49" s="20"/>
      <c r="H49" s="20"/>
    </row>
    <row r="50" spans="1:15" ht="37.5" customHeight="1" x14ac:dyDescent="0.25">
      <c r="A50" s="53" t="s">
        <v>361</v>
      </c>
      <c r="B50" s="509"/>
      <c r="C50" s="510"/>
      <c r="D50" s="20"/>
      <c r="E50" s="20"/>
      <c r="F50" s="20"/>
      <c r="G50" s="20"/>
      <c r="H50" s="20"/>
    </row>
    <row r="51" spans="1:15" ht="15.75" thickBot="1" x14ac:dyDescent="0.3">
      <c r="A51" s="19"/>
      <c r="B51" s="20"/>
      <c r="C51" s="20"/>
      <c r="D51" s="20"/>
      <c r="E51" s="20"/>
      <c r="F51" s="20"/>
      <c r="G51" s="20"/>
      <c r="H51" s="20"/>
    </row>
    <row r="52" spans="1:15" ht="26.25" thickBot="1" x14ac:dyDescent="0.3">
      <c r="A52" s="21" t="s">
        <v>13</v>
      </c>
      <c r="B52" s="22" t="s">
        <v>14</v>
      </c>
      <c r="C52" s="22" t="s">
        <v>15</v>
      </c>
      <c r="D52" s="22" t="s">
        <v>16</v>
      </c>
      <c r="E52" s="22"/>
      <c r="F52" s="22"/>
      <c r="G52" s="22" t="s">
        <v>7</v>
      </c>
      <c r="H52" s="22"/>
      <c r="I52" s="23"/>
    </row>
    <row r="53" spans="1:15" ht="25.5" x14ac:dyDescent="0.25">
      <c r="A53" s="24" t="s">
        <v>385</v>
      </c>
      <c r="B53" s="25" t="s">
        <v>18</v>
      </c>
      <c r="C53" s="26" t="s">
        <v>19</v>
      </c>
      <c r="D53" s="27">
        <f>H5</f>
        <v>34000000000</v>
      </c>
      <c r="E53" s="27"/>
      <c r="F53" s="27"/>
      <c r="G53" s="27">
        <v>0</v>
      </c>
      <c r="H53" s="59"/>
      <c r="I53" s="60"/>
    </row>
    <row r="54" spans="1:15" ht="25.5" x14ac:dyDescent="0.25">
      <c r="A54" s="28" t="s">
        <v>20</v>
      </c>
      <c r="B54" s="61"/>
      <c r="C54" s="139">
        <f>A5</f>
        <v>43390</v>
      </c>
      <c r="D54" s="30"/>
      <c r="E54" s="30"/>
      <c r="F54" s="30"/>
      <c r="G54" s="31"/>
      <c r="H54" s="31"/>
      <c r="I54" s="32"/>
    </row>
    <row r="55" spans="1:15" x14ac:dyDescent="0.25">
      <c r="A55" s="62" t="s">
        <v>3023</v>
      </c>
      <c r="B55" s="29"/>
      <c r="C55" s="33">
        <v>4.4999999999999998E-2</v>
      </c>
      <c r="D55" s="63"/>
      <c r="E55" s="63"/>
      <c r="F55" s="63"/>
      <c r="G55" s="31"/>
      <c r="H55" s="35"/>
      <c r="I55" s="32"/>
    </row>
    <row r="56" spans="1:15" x14ac:dyDescent="0.25">
      <c r="A56" s="64" t="s">
        <v>370</v>
      </c>
      <c r="B56" s="29"/>
      <c r="C56" s="33">
        <v>0.04</v>
      </c>
      <c r="D56" s="65"/>
      <c r="E56" s="65"/>
      <c r="F56" s="65"/>
      <c r="G56" s="31"/>
      <c r="H56" s="31"/>
      <c r="I56" s="32"/>
    </row>
    <row r="57" spans="1:15" x14ac:dyDescent="0.25">
      <c r="A57" s="66" t="s">
        <v>372</v>
      </c>
      <c r="B57" s="29"/>
      <c r="C57" s="67">
        <v>90</v>
      </c>
      <c r="D57" s="36"/>
      <c r="E57" s="36"/>
      <c r="F57" s="36"/>
      <c r="G57" s="31"/>
      <c r="H57" s="31"/>
      <c r="I57" s="32"/>
    </row>
    <row r="58" spans="1:15" ht="38.25" x14ac:dyDescent="0.25">
      <c r="A58" s="28" t="s">
        <v>373</v>
      </c>
      <c r="B58" s="29"/>
      <c r="C58" s="68">
        <f>(1+(C55+C56)/90)^90-1</f>
        <v>8.8673395176219971E-2</v>
      </c>
      <c r="D58" s="34" t="s">
        <v>42</v>
      </c>
      <c r="E58" s="34"/>
      <c r="F58" s="36" t="s">
        <v>42</v>
      </c>
      <c r="G58" s="31"/>
      <c r="H58" s="31"/>
      <c r="I58" s="32"/>
    </row>
    <row r="59" spans="1:15" ht="25.5" x14ac:dyDescent="0.25">
      <c r="A59" s="37" t="s">
        <v>22</v>
      </c>
      <c r="B59" s="266"/>
      <c r="C59" s="38">
        <v>611517181</v>
      </c>
      <c r="D59" s="93" t="s">
        <v>42</v>
      </c>
      <c r="E59" s="31"/>
      <c r="F59" s="31"/>
      <c r="G59" s="31"/>
      <c r="H59" s="31"/>
      <c r="I59" s="32"/>
    </row>
    <row r="60" spans="1:15" ht="25.5" x14ac:dyDescent="0.25">
      <c r="A60" s="37" t="s">
        <v>374</v>
      </c>
      <c r="B60" s="28" t="s">
        <v>3013</v>
      </c>
      <c r="C60" s="28" t="s">
        <v>25</v>
      </c>
      <c r="D60" s="133" t="s">
        <v>42</v>
      </c>
      <c r="E60" s="71"/>
      <c r="F60" s="71"/>
      <c r="G60" s="71"/>
      <c r="H60" s="71"/>
      <c r="I60" s="72"/>
    </row>
    <row r="61" spans="1:15" x14ac:dyDescent="0.25">
      <c r="A61" s="39"/>
      <c r="B61" s="40" t="s">
        <v>27</v>
      </c>
      <c r="C61" s="40" t="s">
        <v>2778</v>
      </c>
      <c r="D61" s="40" t="s">
        <v>28</v>
      </c>
      <c r="E61" s="40" t="s">
        <v>29</v>
      </c>
      <c r="F61" s="40" t="s">
        <v>30</v>
      </c>
      <c r="G61" s="40" t="s">
        <v>31</v>
      </c>
      <c r="H61" s="40" t="s">
        <v>32</v>
      </c>
      <c r="I61" s="40" t="s">
        <v>33</v>
      </c>
      <c r="J61" s="40" t="s">
        <v>34</v>
      </c>
      <c r="K61" s="40" t="s">
        <v>35</v>
      </c>
      <c r="L61" s="40" t="s">
        <v>36</v>
      </c>
      <c r="M61" s="40" t="s">
        <v>37</v>
      </c>
      <c r="N61" s="40" t="s">
        <v>38</v>
      </c>
      <c r="O61" s="40" t="s">
        <v>2734</v>
      </c>
    </row>
    <row r="62" spans="1:15" ht="25.5" x14ac:dyDescent="0.25">
      <c r="A62" s="39" t="s">
        <v>2829</v>
      </c>
      <c r="B62" s="33">
        <v>4.58E-2</v>
      </c>
      <c r="C62" s="33">
        <v>0.05</v>
      </c>
      <c r="D62" s="33">
        <v>0.06</v>
      </c>
      <c r="E62" s="33">
        <v>0.06</v>
      </c>
      <c r="F62" s="33">
        <v>0.06</v>
      </c>
      <c r="G62" s="33">
        <v>0.06</v>
      </c>
      <c r="H62" s="33">
        <v>0.06</v>
      </c>
      <c r="I62" s="33">
        <v>0.06</v>
      </c>
      <c r="J62" s="33">
        <v>0.06</v>
      </c>
      <c r="K62" s="33">
        <v>0.06</v>
      </c>
      <c r="L62" s="33">
        <v>0.06</v>
      </c>
      <c r="M62" s="33">
        <v>0.06</v>
      </c>
      <c r="N62" s="33">
        <v>0.06</v>
      </c>
      <c r="O62" s="33">
        <v>0.06</v>
      </c>
    </row>
    <row r="63" spans="1:15" x14ac:dyDescent="0.25">
      <c r="A63" s="39" t="s">
        <v>370</v>
      </c>
      <c r="B63" s="88">
        <v>0.04</v>
      </c>
      <c r="C63" s="88">
        <v>0.04</v>
      </c>
      <c r="D63" s="88">
        <v>0.04</v>
      </c>
      <c r="E63" s="88">
        <v>0.04</v>
      </c>
      <c r="F63" s="88">
        <v>0.04</v>
      </c>
      <c r="G63" s="88">
        <v>0.04</v>
      </c>
      <c r="H63" s="88">
        <v>0.04</v>
      </c>
      <c r="I63" s="88">
        <v>0.04</v>
      </c>
      <c r="J63" s="88">
        <v>0.04</v>
      </c>
      <c r="K63" s="88">
        <v>0.04</v>
      </c>
      <c r="L63" s="88">
        <v>0.04</v>
      </c>
      <c r="M63" s="88">
        <v>4.9500000000000002E-2</v>
      </c>
      <c r="N63" s="88">
        <v>4.9500000000000002E-2</v>
      </c>
      <c r="O63" s="88">
        <v>4.9500000000000002E-2</v>
      </c>
    </row>
    <row r="64" spans="1:15" x14ac:dyDescent="0.25">
      <c r="A64" s="39" t="s">
        <v>377</v>
      </c>
      <c r="B64" s="67">
        <v>90</v>
      </c>
      <c r="C64" s="67">
        <v>90</v>
      </c>
      <c r="D64" s="67">
        <v>90</v>
      </c>
      <c r="E64" s="67">
        <v>90</v>
      </c>
      <c r="F64" s="67">
        <v>90</v>
      </c>
      <c r="G64" s="67">
        <v>90</v>
      </c>
      <c r="H64" s="67">
        <v>90</v>
      </c>
      <c r="I64" s="67">
        <v>90</v>
      </c>
      <c r="J64" s="67">
        <v>90</v>
      </c>
      <c r="K64" s="67">
        <v>90</v>
      </c>
      <c r="L64" s="67">
        <v>90</v>
      </c>
      <c r="M64" s="67">
        <v>90</v>
      </c>
      <c r="N64" s="67">
        <v>90</v>
      </c>
      <c r="O64" s="67">
        <v>90</v>
      </c>
    </row>
    <row r="65" spans="1:17" ht="38.25" x14ac:dyDescent="0.25">
      <c r="A65" s="39" t="s">
        <v>373</v>
      </c>
      <c r="B65" s="73">
        <f t="shared" ref="B65:O65" si="4">(1+(B62+B63)/90)^90-1</f>
        <v>8.9543856059675075E-2</v>
      </c>
      <c r="C65" s="73">
        <f t="shared" si="4"/>
        <v>9.4125079769419084E-2</v>
      </c>
      <c r="D65" s="73">
        <f t="shared" si="4"/>
        <v>0.10510956683667949</v>
      </c>
      <c r="E65" s="73">
        <f t="shared" si="4"/>
        <v>0.10510956683667949</v>
      </c>
      <c r="F65" s="73">
        <f t="shared" si="4"/>
        <v>0.10510956683667949</v>
      </c>
      <c r="G65" s="73">
        <f t="shared" si="4"/>
        <v>0.10510956683667949</v>
      </c>
      <c r="H65" s="73">
        <f t="shared" si="4"/>
        <v>0.10510956683667949</v>
      </c>
      <c r="I65" s="73">
        <f t="shared" si="4"/>
        <v>0.10510956683667949</v>
      </c>
      <c r="J65" s="73">
        <f t="shared" si="4"/>
        <v>0.10510956683667949</v>
      </c>
      <c r="K65" s="73">
        <f t="shared" si="4"/>
        <v>0.10510956683667949</v>
      </c>
      <c r="L65" s="73">
        <f t="shared" si="4"/>
        <v>0.10510956683667949</v>
      </c>
      <c r="M65" s="73">
        <f t="shared" si="4"/>
        <v>0.11564581273075714</v>
      </c>
      <c r="N65" s="73">
        <f t="shared" si="4"/>
        <v>0.11564581273075714</v>
      </c>
      <c r="O65" s="73">
        <f t="shared" si="4"/>
        <v>0.11564581273075714</v>
      </c>
    </row>
    <row r="66" spans="1:17" ht="38.25" x14ac:dyDescent="0.25">
      <c r="A66" s="41" t="s">
        <v>378</v>
      </c>
      <c r="B66" s="42">
        <v>2018</v>
      </c>
      <c r="C66" s="42"/>
      <c r="D66" s="41">
        <v>2019</v>
      </c>
      <c r="E66" s="41">
        <f>D66+1</f>
        <v>2020</v>
      </c>
      <c r="F66" s="41">
        <f t="shared" ref="F66:O66" si="5">E66+1</f>
        <v>2021</v>
      </c>
      <c r="G66" s="41">
        <f t="shared" si="5"/>
        <v>2022</v>
      </c>
      <c r="H66" s="41">
        <f t="shared" si="5"/>
        <v>2023</v>
      </c>
      <c r="I66" s="41">
        <f t="shared" si="5"/>
        <v>2024</v>
      </c>
      <c r="J66" s="41">
        <f t="shared" si="5"/>
        <v>2025</v>
      </c>
      <c r="K66" s="41">
        <f t="shared" si="5"/>
        <v>2026</v>
      </c>
      <c r="L66" s="41">
        <f t="shared" si="5"/>
        <v>2027</v>
      </c>
      <c r="M66" s="41">
        <f t="shared" si="5"/>
        <v>2028</v>
      </c>
      <c r="N66" s="41">
        <f t="shared" si="5"/>
        <v>2029</v>
      </c>
      <c r="O66" s="41">
        <f t="shared" si="5"/>
        <v>2030</v>
      </c>
      <c r="Q66" s="46" t="s">
        <v>379</v>
      </c>
    </row>
    <row r="67" spans="1:17" x14ac:dyDescent="0.25">
      <c r="A67" s="43" t="s">
        <v>39</v>
      </c>
      <c r="B67" s="44">
        <f>D$5</f>
        <v>0</v>
      </c>
      <c r="C67" s="44">
        <f>D$6</f>
        <v>736823026.25675702</v>
      </c>
      <c r="D67" s="44">
        <f>+D$7+D$8+D$9+D$10</f>
        <v>3353971069.4568968</v>
      </c>
      <c r="E67" s="44">
        <f>+D$11+D$12+D$13+D$14</f>
        <v>3440921131.8156528</v>
      </c>
      <c r="F67" s="44">
        <f>+D$15+D$16+D$17+D$18</f>
        <v>3172099168.3925552</v>
      </c>
      <c r="G67" s="44">
        <f>+D$19+D$20+D$21+D$22</f>
        <v>2741984026.9155984</v>
      </c>
      <c r="H67" s="44">
        <f>+D$23+D$24+D$25+D$26</f>
        <v>2311868885.438642</v>
      </c>
      <c r="I67" s="44">
        <f>+D$27+D$28+D$29+D$30</f>
        <v>1881753743.9616852</v>
      </c>
      <c r="J67" s="44">
        <f>+D$31+D$32+D$33+D$34</f>
        <v>1451638602.4847286</v>
      </c>
      <c r="K67" s="44">
        <f>+D$35+D$36+D$37+D$38</f>
        <v>1021523461.0077721</v>
      </c>
      <c r="L67" s="44">
        <f>+D$39+D$40+D$41+D$42</f>
        <v>591408319.53081536</v>
      </c>
      <c r="M67" s="44">
        <f>+D$43+D$44+D$45</f>
        <v>169055205.83577976</v>
      </c>
      <c r="N67" s="44">
        <v>0</v>
      </c>
      <c r="O67" s="44">
        <v>0</v>
      </c>
      <c r="P67" s="54">
        <f>SUM(B67:O67)</f>
        <v>20873046641.096882</v>
      </c>
      <c r="Q67" s="74">
        <f>+P67-D50</f>
        <v>20873046641.096882</v>
      </c>
    </row>
    <row r="68" spans="1:17" ht="51" x14ac:dyDescent="0.25">
      <c r="A68" s="41" t="s">
        <v>380</v>
      </c>
      <c r="B68" s="42">
        <v>2018</v>
      </c>
      <c r="C68" s="41" t="s">
        <v>42</v>
      </c>
      <c r="D68" s="41">
        <v>2019</v>
      </c>
      <c r="E68" s="42">
        <f>D68+1</f>
        <v>2020</v>
      </c>
      <c r="F68" s="42">
        <f t="shared" ref="F68:O68" si="6">E68+1</f>
        <v>2021</v>
      </c>
      <c r="G68" s="42">
        <f t="shared" si="6"/>
        <v>2022</v>
      </c>
      <c r="H68" s="42">
        <f t="shared" si="6"/>
        <v>2023</v>
      </c>
      <c r="I68" s="42">
        <f t="shared" si="6"/>
        <v>2024</v>
      </c>
      <c r="J68" s="42">
        <f t="shared" si="6"/>
        <v>2025</v>
      </c>
      <c r="K68" s="42">
        <f t="shared" si="6"/>
        <v>2026</v>
      </c>
      <c r="L68" s="42">
        <f t="shared" si="6"/>
        <v>2027</v>
      </c>
      <c r="M68" s="42">
        <f t="shared" si="6"/>
        <v>2028</v>
      </c>
      <c r="N68" s="42">
        <f t="shared" si="6"/>
        <v>2029</v>
      </c>
      <c r="O68" s="42">
        <f t="shared" si="6"/>
        <v>2030</v>
      </c>
    </row>
    <row r="69" spans="1:17" x14ac:dyDescent="0.25">
      <c r="A69" s="47" t="s">
        <v>39</v>
      </c>
      <c r="B69" s="44">
        <f>C$6+C$7</f>
        <v>0</v>
      </c>
      <c r="C69" s="44">
        <f>C$6</f>
        <v>0</v>
      </c>
      <c r="D69" s="44">
        <f>+D$7+D$8+D$9+D$10</f>
        <v>3353971069.4568968</v>
      </c>
      <c r="E69" s="44">
        <f>+C$11+C$12+C$13+C$14</f>
        <v>1062500000</v>
      </c>
      <c r="F69" s="44">
        <f>+C$15+C$16+C$17+C$18</f>
        <v>4250000000</v>
      </c>
      <c r="G69" s="44">
        <f>+C$19+C$20+C$21+C$22</f>
        <v>4250000000</v>
      </c>
      <c r="H69" s="44">
        <f>+C$23+C$24+C$25+C$26</f>
        <v>4250000000</v>
      </c>
      <c r="I69" s="44">
        <f>+C$27+C$28+C$29+C$30</f>
        <v>4250000000</v>
      </c>
      <c r="J69" s="44">
        <f>+C$31+C$32+C$33+C$34</f>
        <v>4250000000</v>
      </c>
      <c r="K69" s="44">
        <f>+C$35+C$36+C$37+C$38</f>
        <v>4250000000</v>
      </c>
      <c r="L69" s="44">
        <f>+C$39+C$40+C$41+C$42</f>
        <v>4250000000</v>
      </c>
      <c r="M69" s="44">
        <f>+C$43+C$44+C$45</f>
        <v>3187500000</v>
      </c>
      <c r="N69" s="44">
        <v>0</v>
      </c>
      <c r="O69" s="44">
        <v>0</v>
      </c>
    </row>
    <row r="70" spans="1:17" x14ac:dyDescent="0.25">
      <c r="Q70" s="45">
        <f>SUM(B70:P70)</f>
        <v>0</v>
      </c>
    </row>
    <row r="73" spans="1:17" x14ac:dyDescent="0.25">
      <c r="Q73" s="45">
        <f>SUM(B73:P73)</f>
        <v>0</v>
      </c>
    </row>
    <row r="76" spans="1:17" x14ac:dyDescent="0.25">
      <c r="B76" s="50">
        <f>B66+0.00495</f>
        <v>2018.00495</v>
      </c>
      <c r="C76" s="50">
        <f>D66+0.00495</f>
        <v>2019.00495</v>
      </c>
    </row>
  </sheetData>
  <mergeCells count="4">
    <mergeCell ref="A1:H1"/>
    <mergeCell ref="A2:H2"/>
    <mergeCell ref="A3:H3"/>
    <mergeCell ref="B50:C50"/>
  </mergeCells>
  <pageMargins left="0.7" right="0.7" top="0.75" bottom="0.75" header="0.3" footer="0.3"/>
  <pageSetup scale="81"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M19"/>
  <sheetViews>
    <sheetView workbookViewId="0">
      <selection activeCell="H15" sqref="H15:H16"/>
    </sheetView>
  </sheetViews>
  <sheetFormatPr baseColWidth="10" defaultColWidth="11.5703125" defaultRowHeight="15" x14ac:dyDescent="0.25"/>
  <cols>
    <col min="5" max="5" width="14.85546875" customWidth="1"/>
    <col min="7" max="7" width="14.42578125" customWidth="1"/>
    <col min="8" max="8" width="51.42578125" customWidth="1"/>
    <col min="9" max="9" width="15" customWidth="1"/>
    <col min="10" max="10" width="15.28515625" bestFit="1" customWidth="1"/>
    <col min="11" max="11" width="18.7109375" bestFit="1" customWidth="1"/>
    <col min="12" max="12" width="19.28515625" bestFit="1" customWidth="1"/>
    <col min="13" max="13" width="17.7109375" bestFit="1" customWidth="1"/>
  </cols>
  <sheetData>
    <row r="1" spans="1:13" ht="60.75" thickBot="1" x14ac:dyDescent="0.3">
      <c r="A1" s="111" t="s">
        <v>0</v>
      </c>
      <c r="B1" s="112" t="s">
        <v>13</v>
      </c>
      <c r="C1" s="113"/>
      <c r="D1" s="113"/>
      <c r="E1" s="114" t="s">
        <v>2928</v>
      </c>
      <c r="F1" s="114" t="s">
        <v>2929</v>
      </c>
      <c r="G1" s="114" t="s">
        <v>2907</v>
      </c>
      <c r="H1" s="114"/>
      <c r="I1" s="114" t="s">
        <v>2984</v>
      </c>
      <c r="J1" s="114" t="s">
        <v>2983</v>
      </c>
      <c r="K1" s="114" t="s">
        <v>2982</v>
      </c>
      <c r="L1" s="114" t="s">
        <v>2980</v>
      </c>
      <c r="M1" s="114" t="s">
        <v>2981</v>
      </c>
    </row>
    <row r="2" spans="1:13" ht="31.5" thickBot="1" x14ac:dyDescent="0.3">
      <c r="A2" s="108">
        <v>2016</v>
      </c>
      <c r="B2" s="559" t="s">
        <v>2901</v>
      </c>
      <c r="C2" s="560"/>
      <c r="D2" s="561"/>
      <c r="E2" s="115" t="s">
        <v>2927</v>
      </c>
      <c r="F2" s="119">
        <v>40000</v>
      </c>
      <c r="G2" s="109" t="s">
        <v>2824</v>
      </c>
      <c r="H2" s="123" t="s">
        <v>2932</v>
      </c>
    </row>
    <row r="3" spans="1:13" ht="51.75" customHeight="1" thickBot="1" x14ac:dyDescent="0.3">
      <c r="A3" s="108">
        <v>2017</v>
      </c>
      <c r="B3" s="562" t="s">
        <v>2905</v>
      </c>
      <c r="C3" s="563"/>
      <c r="D3" s="564"/>
      <c r="E3" s="117" t="s">
        <v>2927</v>
      </c>
      <c r="F3" s="120">
        <v>40000</v>
      </c>
      <c r="G3" s="110" t="s">
        <v>2826</v>
      </c>
      <c r="H3" s="123" t="s">
        <v>2933</v>
      </c>
    </row>
    <row r="4" spans="1:13" ht="45.75" thickBot="1" x14ac:dyDescent="0.3">
      <c r="A4" s="122"/>
      <c r="B4" s="574" t="s">
        <v>2903</v>
      </c>
      <c r="C4" s="574"/>
      <c r="D4" s="574"/>
      <c r="E4" s="571" t="s">
        <v>2927</v>
      </c>
      <c r="F4" s="568">
        <v>50000</v>
      </c>
      <c r="G4" s="565" t="s">
        <v>2825</v>
      </c>
      <c r="H4" s="123" t="s">
        <v>2934</v>
      </c>
    </row>
    <row r="5" spans="1:13" ht="45.75" thickBot="1" x14ac:dyDescent="0.3">
      <c r="A5" s="122"/>
      <c r="B5" s="575"/>
      <c r="C5" s="575"/>
      <c r="D5" s="575"/>
      <c r="E5" s="572"/>
      <c r="F5" s="569"/>
      <c r="G5" s="566"/>
      <c r="H5" s="123" t="s">
        <v>2935</v>
      </c>
    </row>
    <row r="6" spans="1:13" ht="15.75" thickBot="1" x14ac:dyDescent="0.3">
      <c r="A6" s="122"/>
      <c r="B6" s="575"/>
      <c r="C6" s="575"/>
      <c r="D6" s="575"/>
      <c r="E6" s="572"/>
      <c r="F6" s="569"/>
      <c r="G6" s="566"/>
      <c r="H6" s="123" t="s">
        <v>2936</v>
      </c>
    </row>
    <row r="7" spans="1:13" ht="30.75" thickBot="1" x14ac:dyDescent="0.3">
      <c r="A7" s="122"/>
      <c r="B7" s="575"/>
      <c r="C7" s="575"/>
      <c r="D7" s="575"/>
      <c r="E7" s="572"/>
      <c r="F7" s="569"/>
      <c r="G7" s="566"/>
      <c r="H7" s="123" t="s">
        <v>2937</v>
      </c>
    </row>
    <row r="8" spans="1:13" ht="30.75" thickBot="1" x14ac:dyDescent="0.3">
      <c r="A8" s="122"/>
      <c r="B8" s="575"/>
      <c r="C8" s="575"/>
      <c r="D8" s="575"/>
      <c r="E8" s="572"/>
      <c r="F8" s="569"/>
      <c r="G8" s="566"/>
      <c r="H8" s="123" t="s">
        <v>2938</v>
      </c>
    </row>
    <row r="9" spans="1:13" ht="30.75" thickBot="1" x14ac:dyDescent="0.3">
      <c r="A9" s="122"/>
      <c r="B9" s="575"/>
      <c r="C9" s="575"/>
      <c r="D9" s="575"/>
      <c r="E9" s="572"/>
      <c r="F9" s="569"/>
      <c r="G9" s="566"/>
      <c r="H9" s="123" t="s">
        <v>2939</v>
      </c>
    </row>
    <row r="10" spans="1:13" ht="30.75" thickBot="1" x14ac:dyDescent="0.3">
      <c r="A10" s="122"/>
      <c r="B10" s="575"/>
      <c r="C10" s="575"/>
      <c r="D10" s="575"/>
      <c r="E10" s="572"/>
      <c r="F10" s="569"/>
      <c r="G10" s="566"/>
      <c r="H10" s="123" t="s">
        <v>2940</v>
      </c>
    </row>
    <row r="11" spans="1:13" ht="30.75" thickBot="1" x14ac:dyDescent="0.3">
      <c r="A11" s="122"/>
      <c r="B11" s="575"/>
      <c r="C11" s="575"/>
      <c r="D11" s="575"/>
      <c r="E11" s="572"/>
      <c r="F11" s="569"/>
      <c r="G11" s="566"/>
      <c r="H11" s="123" t="s">
        <v>2941</v>
      </c>
    </row>
    <row r="12" spans="1:13" ht="30.75" thickBot="1" x14ac:dyDescent="0.3">
      <c r="A12" s="122"/>
      <c r="B12" s="575"/>
      <c r="C12" s="575"/>
      <c r="D12" s="575"/>
      <c r="E12" s="572"/>
      <c r="F12" s="569"/>
      <c r="G12" s="566"/>
      <c r="H12" s="123" t="s">
        <v>2942</v>
      </c>
    </row>
    <row r="13" spans="1:13" ht="90.75" thickBot="1" x14ac:dyDescent="0.3">
      <c r="A13" s="122"/>
      <c r="B13" s="576"/>
      <c r="C13" s="576"/>
      <c r="D13" s="576"/>
      <c r="E13" s="573"/>
      <c r="F13" s="570"/>
      <c r="G13" s="567"/>
      <c r="H13" s="123" t="s">
        <v>2943</v>
      </c>
    </row>
    <row r="14" spans="1:13" ht="30.75" customHeight="1" thickBot="1" x14ac:dyDescent="0.3">
      <c r="A14" s="108">
        <v>2018</v>
      </c>
      <c r="B14" s="562" t="s">
        <v>2902</v>
      </c>
      <c r="C14" s="563"/>
      <c r="D14" s="564"/>
      <c r="E14" s="116" t="s">
        <v>2927</v>
      </c>
      <c r="F14" s="118">
        <v>40000</v>
      </c>
      <c r="G14" s="110" t="s">
        <v>2906</v>
      </c>
      <c r="H14">
        <v>3</v>
      </c>
    </row>
    <row r="15" spans="1:13" ht="46.5" customHeight="1" thickBot="1" x14ac:dyDescent="0.3">
      <c r="A15" s="557">
        <v>2018</v>
      </c>
      <c r="B15" s="583" t="s">
        <v>2904</v>
      </c>
      <c r="C15" s="584"/>
      <c r="D15" s="585"/>
      <c r="E15" s="581" t="s">
        <v>2927</v>
      </c>
      <c r="F15" s="579">
        <v>40000</v>
      </c>
      <c r="G15" s="577" t="s">
        <v>2930</v>
      </c>
      <c r="H15" s="123" t="s">
        <v>2946</v>
      </c>
    </row>
    <row r="16" spans="1:13" ht="45.75" thickBot="1" x14ac:dyDescent="0.3">
      <c r="A16" s="558"/>
      <c r="B16" s="586"/>
      <c r="C16" s="587"/>
      <c r="D16" s="588"/>
      <c r="E16" s="582"/>
      <c r="F16" s="580"/>
      <c r="G16" s="578"/>
      <c r="H16" s="123" t="s">
        <v>2947</v>
      </c>
    </row>
    <row r="17" spans="1:13" ht="61.15" customHeight="1" thickBot="1" x14ac:dyDescent="0.3">
      <c r="A17" s="607">
        <v>2018</v>
      </c>
      <c r="B17" s="598" t="s">
        <v>2975</v>
      </c>
      <c r="C17" s="599"/>
      <c r="D17" s="600"/>
      <c r="E17" s="595" t="s">
        <v>2927</v>
      </c>
      <c r="F17" s="592">
        <v>40000</v>
      </c>
      <c r="G17" s="589" t="s">
        <v>2906</v>
      </c>
      <c r="H17" s="123" t="s">
        <v>2976</v>
      </c>
      <c r="I17" s="164" t="s">
        <v>2977</v>
      </c>
      <c r="J17" s="165">
        <v>1560260800</v>
      </c>
      <c r="K17" s="167">
        <v>4800000238</v>
      </c>
      <c r="L17" s="168">
        <v>3000096663</v>
      </c>
      <c r="M17" s="168" t="s">
        <v>2979</v>
      </c>
    </row>
    <row r="18" spans="1:13" ht="46.5" thickBot="1" x14ac:dyDescent="0.3">
      <c r="A18" s="608"/>
      <c r="B18" s="601"/>
      <c r="C18" s="602"/>
      <c r="D18" s="603"/>
      <c r="E18" s="596"/>
      <c r="F18" s="593"/>
      <c r="G18" s="590"/>
      <c r="H18" s="123" t="s">
        <v>2978</v>
      </c>
      <c r="I18" s="164" t="s">
        <v>2977</v>
      </c>
      <c r="J18" s="166">
        <v>1292410400</v>
      </c>
      <c r="K18" s="167">
        <v>4800000237</v>
      </c>
      <c r="L18" s="168">
        <v>3000096670</v>
      </c>
      <c r="M18" s="168" t="s">
        <v>2979</v>
      </c>
    </row>
    <row r="19" spans="1:13" ht="46.5" thickBot="1" x14ac:dyDescent="0.3">
      <c r="A19" s="609"/>
      <c r="B19" s="604"/>
      <c r="C19" s="605"/>
      <c r="D19" s="606"/>
      <c r="E19" s="597"/>
      <c r="F19" s="594"/>
      <c r="G19" s="591"/>
      <c r="H19" s="123" t="s">
        <v>2978</v>
      </c>
      <c r="I19" s="164" t="s">
        <v>2977</v>
      </c>
      <c r="J19" s="166">
        <v>474835200</v>
      </c>
      <c r="K19" s="167">
        <v>4800000267</v>
      </c>
      <c r="L19" s="168">
        <v>30000101125</v>
      </c>
      <c r="M19" s="167">
        <v>6400000152</v>
      </c>
    </row>
  </sheetData>
  <mergeCells count="17">
    <mergeCell ref="G17:G19"/>
    <mergeCell ref="F17:F19"/>
    <mergeCell ref="E17:E19"/>
    <mergeCell ref="B17:D19"/>
    <mergeCell ref="A17:A19"/>
    <mergeCell ref="A15:A16"/>
    <mergeCell ref="B2:D2"/>
    <mergeCell ref="B3:D3"/>
    <mergeCell ref="B14:D14"/>
    <mergeCell ref="G4:G13"/>
    <mergeCell ref="F4:F13"/>
    <mergeCell ref="E4:E13"/>
    <mergeCell ref="B4:D13"/>
    <mergeCell ref="G15:G16"/>
    <mergeCell ref="F15:F16"/>
    <mergeCell ref="E15:E16"/>
    <mergeCell ref="B15:D1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O1612"/>
  <sheetViews>
    <sheetView topLeftCell="A7" workbookViewId="0">
      <selection activeCell="H15" sqref="H15:H16"/>
    </sheetView>
  </sheetViews>
  <sheetFormatPr baseColWidth="10" defaultColWidth="9.140625" defaultRowHeight="15" x14ac:dyDescent="0.25"/>
  <cols>
    <col min="1" max="1" width="14.140625" customWidth="1"/>
    <col min="2" max="2" width="11.7109375" customWidth="1"/>
    <col min="3" max="3" width="9" customWidth="1"/>
    <col min="4" max="4" width="13.5703125" customWidth="1"/>
    <col min="5" max="5" width="14.140625" customWidth="1"/>
    <col min="6" max="6" width="15.7109375" customWidth="1"/>
    <col min="7" max="7" width="13.5703125" customWidth="1"/>
    <col min="8" max="8" width="10.7109375" customWidth="1"/>
    <col min="9" max="9" width="12" customWidth="1"/>
    <col min="10" max="10" width="11.28515625" customWidth="1"/>
    <col min="11" max="11" width="17.140625" customWidth="1"/>
    <col min="12" max="12" width="14.85546875" customWidth="1"/>
    <col min="13" max="13" width="11.42578125" customWidth="1"/>
    <col min="14" max="14" width="14.85546875" customWidth="1"/>
    <col min="15" max="15" width="10.5703125" customWidth="1"/>
    <col min="16" max="16" width="0.7109375" customWidth="1"/>
  </cols>
  <sheetData>
    <row r="1" spans="1:15" x14ac:dyDescent="0.25">
      <c r="A1" s="610" t="s">
        <v>357</v>
      </c>
      <c r="B1" s="610"/>
      <c r="C1" s="610"/>
      <c r="D1" s="610"/>
      <c r="E1" s="610"/>
      <c r="F1" s="610"/>
    </row>
    <row r="2" spans="1:15" ht="15.75" thickBot="1" x14ac:dyDescent="0.3">
      <c r="A2" s="611" t="s">
        <v>358</v>
      </c>
      <c r="B2" s="611"/>
      <c r="C2" s="611"/>
      <c r="D2" s="611"/>
      <c r="E2" s="611"/>
      <c r="F2" s="611"/>
    </row>
    <row r="3" spans="1:15" ht="15.75" thickTop="1" x14ac:dyDescent="0.25">
      <c r="A3" s="49" t="s">
        <v>43</v>
      </c>
    </row>
    <row r="4" spans="1:15" ht="48.75" x14ac:dyDescent="0.25">
      <c r="A4" s="169" t="s">
        <v>386</v>
      </c>
    </row>
    <row r="5" spans="1:15" x14ac:dyDescent="0.25">
      <c r="A5" s="169" t="s">
        <v>42</v>
      </c>
    </row>
    <row r="6" spans="1:15" ht="132.75" x14ac:dyDescent="0.25">
      <c r="A6" s="169" t="s">
        <v>3014</v>
      </c>
    </row>
    <row r="7" spans="1:15" x14ac:dyDescent="0.25">
      <c r="A7" s="49" t="s">
        <v>43</v>
      </c>
    </row>
    <row r="8" spans="1:15" ht="30" x14ac:dyDescent="0.25">
      <c r="A8" s="170"/>
      <c r="B8" s="171"/>
      <c r="C8" s="249" t="s">
        <v>44</v>
      </c>
      <c r="D8" s="612" t="s">
        <v>45</v>
      </c>
      <c r="E8" s="613"/>
      <c r="F8" s="613"/>
      <c r="G8" s="613"/>
      <c r="H8" s="613"/>
      <c r="I8" s="613"/>
      <c r="J8" s="613"/>
      <c r="K8" s="613"/>
      <c r="L8" s="613"/>
      <c r="M8" s="613"/>
      <c r="N8" s="613"/>
      <c r="O8" s="614"/>
    </row>
    <row r="9" spans="1:15" ht="45" x14ac:dyDescent="0.25">
      <c r="A9" s="250" t="s">
        <v>46</v>
      </c>
      <c r="B9" s="250" t="s">
        <v>47</v>
      </c>
      <c r="C9" s="249" t="s">
        <v>48</v>
      </c>
      <c r="D9" s="249" t="s">
        <v>48</v>
      </c>
      <c r="E9" s="249" t="s">
        <v>364</v>
      </c>
      <c r="F9" s="249" t="s">
        <v>387</v>
      </c>
      <c r="G9" s="249" t="s">
        <v>385</v>
      </c>
      <c r="H9" s="249" t="s">
        <v>388</v>
      </c>
      <c r="I9" s="249" t="s">
        <v>389</v>
      </c>
      <c r="J9" s="249" t="s">
        <v>390</v>
      </c>
      <c r="K9" s="249" t="s">
        <v>391</v>
      </c>
      <c r="L9" s="249" t="s">
        <v>392</v>
      </c>
      <c r="M9" s="249" t="s">
        <v>393</v>
      </c>
      <c r="N9" s="249" t="s">
        <v>394</v>
      </c>
      <c r="O9" s="251" t="s">
        <v>395</v>
      </c>
    </row>
    <row r="10" spans="1:15" ht="16.149999999999999" customHeight="1" x14ac:dyDescent="0.25">
      <c r="A10" s="172">
        <v>43515</v>
      </c>
      <c r="B10" s="173" t="s">
        <v>49</v>
      </c>
      <c r="C10" s="252" t="s">
        <v>1905</v>
      </c>
      <c r="D10" s="252" t="s">
        <v>1950</v>
      </c>
      <c r="E10" s="252" t="s">
        <v>1947</v>
      </c>
      <c r="F10" s="252" t="s">
        <v>1943</v>
      </c>
      <c r="G10" s="252" t="s">
        <v>1963</v>
      </c>
      <c r="H10" s="252" t="s">
        <v>1959</v>
      </c>
      <c r="I10" s="252" t="s">
        <v>1955</v>
      </c>
      <c r="J10" s="174"/>
      <c r="K10" s="252" t="s">
        <v>1948</v>
      </c>
      <c r="L10" s="174"/>
      <c r="M10" s="174"/>
      <c r="N10" s="252" t="s">
        <v>1950</v>
      </c>
      <c r="O10" s="253" t="s">
        <v>1948</v>
      </c>
    </row>
    <row r="11" spans="1:15" ht="16.149999999999999" customHeight="1" x14ac:dyDescent="0.25">
      <c r="A11" s="172">
        <v>43514</v>
      </c>
      <c r="B11" s="175" t="s">
        <v>49</v>
      </c>
      <c r="C11" s="254" t="s">
        <v>3015</v>
      </c>
      <c r="D11" s="254" t="s">
        <v>2967</v>
      </c>
      <c r="E11" s="254" t="s">
        <v>1947</v>
      </c>
      <c r="F11" s="254" t="s">
        <v>1955</v>
      </c>
      <c r="G11" s="254" t="s">
        <v>1963</v>
      </c>
      <c r="H11" s="254" t="s">
        <v>1947</v>
      </c>
      <c r="I11" s="254" t="s">
        <v>1942</v>
      </c>
      <c r="J11" s="176"/>
      <c r="K11" s="254" t="s">
        <v>2889</v>
      </c>
      <c r="L11" s="176"/>
      <c r="M11" s="176"/>
      <c r="N11" s="254" t="s">
        <v>1959</v>
      </c>
      <c r="O11" s="255" t="s">
        <v>2889</v>
      </c>
    </row>
    <row r="12" spans="1:15" ht="16.149999999999999" customHeight="1" x14ac:dyDescent="0.25">
      <c r="A12" s="172">
        <v>43511</v>
      </c>
      <c r="B12" s="173" t="s">
        <v>49</v>
      </c>
      <c r="C12" s="252" t="s">
        <v>3016</v>
      </c>
      <c r="D12" s="252" t="s">
        <v>1950</v>
      </c>
      <c r="E12" s="252" t="s">
        <v>1942</v>
      </c>
      <c r="F12" s="252" t="s">
        <v>1965</v>
      </c>
      <c r="G12" s="252" t="s">
        <v>1963</v>
      </c>
      <c r="H12" s="252" t="s">
        <v>2006</v>
      </c>
      <c r="I12" s="252" t="s">
        <v>1968</v>
      </c>
      <c r="J12" s="174"/>
      <c r="K12" s="252" t="s">
        <v>2889</v>
      </c>
      <c r="L12" s="174"/>
      <c r="M12" s="174"/>
      <c r="N12" s="252" t="s">
        <v>1950</v>
      </c>
      <c r="O12" s="253" t="s">
        <v>1493</v>
      </c>
    </row>
    <row r="13" spans="1:15" ht="16.149999999999999" customHeight="1" x14ac:dyDescent="0.25">
      <c r="A13" s="172">
        <v>43510</v>
      </c>
      <c r="B13" s="175" t="s">
        <v>49</v>
      </c>
      <c r="C13" s="254" t="s">
        <v>3015</v>
      </c>
      <c r="D13" s="254" t="s">
        <v>1934</v>
      </c>
      <c r="E13" s="254" t="s">
        <v>1942</v>
      </c>
      <c r="F13" s="254" t="s">
        <v>1947</v>
      </c>
      <c r="G13" s="254" t="s">
        <v>1959</v>
      </c>
      <c r="H13" s="254" t="s">
        <v>1959</v>
      </c>
      <c r="I13" s="254" t="s">
        <v>1968</v>
      </c>
      <c r="J13" s="176"/>
      <c r="K13" s="254" t="s">
        <v>1959</v>
      </c>
      <c r="L13" s="176"/>
      <c r="M13" s="176"/>
      <c r="N13" s="254" t="s">
        <v>1938</v>
      </c>
      <c r="O13" s="255" t="s">
        <v>2889</v>
      </c>
    </row>
    <row r="14" spans="1:15" ht="16.149999999999999" customHeight="1" x14ac:dyDescent="0.25">
      <c r="A14" s="172">
        <v>43509</v>
      </c>
      <c r="B14" s="173" t="s">
        <v>49</v>
      </c>
      <c r="C14" s="252" t="s">
        <v>1962</v>
      </c>
      <c r="D14" s="252" t="s">
        <v>1963</v>
      </c>
      <c r="E14" s="252" t="s">
        <v>1942</v>
      </c>
      <c r="F14" s="252" t="s">
        <v>1934</v>
      </c>
      <c r="G14" s="252" t="s">
        <v>1975</v>
      </c>
      <c r="H14" s="252" t="s">
        <v>1959</v>
      </c>
      <c r="I14" s="252" t="s">
        <v>1935</v>
      </c>
      <c r="J14" s="174"/>
      <c r="K14" s="252" t="s">
        <v>2889</v>
      </c>
      <c r="L14" s="174"/>
      <c r="M14" s="174"/>
      <c r="N14" s="252" t="s">
        <v>2805</v>
      </c>
      <c r="O14" s="253" t="s">
        <v>1939</v>
      </c>
    </row>
    <row r="15" spans="1:15" ht="16.149999999999999" customHeight="1" x14ac:dyDescent="0.25">
      <c r="A15" s="172">
        <v>43508</v>
      </c>
      <c r="B15" s="175" t="s">
        <v>49</v>
      </c>
      <c r="C15" s="254" t="s">
        <v>2797</v>
      </c>
      <c r="D15" s="254" t="s">
        <v>2888</v>
      </c>
      <c r="E15" s="254" t="s">
        <v>1947</v>
      </c>
      <c r="F15" s="254" t="s">
        <v>1963</v>
      </c>
      <c r="G15" s="254" t="s">
        <v>1975</v>
      </c>
      <c r="H15" s="254" t="s">
        <v>1959</v>
      </c>
      <c r="I15" s="254" t="s">
        <v>1947</v>
      </c>
      <c r="J15" s="176"/>
      <c r="K15" s="254" t="s">
        <v>1939</v>
      </c>
      <c r="L15" s="176"/>
      <c r="M15" s="176"/>
      <c r="N15" s="254" t="s">
        <v>2880</v>
      </c>
      <c r="O15" s="255" t="s">
        <v>2909</v>
      </c>
    </row>
    <row r="16" spans="1:15" ht="16.149999999999999" customHeight="1" x14ac:dyDescent="0.25">
      <c r="A16" s="172">
        <v>43507</v>
      </c>
      <c r="B16" s="173" t="s">
        <v>49</v>
      </c>
      <c r="C16" s="252" t="s">
        <v>1889</v>
      </c>
      <c r="D16" s="252" t="s">
        <v>2006</v>
      </c>
      <c r="E16" s="252" t="s">
        <v>1947</v>
      </c>
      <c r="F16" s="252" t="s">
        <v>2006</v>
      </c>
      <c r="G16" s="252" t="s">
        <v>1939</v>
      </c>
      <c r="H16" s="252" t="s">
        <v>1959</v>
      </c>
      <c r="I16" s="252" t="s">
        <v>1950</v>
      </c>
      <c r="J16" s="174"/>
      <c r="K16" s="252" t="s">
        <v>1952</v>
      </c>
      <c r="L16" s="174"/>
      <c r="M16" s="174"/>
      <c r="N16" s="252" t="s">
        <v>1947</v>
      </c>
      <c r="O16" s="253" t="s">
        <v>2909</v>
      </c>
    </row>
    <row r="17" spans="1:15" ht="16.149999999999999" customHeight="1" x14ac:dyDescent="0.25">
      <c r="A17" s="172">
        <v>43504</v>
      </c>
      <c r="B17" s="175" t="s">
        <v>49</v>
      </c>
      <c r="C17" s="254" t="s">
        <v>1974</v>
      </c>
      <c r="D17" s="254" t="s">
        <v>1975</v>
      </c>
      <c r="E17" s="254" t="s">
        <v>2880</v>
      </c>
      <c r="F17" s="254" t="s">
        <v>1959</v>
      </c>
      <c r="G17" s="254" t="s">
        <v>2931</v>
      </c>
      <c r="H17" s="254" t="s">
        <v>1939</v>
      </c>
      <c r="I17" s="254" t="s">
        <v>1950</v>
      </c>
      <c r="J17" s="176"/>
      <c r="K17" s="254" t="s">
        <v>1939</v>
      </c>
      <c r="L17" s="176"/>
      <c r="M17" s="176"/>
      <c r="N17" s="254" t="s">
        <v>1950</v>
      </c>
      <c r="O17" s="255" t="s">
        <v>2909</v>
      </c>
    </row>
    <row r="18" spans="1:15" ht="16.149999999999999" customHeight="1" x14ac:dyDescent="0.25">
      <c r="A18" s="172">
        <v>43503</v>
      </c>
      <c r="B18" s="173" t="s">
        <v>49</v>
      </c>
      <c r="C18" s="252" t="s">
        <v>2959</v>
      </c>
      <c r="D18" s="252" t="s">
        <v>1939</v>
      </c>
      <c r="E18" s="252" t="s">
        <v>1947</v>
      </c>
      <c r="F18" s="252" t="s">
        <v>1936</v>
      </c>
      <c r="G18" s="252" t="s">
        <v>2931</v>
      </c>
      <c r="H18" s="252" t="s">
        <v>1939</v>
      </c>
      <c r="I18" s="252" t="s">
        <v>1971</v>
      </c>
      <c r="J18" s="174"/>
      <c r="K18" s="252" t="s">
        <v>1952</v>
      </c>
      <c r="L18" s="174"/>
      <c r="M18" s="174"/>
      <c r="N18" s="252" t="s">
        <v>1943</v>
      </c>
      <c r="O18" s="253" t="s">
        <v>2909</v>
      </c>
    </row>
    <row r="19" spans="1:15" ht="16.149999999999999" customHeight="1" x14ac:dyDescent="0.25">
      <c r="A19" s="172">
        <v>43502</v>
      </c>
      <c r="B19" s="175" t="s">
        <v>49</v>
      </c>
      <c r="C19" s="254" t="s">
        <v>2898</v>
      </c>
      <c r="D19" s="254" t="s">
        <v>1948</v>
      </c>
      <c r="E19" s="254" t="s">
        <v>2880</v>
      </c>
      <c r="F19" s="254" t="s">
        <v>1950</v>
      </c>
      <c r="G19" s="254" t="s">
        <v>1948</v>
      </c>
      <c r="H19" s="254" t="s">
        <v>1939</v>
      </c>
      <c r="I19" s="254" t="s">
        <v>1971</v>
      </c>
      <c r="J19" s="176"/>
      <c r="K19" s="254" t="s">
        <v>1952</v>
      </c>
      <c r="L19" s="176"/>
      <c r="M19" s="176"/>
      <c r="N19" s="254" t="s">
        <v>1975</v>
      </c>
      <c r="O19" s="255" t="s">
        <v>2909</v>
      </c>
    </row>
    <row r="20" spans="1:15" ht="16.149999999999999" customHeight="1" x14ac:dyDescent="0.25">
      <c r="A20" s="172">
        <v>43501</v>
      </c>
      <c r="B20" s="173" t="s">
        <v>49</v>
      </c>
      <c r="C20" s="252" t="s">
        <v>1896</v>
      </c>
      <c r="D20" s="252" t="s">
        <v>1936</v>
      </c>
      <c r="E20" s="252" t="s">
        <v>1934</v>
      </c>
      <c r="F20" s="252" t="s">
        <v>1959</v>
      </c>
      <c r="G20" s="252" t="s">
        <v>2908</v>
      </c>
      <c r="H20" s="252" t="s">
        <v>1975</v>
      </c>
      <c r="I20" s="252" t="s">
        <v>1963</v>
      </c>
      <c r="J20" s="174"/>
      <c r="K20" s="252" t="s">
        <v>2908</v>
      </c>
      <c r="L20" s="174"/>
      <c r="M20" s="174"/>
      <c r="N20" s="252" t="s">
        <v>2985</v>
      </c>
      <c r="O20" s="253" t="s">
        <v>2909</v>
      </c>
    </row>
    <row r="21" spans="1:15" ht="16.149999999999999" customHeight="1" x14ac:dyDescent="0.25">
      <c r="A21" s="172">
        <v>43500</v>
      </c>
      <c r="B21" s="175" t="s">
        <v>49</v>
      </c>
      <c r="C21" s="254" t="s">
        <v>1972</v>
      </c>
      <c r="D21" s="254" t="s">
        <v>2931</v>
      </c>
      <c r="E21" s="254" t="s">
        <v>2912</v>
      </c>
      <c r="F21" s="254" t="s">
        <v>1963</v>
      </c>
      <c r="G21" s="254" t="s">
        <v>2888</v>
      </c>
      <c r="H21" s="254" t="s">
        <v>2889</v>
      </c>
      <c r="I21" s="254" t="s">
        <v>2886</v>
      </c>
      <c r="J21" s="176"/>
      <c r="K21" s="254" t="s">
        <v>1952</v>
      </c>
      <c r="L21" s="176"/>
      <c r="M21" s="176"/>
      <c r="N21" s="254" t="s">
        <v>2967</v>
      </c>
      <c r="O21" s="255" t="s">
        <v>2909</v>
      </c>
    </row>
    <row r="22" spans="1:15" ht="16.149999999999999" customHeight="1" x14ac:dyDescent="0.25">
      <c r="A22" s="172">
        <v>43497</v>
      </c>
      <c r="B22" s="173" t="s">
        <v>49</v>
      </c>
      <c r="C22" s="252" t="s">
        <v>1883</v>
      </c>
      <c r="D22" s="252" t="s">
        <v>1959</v>
      </c>
      <c r="E22" s="252" t="s">
        <v>1940</v>
      </c>
      <c r="F22" s="252" t="s">
        <v>1950</v>
      </c>
      <c r="G22" s="252" t="s">
        <v>1936</v>
      </c>
      <c r="H22" s="252" t="s">
        <v>1959</v>
      </c>
      <c r="I22" s="252" t="s">
        <v>1959</v>
      </c>
      <c r="J22" s="174"/>
      <c r="K22" s="252" t="s">
        <v>2909</v>
      </c>
      <c r="L22" s="174"/>
      <c r="M22" s="174"/>
      <c r="N22" s="252" t="s">
        <v>1959</v>
      </c>
      <c r="O22" s="253" t="s">
        <v>2909</v>
      </c>
    </row>
    <row r="23" spans="1:15" ht="16.149999999999999" customHeight="1" x14ac:dyDescent="0.25">
      <c r="A23" s="172">
        <v>43496</v>
      </c>
      <c r="B23" s="175" t="s">
        <v>49</v>
      </c>
      <c r="C23" s="254" t="s">
        <v>2900</v>
      </c>
      <c r="D23" s="254" t="s">
        <v>2889</v>
      </c>
      <c r="E23" s="254" t="s">
        <v>1940</v>
      </c>
      <c r="F23" s="254" t="s">
        <v>2967</v>
      </c>
      <c r="G23" s="254" t="s">
        <v>1952</v>
      </c>
      <c r="H23" s="254" t="s">
        <v>1975</v>
      </c>
      <c r="I23" s="254" t="s">
        <v>1950</v>
      </c>
      <c r="J23" s="176"/>
      <c r="K23" s="254" t="s">
        <v>2909</v>
      </c>
      <c r="L23" s="176"/>
      <c r="M23" s="176"/>
      <c r="N23" s="254" t="s">
        <v>1936</v>
      </c>
      <c r="O23" s="255" t="s">
        <v>1939</v>
      </c>
    </row>
    <row r="24" spans="1:15" ht="16.149999999999999" customHeight="1" x14ac:dyDescent="0.25">
      <c r="A24" s="172">
        <v>43495</v>
      </c>
      <c r="B24" s="173" t="s">
        <v>49</v>
      </c>
      <c r="C24" s="252" t="s">
        <v>1883</v>
      </c>
      <c r="D24" s="252" t="s">
        <v>1959</v>
      </c>
      <c r="E24" s="252" t="s">
        <v>1940</v>
      </c>
      <c r="F24" s="252" t="s">
        <v>2967</v>
      </c>
      <c r="G24" s="252" t="s">
        <v>2931</v>
      </c>
      <c r="H24" s="252" t="s">
        <v>1959</v>
      </c>
      <c r="I24" s="252" t="s">
        <v>1936</v>
      </c>
      <c r="J24" s="174"/>
      <c r="K24" s="252" t="s">
        <v>1959</v>
      </c>
      <c r="L24" s="174"/>
      <c r="M24" s="174"/>
      <c r="N24" s="252" t="s">
        <v>1955</v>
      </c>
      <c r="O24" s="253" t="s">
        <v>1939</v>
      </c>
    </row>
    <row r="25" spans="1:15" ht="16.149999999999999" customHeight="1" x14ac:dyDescent="0.25">
      <c r="A25" s="172">
        <v>43494</v>
      </c>
      <c r="B25" s="175" t="s">
        <v>49</v>
      </c>
      <c r="C25" s="254" t="s">
        <v>1896</v>
      </c>
      <c r="D25" s="254" t="s">
        <v>1936</v>
      </c>
      <c r="E25" s="254" t="s">
        <v>2889</v>
      </c>
      <c r="F25" s="254" t="s">
        <v>1968</v>
      </c>
      <c r="G25" s="254" t="s">
        <v>2889</v>
      </c>
      <c r="H25" s="254" t="s">
        <v>1959</v>
      </c>
      <c r="I25" s="254" t="s">
        <v>1936</v>
      </c>
      <c r="J25" s="176"/>
      <c r="K25" s="254" t="s">
        <v>1936</v>
      </c>
      <c r="L25" s="176"/>
      <c r="M25" s="176"/>
      <c r="N25" s="254" t="s">
        <v>2880</v>
      </c>
      <c r="O25" s="255" t="s">
        <v>1939</v>
      </c>
    </row>
    <row r="26" spans="1:15" ht="16.149999999999999" customHeight="1" x14ac:dyDescent="0.25">
      <c r="A26" s="172">
        <v>43493</v>
      </c>
      <c r="B26" s="173" t="s">
        <v>49</v>
      </c>
      <c r="C26" s="252" t="s">
        <v>3016</v>
      </c>
      <c r="D26" s="252" t="s">
        <v>1934</v>
      </c>
      <c r="E26" s="252" t="s">
        <v>1959</v>
      </c>
      <c r="F26" s="252" t="s">
        <v>1921</v>
      </c>
      <c r="G26" s="252" t="s">
        <v>1934</v>
      </c>
      <c r="H26" s="252" t="s">
        <v>1934</v>
      </c>
      <c r="I26" s="252" t="s">
        <v>1965</v>
      </c>
      <c r="J26" s="174"/>
      <c r="K26" s="252" t="s">
        <v>1950</v>
      </c>
      <c r="L26" s="174"/>
      <c r="M26" s="174"/>
      <c r="N26" s="252" t="s">
        <v>2809</v>
      </c>
      <c r="O26" s="253" t="s">
        <v>1963</v>
      </c>
    </row>
    <row r="27" spans="1:15" ht="16.149999999999999" customHeight="1" x14ac:dyDescent="0.25">
      <c r="A27" s="172">
        <v>43490</v>
      </c>
      <c r="B27" s="175" t="s">
        <v>49</v>
      </c>
      <c r="C27" s="254" t="s">
        <v>3015</v>
      </c>
      <c r="D27" s="254" t="s">
        <v>2967</v>
      </c>
      <c r="E27" s="254" t="s">
        <v>1934</v>
      </c>
      <c r="F27" s="254" t="s">
        <v>2985</v>
      </c>
      <c r="G27" s="254" t="s">
        <v>2880</v>
      </c>
      <c r="H27" s="254" t="s">
        <v>2880</v>
      </c>
      <c r="I27" s="254" t="s">
        <v>1963</v>
      </c>
      <c r="J27" s="176"/>
      <c r="K27" s="254" t="s">
        <v>1950</v>
      </c>
      <c r="L27" s="176"/>
      <c r="M27" s="176"/>
      <c r="N27" s="254" t="s">
        <v>1970</v>
      </c>
      <c r="O27" s="255" t="s">
        <v>1963</v>
      </c>
    </row>
    <row r="28" spans="1:15" ht="16.149999999999999" customHeight="1" x14ac:dyDescent="0.25">
      <c r="A28" s="172">
        <v>43489</v>
      </c>
      <c r="B28" s="173" t="s">
        <v>49</v>
      </c>
      <c r="C28" s="252" t="s">
        <v>1878</v>
      </c>
      <c r="D28" s="252" t="s">
        <v>1947</v>
      </c>
      <c r="E28" s="252" t="s">
        <v>1915</v>
      </c>
      <c r="F28" s="252" t="s">
        <v>2985</v>
      </c>
      <c r="G28" s="252" t="s">
        <v>1950</v>
      </c>
      <c r="H28" s="252" t="s">
        <v>1947</v>
      </c>
      <c r="I28" s="252" t="s">
        <v>2985</v>
      </c>
      <c r="J28" s="174"/>
      <c r="K28" s="252" t="s">
        <v>1963</v>
      </c>
      <c r="L28" s="174"/>
      <c r="M28" s="174"/>
      <c r="N28" s="252" t="s">
        <v>1943</v>
      </c>
      <c r="O28" s="253" t="s">
        <v>1963</v>
      </c>
    </row>
    <row r="29" spans="1:15" ht="16.149999999999999" customHeight="1" x14ac:dyDescent="0.25">
      <c r="A29" s="172">
        <v>43488</v>
      </c>
      <c r="B29" s="175" t="s">
        <v>49</v>
      </c>
      <c r="C29" s="254" t="s">
        <v>1878</v>
      </c>
      <c r="D29" s="254" t="s">
        <v>1947</v>
      </c>
      <c r="E29" s="254" t="s">
        <v>1915</v>
      </c>
      <c r="F29" s="254" t="s">
        <v>1999</v>
      </c>
      <c r="G29" s="254" t="s">
        <v>1947</v>
      </c>
      <c r="H29" s="254" t="s">
        <v>1947</v>
      </c>
      <c r="I29" s="254" t="s">
        <v>1950</v>
      </c>
      <c r="J29" s="176"/>
      <c r="K29" s="254" t="s">
        <v>1934</v>
      </c>
      <c r="L29" s="176"/>
      <c r="M29" s="176"/>
      <c r="N29" s="254" t="s">
        <v>1921</v>
      </c>
      <c r="O29" s="255" t="s">
        <v>1934</v>
      </c>
    </row>
    <row r="30" spans="1:15" ht="16.149999999999999" customHeight="1" x14ac:dyDescent="0.25">
      <c r="A30" s="172">
        <v>43487</v>
      </c>
      <c r="B30" s="173" t="s">
        <v>49</v>
      </c>
      <c r="C30" s="252" t="s">
        <v>2823</v>
      </c>
      <c r="D30" s="252" t="s">
        <v>1968</v>
      </c>
      <c r="E30" s="252" t="s">
        <v>1915</v>
      </c>
      <c r="F30" s="252" t="s">
        <v>1932</v>
      </c>
      <c r="G30" s="252" t="s">
        <v>1947</v>
      </c>
      <c r="H30" s="252" t="s">
        <v>1921</v>
      </c>
      <c r="I30" s="252" t="s">
        <v>2967</v>
      </c>
      <c r="J30" s="174"/>
      <c r="K30" s="252" t="s">
        <v>1947</v>
      </c>
      <c r="L30" s="174"/>
      <c r="M30" s="174"/>
      <c r="N30" s="252" t="s">
        <v>3005</v>
      </c>
      <c r="O30" s="253" t="s">
        <v>1934</v>
      </c>
    </row>
    <row r="31" spans="1:15" ht="16.149999999999999" customHeight="1" x14ac:dyDescent="0.25">
      <c r="A31" s="172">
        <v>43486</v>
      </c>
      <c r="B31" s="175" t="s">
        <v>49</v>
      </c>
      <c r="C31" s="254" t="s">
        <v>1960</v>
      </c>
      <c r="D31" s="254" t="s">
        <v>1953</v>
      </c>
      <c r="E31" s="254" t="s">
        <v>1915</v>
      </c>
      <c r="F31" s="254" t="s">
        <v>1949</v>
      </c>
      <c r="G31" s="254" t="s">
        <v>1953</v>
      </c>
      <c r="H31" s="254" t="s">
        <v>1968</v>
      </c>
      <c r="I31" s="254" t="s">
        <v>2967</v>
      </c>
      <c r="J31" s="176"/>
      <c r="K31" s="254" t="s">
        <v>1934</v>
      </c>
      <c r="L31" s="176"/>
      <c r="M31" s="176"/>
      <c r="N31" s="254" t="s">
        <v>2987</v>
      </c>
      <c r="O31" s="255" t="s">
        <v>1934</v>
      </c>
    </row>
    <row r="32" spans="1:15" ht="16.149999999999999" customHeight="1" x14ac:dyDescent="0.25">
      <c r="A32" s="172">
        <v>43483</v>
      </c>
      <c r="B32" s="173" t="s">
        <v>49</v>
      </c>
      <c r="C32" s="252" t="s">
        <v>1960</v>
      </c>
      <c r="D32" s="252" t="s">
        <v>1921</v>
      </c>
      <c r="E32" s="252" t="s">
        <v>1915</v>
      </c>
      <c r="F32" s="252" t="s">
        <v>1949</v>
      </c>
      <c r="G32" s="252" t="s">
        <v>1956</v>
      </c>
      <c r="H32" s="252" t="s">
        <v>1921</v>
      </c>
      <c r="I32" s="252" t="s">
        <v>1950</v>
      </c>
      <c r="J32" s="174"/>
      <c r="K32" s="252" t="s">
        <v>1921</v>
      </c>
      <c r="L32" s="174"/>
      <c r="M32" s="174"/>
      <c r="N32" s="252" t="s">
        <v>1947</v>
      </c>
      <c r="O32" s="253" t="s">
        <v>1947</v>
      </c>
    </row>
    <row r="33" spans="1:15" ht="16.149999999999999" customHeight="1" x14ac:dyDescent="0.25">
      <c r="A33" s="172">
        <v>43482</v>
      </c>
      <c r="B33" s="175" t="s">
        <v>49</v>
      </c>
      <c r="C33" s="254" t="s">
        <v>1900</v>
      </c>
      <c r="D33" s="256" t="s">
        <v>1956</v>
      </c>
      <c r="E33" s="254" t="s">
        <v>1915</v>
      </c>
      <c r="F33" s="254" t="s">
        <v>1932</v>
      </c>
      <c r="G33" s="254" t="s">
        <v>1956</v>
      </c>
      <c r="H33" s="254" t="s">
        <v>1921</v>
      </c>
      <c r="I33" s="254" t="s">
        <v>1968</v>
      </c>
      <c r="J33" s="176"/>
      <c r="K33" s="254" t="s">
        <v>1921</v>
      </c>
      <c r="L33" s="176"/>
      <c r="M33" s="176"/>
      <c r="N33" s="254" t="s">
        <v>1938</v>
      </c>
      <c r="O33" s="255" t="s">
        <v>1947</v>
      </c>
    </row>
    <row r="34" spans="1:15" ht="16.149999999999999" customHeight="1" x14ac:dyDescent="0.25">
      <c r="A34" s="172">
        <v>43481</v>
      </c>
      <c r="B34" s="173" t="s">
        <v>49</v>
      </c>
      <c r="C34" s="252" t="s">
        <v>1899</v>
      </c>
      <c r="D34" s="256" t="s">
        <v>2985</v>
      </c>
      <c r="E34" s="252" t="s">
        <v>1946</v>
      </c>
      <c r="F34" s="252" t="s">
        <v>1999</v>
      </c>
      <c r="G34" s="252" t="s">
        <v>1968</v>
      </c>
      <c r="H34" s="252" t="s">
        <v>1921</v>
      </c>
      <c r="I34" s="252" t="s">
        <v>1970</v>
      </c>
      <c r="J34" s="174"/>
      <c r="K34" s="252" t="s">
        <v>1947</v>
      </c>
      <c r="L34" s="174"/>
      <c r="M34" s="174"/>
      <c r="N34" s="252" t="s">
        <v>2805</v>
      </c>
      <c r="O34" s="253" t="s">
        <v>1955</v>
      </c>
    </row>
    <row r="35" spans="1:15" ht="16.149999999999999" customHeight="1" x14ac:dyDescent="0.25">
      <c r="A35" s="172">
        <v>43480</v>
      </c>
      <c r="B35" s="175" t="s">
        <v>49</v>
      </c>
      <c r="C35" s="254" t="s">
        <v>1829</v>
      </c>
      <c r="D35" s="254" t="s">
        <v>1921</v>
      </c>
      <c r="E35" s="254" t="s">
        <v>1915</v>
      </c>
      <c r="F35" s="254" t="s">
        <v>1932</v>
      </c>
      <c r="G35" s="254" t="s">
        <v>1921</v>
      </c>
      <c r="H35" s="254" t="s">
        <v>1921</v>
      </c>
      <c r="I35" s="254" t="s">
        <v>1947</v>
      </c>
      <c r="J35" s="176"/>
      <c r="K35" s="254" t="s">
        <v>1921</v>
      </c>
      <c r="L35" s="176"/>
      <c r="M35" s="176"/>
      <c r="N35" s="254" t="s">
        <v>1947</v>
      </c>
      <c r="O35" s="255" t="s">
        <v>1947</v>
      </c>
    </row>
    <row r="36" spans="1:15" ht="16.149999999999999" customHeight="1" x14ac:dyDescent="0.25">
      <c r="A36" s="172">
        <v>43479</v>
      </c>
      <c r="B36" s="173" t="s">
        <v>49</v>
      </c>
      <c r="C36" s="252" t="s">
        <v>1902</v>
      </c>
      <c r="D36" s="252" t="s">
        <v>1935</v>
      </c>
      <c r="E36" s="252" t="s">
        <v>1915</v>
      </c>
      <c r="F36" s="252" t="s">
        <v>2985</v>
      </c>
      <c r="G36" s="252" t="s">
        <v>1921</v>
      </c>
      <c r="H36" s="252" t="s">
        <v>1921</v>
      </c>
      <c r="I36" s="252" t="s">
        <v>1949</v>
      </c>
      <c r="J36" s="174"/>
      <c r="K36" s="252" t="s">
        <v>1947</v>
      </c>
      <c r="L36" s="174"/>
      <c r="M36" s="174"/>
      <c r="N36" s="252" t="s">
        <v>2809</v>
      </c>
      <c r="O36" s="253" t="s">
        <v>1934</v>
      </c>
    </row>
    <row r="37" spans="1:15" ht="16.149999999999999" customHeight="1" x14ac:dyDescent="0.25">
      <c r="A37" s="172">
        <v>43476</v>
      </c>
      <c r="B37" s="175" t="s">
        <v>49</v>
      </c>
      <c r="C37" s="254" t="s">
        <v>1899</v>
      </c>
      <c r="D37" s="254" t="s">
        <v>2985</v>
      </c>
      <c r="E37" s="254" t="s">
        <v>1946</v>
      </c>
      <c r="F37" s="254" t="s">
        <v>1932</v>
      </c>
      <c r="G37" s="254" t="s">
        <v>1921</v>
      </c>
      <c r="H37" s="254" t="s">
        <v>1921</v>
      </c>
      <c r="I37" s="254" t="s">
        <v>1947</v>
      </c>
      <c r="J37" s="176"/>
      <c r="K37" s="254" t="s">
        <v>1970</v>
      </c>
      <c r="L37" s="176"/>
      <c r="M37" s="176"/>
      <c r="N37" s="254" t="s">
        <v>1946</v>
      </c>
      <c r="O37" s="255" t="s">
        <v>1934</v>
      </c>
    </row>
    <row r="38" spans="1:15" ht="16.149999999999999" customHeight="1" x14ac:dyDescent="0.25">
      <c r="A38" s="172">
        <v>43475</v>
      </c>
      <c r="B38" s="173" t="s">
        <v>49</v>
      </c>
      <c r="C38" s="252" t="s">
        <v>1902</v>
      </c>
      <c r="D38" s="256" t="s">
        <v>1935</v>
      </c>
      <c r="E38" s="252" t="s">
        <v>1932</v>
      </c>
      <c r="F38" s="252" t="s">
        <v>2985</v>
      </c>
      <c r="G38" s="252" t="s">
        <v>1947</v>
      </c>
      <c r="H38" s="252" t="s">
        <v>1921</v>
      </c>
      <c r="I38" s="252" t="s">
        <v>1970</v>
      </c>
      <c r="J38" s="174"/>
      <c r="K38" s="252" t="s">
        <v>1921</v>
      </c>
      <c r="L38" s="174"/>
      <c r="M38" s="174"/>
      <c r="N38" s="252" t="s">
        <v>1938</v>
      </c>
      <c r="O38" s="253" t="s">
        <v>1934</v>
      </c>
    </row>
    <row r="39" spans="1:15" ht="16.149999999999999" customHeight="1" x14ac:dyDescent="0.25">
      <c r="A39" s="172">
        <v>43474</v>
      </c>
      <c r="B39" s="175" t="s">
        <v>49</v>
      </c>
      <c r="C39" s="254" t="s">
        <v>1900</v>
      </c>
      <c r="D39" s="254" t="s">
        <v>1956</v>
      </c>
      <c r="E39" s="254" t="s">
        <v>1947</v>
      </c>
      <c r="F39" s="254" t="s">
        <v>1956</v>
      </c>
      <c r="G39" s="254" t="s">
        <v>1935</v>
      </c>
      <c r="H39" s="254" t="s">
        <v>1921</v>
      </c>
      <c r="I39" s="254" t="s">
        <v>2967</v>
      </c>
      <c r="J39" s="176"/>
      <c r="K39" s="254" t="s">
        <v>1970</v>
      </c>
      <c r="L39" s="176"/>
      <c r="M39" s="176"/>
      <c r="N39" s="254" t="s">
        <v>2805</v>
      </c>
      <c r="O39" s="255" t="s">
        <v>1934</v>
      </c>
    </row>
    <row r="40" spans="1:15" ht="16.149999999999999" customHeight="1" x14ac:dyDescent="0.25">
      <c r="A40" s="172">
        <v>43473</v>
      </c>
      <c r="B40" s="173" t="s">
        <v>49</v>
      </c>
      <c r="C40" s="252" t="s">
        <v>1882</v>
      </c>
      <c r="D40" s="252" t="s">
        <v>1970</v>
      </c>
      <c r="E40" s="252" t="s">
        <v>1915</v>
      </c>
      <c r="F40" s="252" t="s">
        <v>1932</v>
      </c>
      <c r="G40" s="252" t="s">
        <v>1965</v>
      </c>
      <c r="H40" s="252" t="s">
        <v>1947</v>
      </c>
      <c r="I40" s="252" t="s">
        <v>1949</v>
      </c>
      <c r="J40" s="174"/>
      <c r="K40" s="252" t="s">
        <v>1935</v>
      </c>
      <c r="L40" s="174"/>
      <c r="M40" s="174"/>
      <c r="N40" s="252" t="s">
        <v>2986</v>
      </c>
      <c r="O40" s="253" t="s">
        <v>1934</v>
      </c>
    </row>
    <row r="41" spans="1:15" ht="16.149999999999999" customHeight="1" x14ac:dyDescent="0.25">
      <c r="A41" s="172">
        <v>43469</v>
      </c>
      <c r="B41" s="175" t="s">
        <v>49</v>
      </c>
      <c r="C41" s="254" t="s">
        <v>1900</v>
      </c>
      <c r="D41" s="254" t="s">
        <v>1956</v>
      </c>
      <c r="E41" s="254" t="s">
        <v>1970</v>
      </c>
      <c r="F41" s="254" t="s">
        <v>1956</v>
      </c>
      <c r="G41" s="254" t="s">
        <v>1965</v>
      </c>
      <c r="H41" s="254" t="s">
        <v>1953</v>
      </c>
      <c r="I41" s="254" t="s">
        <v>1915</v>
      </c>
      <c r="J41" s="176"/>
      <c r="K41" s="254" t="s">
        <v>1921</v>
      </c>
      <c r="L41" s="176"/>
      <c r="M41" s="176"/>
      <c r="N41" s="254" t="s">
        <v>1946</v>
      </c>
      <c r="O41" s="255" t="s">
        <v>1934</v>
      </c>
    </row>
    <row r="42" spans="1:15" ht="16.149999999999999" customHeight="1" x14ac:dyDescent="0.25">
      <c r="A42" s="172">
        <v>43468</v>
      </c>
      <c r="B42" s="173" t="s">
        <v>49</v>
      </c>
      <c r="C42" s="252" t="s">
        <v>1960</v>
      </c>
      <c r="D42" s="252" t="s">
        <v>1953</v>
      </c>
      <c r="E42" s="252" t="s">
        <v>2985</v>
      </c>
      <c r="F42" s="252" t="s">
        <v>1953</v>
      </c>
      <c r="G42" s="252" t="s">
        <v>1965</v>
      </c>
      <c r="H42" s="252" t="s">
        <v>1942</v>
      </c>
      <c r="I42" s="252" t="s">
        <v>1935</v>
      </c>
      <c r="J42" s="174"/>
      <c r="K42" s="252" t="s">
        <v>1968</v>
      </c>
      <c r="L42" s="174"/>
      <c r="M42" s="174"/>
      <c r="N42" s="252" t="s">
        <v>1938</v>
      </c>
      <c r="O42" s="253" t="s">
        <v>1959</v>
      </c>
    </row>
    <row r="43" spans="1:15" ht="16.149999999999999" customHeight="1" x14ac:dyDescent="0.25">
      <c r="A43" s="172">
        <v>43467</v>
      </c>
      <c r="B43" s="175" t="s">
        <v>49</v>
      </c>
      <c r="C43" s="254" t="s">
        <v>1967</v>
      </c>
      <c r="D43" s="254" t="s">
        <v>1942</v>
      </c>
      <c r="E43" s="254" t="s">
        <v>1959</v>
      </c>
      <c r="F43" s="254" t="s">
        <v>1968</v>
      </c>
      <c r="G43" s="254" t="s">
        <v>2880</v>
      </c>
      <c r="H43" s="254" t="s">
        <v>1947</v>
      </c>
      <c r="I43" s="254" t="s">
        <v>2985</v>
      </c>
      <c r="J43" s="176"/>
      <c r="K43" s="254" t="s">
        <v>1921</v>
      </c>
      <c r="L43" s="176"/>
      <c r="M43" s="176"/>
      <c r="N43" s="254" t="s">
        <v>2805</v>
      </c>
      <c r="O43" s="255" t="s">
        <v>1959</v>
      </c>
    </row>
    <row r="44" spans="1:15" ht="16.149999999999999" customHeight="1" x14ac:dyDescent="0.25">
      <c r="A44" s="172">
        <v>43462</v>
      </c>
      <c r="B44" s="173" t="s">
        <v>49</v>
      </c>
      <c r="C44" s="252" t="s">
        <v>1954</v>
      </c>
      <c r="D44" s="256" t="s">
        <v>1955</v>
      </c>
      <c r="E44" s="252" t="s">
        <v>1959</v>
      </c>
      <c r="F44" s="252" t="s">
        <v>1953</v>
      </c>
      <c r="G44" s="252" t="s">
        <v>2880</v>
      </c>
      <c r="H44" s="252" t="s">
        <v>1947</v>
      </c>
      <c r="I44" s="252" t="s">
        <v>2888</v>
      </c>
      <c r="J44" s="174"/>
      <c r="K44" s="252" t="s">
        <v>1955</v>
      </c>
      <c r="L44" s="174"/>
      <c r="M44" s="174"/>
      <c r="N44" s="252" t="s">
        <v>1961</v>
      </c>
      <c r="O44" s="253" t="s">
        <v>1950</v>
      </c>
    </row>
    <row r="45" spans="1:15" ht="16.149999999999999" customHeight="1" x14ac:dyDescent="0.25">
      <c r="A45" s="172">
        <v>43461</v>
      </c>
      <c r="B45" s="175" t="s">
        <v>49</v>
      </c>
      <c r="C45" s="254" t="s">
        <v>1892</v>
      </c>
      <c r="D45" s="254" t="s">
        <v>1943</v>
      </c>
      <c r="E45" s="254" t="s">
        <v>1934</v>
      </c>
      <c r="F45" s="254" t="s">
        <v>1921</v>
      </c>
      <c r="G45" s="254" t="s">
        <v>2880</v>
      </c>
      <c r="H45" s="254" t="s">
        <v>1947</v>
      </c>
      <c r="I45" s="254" t="s">
        <v>1966</v>
      </c>
      <c r="J45" s="176"/>
      <c r="K45" s="254" t="s">
        <v>2880</v>
      </c>
      <c r="L45" s="176"/>
      <c r="M45" s="176"/>
      <c r="N45" s="254" t="s">
        <v>1990</v>
      </c>
      <c r="O45" s="255" t="s">
        <v>1950</v>
      </c>
    </row>
    <row r="46" spans="1:15" ht="16.149999999999999" customHeight="1" x14ac:dyDescent="0.25">
      <c r="A46" s="172">
        <v>43460</v>
      </c>
      <c r="B46" s="173" t="s">
        <v>49</v>
      </c>
      <c r="C46" s="252" t="s">
        <v>1941</v>
      </c>
      <c r="D46" s="252" t="s">
        <v>1965</v>
      </c>
      <c r="E46" s="252" t="s">
        <v>1934</v>
      </c>
      <c r="F46" s="252" t="s">
        <v>1935</v>
      </c>
      <c r="G46" s="252" t="s">
        <v>2880</v>
      </c>
      <c r="H46" s="252" t="s">
        <v>1921</v>
      </c>
      <c r="I46" s="252" t="s">
        <v>1950</v>
      </c>
      <c r="J46" s="174"/>
      <c r="K46" s="252" t="s">
        <v>1921</v>
      </c>
      <c r="L46" s="174"/>
      <c r="M46" s="174"/>
      <c r="N46" s="252" t="s">
        <v>2810</v>
      </c>
      <c r="O46" s="253" t="s">
        <v>1934</v>
      </c>
    </row>
    <row r="47" spans="1:15" ht="16.149999999999999" customHeight="1" x14ac:dyDescent="0.25">
      <c r="A47" s="172">
        <v>43458</v>
      </c>
      <c r="B47" s="175" t="s">
        <v>49</v>
      </c>
      <c r="C47" s="254" t="s">
        <v>1967</v>
      </c>
      <c r="D47" s="256" t="s">
        <v>1968</v>
      </c>
      <c r="E47" s="254" t="s">
        <v>1947</v>
      </c>
      <c r="F47" s="254" t="s">
        <v>2809</v>
      </c>
      <c r="G47" s="254" t="s">
        <v>1921</v>
      </c>
      <c r="H47" s="254" t="s">
        <v>1947</v>
      </c>
      <c r="I47" s="254" t="s">
        <v>2967</v>
      </c>
      <c r="J47" s="176"/>
      <c r="K47" s="254" t="s">
        <v>2985</v>
      </c>
      <c r="L47" s="176"/>
      <c r="M47" s="176"/>
      <c r="N47" s="254" t="s">
        <v>2987</v>
      </c>
      <c r="O47" s="255" t="s">
        <v>1934</v>
      </c>
    </row>
    <row r="48" spans="1:15" ht="16.149999999999999" customHeight="1" x14ac:dyDescent="0.25">
      <c r="A48" s="172">
        <v>43455</v>
      </c>
      <c r="B48" s="173" t="s">
        <v>49</v>
      </c>
      <c r="C48" s="252" t="s">
        <v>1900</v>
      </c>
      <c r="D48" s="252" t="s">
        <v>1956</v>
      </c>
      <c r="E48" s="252" t="s">
        <v>2880</v>
      </c>
      <c r="F48" s="252" t="s">
        <v>1970</v>
      </c>
      <c r="G48" s="252" t="s">
        <v>1956</v>
      </c>
      <c r="H48" s="252" t="s">
        <v>1956</v>
      </c>
      <c r="I48" s="252" t="s">
        <v>1955</v>
      </c>
      <c r="J48" s="174"/>
      <c r="K48" s="252" t="s">
        <v>2985</v>
      </c>
      <c r="L48" s="174"/>
      <c r="M48" s="174"/>
      <c r="N48" s="252" t="s">
        <v>1946</v>
      </c>
      <c r="O48" s="253" t="s">
        <v>1934</v>
      </c>
    </row>
    <row r="49" spans="1:15" ht="16.149999999999999" customHeight="1" x14ac:dyDescent="0.25">
      <c r="A49" s="172">
        <v>43454</v>
      </c>
      <c r="B49" s="175" t="s">
        <v>49</v>
      </c>
      <c r="C49" s="254" t="s">
        <v>1900</v>
      </c>
      <c r="D49" s="256" t="s">
        <v>1956</v>
      </c>
      <c r="E49" s="254" t="s">
        <v>1947</v>
      </c>
      <c r="F49" s="254" t="s">
        <v>1966</v>
      </c>
      <c r="G49" s="254" t="s">
        <v>1956</v>
      </c>
      <c r="H49" s="254" t="s">
        <v>1921</v>
      </c>
      <c r="I49" s="254" t="s">
        <v>1943</v>
      </c>
      <c r="J49" s="176"/>
      <c r="K49" s="254" t="s">
        <v>1915</v>
      </c>
      <c r="L49" s="176"/>
      <c r="M49" s="176"/>
      <c r="N49" s="254" t="s">
        <v>2805</v>
      </c>
      <c r="O49" s="255" t="s">
        <v>1934</v>
      </c>
    </row>
    <row r="50" spans="1:15" ht="16.149999999999999" customHeight="1" x14ac:dyDescent="0.25">
      <c r="A50" s="172">
        <v>43453</v>
      </c>
      <c r="B50" s="173" t="s">
        <v>49</v>
      </c>
      <c r="C50" s="252" t="s">
        <v>1900</v>
      </c>
      <c r="D50" s="252" t="s">
        <v>1956</v>
      </c>
      <c r="E50" s="252" t="s">
        <v>1947</v>
      </c>
      <c r="F50" s="252" t="s">
        <v>1949</v>
      </c>
      <c r="G50" s="252" t="s">
        <v>1956</v>
      </c>
      <c r="H50" s="252" t="s">
        <v>1921</v>
      </c>
      <c r="I50" s="252" t="s">
        <v>1955</v>
      </c>
      <c r="J50" s="174"/>
      <c r="K50" s="252" t="s">
        <v>1915</v>
      </c>
      <c r="L50" s="174"/>
      <c r="M50" s="174"/>
      <c r="N50" s="252" t="s">
        <v>2810</v>
      </c>
      <c r="O50" s="253" t="s">
        <v>1950</v>
      </c>
    </row>
    <row r="51" spans="1:15" ht="16.149999999999999" customHeight="1" x14ac:dyDescent="0.25">
      <c r="A51" s="172">
        <v>43452</v>
      </c>
      <c r="B51" s="175" t="s">
        <v>49</v>
      </c>
      <c r="C51" s="254" t="s">
        <v>1899</v>
      </c>
      <c r="D51" s="254" t="s">
        <v>2985</v>
      </c>
      <c r="E51" s="254" t="s">
        <v>1934</v>
      </c>
      <c r="F51" s="254" t="s">
        <v>1932</v>
      </c>
      <c r="G51" s="254" t="s">
        <v>1956</v>
      </c>
      <c r="H51" s="254" t="s">
        <v>1970</v>
      </c>
      <c r="I51" s="254" t="s">
        <v>1950</v>
      </c>
      <c r="J51" s="176"/>
      <c r="K51" s="254" t="s">
        <v>1915</v>
      </c>
      <c r="L51" s="176"/>
      <c r="M51" s="176"/>
      <c r="N51" s="254" t="s">
        <v>1944</v>
      </c>
      <c r="O51" s="255" t="s">
        <v>1934</v>
      </c>
    </row>
    <row r="52" spans="1:15" ht="16.149999999999999" customHeight="1" x14ac:dyDescent="0.25">
      <c r="A52" s="172">
        <v>43451</v>
      </c>
      <c r="B52" s="173" t="s">
        <v>49</v>
      </c>
      <c r="C52" s="252" t="s">
        <v>1899</v>
      </c>
      <c r="D52" s="252" t="s">
        <v>2985</v>
      </c>
      <c r="E52" s="252" t="s">
        <v>1934</v>
      </c>
      <c r="F52" s="252" t="s">
        <v>1970</v>
      </c>
      <c r="G52" s="252" t="s">
        <v>1956</v>
      </c>
      <c r="H52" s="252" t="s">
        <v>1921</v>
      </c>
      <c r="I52" s="252" t="s">
        <v>1957</v>
      </c>
      <c r="J52" s="174"/>
      <c r="K52" s="252" t="s">
        <v>1970</v>
      </c>
      <c r="L52" s="174"/>
      <c r="M52" s="174"/>
      <c r="N52" s="252" t="s">
        <v>2987</v>
      </c>
      <c r="O52" s="253" t="s">
        <v>1959</v>
      </c>
    </row>
    <row r="53" spans="1:15" ht="16.149999999999999" customHeight="1" x14ac:dyDescent="0.25">
      <c r="A53" s="172">
        <v>43448</v>
      </c>
      <c r="B53" s="175" t="s">
        <v>49</v>
      </c>
      <c r="C53" s="254" t="s">
        <v>3004</v>
      </c>
      <c r="D53" s="254" t="s">
        <v>1925</v>
      </c>
      <c r="E53" s="254" t="s">
        <v>1934</v>
      </c>
      <c r="F53" s="254" t="s">
        <v>1999</v>
      </c>
      <c r="G53" s="254" t="s">
        <v>1968</v>
      </c>
      <c r="H53" s="254" t="s">
        <v>1921</v>
      </c>
      <c r="I53" s="254" t="s">
        <v>1969</v>
      </c>
      <c r="J53" s="176"/>
      <c r="K53" s="254" t="s">
        <v>1932</v>
      </c>
      <c r="L53" s="176"/>
      <c r="M53" s="176"/>
      <c r="N53" s="254" t="s">
        <v>1929</v>
      </c>
      <c r="O53" s="255" t="s">
        <v>1934</v>
      </c>
    </row>
    <row r="54" spans="1:15" ht="16.149999999999999" customHeight="1" x14ac:dyDescent="0.25">
      <c r="A54" s="172">
        <v>43447</v>
      </c>
      <c r="B54" s="173" t="s">
        <v>49</v>
      </c>
      <c r="C54" s="252" t="s">
        <v>1829</v>
      </c>
      <c r="D54" s="252" t="s">
        <v>1921</v>
      </c>
      <c r="E54" s="252" t="s">
        <v>1959</v>
      </c>
      <c r="F54" s="252" t="s">
        <v>1966</v>
      </c>
      <c r="G54" s="252" t="s">
        <v>1968</v>
      </c>
      <c r="H54" s="252" t="s">
        <v>1953</v>
      </c>
      <c r="I54" s="252" t="s">
        <v>1949</v>
      </c>
      <c r="J54" s="174"/>
      <c r="K54" s="252" t="s">
        <v>1921</v>
      </c>
      <c r="L54" s="174"/>
      <c r="M54" s="174"/>
      <c r="N54" s="252" t="s">
        <v>1969</v>
      </c>
      <c r="O54" s="253" t="s">
        <v>1947</v>
      </c>
    </row>
    <row r="55" spans="1:15" ht="16.149999999999999" customHeight="1" x14ac:dyDescent="0.25">
      <c r="A55" s="172">
        <v>43446</v>
      </c>
      <c r="B55" s="175" t="s">
        <v>49</v>
      </c>
      <c r="C55" s="254" t="s">
        <v>1960</v>
      </c>
      <c r="D55" s="254" t="s">
        <v>1953</v>
      </c>
      <c r="E55" s="254" t="s">
        <v>1934</v>
      </c>
      <c r="F55" s="254" t="s">
        <v>1921</v>
      </c>
      <c r="G55" s="254" t="s">
        <v>1953</v>
      </c>
      <c r="H55" s="254" t="s">
        <v>1921</v>
      </c>
      <c r="I55" s="254" t="s">
        <v>1965</v>
      </c>
      <c r="J55" s="176"/>
      <c r="K55" s="254" t="s">
        <v>1968</v>
      </c>
      <c r="L55" s="176"/>
      <c r="M55" s="176"/>
      <c r="N55" s="254" t="s">
        <v>2985</v>
      </c>
      <c r="O55" s="255" t="s">
        <v>1947</v>
      </c>
    </row>
    <row r="56" spans="1:15" ht="16.149999999999999" customHeight="1" x14ac:dyDescent="0.25">
      <c r="A56" s="172">
        <v>43445</v>
      </c>
      <c r="B56" s="173" t="s">
        <v>49</v>
      </c>
      <c r="C56" s="252" t="s">
        <v>1829</v>
      </c>
      <c r="D56" s="252" t="s">
        <v>1921</v>
      </c>
      <c r="E56" s="252" t="s">
        <v>1943</v>
      </c>
      <c r="F56" s="252" t="s">
        <v>1956</v>
      </c>
      <c r="G56" s="252" t="s">
        <v>1953</v>
      </c>
      <c r="H56" s="252" t="s">
        <v>1921</v>
      </c>
      <c r="I56" s="252" t="s">
        <v>1942</v>
      </c>
      <c r="J56" s="174"/>
      <c r="K56" s="252" t="s">
        <v>2985</v>
      </c>
      <c r="L56" s="174"/>
      <c r="M56" s="174"/>
      <c r="N56" s="252" t="s">
        <v>1935</v>
      </c>
      <c r="O56" s="253" t="s">
        <v>1968</v>
      </c>
    </row>
    <row r="57" spans="1:15" ht="16.149999999999999" customHeight="1" x14ac:dyDescent="0.25">
      <c r="A57" s="172">
        <v>43444</v>
      </c>
      <c r="B57" s="175" t="s">
        <v>49</v>
      </c>
      <c r="C57" s="254" t="s">
        <v>1900</v>
      </c>
      <c r="D57" s="254" t="s">
        <v>1956</v>
      </c>
      <c r="E57" s="254" t="s">
        <v>1947</v>
      </c>
      <c r="F57" s="254" t="s">
        <v>3005</v>
      </c>
      <c r="G57" s="254" t="s">
        <v>1953</v>
      </c>
      <c r="H57" s="254" t="s">
        <v>1935</v>
      </c>
      <c r="I57" s="254" t="s">
        <v>1953</v>
      </c>
      <c r="J57" s="176"/>
      <c r="K57" s="254" t="s">
        <v>1966</v>
      </c>
      <c r="L57" s="176"/>
      <c r="M57" s="176"/>
      <c r="N57" s="254" t="s">
        <v>2892</v>
      </c>
      <c r="O57" s="255" t="s">
        <v>1921</v>
      </c>
    </row>
    <row r="58" spans="1:15" ht="16.149999999999999" customHeight="1" x14ac:dyDescent="0.25">
      <c r="A58" s="172">
        <v>43441</v>
      </c>
      <c r="B58" s="173" t="s">
        <v>49</v>
      </c>
      <c r="C58" s="252" t="s">
        <v>1899</v>
      </c>
      <c r="D58" s="256" t="s">
        <v>2985</v>
      </c>
      <c r="E58" s="252" t="s">
        <v>1947</v>
      </c>
      <c r="F58" s="252" t="s">
        <v>2809</v>
      </c>
      <c r="G58" s="252" t="s">
        <v>1935</v>
      </c>
      <c r="H58" s="252" t="s">
        <v>1935</v>
      </c>
      <c r="I58" s="252" t="s">
        <v>2985</v>
      </c>
      <c r="J58" s="174"/>
      <c r="K58" s="252" t="s">
        <v>1925</v>
      </c>
      <c r="L58" s="174"/>
      <c r="M58" s="174"/>
      <c r="N58" s="252" t="s">
        <v>1946</v>
      </c>
      <c r="O58" s="253" t="s">
        <v>1921</v>
      </c>
    </row>
    <row r="59" spans="1:15" ht="16.149999999999999" customHeight="1" x14ac:dyDescent="0.25">
      <c r="A59" s="172">
        <v>43440</v>
      </c>
      <c r="B59" s="175" t="s">
        <v>49</v>
      </c>
      <c r="C59" s="254" t="s">
        <v>1882</v>
      </c>
      <c r="D59" s="254" t="s">
        <v>1970</v>
      </c>
      <c r="E59" s="254" t="s">
        <v>1970</v>
      </c>
      <c r="F59" s="254" t="s">
        <v>2986</v>
      </c>
      <c r="G59" s="254" t="s">
        <v>1970</v>
      </c>
      <c r="H59" s="254" t="s">
        <v>1921</v>
      </c>
      <c r="I59" s="254" t="s">
        <v>1949</v>
      </c>
      <c r="J59" s="176"/>
      <c r="K59" s="254" t="s">
        <v>1925</v>
      </c>
      <c r="L59" s="176"/>
      <c r="M59" s="176"/>
      <c r="N59" s="254" t="s">
        <v>1925</v>
      </c>
      <c r="O59" s="255" t="s">
        <v>1921</v>
      </c>
    </row>
    <row r="60" spans="1:15" ht="16.149999999999999" customHeight="1" x14ac:dyDescent="0.25">
      <c r="A60" s="172">
        <v>43439</v>
      </c>
      <c r="B60" s="173" t="s">
        <v>49</v>
      </c>
      <c r="C60" s="252" t="s">
        <v>1891</v>
      </c>
      <c r="D60" s="252" t="s">
        <v>2986</v>
      </c>
      <c r="E60" s="252" t="s">
        <v>1926</v>
      </c>
      <c r="F60" s="252" t="s">
        <v>1946</v>
      </c>
      <c r="G60" s="252" t="s">
        <v>1935</v>
      </c>
      <c r="H60" s="252" t="s">
        <v>1915</v>
      </c>
      <c r="I60" s="252" t="s">
        <v>1956</v>
      </c>
      <c r="J60" s="174"/>
      <c r="K60" s="252" t="s">
        <v>1946</v>
      </c>
      <c r="L60" s="174"/>
      <c r="M60" s="174"/>
      <c r="N60" s="252" t="s">
        <v>2810</v>
      </c>
      <c r="O60" s="253" t="s">
        <v>1921</v>
      </c>
    </row>
    <row r="61" spans="1:15" ht="16.149999999999999" customHeight="1" x14ac:dyDescent="0.25">
      <c r="A61" s="172">
        <v>43438</v>
      </c>
      <c r="B61" s="175" t="s">
        <v>49</v>
      </c>
      <c r="C61" s="254" t="s">
        <v>2799</v>
      </c>
      <c r="D61" s="254" t="s">
        <v>3005</v>
      </c>
      <c r="E61" s="254" t="s">
        <v>1915</v>
      </c>
      <c r="F61" s="254" t="s">
        <v>1969</v>
      </c>
      <c r="G61" s="254" t="s">
        <v>1965</v>
      </c>
      <c r="H61" s="254" t="s">
        <v>1999</v>
      </c>
      <c r="I61" s="254" t="s">
        <v>2892</v>
      </c>
      <c r="J61" s="176"/>
      <c r="K61" s="254" t="s">
        <v>1946</v>
      </c>
      <c r="L61" s="176"/>
      <c r="M61" s="176"/>
      <c r="N61" s="254" t="s">
        <v>2890</v>
      </c>
      <c r="O61" s="255" t="s">
        <v>1921</v>
      </c>
    </row>
    <row r="62" spans="1:15" ht="16.149999999999999" customHeight="1" x14ac:dyDescent="0.25">
      <c r="A62" s="172">
        <v>43437</v>
      </c>
      <c r="B62" s="173" t="s">
        <v>49</v>
      </c>
      <c r="C62" s="252" t="s">
        <v>1899</v>
      </c>
      <c r="D62" s="252" t="s">
        <v>2985</v>
      </c>
      <c r="E62" s="252" t="s">
        <v>1955</v>
      </c>
      <c r="F62" s="252" t="s">
        <v>1946</v>
      </c>
      <c r="G62" s="252" t="s">
        <v>1970</v>
      </c>
      <c r="H62" s="252" t="s">
        <v>1921</v>
      </c>
      <c r="I62" s="252" t="s">
        <v>1921</v>
      </c>
      <c r="J62" s="174"/>
      <c r="K62" s="252" t="s">
        <v>1915</v>
      </c>
      <c r="L62" s="174"/>
      <c r="M62" s="174"/>
      <c r="N62" s="252" t="s">
        <v>2861</v>
      </c>
      <c r="O62" s="253" t="s">
        <v>1921</v>
      </c>
    </row>
    <row r="63" spans="1:15" ht="16.149999999999999" customHeight="1" x14ac:dyDescent="0.25">
      <c r="A63" s="172">
        <v>43434</v>
      </c>
      <c r="B63" s="175" t="s">
        <v>49</v>
      </c>
      <c r="C63" s="254" t="s">
        <v>1899</v>
      </c>
      <c r="D63" s="254" t="s">
        <v>2985</v>
      </c>
      <c r="E63" s="254" t="s">
        <v>1921</v>
      </c>
      <c r="F63" s="254" t="s">
        <v>3005</v>
      </c>
      <c r="G63" s="254" t="s">
        <v>1970</v>
      </c>
      <c r="H63" s="254" t="s">
        <v>1970</v>
      </c>
      <c r="I63" s="254" t="s">
        <v>1942</v>
      </c>
      <c r="J63" s="176"/>
      <c r="K63" s="254" t="s">
        <v>1921</v>
      </c>
      <c r="L63" s="176"/>
      <c r="M63" s="176"/>
      <c r="N63" s="254" t="s">
        <v>1961</v>
      </c>
      <c r="O63" s="255" t="s">
        <v>1921</v>
      </c>
    </row>
    <row r="64" spans="1:15" ht="16.149999999999999" customHeight="1" x14ac:dyDescent="0.25">
      <c r="A64" s="172">
        <v>43433</v>
      </c>
      <c r="B64" s="173" t="s">
        <v>49</v>
      </c>
      <c r="C64" s="252" t="s">
        <v>1882</v>
      </c>
      <c r="D64" s="252" t="s">
        <v>1970</v>
      </c>
      <c r="E64" s="252" t="s">
        <v>1921</v>
      </c>
      <c r="F64" s="252" t="s">
        <v>1931</v>
      </c>
      <c r="G64" s="252" t="s">
        <v>1970</v>
      </c>
      <c r="H64" s="252" t="s">
        <v>1935</v>
      </c>
      <c r="I64" s="252" t="s">
        <v>2967</v>
      </c>
      <c r="J64" s="174"/>
      <c r="K64" s="252" t="s">
        <v>1932</v>
      </c>
      <c r="L64" s="174"/>
      <c r="M64" s="174"/>
      <c r="N64" s="252" t="s">
        <v>1969</v>
      </c>
      <c r="O64" s="253" t="s">
        <v>1970</v>
      </c>
    </row>
    <row r="65" spans="1:15" ht="16.149999999999999" customHeight="1" x14ac:dyDescent="0.25">
      <c r="A65" s="172">
        <v>43432</v>
      </c>
      <c r="B65" s="175" t="s">
        <v>49</v>
      </c>
      <c r="C65" s="254" t="s">
        <v>2799</v>
      </c>
      <c r="D65" s="254" t="s">
        <v>3005</v>
      </c>
      <c r="E65" s="254" t="s">
        <v>1942</v>
      </c>
      <c r="F65" s="254" t="s">
        <v>2986</v>
      </c>
      <c r="G65" s="254" t="s">
        <v>1969</v>
      </c>
      <c r="H65" s="254" t="s">
        <v>1915</v>
      </c>
      <c r="I65" s="254" t="s">
        <v>1953</v>
      </c>
      <c r="J65" s="176"/>
      <c r="K65" s="254" t="s">
        <v>3006</v>
      </c>
      <c r="L65" s="176"/>
      <c r="M65" s="176"/>
      <c r="N65" s="254" t="s">
        <v>1920</v>
      </c>
      <c r="O65" s="255" t="s">
        <v>1970</v>
      </c>
    </row>
    <row r="66" spans="1:15" ht="16.149999999999999" customHeight="1" x14ac:dyDescent="0.25">
      <c r="A66" s="172">
        <v>43431</v>
      </c>
      <c r="B66" s="173" t="s">
        <v>49</v>
      </c>
      <c r="C66" s="252" t="s">
        <v>1823</v>
      </c>
      <c r="D66" s="252" t="s">
        <v>1932</v>
      </c>
      <c r="E66" s="252" t="s">
        <v>1942</v>
      </c>
      <c r="F66" s="252" t="s">
        <v>1915</v>
      </c>
      <c r="G66" s="252" t="s">
        <v>1970</v>
      </c>
      <c r="H66" s="252" t="s">
        <v>1935</v>
      </c>
      <c r="I66" s="252" t="s">
        <v>2892</v>
      </c>
      <c r="J66" s="174"/>
      <c r="K66" s="252" t="s">
        <v>1946</v>
      </c>
      <c r="L66" s="174"/>
      <c r="M66" s="174"/>
      <c r="N66" s="252" t="s">
        <v>2806</v>
      </c>
      <c r="O66" s="253" t="s">
        <v>1921</v>
      </c>
    </row>
    <row r="67" spans="1:15" ht="16.149999999999999" customHeight="1" x14ac:dyDescent="0.25">
      <c r="A67" s="172">
        <v>43430</v>
      </c>
      <c r="B67" s="175" t="s">
        <v>49</v>
      </c>
      <c r="C67" s="254" t="s">
        <v>1882</v>
      </c>
      <c r="D67" s="254" t="s">
        <v>1970</v>
      </c>
      <c r="E67" s="254" t="s">
        <v>1921</v>
      </c>
      <c r="F67" s="254" t="s">
        <v>1929</v>
      </c>
      <c r="G67" s="254" t="s">
        <v>1970</v>
      </c>
      <c r="H67" s="254" t="s">
        <v>1970</v>
      </c>
      <c r="I67" s="254" t="s">
        <v>2985</v>
      </c>
      <c r="J67" s="176"/>
      <c r="K67" s="254" t="s">
        <v>1926</v>
      </c>
      <c r="L67" s="176"/>
      <c r="M67" s="176"/>
      <c r="N67" s="254" t="s">
        <v>2861</v>
      </c>
      <c r="O67" s="255" t="s">
        <v>1921</v>
      </c>
    </row>
    <row r="68" spans="1:15" ht="16.149999999999999" customHeight="1" x14ac:dyDescent="0.25">
      <c r="A68" s="172">
        <v>43427</v>
      </c>
      <c r="B68" s="173" t="s">
        <v>49</v>
      </c>
      <c r="C68" s="252" t="s">
        <v>1827</v>
      </c>
      <c r="D68" s="252" t="s">
        <v>2809</v>
      </c>
      <c r="E68" s="252" t="s">
        <v>1926</v>
      </c>
      <c r="F68" s="252" t="s">
        <v>2987</v>
      </c>
      <c r="G68" s="252" t="s">
        <v>1921</v>
      </c>
      <c r="H68" s="252" t="s">
        <v>1966</v>
      </c>
      <c r="I68" s="252" t="s">
        <v>1938</v>
      </c>
      <c r="J68" s="174"/>
      <c r="K68" s="252" t="s">
        <v>2985</v>
      </c>
      <c r="L68" s="174"/>
      <c r="M68" s="174"/>
      <c r="N68" s="252" t="s">
        <v>1946</v>
      </c>
      <c r="O68" s="253" t="s">
        <v>1921</v>
      </c>
    </row>
    <row r="69" spans="1:15" ht="16.149999999999999" customHeight="1" x14ac:dyDescent="0.25">
      <c r="A69" s="172">
        <v>43426</v>
      </c>
      <c r="B69" s="175" t="s">
        <v>49</v>
      </c>
      <c r="C69" s="254" t="s">
        <v>3007</v>
      </c>
      <c r="D69" s="254" t="s">
        <v>2805</v>
      </c>
      <c r="E69" s="254" t="s">
        <v>1926</v>
      </c>
      <c r="F69" s="254" t="s">
        <v>2806</v>
      </c>
      <c r="G69" s="254" t="s">
        <v>1923</v>
      </c>
      <c r="H69" s="254" t="s">
        <v>1947</v>
      </c>
      <c r="I69" s="254" t="s">
        <v>2926</v>
      </c>
      <c r="J69" s="176"/>
      <c r="K69" s="254" t="s">
        <v>1915</v>
      </c>
      <c r="L69" s="176"/>
      <c r="M69" s="176"/>
      <c r="N69" s="254" t="s">
        <v>1990</v>
      </c>
      <c r="O69" s="255" t="s">
        <v>1926</v>
      </c>
    </row>
    <row r="70" spans="1:15" ht="16.149999999999999" customHeight="1" x14ac:dyDescent="0.25">
      <c r="A70" s="172">
        <v>43425</v>
      </c>
      <c r="B70" s="173" t="s">
        <v>49</v>
      </c>
      <c r="C70" s="252" t="s">
        <v>1897</v>
      </c>
      <c r="D70" s="252" t="s">
        <v>2806</v>
      </c>
      <c r="E70" s="252" t="s">
        <v>2893</v>
      </c>
      <c r="F70" s="252" t="s">
        <v>2810</v>
      </c>
      <c r="G70" s="252" t="s">
        <v>1923</v>
      </c>
      <c r="H70" s="252" t="s">
        <v>1928</v>
      </c>
      <c r="I70" s="252" t="s">
        <v>1990</v>
      </c>
      <c r="J70" s="174"/>
      <c r="K70" s="252" t="s">
        <v>1929</v>
      </c>
      <c r="L70" s="174"/>
      <c r="M70" s="174"/>
      <c r="N70" s="252" t="s">
        <v>2814</v>
      </c>
      <c r="O70" s="253" t="s">
        <v>1938</v>
      </c>
    </row>
    <row r="71" spans="1:15" ht="16.149999999999999" customHeight="1" x14ac:dyDescent="0.25">
      <c r="A71" s="172">
        <v>43424</v>
      </c>
      <c r="B71" s="175" t="s">
        <v>49</v>
      </c>
      <c r="C71" s="254" t="s">
        <v>1875</v>
      </c>
      <c r="D71" s="254" t="s">
        <v>1928</v>
      </c>
      <c r="E71" s="254" t="s">
        <v>1961</v>
      </c>
      <c r="F71" s="254" t="s">
        <v>1990</v>
      </c>
      <c r="G71" s="254" t="s">
        <v>1930</v>
      </c>
      <c r="H71" s="254" t="s">
        <v>1929</v>
      </c>
      <c r="I71" s="254" t="s">
        <v>2804</v>
      </c>
      <c r="J71" s="176"/>
      <c r="K71" s="254" t="s">
        <v>1923</v>
      </c>
      <c r="L71" s="176"/>
      <c r="M71" s="176"/>
      <c r="N71" s="254" t="s">
        <v>2812</v>
      </c>
      <c r="O71" s="255" t="s">
        <v>1938</v>
      </c>
    </row>
    <row r="72" spans="1:15" ht="16.149999999999999" customHeight="1" x14ac:dyDescent="0.25">
      <c r="A72" s="172">
        <v>43423</v>
      </c>
      <c r="B72" s="173" t="s">
        <v>49</v>
      </c>
      <c r="C72" s="252" t="s">
        <v>1875</v>
      </c>
      <c r="D72" s="252" t="s">
        <v>1928</v>
      </c>
      <c r="E72" s="252" t="s">
        <v>2810</v>
      </c>
      <c r="F72" s="252" t="s">
        <v>1928</v>
      </c>
      <c r="G72" s="252" t="s">
        <v>1944</v>
      </c>
      <c r="H72" s="252" t="s">
        <v>2804</v>
      </c>
      <c r="I72" s="252" t="s">
        <v>1928</v>
      </c>
      <c r="J72" s="174"/>
      <c r="K72" s="252" t="s">
        <v>1923</v>
      </c>
      <c r="L72" s="174"/>
      <c r="M72" s="174"/>
      <c r="N72" s="252" t="s">
        <v>2811</v>
      </c>
      <c r="O72" s="253" t="s">
        <v>2892</v>
      </c>
    </row>
    <row r="73" spans="1:15" ht="16.149999999999999" customHeight="1" x14ac:dyDescent="0.25">
      <c r="A73" s="172">
        <v>43420</v>
      </c>
      <c r="B73" s="175" t="s">
        <v>49</v>
      </c>
      <c r="C73" s="254" t="s">
        <v>1831</v>
      </c>
      <c r="D73" s="254" t="s">
        <v>1929</v>
      </c>
      <c r="E73" s="254" t="s">
        <v>2810</v>
      </c>
      <c r="F73" s="254" t="s">
        <v>1928</v>
      </c>
      <c r="G73" s="254" t="s">
        <v>1926</v>
      </c>
      <c r="H73" s="254" t="s">
        <v>1938</v>
      </c>
      <c r="I73" s="254" t="s">
        <v>1929</v>
      </c>
      <c r="J73" s="176"/>
      <c r="K73" s="254" t="s">
        <v>2805</v>
      </c>
      <c r="L73" s="176"/>
      <c r="M73" s="176"/>
      <c r="N73" s="254" t="s">
        <v>1929</v>
      </c>
      <c r="O73" s="255" t="s">
        <v>1931</v>
      </c>
    </row>
    <row r="74" spans="1:15" ht="16.149999999999999" customHeight="1" x14ac:dyDescent="0.25">
      <c r="A74" s="172">
        <v>43419</v>
      </c>
      <c r="B74" s="173" t="s">
        <v>49</v>
      </c>
      <c r="C74" s="252" t="s">
        <v>1884</v>
      </c>
      <c r="D74" s="252" t="s">
        <v>2804</v>
      </c>
      <c r="E74" s="252" t="s">
        <v>1930</v>
      </c>
      <c r="F74" s="252" t="s">
        <v>1930</v>
      </c>
      <c r="G74" s="252" t="s">
        <v>1926</v>
      </c>
      <c r="H74" s="252" t="s">
        <v>1929</v>
      </c>
      <c r="I74" s="252" t="s">
        <v>2987</v>
      </c>
      <c r="J74" s="174"/>
      <c r="K74" s="252" t="s">
        <v>1929</v>
      </c>
      <c r="L74" s="174"/>
      <c r="M74" s="174"/>
      <c r="N74" s="252" t="s">
        <v>1961</v>
      </c>
      <c r="O74" s="253" t="s">
        <v>1946</v>
      </c>
    </row>
    <row r="75" spans="1:15" ht="16.149999999999999" customHeight="1" x14ac:dyDescent="0.25">
      <c r="A75" s="172">
        <v>43418</v>
      </c>
      <c r="B75" s="175" t="s">
        <v>49</v>
      </c>
      <c r="C75" s="254" t="s">
        <v>1886</v>
      </c>
      <c r="D75" s="254" t="s">
        <v>2892</v>
      </c>
      <c r="E75" s="254" t="s">
        <v>2805</v>
      </c>
      <c r="F75" s="254" t="s">
        <v>1926</v>
      </c>
      <c r="G75" s="254" t="s">
        <v>1931</v>
      </c>
      <c r="H75" s="254" t="s">
        <v>1944</v>
      </c>
      <c r="I75" s="254" t="s">
        <v>1923</v>
      </c>
      <c r="J75" s="176"/>
      <c r="K75" s="254" t="s">
        <v>1915</v>
      </c>
      <c r="L75" s="176"/>
      <c r="M75" s="176"/>
      <c r="N75" s="254" t="s">
        <v>2883</v>
      </c>
      <c r="O75" s="255" t="s">
        <v>1946</v>
      </c>
    </row>
    <row r="76" spans="1:15" ht="16.149999999999999" customHeight="1" x14ac:dyDescent="0.25">
      <c r="A76" s="172">
        <v>43417</v>
      </c>
      <c r="B76" s="173" t="s">
        <v>49</v>
      </c>
      <c r="C76" s="252" t="s">
        <v>1881</v>
      </c>
      <c r="D76" s="252" t="s">
        <v>3006</v>
      </c>
      <c r="E76" s="252" t="s">
        <v>1915</v>
      </c>
      <c r="F76" s="252" t="s">
        <v>3006</v>
      </c>
      <c r="G76" s="252" t="s">
        <v>1931</v>
      </c>
      <c r="H76" s="252" t="s">
        <v>1931</v>
      </c>
      <c r="I76" s="252" t="s">
        <v>1944</v>
      </c>
      <c r="J76" s="174"/>
      <c r="K76" s="252" t="s">
        <v>1926</v>
      </c>
      <c r="L76" s="174"/>
      <c r="M76" s="174"/>
      <c r="N76" s="252" t="s">
        <v>2806</v>
      </c>
      <c r="O76" s="253" t="s">
        <v>1970</v>
      </c>
    </row>
    <row r="77" spans="1:15" ht="16.149999999999999" customHeight="1" x14ac:dyDescent="0.25">
      <c r="A77" s="172">
        <v>43413</v>
      </c>
      <c r="B77" s="175" t="s">
        <v>49</v>
      </c>
      <c r="C77" s="254" t="s">
        <v>2798</v>
      </c>
      <c r="D77" s="254" t="s">
        <v>1946</v>
      </c>
      <c r="E77" s="254" t="s">
        <v>1931</v>
      </c>
      <c r="F77" s="254" t="s">
        <v>1931</v>
      </c>
      <c r="G77" s="254" t="s">
        <v>3005</v>
      </c>
      <c r="H77" s="254" t="s">
        <v>1915</v>
      </c>
      <c r="I77" s="254" t="s">
        <v>1926</v>
      </c>
      <c r="J77" s="176"/>
      <c r="K77" s="254" t="s">
        <v>1915</v>
      </c>
      <c r="L77" s="176"/>
      <c r="M77" s="176"/>
      <c r="N77" s="254" t="s">
        <v>1929</v>
      </c>
      <c r="O77" s="255" t="s">
        <v>1970</v>
      </c>
    </row>
    <row r="78" spans="1:15" ht="16.149999999999999" customHeight="1" x14ac:dyDescent="0.25">
      <c r="A78" s="172">
        <v>43412</v>
      </c>
      <c r="B78" s="173" t="s">
        <v>49</v>
      </c>
      <c r="C78" s="252" t="s">
        <v>1843</v>
      </c>
      <c r="D78" s="252" t="s">
        <v>2809</v>
      </c>
      <c r="E78" s="252" t="s">
        <v>1970</v>
      </c>
      <c r="F78" s="252" t="s">
        <v>1945</v>
      </c>
      <c r="G78" s="252" t="s">
        <v>3005</v>
      </c>
      <c r="H78" s="252" t="s">
        <v>1970</v>
      </c>
      <c r="I78" s="252" t="s">
        <v>1926</v>
      </c>
      <c r="J78" s="174"/>
      <c r="K78" s="252" t="s">
        <v>1915</v>
      </c>
      <c r="L78" s="174"/>
      <c r="M78" s="174"/>
      <c r="N78" s="252" t="s">
        <v>1922</v>
      </c>
      <c r="O78" s="253" t="s">
        <v>1970</v>
      </c>
    </row>
    <row r="79" spans="1:15" ht="16.149999999999999" customHeight="1" x14ac:dyDescent="0.25">
      <c r="A79" s="172">
        <v>43411</v>
      </c>
      <c r="B79" s="175" t="s">
        <v>49</v>
      </c>
      <c r="C79" s="254" t="s">
        <v>1827</v>
      </c>
      <c r="D79" s="254" t="s">
        <v>1915</v>
      </c>
      <c r="E79" s="254" t="s">
        <v>1915</v>
      </c>
      <c r="F79" s="254" t="s">
        <v>1926</v>
      </c>
      <c r="G79" s="254" t="s">
        <v>1957</v>
      </c>
      <c r="H79" s="254" t="s">
        <v>1915</v>
      </c>
      <c r="I79" s="254" t="s">
        <v>1966</v>
      </c>
      <c r="J79" s="176"/>
      <c r="K79" s="254" t="s">
        <v>1915</v>
      </c>
      <c r="L79" s="176"/>
      <c r="M79" s="176"/>
      <c r="N79" s="254" t="s">
        <v>2805</v>
      </c>
      <c r="O79" s="255" t="s">
        <v>1970</v>
      </c>
    </row>
    <row r="80" spans="1:15" ht="16.149999999999999" customHeight="1" x14ac:dyDescent="0.25">
      <c r="A80" s="172">
        <v>43410</v>
      </c>
      <c r="B80" s="173" t="s">
        <v>49</v>
      </c>
      <c r="C80" s="252" t="s">
        <v>1819</v>
      </c>
      <c r="D80" s="252" t="s">
        <v>1946</v>
      </c>
      <c r="E80" s="252" t="s">
        <v>1923</v>
      </c>
      <c r="F80" s="252" t="s">
        <v>1966</v>
      </c>
      <c r="G80" s="252" t="s">
        <v>1999</v>
      </c>
      <c r="H80" s="252" t="s">
        <v>1946</v>
      </c>
      <c r="I80" s="252" t="s">
        <v>1944</v>
      </c>
      <c r="J80" s="174"/>
      <c r="K80" s="252" t="s">
        <v>1946</v>
      </c>
      <c r="L80" s="174"/>
      <c r="M80" s="174"/>
      <c r="N80" s="252" t="s">
        <v>1982</v>
      </c>
      <c r="O80" s="253" t="s">
        <v>1970</v>
      </c>
    </row>
    <row r="81" spans="1:15" ht="16.149999999999999" customHeight="1" x14ac:dyDescent="0.25">
      <c r="A81" s="172">
        <v>43406</v>
      </c>
      <c r="B81" s="175" t="s">
        <v>49</v>
      </c>
      <c r="C81" s="254" t="s">
        <v>2800</v>
      </c>
      <c r="D81" s="254" t="s">
        <v>1932</v>
      </c>
      <c r="E81" s="254" t="s">
        <v>1946</v>
      </c>
      <c r="F81" s="254" t="s">
        <v>1931</v>
      </c>
      <c r="G81" s="254" t="s">
        <v>1999</v>
      </c>
      <c r="H81" s="254" t="s">
        <v>1949</v>
      </c>
      <c r="I81" s="254" t="s">
        <v>1970</v>
      </c>
      <c r="J81" s="176"/>
      <c r="K81" s="254" t="s">
        <v>1970</v>
      </c>
      <c r="L81" s="176"/>
      <c r="M81" s="176"/>
      <c r="N81" s="254" t="s">
        <v>1929</v>
      </c>
      <c r="O81" s="255" t="s">
        <v>1970</v>
      </c>
    </row>
    <row r="82" spans="1:15" ht="16.149999999999999" customHeight="1" x14ac:dyDescent="0.25">
      <c r="A82" s="172">
        <v>43405</v>
      </c>
      <c r="B82" s="173" t="s">
        <v>49</v>
      </c>
      <c r="C82" s="252" t="s">
        <v>2800</v>
      </c>
      <c r="D82" s="252" t="s">
        <v>1999</v>
      </c>
      <c r="E82" s="252" t="s">
        <v>1946</v>
      </c>
      <c r="F82" s="252" t="s">
        <v>1935</v>
      </c>
      <c r="G82" s="252" t="s">
        <v>1932</v>
      </c>
      <c r="H82" s="252" t="s">
        <v>1970</v>
      </c>
      <c r="I82" s="252" t="s">
        <v>2809</v>
      </c>
      <c r="J82" s="174"/>
      <c r="K82" s="252" t="s">
        <v>1970</v>
      </c>
      <c r="L82" s="174"/>
      <c r="M82" s="174"/>
      <c r="N82" s="252" t="s">
        <v>1969</v>
      </c>
      <c r="O82" s="253" t="s">
        <v>1970</v>
      </c>
    </row>
    <row r="83" spans="1:15" ht="16.149999999999999" customHeight="1" x14ac:dyDescent="0.25">
      <c r="A83" s="172">
        <v>43404</v>
      </c>
      <c r="B83" s="175" t="s">
        <v>49</v>
      </c>
      <c r="C83" s="254" t="s">
        <v>1823</v>
      </c>
      <c r="D83" s="254" t="s">
        <v>1932</v>
      </c>
      <c r="E83" s="254" t="s">
        <v>1946</v>
      </c>
      <c r="F83" s="254" t="s">
        <v>2985</v>
      </c>
      <c r="G83" s="254" t="s">
        <v>1949</v>
      </c>
      <c r="H83" s="254" t="s">
        <v>2986</v>
      </c>
      <c r="I83" s="254" t="s">
        <v>1999</v>
      </c>
      <c r="J83" s="176"/>
      <c r="K83" s="254" t="s">
        <v>1921</v>
      </c>
      <c r="L83" s="176"/>
      <c r="M83" s="176"/>
      <c r="N83" s="254" t="s">
        <v>2810</v>
      </c>
      <c r="O83" s="255" t="s">
        <v>1970</v>
      </c>
    </row>
    <row r="84" spans="1:15" ht="16.149999999999999" customHeight="1" x14ac:dyDescent="0.25">
      <c r="A84" s="172">
        <v>43403</v>
      </c>
      <c r="B84" s="173" t="s">
        <v>49</v>
      </c>
      <c r="C84" s="252" t="s">
        <v>1827</v>
      </c>
      <c r="D84" s="252" t="s">
        <v>1915</v>
      </c>
      <c r="E84" s="252" t="s">
        <v>1915</v>
      </c>
      <c r="F84" s="252" t="s">
        <v>1935</v>
      </c>
      <c r="G84" s="252" t="s">
        <v>1949</v>
      </c>
      <c r="H84" s="252" t="s">
        <v>2986</v>
      </c>
      <c r="I84" s="252" t="s">
        <v>1957</v>
      </c>
      <c r="J84" s="174"/>
      <c r="K84" s="252" t="s">
        <v>1915</v>
      </c>
      <c r="L84" s="174"/>
      <c r="M84" s="174"/>
      <c r="N84" s="252" t="s">
        <v>2812</v>
      </c>
      <c r="O84" s="253" t="s">
        <v>1970</v>
      </c>
    </row>
    <row r="85" spans="1:15" ht="16.149999999999999" customHeight="1" x14ac:dyDescent="0.25">
      <c r="A85" s="172">
        <v>43402</v>
      </c>
      <c r="B85" s="175" t="s">
        <v>49</v>
      </c>
      <c r="C85" s="254" t="s">
        <v>2800</v>
      </c>
      <c r="D85" s="254" t="s">
        <v>1999</v>
      </c>
      <c r="E85" s="254" t="s">
        <v>2986</v>
      </c>
      <c r="F85" s="254" t="s">
        <v>1925</v>
      </c>
      <c r="G85" s="254" t="s">
        <v>1949</v>
      </c>
      <c r="H85" s="254" t="s">
        <v>1932</v>
      </c>
      <c r="I85" s="254" t="s">
        <v>1970</v>
      </c>
      <c r="J85" s="176"/>
      <c r="K85" s="254" t="s">
        <v>1970</v>
      </c>
      <c r="L85" s="176"/>
      <c r="M85" s="176"/>
      <c r="N85" s="254" t="s">
        <v>2861</v>
      </c>
      <c r="O85" s="255" t="s">
        <v>1970</v>
      </c>
    </row>
    <row r="86" spans="1:15" ht="16.149999999999999" customHeight="1" x14ac:dyDescent="0.25">
      <c r="A86" s="172">
        <v>43399</v>
      </c>
      <c r="B86" s="173" t="s">
        <v>49</v>
      </c>
      <c r="C86" s="252" t="s">
        <v>1823</v>
      </c>
      <c r="D86" s="252" t="s">
        <v>1949</v>
      </c>
      <c r="E86" s="252" t="s">
        <v>2986</v>
      </c>
      <c r="F86" s="252" t="s">
        <v>2985</v>
      </c>
      <c r="G86" s="252" t="s">
        <v>1999</v>
      </c>
      <c r="H86" s="252" t="s">
        <v>1932</v>
      </c>
      <c r="I86" s="252" t="s">
        <v>2986</v>
      </c>
      <c r="J86" s="174"/>
      <c r="K86" s="252" t="s">
        <v>1915</v>
      </c>
      <c r="L86" s="174"/>
      <c r="M86" s="174"/>
      <c r="N86" s="252" t="s">
        <v>1920</v>
      </c>
      <c r="O86" s="253" t="s">
        <v>1970</v>
      </c>
    </row>
    <row r="87" spans="1:15" ht="16.149999999999999" customHeight="1" x14ac:dyDescent="0.25">
      <c r="A87" s="172">
        <v>43398</v>
      </c>
      <c r="B87" s="175" t="s">
        <v>49</v>
      </c>
      <c r="C87" s="254" t="s">
        <v>2822</v>
      </c>
      <c r="D87" s="254" t="s">
        <v>1966</v>
      </c>
      <c r="E87" s="254" t="s">
        <v>2986</v>
      </c>
      <c r="F87" s="254" t="s">
        <v>1925</v>
      </c>
      <c r="G87" s="254" t="s">
        <v>1999</v>
      </c>
      <c r="H87" s="254" t="s">
        <v>1932</v>
      </c>
      <c r="I87" s="254" t="s">
        <v>1956</v>
      </c>
      <c r="J87" s="176"/>
      <c r="K87" s="254" t="s">
        <v>1970</v>
      </c>
      <c r="L87" s="176"/>
      <c r="M87" s="176"/>
      <c r="N87" s="254" t="s">
        <v>1938</v>
      </c>
      <c r="O87" s="255" t="s">
        <v>1970</v>
      </c>
    </row>
    <row r="88" spans="1:15" ht="16.149999999999999" customHeight="1" x14ac:dyDescent="0.25">
      <c r="A88" s="172">
        <v>43397</v>
      </c>
      <c r="B88" s="173" t="s">
        <v>49</v>
      </c>
      <c r="C88" s="252" t="s">
        <v>1823</v>
      </c>
      <c r="D88" s="252" t="s">
        <v>1932</v>
      </c>
      <c r="E88" s="252" t="s">
        <v>2986</v>
      </c>
      <c r="F88" s="252" t="s">
        <v>1925</v>
      </c>
      <c r="G88" s="252" t="s">
        <v>1932</v>
      </c>
      <c r="H88" s="252" t="s">
        <v>1932</v>
      </c>
      <c r="I88" s="252" t="s">
        <v>2986</v>
      </c>
      <c r="J88" s="174"/>
      <c r="K88" s="252" t="s">
        <v>1970</v>
      </c>
      <c r="L88" s="174"/>
      <c r="M88" s="174"/>
      <c r="N88" s="252" t="s">
        <v>2810</v>
      </c>
      <c r="O88" s="253" t="s">
        <v>1970</v>
      </c>
    </row>
    <row r="89" spans="1:15" ht="16.149999999999999" customHeight="1" x14ac:dyDescent="0.25">
      <c r="A89" s="172">
        <v>43396</v>
      </c>
      <c r="B89" s="175" t="s">
        <v>49</v>
      </c>
      <c r="C89" s="254" t="s">
        <v>2800</v>
      </c>
      <c r="D89" s="254" t="s">
        <v>1999</v>
      </c>
      <c r="E89" s="254" t="s">
        <v>2986</v>
      </c>
      <c r="F89" s="254" t="s">
        <v>1921</v>
      </c>
      <c r="G89" s="254" t="s">
        <v>1949</v>
      </c>
      <c r="H89" s="254" t="s">
        <v>1949</v>
      </c>
      <c r="I89" s="254" t="s">
        <v>1935</v>
      </c>
      <c r="J89" s="176"/>
      <c r="K89" s="254" t="s">
        <v>1970</v>
      </c>
      <c r="L89" s="176"/>
      <c r="M89" s="176"/>
      <c r="N89" s="254" t="s">
        <v>2806</v>
      </c>
      <c r="O89" s="255" t="s">
        <v>1970</v>
      </c>
    </row>
    <row r="90" spans="1:15" ht="16.149999999999999" customHeight="1" x14ac:dyDescent="0.25">
      <c r="A90" s="172">
        <v>43395</v>
      </c>
      <c r="B90" s="173" t="s">
        <v>49</v>
      </c>
      <c r="C90" s="252" t="s">
        <v>1823</v>
      </c>
      <c r="D90" s="252" t="s">
        <v>1932</v>
      </c>
      <c r="E90" s="252" t="s">
        <v>2986</v>
      </c>
      <c r="F90" s="252" t="s">
        <v>1921</v>
      </c>
      <c r="G90" s="252" t="s">
        <v>1999</v>
      </c>
      <c r="H90" s="252" t="s">
        <v>1949</v>
      </c>
      <c r="I90" s="252" t="s">
        <v>2809</v>
      </c>
      <c r="J90" s="174"/>
      <c r="K90" s="252" t="s">
        <v>1921</v>
      </c>
      <c r="L90" s="174"/>
      <c r="M90" s="174"/>
      <c r="N90" s="252" t="s">
        <v>2987</v>
      </c>
      <c r="O90" s="253" t="s">
        <v>1921</v>
      </c>
    </row>
    <row r="91" spans="1:15" ht="16.149999999999999" customHeight="1" x14ac:dyDescent="0.25">
      <c r="A91" s="172">
        <v>43392</v>
      </c>
      <c r="B91" s="175" t="s">
        <v>49</v>
      </c>
      <c r="C91" s="254" t="s">
        <v>2822</v>
      </c>
      <c r="D91" s="254" t="s">
        <v>1999</v>
      </c>
      <c r="E91" s="254" t="s">
        <v>1915</v>
      </c>
      <c r="F91" s="254" t="s">
        <v>1946</v>
      </c>
      <c r="G91" s="254" t="s">
        <v>1966</v>
      </c>
      <c r="H91" s="254" t="s">
        <v>1932</v>
      </c>
      <c r="I91" s="254" t="s">
        <v>1956</v>
      </c>
      <c r="J91" s="176"/>
      <c r="K91" s="254" t="s">
        <v>1970</v>
      </c>
      <c r="L91" s="176"/>
      <c r="M91" s="176"/>
      <c r="N91" s="254" t="s">
        <v>1961</v>
      </c>
      <c r="O91" s="255" t="s">
        <v>1921</v>
      </c>
    </row>
    <row r="92" spans="1:15" ht="16.149999999999999" customHeight="1" x14ac:dyDescent="0.25">
      <c r="A92" s="172">
        <v>43391</v>
      </c>
      <c r="B92" s="173" t="s">
        <v>49</v>
      </c>
      <c r="C92" s="252" t="s">
        <v>2822</v>
      </c>
      <c r="D92" s="252" t="s">
        <v>1966</v>
      </c>
      <c r="E92" s="252" t="s">
        <v>1966</v>
      </c>
      <c r="F92" s="252" t="s">
        <v>1970</v>
      </c>
      <c r="G92" s="252" t="s">
        <v>1942</v>
      </c>
      <c r="H92" s="252" t="s">
        <v>1915</v>
      </c>
      <c r="I92" s="252" t="s">
        <v>1921</v>
      </c>
      <c r="J92" s="174"/>
      <c r="K92" s="252" t="s">
        <v>1915</v>
      </c>
      <c r="L92" s="174"/>
      <c r="M92" s="174"/>
      <c r="N92" s="252" t="s">
        <v>1990</v>
      </c>
      <c r="O92" s="253" t="s">
        <v>1921</v>
      </c>
    </row>
    <row r="93" spans="1:15" ht="16.149999999999999" customHeight="1" x14ac:dyDescent="0.25">
      <c r="A93" s="172">
        <v>43390</v>
      </c>
      <c r="B93" s="175" t="s">
        <v>49</v>
      </c>
      <c r="C93" s="254" t="s">
        <v>1960</v>
      </c>
      <c r="D93" s="254" t="s">
        <v>1921</v>
      </c>
      <c r="E93" s="254" t="s">
        <v>1966</v>
      </c>
      <c r="F93" s="254" t="s">
        <v>2985</v>
      </c>
      <c r="G93" s="254" t="s">
        <v>1953</v>
      </c>
      <c r="H93" s="254" t="s">
        <v>1921</v>
      </c>
      <c r="I93" s="254" t="s">
        <v>1965</v>
      </c>
      <c r="J93" s="176"/>
      <c r="K93" s="254" t="s">
        <v>1921</v>
      </c>
      <c r="L93" s="176"/>
      <c r="M93" s="176"/>
      <c r="N93" s="254" t="s">
        <v>2986</v>
      </c>
      <c r="O93" s="255" t="s">
        <v>1921</v>
      </c>
    </row>
    <row r="94" spans="1:15" ht="16.149999999999999" customHeight="1" x14ac:dyDescent="0.25">
      <c r="A94" s="172">
        <v>43389</v>
      </c>
      <c r="B94" s="173" t="s">
        <v>49</v>
      </c>
      <c r="C94" s="252" t="s">
        <v>1960</v>
      </c>
      <c r="D94" s="295" t="s">
        <v>1921</v>
      </c>
      <c r="E94" s="295" t="s">
        <v>1966</v>
      </c>
      <c r="F94" s="252" t="s">
        <v>1947</v>
      </c>
      <c r="G94" s="252" t="s">
        <v>1953</v>
      </c>
      <c r="H94" s="252" t="s">
        <v>1970</v>
      </c>
      <c r="I94" s="252" t="s">
        <v>1934</v>
      </c>
      <c r="J94" s="174"/>
      <c r="K94" s="252" t="s">
        <v>1921</v>
      </c>
      <c r="L94" s="174"/>
      <c r="M94" s="174"/>
      <c r="N94" s="252" t="s">
        <v>1944</v>
      </c>
      <c r="O94" s="253" t="s">
        <v>1921</v>
      </c>
    </row>
    <row r="95" spans="1:15" ht="16.149999999999999" customHeight="1" x14ac:dyDescent="0.25">
      <c r="A95" s="172">
        <v>43385</v>
      </c>
      <c r="B95" s="175" t="s">
        <v>49</v>
      </c>
      <c r="C95" s="254" t="s">
        <v>1960</v>
      </c>
      <c r="D95" s="254" t="s">
        <v>1921</v>
      </c>
      <c r="E95" s="254" t="s">
        <v>1935</v>
      </c>
      <c r="F95" s="254" t="s">
        <v>1934</v>
      </c>
      <c r="G95" s="254" t="s">
        <v>1955</v>
      </c>
      <c r="H95" s="254" t="s">
        <v>1921</v>
      </c>
      <c r="I95" s="254" t="s">
        <v>1959</v>
      </c>
      <c r="J95" s="176"/>
      <c r="K95" s="254" t="s">
        <v>1921</v>
      </c>
      <c r="L95" s="176"/>
      <c r="M95" s="176"/>
      <c r="N95" s="254" t="s">
        <v>1946</v>
      </c>
      <c r="O95" s="255" t="s">
        <v>1921</v>
      </c>
    </row>
    <row r="96" spans="1:15" ht="16.149999999999999" customHeight="1" x14ac:dyDescent="0.25">
      <c r="A96" s="172">
        <v>43384</v>
      </c>
      <c r="B96" s="173" t="s">
        <v>49</v>
      </c>
      <c r="C96" s="252" t="s">
        <v>1967</v>
      </c>
      <c r="D96" s="252" t="s">
        <v>1968</v>
      </c>
      <c r="E96" s="252" t="s">
        <v>1947</v>
      </c>
      <c r="F96" s="252" t="s">
        <v>2931</v>
      </c>
      <c r="G96" s="252" t="s">
        <v>1959</v>
      </c>
      <c r="H96" s="252" t="s">
        <v>1970</v>
      </c>
      <c r="I96" s="252" t="s">
        <v>1959</v>
      </c>
      <c r="J96" s="174"/>
      <c r="K96" s="252" t="s">
        <v>1921</v>
      </c>
      <c r="L96" s="174"/>
      <c r="M96" s="174"/>
      <c r="N96" s="252" t="s">
        <v>1915</v>
      </c>
      <c r="O96" s="253" t="s">
        <v>1921</v>
      </c>
    </row>
    <row r="97" spans="1:15" ht="16.149999999999999" customHeight="1" x14ac:dyDescent="0.25">
      <c r="A97" s="172">
        <v>43383</v>
      </c>
      <c r="B97" s="175" t="s">
        <v>49</v>
      </c>
      <c r="C97" s="254" t="s">
        <v>2797</v>
      </c>
      <c r="D97" s="254" t="s">
        <v>2888</v>
      </c>
      <c r="E97" s="254" t="s">
        <v>1947</v>
      </c>
      <c r="F97" s="254" t="s">
        <v>1959</v>
      </c>
      <c r="G97" s="254" t="s">
        <v>1936</v>
      </c>
      <c r="H97" s="254" t="s">
        <v>1963</v>
      </c>
      <c r="I97" s="254" t="s">
        <v>2967</v>
      </c>
      <c r="J97" s="176"/>
      <c r="K97" s="254" t="s">
        <v>1959</v>
      </c>
      <c r="L97" s="176"/>
      <c r="M97" s="176"/>
      <c r="N97" s="254" t="s">
        <v>2805</v>
      </c>
      <c r="O97" s="255" t="s">
        <v>1959</v>
      </c>
    </row>
    <row r="98" spans="1:15" ht="16.149999999999999" customHeight="1" x14ac:dyDescent="0.25">
      <c r="A98" s="172">
        <v>43382</v>
      </c>
      <c r="B98" s="173" t="s">
        <v>49</v>
      </c>
      <c r="C98" s="252" t="s">
        <v>1883</v>
      </c>
      <c r="D98" s="252" t="s">
        <v>1959</v>
      </c>
      <c r="E98" s="252" t="s">
        <v>1947</v>
      </c>
      <c r="F98" s="252" t="s">
        <v>1936</v>
      </c>
      <c r="G98" s="252" t="s">
        <v>1959</v>
      </c>
      <c r="H98" s="252" t="s">
        <v>2888</v>
      </c>
      <c r="I98" s="252" t="s">
        <v>2889</v>
      </c>
      <c r="J98" s="174"/>
      <c r="K98" s="252" t="s">
        <v>1959</v>
      </c>
      <c r="L98" s="174"/>
      <c r="M98" s="174"/>
      <c r="N98" s="252" t="s">
        <v>1944</v>
      </c>
      <c r="O98" s="253" t="s">
        <v>1959</v>
      </c>
    </row>
    <row r="99" spans="1:15" ht="16.149999999999999" customHeight="1" x14ac:dyDescent="0.25">
      <c r="A99" s="172">
        <v>43381</v>
      </c>
      <c r="B99" s="175" t="s">
        <v>49</v>
      </c>
      <c r="C99" s="254" t="s">
        <v>1889</v>
      </c>
      <c r="D99" s="254" t="s">
        <v>2006</v>
      </c>
      <c r="E99" s="254" t="s">
        <v>1947</v>
      </c>
      <c r="F99" s="254" t="s">
        <v>1959</v>
      </c>
      <c r="G99" s="254" t="s">
        <v>1959</v>
      </c>
      <c r="H99" s="254" t="s">
        <v>2888</v>
      </c>
      <c r="I99" s="254" t="s">
        <v>2880</v>
      </c>
      <c r="J99" s="176"/>
      <c r="K99" s="254" t="s">
        <v>1959</v>
      </c>
      <c r="L99" s="176"/>
      <c r="M99" s="176"/>
      <c r="N99" s="254" t="s">
        <v>2892</v>
      </c>
      <c r="O99" s="255" t="s">
        <v>2889</v>
      </c>
    </row>
    <row r="100" spans="1:15" ht="16.149999999999999" customHeight="1" x14ac:dyDescent="0.25">
      <c r="A100" s="172">
        <v>43378</v>
      </c>
      <c r="B100" s="173" t="s">
        <v>49</v>
      </c>
      <c r="C100" s="252" t="s">
        <v>1889</v>
      </c>
      <c r="D100" s="252" t="s">
        <v>2888</v>
      </c>
      <c r="E100" s="252" t="s">
        <v>1955</v>
      </c>
      <c r="F100" s="252" t="s">
        <v>2889</v>
      </c>
      <c r="G100" s="252" t="s">
        <v>1936</v>
      </c>
      <c r="H100" s="252" t="s">
        <v>1963</v>
      </c>
      <c r="I100" s="252" t="s">
        <v>2967</v>
      </c>
      <c r="J100" s="174"/>
      <c r="K100" s="252" t="s">
        <v>2006</v>
      </c>
      <c r="L100" s="174"/>
      <c r="M100" s="174"/>
      <c r="N100" s="252" t="s">
        <v>1961</v>
      </c>
      <c r="O100" s="253" t="s">
        <v>1939</v>
      </c>
    </row>
    <row r="101" spans="1:15" ht="16.149999999999999" customHeight="1" x14ac:dyDescent="0.25">
      <c r="A101" s="172">
        <v>43377</v>
      </c>
      <c r="B101" s="175" t="s">
        <v>49</v>
      </c>
      <c r="C101" s="254" t="s">
        <v>2797</v>
      </c>
      <c r="D101" s="254" t="s">
        <v>2888</v>
      </c>
      <c r="E101" s="254" t="s">
        <v>1955</v>
      </c>
      <c r="F101" s="254" t="s">
        <v>1975</v>
      </c>
      <c r="G101" s="254" t="s">
        <v>1936</v>
      </c>
      <c r="H101" s="254" t="s">
        <v>1959</v>
      </c>
      <c r="I101" s="254" t="s">
        <v>1950</v>
      </c>
      <c r="J101" s="176"/>
      <c r="K101" s="254" t="s">
        <v>1963</v>
      </c>
      <c r="L101" s="176"/>
      <c r="M101" s="176"/>
      <c r="N101" s="254" t="s">
        <v>1969</v>
      </c>
      <c r="O101" s="255" t="s">
        <v>2909</v>
      </c>
    </row>
    <row r="102" spans="1:15" ht="16.149999999999999" customHeight="1" x14ac:dyDescent="0.25">
      <c r="A102" s="172">
        <v>43376</v>
      </c>
      <c r="B102" s="173" t="s">
        <v>49</v>
      </c>
      <c r="C102" s="252" t="s">
        <v>1889</v>
      </c>
      <c r="D102" s="252" t="s">
        <v>2006</v>
      </c>
      <c r="E102" s="252" t="s">
        <v>1955</v>
      </c>
      <c r="F102" s="252" t="s">
        <v>1959</v>
      </c>
      <c r="G102" s="252" t="s">
        <v>1975</v>
      </c>
      <c r="H102" s="252" t="s">
        <v>1959</v>
      </c>
      <c r="I102" s="252" t="s">
        <v>2888</v>
      </c>
      <c r="J102" s="174"/>
      <c r="K102" s="252" t="s">
        <v>2006</v>
      </c>
      <c r="L102" s="174"/>
      <c r="M102" s="174"/>
      <c r="N102" s="252" t="s">
        <v>2810</v>
      </c>
      <c r="O102" s="253" t="s">
        <v>2909</v>
      </c>
    </row>
    <row r="103" spans="1:15" ht="16.149999999999999" customHeight="1" x14ac:dyDescent="0.25">
      <c r="A103" s="172">
        <v>43375</v>
      </c>
      <c r="B103" s="175" t="s">
        <v>49</v>
      </c>
      <c r="C103" s="254" t="s">
        <v>1883</v>
      </c>
      <c r="D103" s="254" t="s">
        <v>1959</v>
      </c>
      <c r="E103" s="254" t="s">
        <v>1955</v>
      </c>
      <c r="F103" s="254" t="s">
        <v>2889</v>
      </c>
      <c r="G103" s="254" t="s">
        <v>1959</v>
      </c>
      <c r="H103" s="254" t="s">
        <v>1959</v>
      </c>
      <c r="I103" s="254" t="s">
        <v>2908</v>
      </c>
      <c r="J103" s="176"/>
      <c r="K103" s="254" t="s">
        <v>1959</v>
      </c>
      <c r="L103" s="176"/>
      <c r="M103" s="176"/>
      <c r="N103" s="254" t="s">
        <v>1944</v>
      </c>
      <c r="O103" s="255" t="s">
        <v>2909</v>
      </c>
    </row>
    <row r="104" spans="1:15" ht="16.149999999999999" customHeight="1" x14ac:dyDescent="0.25">
      <c r="A104" s="172">
        <v>43374</v>
      </c>
      <c r="B104" s="173" t="s">
        <v>49</v>
      </c>
      <c r="C104" s="252" t="s">
        <v>1896</v>
      </c>
      <c r="D104" s="252" t="s">
        <v>1959</v>
      </c>
      <c r="E104" s="252" t="s">
        <v>1934</v>
      </c>
      <c r="F104" s="252" t="s">
        <v>1952</v>
      </c>
      <c r="G104" s="252" t="s">
        <v>1948</v>
      </c>
      <c r="H104" s="252" t="s">
        <v>1959</v>
      </c>
      <c r="I104" s="252" t="s">
        <v>1959</v>
      </c>
      <c r="J104" s="174"/>
      <c r="K104" s="252" t="s">
        <v>1959</v>
      </c>
      <c r="L104" s="174"/>
      <c r="M104" s="174"/>
      <c r="N104" s="252" t="s">
        <v>2892</v>
      </c>
      <c r="O104" s="253" t="s">
        <v>2909</v>
      </c>
    </row>
    <row r="105" spans="1:15" ht="16.149999999999999" customHeight="1" x14ac:dyDescent="0.25">
      <c r="A105" s="172">
        <v>43371</v>
      </c>
      <c r="B105" s="175" t="s">
        <v>49</v>
      </c>
      <c r="C105" s="254" t="s">
        <v>2900</v>
      </c>
      <c r="D105" s="254" t="s">
        <v>2889</v>
      </c>
      <c r="E105" s="254" t="s">
        <v>1963</v>
      </c>
      <c r="F105" s="254" t="s">
        <v>2908</v>
      </c>
      <c r="G105" s="254" t="s">
        <v>1939</v>
      </c>
      <c r="H105" s="254" t="s">
        <v>1936</v>
      </c>
      <c r="I105" s="254" t="s">
        <v>1959</v>
      </c>
      <c r="J105" s="176"/>
      <c r="K105" s="254" t="s">
        <v>1952</v>
      </c>
      <c r="L105" s="176"/>
      <c r="M105" s="176"/>
      <c r="N105" s="254" t="s">
        <v>1970</v>
      </c>
      <c r="O105" s="255" t="s">
        <v>2909</v>
      </c>
    </row>
    <row r="106" spans="1:15" ht="16.149999999999999" customHeight="1" x14ac:dyDescent="0.25">
      <c r="A106" s="172">
        <v>43370</v>
      </c>
      <c r="B106" s="173" t="s">
        <v>49</v>
      </c>
      <c r="C106" s="252" t="s">
        <v>2898</v>
      </c>
      <c r="D106" s="252" t="s">
        <v>1948</v>
      </c>
      <c r="E106" s="252" t="s">
        <v>2908</v>
      </c>
      <c r="F106" s="252" t="s">
        <v>2889</v>
      </c>
      <c r="G106" s="252" t="s">
        <v>1939</v>
      </c>
      <c r="H106" s="252" t="s">
        <v>2006</v>
      </c>
      <c r="I106" s="252" t="s">
        <v>2006</v>
      </c>
      <c r="J106" s="174"/>
      <c r="K106" s="252" t="s">
        <v>1952</v>
      </c>
      <c r="L106" s="174"/>
      <c r="M106" s="174"/>
      <c r="N106" s="252" t="s">
        <v>1969</v>
      </c>
      <c r="O106" s="253" t="s">
        <v>2909</v>
      </c>
    </row>
    <row r="107" spans="1:15" ht="16.149999999999999" customHeight="1" x14ac:dyDescent="0.25">
      <c r="A107" s="172">
        <v>43369</v>
      </c>
      <c r="B107" s="175" t="s">
        <v>49</v>
      </c>
      <c r="C107" s="254" t="s">
        <v>1883</v>
      </c>
      <c r="D107" s="254" t="s">
        <v>1959</v>
      </c>
      <c r="E107" s="254" t="s">
        <v>2880</v>
      </c>
      <c r="F107" s="254" t="s">
        <v>1936</v>
      </c>
      <c r="G107" s="254" t="s">
        <v>1959</v>
      </c>
      <c r="H107" s="254" t="s">
        <v>1959</v>
      </c>
      <c r="I107" s="254" t="s">
        <v>1948</v>
      </c>
      <c r="J107" s="176"/>
      <c r="K107" s="254" t="s">
        <v>1959</v>
      </c>
      <c r="L107" s="176"/>
      <c r="M107" s="176"/>
      <c r="N107" s="254" t="s">
        <v>1955</v>
      </c>
      <c r="O107" s="255" t="s">
        <v>2909</v>
      </c>
    </row>
    <row r="108" spans="1:15" ht="16.149999999999999" customHeight="1" x14ac:dyDescent="0.25">
      <c r="A108" s="172">
        <v>43368</v>
      </c>
      <c r="B108" s="173" t="s">
        <v>49</v>
      </c>
      <c r="C108" s="252" t="s">
        <v>2898</v>
      </c>
      <c r="D108" s="256" t="s">
        <v>2889</v>
      </c>
      <c r="E108" s="252" t="s">
        <v>2880</v>
      </c>
      <c r="F108" s="252" t="s">
        <v>1939</v>
      </c>
      <c r="G108" s="252" t="s">
        <v>1948</v>
      </c>
      <c r="H108" s="252" t="s">
        <v>1975</v>
      </c>
      <c r="I108" s="252" t="s">
        <v>2931</v>
      </c>
      <c r="J108" s="174"/>
      <c r="K108" s="252" t="s">
        <v>2889</v>
      </c>
      <c r="L108" s="174"/>
      <c r="M108" s="174"/>
      <c r="N108" s="252" t="s">
        <v>1944</v>
      </c>
      <c r="O108" s="253" t="s">
        <v>2909</v>
      </c>
    </row>
    <row r="109" spans="1:15" ht="16.149999999999999" customHeight="1" x14ac:dyDescent="0.25">
      <c r="A109" s="172">
        <v>43367</v>
      </c>
      <c r="B109" s="175" t="s">
        <v>49</v>
      </c>
      <c r="C109" s="254" t="s">
        <v>2900</v>
      </c>
      <c r="D109" s="254" t="s">
        <v>2889</v>
      </c>
      <c r="E109" s="254" t="s">
        <v>1963</v>
      </c>
      <c r="F109" s="254" t="s">
        <v>1939</v>
      </c>
      <c r="G109" s="254" t="s">
        <v>1948</v>
      </c>
      <c r="H109" s="254" t="s">
        <v>2889</v>
      </c>
      <c r="I109" s="254" t="s">
        <v>2885</v>
      </c>
      <c r="J109" s="176"/>
      <c r="K109" s="254" t="s">
        <v>2889</v>
      </c>
      <c r="L109" s="176"/>
      <c r="M109" s="176"/>
      <c r="N109" s="254" t="s">
        <v>2967</v>
      </c>
      <c r="O109" s="255" t="s">
        <v>2909</v>
      </c>
    </row>
    <row r="110" spans="1:15" ht="16.149999999999999" customHeight="1" x14ac:dyDescent="0.25">
      <c r="A110" s="172">
        <v>43364</v>
      </c>
      <c r="B110" s="173" t="s">
        <v>49</v>
      </c>
      <c r="C110" s="252" t="s">
        <v>2900</v>
      </c>
      <c r="D110" s="252" t="s">
        <v>2889</v>
      </c>
      <c r="E110" s="252" t="s">
        <v>1952</v>
      </c>
      <c r="F110" s="252" t="s">
        <v>1975</v>
      </c>
      <c r="G110" s="252" t="s">
        <v>2889</v>
      </c>
      <c r="H110" s="252" t="s">
        <v>1959</v>
      </c>
      <c r="I110" s="252" t="s">
        <v>2908</v>
      </c>
      <c r="J110" s="174"/>
      <c r="K110" s="252" t="s">
        <v>2889</v>
      </c>
      <c r="L110" s="174"/>
      <c r="M110" s="174"/>
      <c r="N110" s="252" t="s">
        <v>1947</v>
      </c>
      <c r="O110" s="253" t="s">
        <v>2909</v>
      </c>
    </row>
    <row r="111" spans="1:15" ht="16.149999999999999" customHeight="1" x14ac:dyDescent="0.25">
      <c r="A111" s="172">
        <v>43363</v>
      </c>
      <c r="B111" s="175" t="s">
        <v>49</v>
      </c>
      <c r="C111" s="254" t="s">
        <v>2900</v>
      </c>
      <c r="D111" s="254" t="s">
        <v>2889</v>
      </c>
      <c r="E111" s="254" t="s">
        <v>1952</v>
      </c>
      <c r="F111" s="254" t="s">
        <v>2889</v>
      </c>
      <c r="G111" s="254" t="s">
        <v>2889</v>
      </c>
      <c r="H111" s="254" t="s">
        <v>2889</v>
      </c>
      <c r="I111" s="254" t="s">
        <v>2931</v>
      </c>
      <c r="J111" s="176"/>
      <c r="K111" s="254" t="s">
        <v>2889</v>
      </c>
      <c r="L111" s="176"/>
      <c r="M111" s="176"/>
      <c r="N111" s="254" t="s">
        <v>1943</v>
      </c>
      <c r="O111" s="255" t="s">
        <v>2909</v>
      </c>
    </row>
    <row r="112" spans="1:15" ht="16.149999999999999" customHeight="1" x14ac:dyDescent="0.25">
      <c r="A112" s="172">
        <v>43362</v>
      </c>
      <c r="B112" s="173" t="s">
        <v>49</v>
      </c>
      <c r="C112" s="252" t="s">
        <v>1974</v>
      </c>
      <c r="D112" s="252" t="s">
        <v>1975</v>
      </c>
      <c r="E112" s="252" t="s">
        <v>1952</v>
      </c>
      <c r="F112" s="252" t="s">
        <v>1948</v>
      </c>
      <c r="G112" s="252" t="s">
        <v>1936</v>
      </c>
      <c r="H112" s="252" t="s">
        <v>2888</v>
      </c>
      <c r="I112" s="252" t="s">
        <v>1939</v>
      </c>
      <c r="J112" s="174"/>
      <c r="K112" s="252" t="s">
        <v>1959</v>
      </c>
      <c r="L112" s="174"/>
      <c r="M112" s="174"/>
      <c r="N112" s="252" t="s">
        <v>1955</v>
      </c>
      <c r="O112" s="253" t="s">
        <v>2909</v>
      </c>
    </row>
    <row r="113" spans="1:15" ht="16.149999999999999" customHeight="1" x14ac:dyDescent="0.25">
      <c r="A113" s="172">
        <v>43361</v>
      </c>
      <c r="B113" s="175" t="s">
        <v>49</v>
      </c>
      <c r="C113" s="254" t="s">
        <v>1896</v>
      </c>
      <c r="D113" s="254" t="s">
        <v>1936</v>
      </c>
      <c r="E113" s="254" t="s">
        <v>1934</v>
      </c>
      <c r="F113" s="254" t="s">
        <v>1948</v>
      </c>
      <c r="G113" s="254" t="s">
        <v>2889</v>
      </c>
      <c r="H113" s="254" t="s">
        <v>1959</v>
      </c>
      <c r="I113" s="254" t="s">
        <v>1939</v>
      </c>
      <c r="J113" s="176"/>
      <c r="K113" s="254" t="s">
        <v>1959</v>
      </c>
      <c r="L113" s="176"/>
      <c r="M113" s="176"/>
      <c r="N113" s="254" t="s">
        <v>1944</v>
      </c>
      <c r="O113" s="255" t="s">
        <v>2909</v>
      </c>
    </row>
    <row r="114" spans="1:15" ht="16.149999999999999" customHeight="1" x14ac:dyDescent="0.25">
      <c r="A114" s="172">
        <v>43360</v>
      </c>
      <c r="B114" s="173" t="s">
        <v>49</v>
      </c>
      <c r="C114" s="252" t="s">
        <v>1896</v>
      </c>
      <c r="D114" s="252" t="s">
        <v>1936</v>
      </c>
      <c r="E114" s="252" t="s">
        <v>1934</v>
      </c>
      <c r="F114" s="252" t="s">
        <v>1939</v>
      </c>
      <c r="G114" s="252" t="s">
        <v>2889</v>
      </c>
      <c r="H114" s="252" t="s">
        <v>1959</v>
      </c>
      <c r="I114" s="252" t="s">
        <v>1963</v>
      </c>
      <c r="J114" s="174"/>
      <c r="K114" s="252" t="s">
        <v>1939</v>
      </c>
      <c r="L114" s="174"/>
      <c r="M114" s="174"/>
      <c r="N114" s="252" t="s">
        <v>2967</v>
      </c>
      <c r="O114" s="253" t="s">
        <v>2909</v>
      </c>
    </row>
    <row r="115" spans="1:15" ht="16.149999999999999" customHeight="1" x14ac:dyDescent="0.25">
      <c r="A115" s="172">
        <v>43357</v>
      </c>
      <c r="B115" s="175" t="s">
        <v>49</v>
      </c>
      <c r="C115" s="254" t="s">
        <v>1896</v>
      </c>
      <c r="D115" s="254" t="s">
        <v>1936</v>
      </c>
      <c r="E115" s="254" t="s">
        <v>1934</v>
      </c>
      <c r="F115" s="254" t="s">
        <v>2931</v>
      </c>
      <c r="G115" s="254" t="s">
        <v>1948</v>
      </c>
      <c r="H115" s="254" t="s">
        <v>2889</v>
      </c>
      <c r="I115" s="254" t="s">
        <v>2888</v>
      </c>
      <c r="J115" s="176"/>
      <c r="K115" s="254" t="s">
        <v>1959</v>
      </c>
      <c r="L115" s="176"/>
      <c r="M115" s="176"/>
      <c r="N115" s="254" t="s">
        <v>1929</v>
      </c>
      <c r="O115" s="255" t="s">
        <v>2909</v>
      </c>
    </row>
    <row r="116" spans="1:15" ht="16.149999999999999" customHeight="1" x14ac:dyDescent="0.25">
      <c r="A116" s="172">
        <v>43356</v>
      </c>
      <c r="B116" s="173" t="s">
        <v>49</v>
      </c>
      <c r="C116" s="252" t="s">
        <v>2898</v>
      </c>
      <c r="D116" s="252" t="s">
        <v>1948</v>
      </c>
      <c r="E116" s="252" t="s">
        <v>1493</v>
      </c>
      <c r="F116" s="252" t="s">
        <v>2908</v>
      </c>
      <c r="G116" s="252" t="s">
        <v>2931</v>
      </c>
      <c r="H116" s="252" t="s">
        <v>1948</v>
      </c>
      <c r="I116" s="252" t="s">
        <v>1934</v>
      </c>
      <c r="J116" s="174"/>
      <c r="K116" s="252" t="s">
        <v>1959</v>
      </c>
      <c r="L116" s="174"/>
      <c r="M116" s="174"/>
      <c r="N116" s="252" t="s">
        <v>1943</v>
      </c>
      <c r="O116" s="253" t="s">
        <v>2909</v>
      </c>
    </row>
    <row r="117" spans="1:15" ht="16.149999999999999" customHeight="1" x14ac:dyDescent="0.25">
      <c r="A117" s="172">
        <v>43355</v>
      </c>
      <c r="B117" s="175" t="s">
        <v>49</v>
      </c>
      <c r="C117" s="254" t="s">
        <v>2959</v>
      </c>
      <c r="D117" s="254" t="s">
        <v>1939</v>
      </c>
      <c r="E117" s="254" t="s">
        <v>1934</v>
      </c>
      <c r="F117" s="254" t="s">
        <v>2885</v>
      </c>
      <c r="G117" s="254" t="s">
        <v>1939</v>
      </c>
      <c r="H117" s="254" t="s">
        <v>1939</v>
      </c>
      <c r="I117" s="254" t="s">
        <v>2909</v>
      </c>
      <c r="J117" s="176"/>
      <c r="K117" s="254" t="s">
        <v>1939</v>
      </c>
      <c r="L117" s="176"/>
      <c r="M117" s="176"/>
      <c r="N117" s="254" t="s">
        <v>1955</v>
      </c>
      <c r="O117" s="255" t="s">
        <v>2909</v>
      </c>
    </row>
    <row r="118" spans="1:15" ht="16.149999999999999" customHeight="1" x14ac:dyDescent="0.25">
      <c r="A118" s="172">
        <v>43354</v>
      </c>
      <c r="B118" s="173" t="s">
        <v>49</v>
      </c>
      <c r="C118" s="252" t="s">
        <v>2959</v>
      </c>
      <c r="D118" s="252" t="s">
        <v>1939</v>
      </c>
      <c r="E118" s="252" t="s">
        <v>1934</v>
      </c>
      <c r="F118" s="252" t="s">
        <v>1952</v>
      </c>
      <c r="G118" s="252" t="s">
        <v>2931</v>
      </c>
      <c r="H118" s="252" t="s">
        <v>1939</v>
      </c>
      <c r="I118" s="252" t="s">
        <v>2909</v>
      </c>
      <c r="J118" s="174"/>
      <c r="K118" s="252" t="s">
        <v>1939</v>
      </c>
      <c r="L118" s="174"/>
      <c r="M118" s="174"/>
      <c r="N118" s="252" t="s">
        <v>2880</v>
      </c>
      <c r="O118" s="253" t="s">
        <v>2909</v>
      </c>
    </row>
    <row r="119" spans="1:15" ht="16.149999999999999" customHeight="1" x14ac:dyDescent="0.25">
      <c r="A119" s="172">
        <v>43353</v>
      </c>
      <c r="B119" s="175" t="s">
        <v>49</v>
      </c>
      <c r="C119" s="254" t="s">
        <v>2959</v>
      </c>
      <c r="D119" s="254" t="s">
        <v>1939</v>
      </c>
      <c r="E119" s="254" t="s">
        <v>1964</v>
      </c>
      <c r="F119" s="254" t="s">
        <v>1952</v>
      </c>
      <c r="G119" s="254" t="s">
        <v>1939</v>
      </c>
      <c r="H119" s="254" t="s">
        <v>1939</v>
      </c>
      <c r="I119" s="254" t="s">
        <v>1939</v>
      </c>
      <c r="J119" s="176"/>
      <c r="K119" s="254" t="s">
        <v>1939</v>
      </c>
      <c r="L119" s="176"/>
      <c r="M119" s="176"/>
      <c r="N119" s="254" t="s">
        <v>2967</v>
      </c>
      <c r="O119" s="255" t="s">
        <v>2909</v>
      </c>
    </row>
    <row r="120" spans="1:15" ht="16.149999999999999" customHeight="1" x14ac:dyDescent="0.25">
      <c r="A120" s="172">
        <v>43350</v>
      </c>
      <c r="B120" s="173" t="s">
        <v>49</v>
      </c>
      <c r="C120" s="252" t="s">
        <v>2897</v>
      </c>
      <c r="D120" s="252" t="s">
        <v>2908</v>
      </c>
      <c r="E120" s="252" t="s">
        <v>1964</v>
      </c>
      <c r="F120" s="252" t="s">
        <v>1971</v>
      </c>
      <c r="G120" s="252" t="s">
        <v>1939</v>
      </c>
      <c r="H120" s="252" t="s">
        <v>2931</v>
      </c>
      <c r="I120" s="252" t="s">
        <v>2909</v>
      </c>
      <c r="J120" s="174"/>
      <c r="K120" s="252" t="s">
        <v>1939</v>
      </c>
      <c r="L120" s="174"/>
      <c r="M120" s="174"/>
      <c r="N120" s="252" t="s">
        <v>1959</v>
      </c>
      <c r="O120" s="253" t="s">
        <v>2909</v>
      </c>
    </row>
    <row r="121" spans="1:15" ht="16.149999999999999" customHeight="1" x14ac:dyDescent="0.25">
      <c r="A121" s="172">
        <v>43349</v>
      </c>
      <c r="B121" s="175" t="s">
        <v>49</v>
      </c>
      <c r="C121" s="254" t="s">
        <v>1826</v>
      </c>
      <c r="D121" s="254" t="s">
        <v>2885</v>
      </c>
      <c r="E121" s="254" t="s">
        <v>1964</v>
      </c>
      <c r="F121" s="254" t="s">
        <v>1952</v>
      </c>
      <c r="G121" s="254" t="s">
        <v>2885</v>
      </c>
      <c r="H121" s="254" t="s">
        <v>1939</v>
      </c>
      <c r="I121" s="254" t="s">
        <v>1975</v>
      </c>
      <c r="J121" s="176"/>
      <c r="K121" s="254" t="s">
        <v>1952</v>
      </c>
      <c r="L121" s="176"/>
      <c r="M121" s="176"/>
      <c r="N121" s="254" t="s">
        <v>1936</v>
      </c>
      <c r="O121" s="255" t="s">
        <v>2909</v>
      </c>
    </row>
    <row r="122" spans="1:15" ht="16.149999999999999" customHeight="1" x14ac:dyDescent="0.25">
      <c r="A122" s="172">
        <v>43348</v>
      </c>
      <c r="B122" s="173" t="s">
        <v>49</v>
      </c>
      <c r="C122" s="252" t="s">
        <v>1826</v>
      </c>
      <c r="D122" s="252" t="s">
        <v>2885</v>
      </c>
      <c r="E122" s="252" t="s">
        <v>1959</v>
      </c>
      <c r="F122" s="252" t="s">
        <v>2909</v>
      </c>
      <c r="G122" s="252" t="s">
        <v>2885</v>
      </c>
      <c r="H122" s="252" t="s">
        <v>2908</v>
      </c>
      <c r="I122" s="252" t="s">
        <v>2912</v>
      </c>
      <c r="J122" s="174"/>
      <c r="K122" s="252" t="s">
        <v>1952</v>
      </c>
      <c r="L122" s="174"/>
      <c r="M122" s="174"/>
      <c r="N122" s="252" t="s">
        <v>1975</v>
      </c>
      <c r="O122" s="253" t="s">
        <v>2909</v>
      </c>
    </row>
    <row r="123" spans="1:15" ht="16.149999999999999" customHeight="1" x14ac:dyDescent="0.25">
      <c r="A123" s="172">
        <v>43347</v>
      </c>
      <c r="B123" s="175" t="s">
        <v>49</v>
      </c>
      <c r="C123" s="254" t="s">
        <v>2897</v>
      </c>
      <c r="D123" s="254" t="s">
        <v>2908</v>
      </c>
      <c r="E123" s="254" t="s">
        <v>1959</v>
      </c>
      <c r="F123" s="254" t="s">
        <v>1952</v>
      </c>
      <c r="G123" s="254" t="s">
        <v>2909</v>
      </c>
      <c r="H123" s="254" t="s">
        <v>2931</v>
      </c>
      <c r="I123" s="254" t="s">
        <v>1934</v>
      </c>
      <c r="J123" s="176"/>
      <c r="K123" s="254" t="s">
        <v>1952</v>
      </c>
      <c r="L123" s="176"/>
      <c r="M123" s="176"/>
      <c r="N123" s="254" t="s">
        <v>2889</v>
      </c>
      <c r="O123" s="255" t="s">
        <v>2909</v>
      </c>
    </row>
    <row r="124" spans="1:15" ht="16.149999999999999" customHeight="1" x14ac:dyDescent="0.25">
      <c r="A124" s="172">
        <v>43346</v>
      </c>
      <c r="B124" s="173" t="s">
        <v>49</v>
      </c>
      <c r="C124" s="252" t="s">
        <v>1826</v>
      </c>
      <c r="D124" s="252" t="s">
        <v>2885</v>
      </c>
      <c r="E124" s="252" t="s">
        <v>1959</v>
      </c>
      <c r="F124" s="252" t="s">
        <v>1971</v>
      </c>
      <c r="G124" s="252" t="s">
        <v>2885</v>
      </c>
      <c r="H124" s="252" t="s">
        <v>2908</v>
      </c>
      <c r="I124" s="252" t="s">
        <v>1952</v>
      </c>
      <c r="J124" s="174"/>
      <c r="K124" s="252" t="s">
        <v>1952</v>
      </c>
      <c r="L124" s="174"/>
      <c r="M124" s="174"/>
      <c r="N124" s="252" t="s">
        <v>1959</v>
      </c>
      <c r="O124" s="253" t="s">
        <v>2909</v>
      </c>
    </row>
    <row r="125" spans="1:15" ht="16.149999999999999" customHeight="1" x14ac:dyDescent="0.25">
      <c r="A125" s="172">
        <v>43343</v>
      </c>
      <c r="B125" s="175" t="s">
        <v>49</v>
      </c>
      <c r="C125" s="254" t="s">
        <v>1826</v>
      </c>
      <c r="D125" s="254" t="s">
        <v>2885</v>
      </c>
      <c r="E125" s="254" t="s">
        <v>1959</v>
      </c>
      <c r="F125" s="254" t="s">
        <v>2912</v>
      </c>
      <c r="G125" s="254" t="s">
        <v>2885</v>
      </c>
      <c r="H125" s="254" t="s">
        <v>1952</v>
      </c>
      <c r="I125" s="254" t="s">
        <v>2885</v>
      </c>
      <c r="J125" s="176"/>
      <c r="K125" s="254" t="s">
        <v>1952</v>
      </c>
      <c r="L125" s="176"/>
      <c r="M125" s="176"/>
      <c r="N125" s="254" t="s">
        <v>1947</v>
      </c>
      <c r="O125" s="255" t="s">
        <v>2909</v>
      </c>
    </row>
    <row r="126" spans="1:15" ht="16.149999999999999" customHeight="1" x14ac:dyDescent="0.25">
      <c r="A126" s="172">
        <v>43342</v>
      </c>
      <c r="B126" s="173" t="s">
        <v>49</v>
      </c>
      <c r="C126" s="252" t="s">
        <v>2894</v>
      </c>
      <c r="D126" s="252" t="s">
        <v>2909</v>
      </c>
      <c r="E126" s="252" t="s">
        <v>1937</v>
      </c>
      <c r="F126" s="252" t="s">
        <v>1971</v>
      </c>
      <c r="G126" s="252" t="s">
        <v>2909</v>
      </c>
      <c r="H126" s="252" t="s">
        <v>2909</v>
      </c>
      <c r="I126" s="252" t="s">
        <v>1971</v>
      </c>
      <c r="J126" s="174"/>
      <c r="K126" s="252" t="s">
        <v>1952</v>
      </c>
      <c r="L126" s="174"/>
      <c r="M126" s="174"/>
      <c r="N126" s="252" t="s">
        <v>1936</v>
      </c>
      <c r="O126" s="253" t="s">
        <v>2909</v>
      </c>
    </row>
    <row r="127" spans="1:15" ht="16.149999999999999" customHeight="1" x14ac:dyDescent="0.25">
      <c r="A127" s="172">
        <v>43341</v>
      </c>
      <c r="B127" s="175" t="s">
        <v>49</v>
      </c>
      <c r="C127" s="254" t="s">
        <v>2894</v>
      </c>
      <c r="D127" s="254" t="s">
        <v>2909</v>
      </c>
      <c r="E127" s="254" t="s">
        <v>1937</v>
      </c>
      <c r="F127" s="254" t="s">
        <v>1952</v>
      </c>
      <c r="G127" s="254" t="s">
        <v>2908</v>
      </c>
      <c r="H127" s="254" t="s">
        <v>2909</v>
      </c>
      <c r="I127" s="254" t="s">
        <v>1971</v>
      </c>
      <c r="J127" s="176"/>
      <c r="K127" s="254" t="s">
        <v>1952</v>
      </c>
      <c r="L127" s="176"/>
      <c r="M127" s="176"/>
      <c r="N127" s="254" t="s">
        <v>1975</v>
      </c>
      <c r="O127" s="255" t="s">
        <v>2909</v>
      </c>
    </row>
    <row r="128" spans="1:15" ht="16.149999999999999" customHeight="1" x14ac:dyDescent="0.25">
      <c r="A128" s="172">
        <v>43340</v>
      </c>
      <c r="B128" s="173" t="s">
        <v>49</v>
      </c>
      <c r="C128" s="252" t="s">
        <v>2894</v>
      </c>
      <c r="D128" s="252" t="s">
        <v>2909</v>
      </c>
      <c r="E128" s="252" t="s">
        <v>1937</v>
      </c>
      <c r="F128" s="252" t="s">
        <v>1971</v>
      </c>
      <c r="G128" s="252" t="s">
        <v>2909</v>
      </c>
      <c r="H128" s="252" t="s">
        <v>2885</v>
      </c>
      <c r="I128" s="252" t="s">
        <v>1978</v>
      </c>
      <c r="J128" s="174"/>
      <c r="K128" s="252" t="s">
        <v>1952</v>
      </c>
      <c r="L128" s="174"/>
      <c r="M128" s="174"/>
      <c r="N128" s="252" t="s">
        <v>2889</v>
      </c>
      <c r="O128" s="253" t="s">
        <v>2909</v>
      </c>
    </row>
    <row r="129" spans="1:15" ht="16.149999999999999" customHeight="1" x14ac:dyDescent="0.25">
      <c r="A129" s="172">
        <v>43339</v>
      </c>
      <c r="B129" s="175" t="s">
        <v>49</v>
      </c>
      <c r="C129" s="254" t="s">
        <v>2894</v>
      </c>
      <c r="D129" s="254" t="s">
        <v>2909</v>
      </c>
      <c r="E129" s="254" t="s">
        <v>1937</v>
      </c>
      <c r="F129" s="254" t="s">
        <v>1951</v>
      </c>
      <c r="G129" s="254" t="s">
        <v>2909</v>
      </c>
      <c r="H129" s="254" t="s">
        <v>2931</v>
      </c>
      <c r="I129" s="254" t="s">
        <v>2885</v>
      </c>
      <c r="J129" s="176"/>
      <c r="K129" s="254" t="s">
        <v>1952</v>
      </c>
      <c r="L129" s="176"/>
      <c r="M129" s="176"/>
      <c r="N129" s="254" t="s">
        <v>2809</v>
      </c>
      <c r="O129" s="255" t="s">
        <v>2909</v>
      </c>
    </row>
    <row r="130" spans="1:15" ht="16.149999999999999" customHeight="1" x14ac:dyDescent="0.25">
      <c r="A130" s="172">
        <v>43336</v>
      </c>
      <c r="B130" s="173" t="s">
        <v>49</v>
      </c>
      <c r="C130" s="252" t="s">
        <v>2894</v>
      </c>
      <c r="D130" s="252" t="s">
        <v>2909</v>
      </c>
      <c r="E130" s="252" t="s">
        <v>1937</v>
      </c>
      <c r="F130" s="252" t="s">
        <v>2912</v>
      </c>
      <c r="G130" s="252" t="s">
        <v>2909</v>
      </c>
      <c r="H130" s="252" t="s">
        <v>1952</v>
      </c>
      <c r="I130" s="252" t="s">
        <v>1978</v>
      </c>
      <c r="J130" s="174"/>
      <c r="K130" s="252" t="s">
        <v>2885</v>
      </c>
      <c r="L130" s="174"/>
      <c r="M130" s="174"/>
      <c r="N130" s="252" t="s">
        <v>1959</v>
      </c>
      <c r="O130" s="253" t="s">
        <v>2909</v>
      </c>
    </row>
    <row r="131" spans="1:15" ht="16.149999999999999" customHeight="1" x14ac:dyDescent="0.25">
      <c r="A131" s="172">
        <v>43335</v>
      </c>
      <c r="B131" s="175" t="s">
        <v>49</v>
      </c>
      <c r="C131" s="254" t="s">
        <v>2894</v>
      </c>
      <c r="D131" s="254" t="s">
        <v>2909</v>
      </c>
      <c r="E131" s="254" t="s">
        <v>1937</v>
      </c>
      <c r="F131" s="254" t="s">
        <v>1978</v>
      </c>
      <c r="G131" s="254" t="s">
        <v>2909</v>
      </c>
      <c r="H131" s="254" t="s">
        <v>1952</v>
      </c>
      <c r="I131" s="254" t="s">
        <v>2885</v>
      </c>
      <c r="J131" s="176"/>
      <c r="K131" s="254" t="s">
        <v>1952</v>
      </c>
      <c r="L131" s="176"/>
      <c r="M131" s="176"/>
      <c r="N131" s="254" t="s">
        <v>1969</v>
      </c>
      <c r="O131" s="255" t="s">
        <v>2909</v>
      </c>
    </row>
    <row r="132" spans="1:15" ht="16.149999999999999" customHeight="1" x14ac:dyDescent="0.25">
      <c r="A132" s="172">
        <v>43334</v>
      </c>
      <c r="B132" s="173" t="s">
        <v>49</v>
      </c>
      <c r="C132" s="252" t="s">
        <v>1826</v>
      </c>
      <c r="D132" s="252" t="s">
        <v>2885</v>
      </c>
      <c r="E132" s="252" t="s">
        <v>1937</v>
      </c>
      <c r="F132" s="252" t="s">
        <v>2912</v>
      </c>
      <c r="G132" s="252" t="s">
        <v>1971</v>
      </c>
      <c r="H132" s="252" t="s">
        <v>2908</v>
      </c>
      <c r="I132" s="252" t="s">
        <v>2885</v>
      </c>
      <c r="J132" s="174"/>
      <c r="K132" s="252" t="s">
        <v>1939</v>
      </c>
      <c r="L132" s="174"/>
      <c r="M132" s="174"/>
      <c r="N132" s="252" t="s">
        <v>2889</v>
      </c>
      <c r="O132" s="253" t="s">
        <v>2909</v>
      </c>
    </row>
    <row r="133" spans="1:15" ht="16.149999999999999" customHeight="1" x14ac:dyDescent="0.25">
      <c r="A133" s="172">
        <v>43333</v>
      </c>
      <c r="B133" s="175" t="s">
        <v>49</v>
      </c>
      <c r="C133" s="254" t="s">
        <v>2894</v>
      </c>
      <c r="D133" s="254" t="s">
        <v>2909</v>
      </c>
      <c r="E133" s="254" t="s">
        <v>1937</v>
      </c>
      <c r="F133" s="254" t="s">
        <v>1978</v>
      </c>
      <c r="G133" s="254" t="s">
        <v>2885</v>
      </c>
      <c r="H133" s="254" t="s">
        <v>1952</v>
      </c>
      <c r="I133" s="254" t="s">
        <v>2908</v>
      </c>
      <c r="J133" s="176"/>
      <c r="K133" s="254" t="s">
        <v>1952</v>
      </c>
      <c r="L133" s="176"/>
      <c r="M133" s="176"/>
      <c r="N133" s="254" t="s">
        <v>1948</v>
      </c>
      <c r="O133" s="255" t="s">
        <v>2909</v>
      </c>
    </row>
    <row r="134" spans="1:15" ht="16.149999999999999" customHeight="1" x14ac:dyDescent="0.25">
      <c r="A134" s="172">
        <v>43329</v>
      </c>
      <c r="B134" s="173" t="s">
        <v>49</v>
      </c>
      <c r="C134" s="252" t="s">
        <v>2894</v>
      </c>
      <c r="D134" s="252" t="s">
        <v>2909</v>
      </c>
      <c r="E134" s="252" t="s">
        <v>1937</v>
      </c>
      <c r="F134" s="252" t="s">
        <v>1951</v>
      </c>
      <c r="G134" s="252" t="s">
        <v>2885</v>
      </c>
      <c r="H134" s="252" t="s">
        <v>1952</v>
      </c>
      <c r="I134" s="252" t="s">
        <v>2885</v>
      </c>
      <c r="J134" s="174"/>
      <c r="K134" s="252" t="s">
        <v>1952</v>
      </c>
      <c r="L134" s="174"/>
      <c r="M134" s="174"/>
      <c r="N134" s="252" t="s">
        <v>1970</v>
      </c>
      <c r="O134" s="253" t="s">
        <v>2909</v>
      </c>
    </row>
    <row r="135" spans="1:15" ht="16.149999999999999" customHeight="1" x14ac:dyDescent="0.25">
      <c r="A135" s="172">
        <v>43328</v>
      </c>
      <c r="B135" s="175" t="s">
        <v>49</v>
      </c>
      <c r="C135" s="254" t="s">
        <v>2913</v>
      </c>
      <c r="D135" s="254" t="s">
        <v>2912</v>
      </c>
      <c r="E135" s="254" t="s">
        <v>1964</v>
      </c>
      <c r="F135" s="254" t="s">
        <v>1951</v>
      </c>
      <c r="G135" s="254" t="s">
        <v>2885</v>
      </c>
      <c r="H135" s="254" t="s">
        <v>1971</v>
      </c>
      <c r="I135" s="254" t="s">
        <v>1940</v>
      </c>
      <c r="J135" s="176"/>
      <c r="K135" s="254" t="s">
        <v>1978</v>
      </c>
      <c r="L135" s="176"/>
      <c r="M135" s="176"/>
      <c r="N135" s="254" t="s">
        <v>1939</v>
      </c>
      <c r="O135" s="255" t="s">
        <v>2909</v>
      </c>
    </row>
    <row r="136" spans="1:15" ht="16.149999999999999" customHeight="1" x14ac:dyDescent="0.25">
      <c r="A136" s="172">
        <v>43327</v>
      </c>
      <c r="B136" s="173" t="s">
        <v>49</v>
      </c>
      <c r="C136" s="252" t="s">
        <v>2894</v>
      </c>
      <c r="D136" s="252" t="s">
        <v>2909</v>
      </c>
      <c r="E136" s="252" t="s">
        <v>1964</v>
      </c>
      <c r="F136" s="252" t="s">
        <v>1940</v>
      </c>
      <c r="G136" s="252" t="s">
        <v>2885</v>
      </c>
      <c r="H136" s="252" t="s">
        <v>1952</v>
      </c>
      <c r="I136" s="252" t="s">
        <v>2908</v>
      </c>
      <c r="J136" s="174"/>
      <c r="K136" s="252" t="s">
        <v>1978</v>
      </c>
      <c r="L136" s="174"/>
      <c r="M136" s="174"/>
      <c r="N136" s="252" t="s">
        <v>1939</v>
      </c>
      <c r="O136" s="253" t="s">
        <v>2909</v>
      </c>
    </row>
    <row r="137" spans="1:15" ht="16.149999999999999" customHeight="1" x14ac:dyDescent="0.25">
      <c r="A137" s="172">
        <v>43326</v>
      </c>
      <c r="B137" s="175" t="s">
        <v>49</v>
      </c>
      <c r="C137" s="254" t="s">
        <v>2818</v>
      </c>
      <c r="D137" s="254" t="s">
        <v>1952</v>
      </c>
      <c r="E137" s="254" t="s">
        <v>1964</v>
      </c>
      <c r="F137" s="254" t="s">
        <v>1940</v>
      </c>
      <c r="G137" s="254" t="s">
        <v>2885</v>
      </c>
      <c r="H137" s="254" t="s">
        <v>1952</v>
      </c>
      <c r="I137" s="254" t="s">
        <v>2886</v>
      </c>
      <c r="J137" s="176"/>
      <c r="K137" s="254" t="s">
        <v>1952</v>
      </c>
      <c r="L137" s="176"/>
      <c r="M137" s="176"/>
      <c r="N137" s="254" t="s">
        <v>2889</v>
      </c>
      <c r="O137" s="255" t="s">
        <v>2909</v>
      </c>
    </row>
    <row r="138" spans="1:15" ht="16.149999999999999" customHeight="1" x14ac:dyDescent="0.25">
      <c r="A138" s="172">
        <v>43325</v>
      </c>
      <c r="B138" s="173" t="s">
        <v>49</v>
      </c>
      <c r="C138" s="252" t="s">
        <v>2894</v>
      </c>
      <c r="D138" s="252" t="s">
        <v>2909</v>
      </c>
      <c r="E138" s="252" t="s">
        <v>1964</v>
      </c>
      <c r="F138" s="252" t="s">
        <v>1980</v>
      </c>
      <c r="G138" s="252" t="s">
        <v>2909</v>
      </c>
      <c r="H138" s="252" t="s">
        <v>1952</v>
      </c>
      <c r="I138" s="252" t="s">
        <v>2909</v>
      </c>
      <c r="J138" s="174"/>
      <c r="K138" s="252" t="s">
        <v>1940</v>
      </c>
      <c r="L138" s="174"/>
      <c r="M138" s="174"/>
      <c r="N138" s="252" t="s">
        <v>1939</v>
      </c>
      <c r="O138" s="253" t="s">
        <v>2909</v>
      </c>
    </row>
    <row r="139" spans="1:15" ht="16.149999999999999" customHeight="1" x14ac:dyDescent="0.25">
      <c r="A139" s="172">
        <v>43322</v>
      </c>
      <c r="B139" s="175" t="s">
        <v>49</v>
      </c>
      <c r="C139" s="254" t="s">
        <v>2819</v>
      </c>
      <c r="D139" s="254" t="s">
        <v>2912</v>
      </c>
      <c r="E139" s="254" t="s">
        <v>1964</v>
      </c>
      <c r="F139" s="254" t="s">
        <v>1940</v>
      </c>
      <c r="G139" s="254" t="s">
        <v>2908</v>
      </c>
      <c r="H139" s="254" t="s">
        <v>1940</v>
      </c>
      <c r="I139" s="254" t="s">
        <v>1952</v>
      </c>
      <c r="J139" s="176"/>
      <c r="K139" s="254" t="s">
        <v>1940</v>
      </c>
      <c r="L139" s="176"/>
      <c r="M139" s="176"/>
      <c r="N139" s="254" t="s">
        <v>1939</v>
      </c>
      <c r="O139" s="255" t="s">
        <v>2909</v>
      </c>
    </row>
    <row r="140" spans="1:15" ht="16.149999999999999" customHeight="1" x14ac:dyDescent="0.25">
      <c r="A140" s="172">
        <v>43321</v>
      </c>
      <c r="B140" s="173" t="s">
        <v>49</v>
      </c>
      <c r="C140" s="252" t="s">
        <v>2819</v>
      </c>
      <c r="D140" s="252" t="s">
        <v>1978</v>
      </c>
      <c r="E140" s="252" t="s">
        <v>1964</v>
      </c>
      <c r="F140" s="252" t="s">
        <v>2857</v>
      </c>
      <c r="G140" s="252" t="s">
        <v>1971</v>
      </c>
      <c r="H140" s="252" t="s">
        <v>1940</v>
      </c>
      <c r="I140" s="252" t="s">
        <v>1971</v>
      </c>
      <c r="J140" s="174"/>
      <c r="K140" s="252" t="s">
        <v>1940</v>
      </c>
      <c r="L140" s="174"/>
      <c r="M140" s="174"/>
      <c r="N140" s="252" t="s">
        <v>1939</v>
      </c>
      <c r="O140" s="253" t="s">
        <v>2909</v>
      </c>
    </row>
    <row r="141" spans="1:15" ht="16.149999999999999" customHeight="1" x14ac:dyDescent="0.25">
      <c r="A141" s="172">
        <v>43320</v>
      </c>
      <c r="B141" s="175" t="s">
        <v>49</v>
      </c>
      <c r="C141" s="254" t="s">
        <v>2821</v>
      </c>
      <c r="D141" s="254" t="s">
        <v>2886</v>
      </c>
      <c r="E141" s="254" t="s">
        <v>1964</v>
      </c>
      <c r="F141" s="254" t="s">
        <v>1964</v>
      </c>
      <c r="G141" s="254" t="s">
        <v>1980</v>
      </c>
      <c r="H141" s="254" t="s">
        <v>2886</v>
      </c>
      <c r="I141" s="254" t="s">
        <v>1951</v>
      </c>
      <c r="J141" s="176"/>
      <c r="K141" s="254" t="s">
        <v>1964</v>
      </c>
      <c r="L141" s="176"/>
      <c r="M141" s="176"/>
      <c r="N141" s="254" t="s">
        <v>1939</v>
      </c>
      <c r="O141" s="255" t="s">
        <v>1940</v>
      </c>
    </row>
    <row r="142" spans="1:15" ht="16.149999999999999" customHeight="1" x14ac:dyDescent="0.25">
      <c r="A142" s="172">
        <v>43318</v>
      </c>
      <c r="B142" s="173" t="s">
        <v>49</v>
      </c>
      <c r="C142" s="252" t="s">
        <v>1904</v>
      </c>
      <c r="D142" s="252" t="s">
        <v>1980</v>
      </c>
      <c r="E142" s="252" t="s">
        <v>1964</v>
      </c>
      <c r="F142" s="252" t="s">
        <v>2013</v>
      </c>
      <c r="G142" s="252" t="s">
        <v>1952</v>
      </c>
      <c r="H142" s="252" t="s">
        <v>1964</v>
      </c>
      <c r="I142" s="252" t="s">
        <v>2857</v>
      </c>
      <c r="J142" s="174"/>
      <c r="K142" s="252" t="s">
        <v>1940</v>
      </c>
      <c r="L142" s="174"/>
      <c r="M142" s="174"/>
      <c r="N142" s="252" t="s">
        <v>1940</v>
      </c>
      <c r="O142" s="253" t="s">
        <v>1940</v>
      </c>
    </row>
    <row r="143" spans="1:15" ht="16.149999999999999" customHeight="1" x14ac:dyDescent="0.25">
      <c r="A143" s="172">
        <v>43315</v>
      </c>
      <c r="B143" s="175" t="s">
        <v>49</v>
      </c>
      <c r="C143" s="254" t="s">
        <v>2913</v>
      </c>
      <c r="D143" s="254" t="s">
        <v>1971</v>
      </c>
      <c r="E143" s="254" t="s">
        <v>1964</v>
      </c>
      <c r="F143" s="254" t="s">
        <v>1940</v>
      </c>
      <c r="G143" s="254" t="s">
        <v>1971</v>
      </c>
      <c r="H143" s="254" t="s">
        <v>1971</v>
      </c>
      <c r="I143" s="254" t="s">
        <v>2909</v>
      </c>
      <c r="J143" s="176"/>
      <c r="K143" s="254" t="s">
        <v>1940</v>
      </c>
      <c r="L143" s="176"/>
      <c r="M143" s="176"/>
      <c r="N143" s="254" t="s">
        <v>1959</v>
      </c>
      <c r="O143" s="255" t="s">
        <v>2885</v>
      </c>
    </row>
    <row r="144" spans="1:15" ht="16.149999999999999" customHeight="1" x14ac:dyDescent="0.25">
      <c r="A144" s="172">
        <v>43314</v>
      </c>
      <c r="B144" s="173" t="s">
        <v>49</v>
      </c>
      <c r="C144" s="252" t="s">
        <v>2819</v>
      </c>
      <c r="D144" s="252" t="s">
        <v>1978</v>
      </c>
      <c r="E144" s="252" t="s">
        <v>1964</v>
      </c>
      <c r="F144" s="252" t="s">
        <v>1951</v>
      </c>
      <c r="G144" s="252" t="s">
        <v>1952</v>
      </c>
      <c r="H144" s="252" t="s">
        <v>1978</v>
      </c>
      <c r="I144" s="252" t="s">
        <v>2886</v>
      </c>
      <c r="J144" s="174"/>
      <c r="K144" s="252" t="s">
        <v>1940</v>
      </c>
      <c r="L144" s="174"/>
      <c r="M144" s="174"/>
      <c r="N144" s="252" t="s">
        <v>1939</v>
      </c>
      <c r="O144" s="253" t="s">
        <v>2909</v>
      </c>
    </row>
    <row r="145" spans="1:15" ht="16.149999999999999" customHeight="1" x14ac:dyDescent="0.25">
      <c r="A145" s="172">
        <v>43313</v>
      </c>
      <c r="B145" s="175" t="s">
        <v>49</v>
      </c>
      <c r="C145" s="254" t="s">
        <v>2896</v>
      </c>
      <c r="D145" s="254" t="s">
        <v>1971</v>
      </c>
      <c r="E145" s="254" t="s">
        <v>1964</v>
      </c>
      <c r="F145" s="254" t="s">
        <v>1940</v>
      </c>
      <c r="G145" s="254" t="s">
        <v>1952</v>
      </c>
      <c r="H145" s="254" t="s">
        <v>2912</v>
      </c>
      <c r="I145" s="254" t="s">
        <v>2909</v>
      </c>
      <c r="J145" s="176"/>
      <c r="K145" s="254" t="s">
        <v>1940</v>
      </c>
      <c r="L145" s="176"/>
      <c r="M145" s="176"/>
      <c r="N145" s="254" t="s">
        <v>1939</v>
      </c>
      <c r="O145" s="255" t="s">
        <v>2909</v>
      </c>
    </row>
    <row r="146" spans="1:15" ht="16.149999999999999" customHeight="1" x14ac:dyDescent="0.25">
      <c r="A146" s="172">
        <v>43312</v>
      </c>
      <c r="B146" s="173" t="s">
        <v>49</v>
      </c>
      <c r="C146" s="252" t="s">
        <v>2913</v>
      </c>
      <c r="D146" s="252" t="s">
        <v>2912</v>
      </c>
      <c r="E146" s="252" t="s">
        <v>1964</v>
      </c>
      <c r="F146" s="252" t="s">
        <v>1964</v>
      </c>
      <c r="G146" s="252" t="s">
        <v>1952</v>
      </c>
      <c r="H146" s="252" t="s">
        <v>1952</v>
      </c>
      <c r="I146" s="252" t="s">
        <v>2960</v>
      </c>
      <c r="J146" s="174"/>
      <c r="K146" s="252" t="s">
        <v>1940</v>
      </c>
      <c r="L146" s="174"/>
      <c r="M146" s="174"/>
      <c r="N146" s="252" t="s">
        <v>2880</v>
      </c>
      <c r="O146" s="253" t="s">
        <v>2909</v>
      </c>
    </row>
    <row r="147" spans="1:15" ht="16.149999999999999" customHeight="1" x14ac:dyDescent="0.25">
      <c r="A147" s="172">
        <v>43311</v>
      </c>
      <c r="B147" s="175" t="s">
        <v>49</v>
      </c>
      <c r="C147" s="254" t="s">
        <v>2819</v>
      </c>
      <c r="D147" s="254" t="s">
        <v>1978</v>
      </c>
      <c r="E147" s="254" t="s">
        <v>1937</v>
      </c>
      <c r="F147" s="254" t="s">
        <v>2013</v>
      </c>
      <c r="G147" s="254" t="s">
        <v>2912</v>
      </c>
      <c r="H147" s="254" t="s">
        <v>1940</v>
      </c>
      <c r="I147" s="254" t="s">
        <v>2885</v>
      </c>
      <c r="J147" s="176"/>
      <c r="K147" s="254" t="s">
        <v>2960</v>
      </c>
      <c r="L147" s="176"/>
      <c r="M147" s="176"/>
      <c r="N147" s="254" t="s">
        <v>2967</v>
      </c>
      <c r="O147" s="255" t="s">
        <v>2909</v>
      </c>
    </row>
    <row r="148" spans="1:15" ht="16.149999999999999" customHeight="1" x14ac:dyDescent="0.25">
      <c r="A148" s="172">
        <v>43308</v>
      </c>
      <c r="B148" s="173" t="s">
        <v>49</v>
      </c>
      <c r="C148" s="252" t="s">
        <v>1911</v>
      </c>
      <c r="D148" s="252" t="s">
        <v>1980</v>
      </c>
      <c r="E148" s="252" t="s">
        <v>1937</v>
      </c>
      <c r="F148" s="252" t="s">
        <v>1964</v>
      </c>
      <c r="G148" s="252" t="s">
        <v>1980</v>
      </c>
      <c r="H148" s="252" t="s">
        <v>1940</v>
      </c>
      <c r="I148" s="252" t="s">
        <v>2857</v>
      </c>
      <c r="J148" s="174"/>
      <c r="K148" s="252" t="s">
        <v>1980</v>
      </c>
      <c r="L148" s="174"/>
      <c r="M148" s="174"/>
      <c r="N148" s="252" t="s">
        <v>1946</v>
      </c>
      <c r="O148" s="253" t="s">
        <v>2909</v>
      </c>
    </row>
    <row r="149" spans="1:15" ht="16.149999999999999" customHeight="1" x14ac:dyDescent="0.25">
      <c r="A149" s="172">
        <v>43307</v>
      </c>
      <c r="B149" s="175" t="s">
        <v>49</v>
      </c>
      <c r="C149" s="254" t="s">
        <v>1904</v>
      </c>
      <c r="D149" s="254" t="s">
        <v>1980</v>
      </c>
      <c r="E149" s="254" t="s">
        <v>1937</v>
      </c>
      <c r="F149" s="254" t="s">
        <v>2857</v>
      </c>
      <c r="G149" s="254" t="s">
        <v>1980</v>
      </c>
      <c r="H149" s="254" t="s">
        <v>1980</v>
      </c>
      <c r="I149" s="254" t="s">
        <v>1978</v>
      </c>
      <c r="J149" s="176"/>
      <c r="K149" s="254" t="s">
        <v>1980</v>
      </c>
      <c r="L149" s="176"/>
      <c r="M149" s="176"/>
      <c r="N149" s="254" t="s">
        <v>1936</v>
      </c>
      <c r="O149" s="255" t="s">
        <v>2909</v>
      </c>
    </row>
    <row r="150" spans="1:15" ht="16.149999999999999" customHeight="1" x14ac:dyDescent="0.25">
      <c r="A150" s="172">
        <v>43306</v>
      </c>
      <c r="B150" s="173" t="s">
        <v>49</v>
      </c>
      <c r="C150" s="252" t="s">
        <v>1904</v>
      </c>
      <c r="D150" s="252" t="s">
        <v>1980</v>
      </c>
      <c r="E150" s="252" t="s">
        <v>1937</v>
      </c>
      <c r="F150" s="252" t="s">
        <v>1964</v>
      </c>
      <c r="G150" s="252" t="s">
        <v>1951</v>
      </c>
      <c r="H150" s="252" t="s">
        <v>1940</v>
      </c>
      <c r="I150" s="252" t="s">
        <v>2887</v>
      </c>
      <c r="J150" s="174"/>
      <c r="K150" s="252" t="s">
        <v>1964</v>
      </c>
      <c r="L150" s="174"/>
      <c r="M150" s="174"/>
      <c r="N150" s="252" t="s">
        <v>2912</v>
      </c>
      <c r="O150" s="253" t="s">
        <v>2909</v>
      </c>
    </row>
    <row r="151" spans="1:15" ht="16.149999999999999" customHeight="1" x14ac:dyDescent="0.25">
      <c r="A151" s="172">
        <v>43305</v>
      </c>
      <c r="B151" s="175" t="s">
        <v>49</v>
      </c>
      <c r="C151" s="254" t="s">
        <v>2819</v>
      </c>
      <c r="D151" s="254" t="s">
        <v>1978</v>
      </c>
      <c r="E151" s="254" t="s">
        <v>1937</v>
      </c>
      <c r="F151" s="254" t="s">
        <v>1940</v>
      </c>
      <c r="G151" s="254" t="s">
        <v>1952</v>
      </c>
      <c r="H151" s="254" t="s">
        <v>1978</v>
      </c>
      <c r="I151" s="254" t="s">
        <v>2908</v>
      </c>
      <c r="J151" s="176"/>
      <c r="K151" s="254" t="s">
        <v>1964</v>
      </c>
      <c r="L151" s="176"/>
      <c r="M151" s="176"/>
      <c r="N151" s="254" t="s">
        <v>1978</v>
      </c>
      <c r="O151" s="255" t="s">
        <v>2909</v>
      </c>
    </row>
    <row r="152" spans="1:15" ht="16.149999999999999" customHeight="1" x14ac:dyDescent="0.25">
      <c r="A152" s="172">
        <v>43304</v>
      </c>
      <c r="B152" s="173" t="s">
        <v>49</v>
      </c>
      <c r="C152" s="252" t="s">
        <v>2896</v>
      </c>
      <c r="D152" s="252" t="s">
        <v>1971</v>
      </c>
      <c r="E152" s="252" t="s">
        <v>1937</v>
      </c>
      <c r="F152" s="252" t="s">
        <v>2886</v>
      </c>
      <c r="G152" s="252" t="s">
        <v>1978</v>
      </c>
      <c r="H152" s="252" t="s">
        <v>2912</v>
      </c>
      <c r="I152" s="252" t="s">
        <v>1952</v>
      </c>
      <c r="J152" s="174"/>
      <c r="K152" s="252" t="s">
        <v>1952</v>
      </c>
      <c r="L152" s="174"/>
      <c r="M152" s="174"/>
      <c r="N152" s="252" t="s">
        <v>1948</v>
      </c>
      <c r="O152" s="253" t="s">
        <v>2909</v>
      </c>
    </row>
    <row r="153" spans="1:15" ht="16.149999999999999" customHeight="1" x14ac:dyDescent="0.25">
      <c r="A153" s="172">
        <v>43300</v>
      </c>
      <c r="B153" s="175" t="s">
        <v>49</v>
      </c>
      <c r="C153" s="254" t="s">
        <v>2884</v>
      </c>
      <c r="D153" s="256" t="s">
        <v>1940</v>
      </c>
      <c r="E153" s="254" t="s">
        <v>1964</v>
      </c>
      <c r="F153" s="254" t="s">
        <v>2857</v>
      </c>
      <c r="G153" s="254" t="s">
        <v>1940</v>
      </c>
      <c r="H153" s="254" t="s">
        <v>1978</v>
      </c>
      <c r="I153" s="254" t="s">
        <v>2857</v>
      </c>
      <c r="J153" s="176"/>
      <c r="K153" s="254" t="s">
        <v>1940</v>
      </c>
      <c r="L153" s="176"/>
      <c r="M153" s="176"/>
      <c r="N153" s="254" t="s">
        <v>1936</v>
      </c>
      <c r="O153" s="255" t="s">
        <v>2909</v>
      </c>
    </row>
    <row r="154" spans="1:15" ht="16.149999999999999" customHeight="1" x14ac:dyDescent="0.25">
      <c r="A154" s="172">
        <v>43299</v>
      </c>
      <c r="B154" s="173" t="s">
        <v>49</v>
      </c>
      <c r="C154" s="252" t="s">
        <v>1977</v>
      </c>
      <c r="D154" s="252" t="s">
        <v>1951</v>
      </c>
      <c r="E154" s="252" t="s">
        <v>1964</v>
      </c>
      <c r="F154" s="252" t="s">
        <v>1951</v>
      </c>
      <c r="G154" s="252" t="s">
        <v>1940</v>
      </c>
      <c r="H154" s="252" t="s">
        <v>2912</v>
      </c>
      <c r="I154" s="252" t="s">
        <v>2960</v>
      </c>
      <c r="J154" s="174"/>
      <c r="K154" s="252" t="s">
        <v>1940</v>
      </c>
      <c r="L154" s="174"/>
      <c r="M154" s="174"/>
      <c r="N154" s="252" t="s">
        <v>1936</v>
      </c>
      <c r="O154" s="253" t="s">
        <v>2909</v>
      </c>
    </row>
    <row r="155" spans="1:15" ht="16.149999999999999" customHeight="1" x14ac:dyDescent="0.25">
      <c r="A155" s="172">
        <v>43298</v>
      </c>
      <c r="B155" s="175" t="s">
        <v>49</v>
      </c>
      <c r="C155" s="254" t="s">
        <v>2913</v>
      </c>
      <c r="D155" s="254" t="s">
        <v>2912</v>
      </c>
      <c r="E155" s="254" t="s">
        <v>1937</v>
      </c>
      <c r="F155" s="254" t="s">
        <v>1940</v>
      </c>
      <c r="G155" s="254" t="s">
        <v>2908</v>
      </c>
      <c r="H155" s="254" t="s">
        <v>1952</v>
      </c>
      <c r="I155" s="254" t="s">
        <v>1980</v>
      </c>
      <c r="J155" s="176"/>
      <c r="K155" s="254" t="s">
        <v>1940</v>
      </c>
      <c r="L155" s="176"/>
      <c r="M155" s="176"/>
      <c r="N155" s="254" t="s">
        <v>2889</v>
      </c>
      <c r="O155" s="255" t="s">
        <v>2909</v>
      </c>
    </row>
    <row r="156" spans="1:15" ht="16.149999999999999" customHeight="1" x14ac:dyDescent="0.25">
      <c r="A156" s="172">
        <v>43297</v>
      </c>
      <c r="B156" s="173" t="s">
        <v>49</v>
      </c>
      <c r="C156" s="252" t="s">
        <v>2818</v>
      </c>
      <c r="D156" s="252" t="s">
        <v>1952</v>
      </c>
      <c r="E156" s="252" t="s">
        <v>1937</v>
      </c>
      <c r="F156" s="252" t="s">
        <v>1964</v>
      </c>
      <c r="G156" s="252" t="s">
        <v>1978</v>
      </c>
      <c r="H156" s="252" t="s">
        <v>1952</v>
      </c>
      <c r="I156" s="252" t="s">
        <v>2909</v>
      </c>
      <c r="J156" s="174"/>
      <c r="K156" s="252" t="s">
        <v>1952</v>
      </c>
      <c r="L156" s="174"/>
      <c r="M156" s="174"/>
      <c r="N156" s="252" t="s">
        <v>1948</v>
      </c>
      <c r="O156" s="253" t="s">
        <v>2909</v>
      </c>
    </row>
    <row r="157" spans="1:15" ht="16.149999999999999" customHeight="1" x14ac:dyDescent="0.25">
      <c r="A157" s="172">
        <v>43294</v>
      </c>
      <c r="B157" s="175" t="s">
        <v>49</v>
      </c>
      <c r="C157" s="254" t="s">
        <v>2884</v>
      </c>
      <c r="D157" s="254" t="s">
        <v>1951</v>
      </c>
      <c r="E157" s="254" t="s">
        <v>1937</v>
      </c>
      <c r="F157" s="254" t="s">
        <v>2887</v>
      </c>
      <c r="G157" s="254" t="s">
        <v>1951</v>
      </c>
      <c r="H157" s="254" t="s">
        <v>1940</v>
      </c>
      <c r="I157" s="254" t="s">
        <v>2960</v>
      </c>
      <c r="J157" s="176"/>
      <c r="K157" s="254" t="s">
        <v>1952</v>
      </c>
      <c r="L157" s="176"/>
      <c r="M157" s="176"/>
      <c r="N157" s="254" t="s">
        <v>1959</v>
      </c>
      <c r="O157" s="255" t="s">
        <v>2909</v>
      </c>
    </row>
    <row r="158" spans="1:15" ht="16.149999999999999" customHeight="1" x14ac:dyDescent="0.25">
      <c r="A158" s="172">
        <v>43293</v>
      </c>
      <c r="B158" s="173" t="s">
        <v>49</v>
      </c>
      <c r="C158" s="252" t="s">
        <v>2819</v>
      </c>
      <c r="D158" s="252" t="s">
        <v>1978</v>
      </c>
      <c r="E158" s="252" t="s">
        <v>2908</v>
      </c>
      <c r="F158" s="252" t="s">
        <v>2013</v>
      </c>
      <c r="G158" s="252" t="s">
        <v>1940</v>
      </c>
      <c r="H158" s="252" t="s">
        <v>1971</v>
      </c>
      <c r="I158" s="252" t="s">
        <v>1980</v>
      </c>
      <c r="J158" s="174"/>
      <c r="K158" s="252" t="s">
        <v>1937</v>
      </c>
      <c r="L158" s="174"/>
      <c r="M158" s="174"/>
      <c r="N158" s="252" t="s">
        <v>1971</v>
      </c>
      <c r="O158" s="253" t="s">
        <v>2909</v>
      </c>
    </row>
    <row r="159" spans="1:15" ht="16.149999999999999" customHeight="1" x14ac:dyDescent="0.25">
      <c r="A159" s="172">
        <v>43292</v>
      </c>
      <c r="B159" s="175" t="s">
        <v>49</v>
      </c>
      <c r="C159" s="254" t="s">
        <v>2913</v>
      </c>
      <c r="D159" s="254" t="s">
        <v>2912</v>
      </c>
      <c r="E159" s="254" t="s">
        <v>2908</v>
      </c>
      <c r="F159" s="254" t="s">
        <v>1964</v>
      </c>
      <c r="G159" s="254" t="s">
        <v>1951</v>
      </c>
      <c r="H159" s="254" t="s">
        <v>1952</v>
      </c>
      <c r="I159" s="254" t="s">
        <v>2857</v>
      </c>
      <c r="J159" s="176"/>
      <c r="K159" s="254" t="s">
        <v>1940</v>
      </c>
      <c r="L159" s="176"/>
      <c r="M159" s="176"/>
      <c r="N159" s="254" t="s">
        <v>2908</v>
      </c>
      <c r="O159" s="255" t="s">
        <v>2909</v>
      </c>
    </row>
    <row r="160" spans="1:15" ht="16.149999999999999" customHeight="1" x14ac:dyDescent="0.25">
      <c r="A160" s="172">
        <v>43291</v>
      </c>
      <c r="B160" s="173" t="s">
        <v>49</v>
      </c>
      <c r="C160" s="252" t="s">
        <v>2913</v>
      </c>
      <c r="D160" s="252" t="s">
        <v>2912</v>
      </c>
      <c r="E160" s="252" t="s">
        <v>1964</v>
      </c>
      <c r="F160" s="252" t="s">
        <v>2013</v>
      </c>
      <c r="G160" s="252" t="s">
        <v>1940</v>
      </c>
      <c r="H160" s="252" t="s">
        <v>2885</v>
      </c>
      <c r="I160" s="252" t="s">
        <v>2960</v>
      </c>
      <c r="J160" s="174"/>
      <c r="K160" s="252" t="s">
        <v>1952</v>
      </c>
      <c r="L160" s="174"/>
      <c r="M160" s="174"/>
      <c r="N160" s="252" t="s">
        <v>2889</v>
      </c>
      <c r="O160" s="253" t="s">
        <v>2909</v>
      </c>
    </row>
    <row r="161" spans="1:15" ht="16.149999999999999" customHeight="1" x14ac:dyDescent="0.25">
      <c r="A161" s="172">
        <v>43290</v>
      </c>
      <c r="B161" s="175" t="s">
        <v>49</v>
      </c>
      <c r="C161" s="254" t="s">
        <v>2818</v>
      </c>
      <c r="D161" s="254" t="s">
        <v>1952</v>
      </c>
      <c r="E161" s="254" t="s">
        <v>1964</v>
      </c>
      <c r="F161" s="254" t="s">
        <v>2857</v>
      </c>
      <c r="G161" s="254" t="s">
        <v>1952</v>
      </c>
      <c r="H161" s="254" t="s">
        <v>1939</v>
      </c>
      <c r="I161" s="254" t="s">
        <v>2886</v>
      </c>
      <c r="J161" s="176"/>
      <c r="K161" s="254" t="s">
        <v>1952</v>
      </c>
      <c r="L161" s="176"/>
      <c r="M161" s="176"/>
      <c r="N161" s="254" t="s">
        <v>1934</v>
      </c>
      <c r="O161" s="255" t="s">
        <v>2909</v>
      </c>
    </row>
    <row r="162" spans="1:15" ht="16.149999999999999" customHeight="1" x14ac:dyDescent="0.25">
      <c r="A162" s="172">
        <v>43287</v>
      </c>
      <c r="B162" s="173" t="s">
        <v>49</v>
      </c>
      <c r="C162" s="252" t="s">
        <v>2894</v>
      </c>
      <c r="D162" s="252" t="s">
        <v>2909</v>
      </c>
      <c r="E162" s="252" t="s">
        <v>1964</v>
      </c>
      <c r="F162" s="252" t="s">
        <v>2960</v>
      </c>
      <c r="G162" s="252" t="s">
        <v>1952</v>
      </c>
      <c r="H162" s="252" t="s">
        <v>2885</v>
      </c>
      <c r="I162" s="252" t="s">
        <v>1948</v>
      </c>
      <c r="J162" s="174"/>
      <c r="K162" s="252" t="s">
        <v>1940</v>
      </c>
      <c r="L162" s="174"/>
      <c r="M162" s="174"/>
      <c r="N162" s="252" t="s">
        <v>1959</v>
      </c>
      <c r="O162" s="253" t="s">
        <v>2909</v>
      </c>
    </row>
    <row r="163" spans="1:15" ht="16.149999999999999" customHeight="1" x14ac:dyDescent="0.25">
      <c r="A163" s="172">
        <v>43286</v>
      </c>
      <c r="B163" s="175" t="s">
        <v>49</v>
      </c>
      <c r="C163" s="254" t="s">
        <v>2894</v>
      </c>
      <c r="D163" s="254" t="s">
        <v>2909</v>
      </c>
      <c r="E163" s="254" t="s">
        <v>1964</v>
      </c>
      <c r="F163" s="254" t="s">
        <v>2887</v>
      </c>
      <c r="G163" s="254" t="s">
        <v>2909</v>
      </c>
      <c r="H163" s="254" t="s">
        <v>2885</v>
      </c>
      <c r="I163" s="254" t="s">
        <v>1948</v>
      </c>
      <c r="J163" s="176"/>
      <c r="K163" s="254" t="s">
        <v>1952</v>
      </c>
      <c r="L163" s="176"/>
      <c r="M163" s="176"/>
      <c r="N163" s="254" t="s">
        <v>1936</v>
      </c>
      <c r="O163" s="255" t="s">
        <v>2909</v>
      </c>
    </row>
    <row r="164" spans="1:15" ht="16.149999999999999" customHeight="1" x14ac:dyDescent="0.25">
      <c r="A164" s="172">
        <v>43285</v>
      </c>
      <c r="B164" s="173" t="s">
        <v>49</v>
      </c>
      <c r="C164" s="252" t="s">
        <v>1826</v>
      </c>
      <c r="D164" s="252" t="s">
        <v>2885</v>
      </c>
      <c r="E164" s="252" t="s">
        <v>1940</v>
      </c>
      <c r="F164" s="252" t="s">
        <v>1937</v>
      </c>
      <c r="G164" s="252" t="s">
        <v>2908</v>
      </c>
      <c r="H164" s="252" t="s">
        <v>2908</v>
      </c>
      <c r="I164" s="252" t="s">
        <v>2889</v>
      </c>
      <c r="J164" s="174"/>
      <c r="K164" s="252" t="s">
        <v>1952</v>
      </c>
      <c r="L164" s="174"/>
      <c r="M164" s="174"/>
      <c r="N164" s="252" t="s">
        <v>1975</v>
      </c>
      <c r="O164" s="253" t="s">
        <v>2909</v>
      </c>
    </row>
    <row r="165" spans="1:15" ht="16.149999999999999" customHeight="1" x14ac:dyDescent="0.25">
      <c r="A165" s="172">
        <v>43284</v>
      </c>
      <c r="B165" s="175" t="s">
        <v>49</v>
      </c>
      <c r="C165" s="254" t="s">
        <v>2899</v>
      </c>
      <c r="D165" s="254" t="s">
        <v>2908</v>
      </c>
      <c r="E165" s="254" t="s">
        <v>1940</v>
      </c>
      <c r="F165" s="254" t="s">
        <v>1973</v>
      </c>
      <c r="G165" s="254" t="s">
        <v>2931</v>
      </c>
      <c r="H165" s="254" t="s">
        <v>1939</v>
      </c>
      <c r="I165" s="254" t="s">
        <v>1975</v>
      </c>
      <c r="J165" s="176"/>
      <c r="K165" s="254" t="s">
        <v>1952</v>
      </c>
      <c r="L165" s="176"/>
      <c r="M165" s="176"/>
      <c r="N165" s="254" t="s">
        <v>2880</v>
      </c>
      <c r="O165" s="255" t="s">
        <v>2909</v>
      </c>
    </row>
    <row r="166" spans="1:15" ht="16.149999999999999" customHeight="1" x14ac:dyDescent="0.25">
      <c r="A166" s="172">
        <v>43280</v>
      </c>
      <c r="B166" s="173" t="s">
        <v>49</v>
      </c>
      <c r="C166" s="252" t="s">
        <v>2897</v>
      </c>
      <c r="D166" s="252" t="s">
        <v>2908</v>
      </c>
      <c r="E166" s="252" t="s">
        <v>1934</v>
      </c>
      <c r="F166" s="252" t="s">
        <v>1951</v>
      </c>
      <c r="G166" s="252" t="s">
        <v>1939</v>
      </c>
      <c r="H166" s="252" t="s">
        <v>2931</v>
      </c>
      <c r="I166" s="252" t="s">
        <v>1959</v>
      </c>
      <c r="J166" s="174"/>
      <c r="K166" s="252" t="s">
        <v>1940</v>
      </c>
      <c r="L166" s="174"/>
      <c r="M166" s="174"/>
      <c r="N166" s="252" t="s">
        <v>1952</v>
      </c>
      <c r="O166" s="253" t="s">
        <v>2909</v>
      </c>
    </row>
    <row r="167" spans="1:15" ht="16.149999999999999" customHeight="1" x14ac:dyDescent="0.25">
      <c r="A167" s="172">
        <v>43279</v>
      </c>
      <c r="B167" s="175" t="s">
        <v>49</v>
      </c>
      <c r="C167" s="254" t="s">
        <v>2897</v>
      </c>
      <c r="D167" s="254" t="s">
        <v>2931</v>
      </c>
      <c r="E167" s="254" t="s">
        <v>1934</v>
      </c>
      <c r="F167" s="254" t="s">
        <v>1940</v>
      </c>
      <c r="G167" s="254" t="s">
        <v>1939</v>
      </c>
      <c r="H167" s="254" t="s">
        <v>2908</v>
      </c>
      <c r="I167" s="254" t="s">
        <v>2889</v>
      </c>
      <c r="J167" s="176"/>
      <c r="K167" s="254" t="s">
        <v>1940</v>
      </c>
      <c r="L167" s="176"/>
      <c r="M167" s="176"/>
      <c r="N167" s="254" t="s">
        <v>1969</v>
      </c>
      <c r="O167" s="255" t="s">
        <v>2909</v>
      </c>
    </row>
    <row r="168" spans="1:15" ht="16.149999999999999" customHeight="1" x14ac:dyDescent="0.25">
      <c r="A168" s="172">
        <v>43278</v>
      </c>
      <c r="B168" s="173" t="s">
        <v>49</v>
      </c>
      <c r="C168" s="252" t="s">
        <v>2897</v>
      </c>
      <c r="D168" s="252" t="s">
        <v>2931</v>
      </c>
      <c r="E168" s="252" t="s">
        <v>1934</v>
      </c>
      <c r="F168" s="252" t="s">
        <v>1952</v>
      </c>
      <c r="G168" s="252" t="s">
        <v>2931</v>
      </c>
      <c r="H168" s="252" t="s">
        <v>2931</v>
      </c>
      <c r="I168" s="252" t="s">
        <v>2006</v>
      </c>
      <c r="J168" s="174"/>
      <c r="K168" s="252" t="s">
        <v>1952</v>
      </c>
      <c r="L168" s="174"/>
      <c r="M168" s="174"/>
      <c r="N168" s="252" t="s">
        <v>1975</v>
      </c>
      <c r="O168" s="253" t="s">
        <v>2909</v>
      </c>
    </row>
    <row r="169" spans="1:15" ht="16.149999999999999" customHeight="1" x14ac:dyDescent="0.25">
      <c r="A169" s="172">
        <v>43277</v>
      </c>
      <c r="B169" s="175" t="s">
        <v>49</v>
      </c>
      <c r="C169" s="254" t="s">
        <v>2899</v>
      </c>
      <c r="D169" s="254" t="s">
        <v>2908</v>
      </c>
      <c r="E169" s="254" t="s">
        <v>1934</v>
      </c>
      <c r="F169" s="254" t="s">
        <v>1940</v>
      </c>
      <c r="G169" s="254" t="s">
        <v>1939</v>
      </c>
      <c r="H169" s="254" t="s">
        <v>2908</v>
      </c>
      <c r="I169" s="254" t="s">
        <v>2908</v>
      </c>
      <c r="J169" s="176"/>
      <c r="K169" s="254" t="s">
        <v>1940</v>
      </c>
      <c r="L169" s="176"/>
      <c r="M169" s="176"/>
      <c r="N169" s="254" t="s">
        <v>2889</v>
      </c>
      <c r="O169" s="255" t="s">
        <v>2909</v>
      </c>
    </row>
    <row r="170" spans="1:15" ht="16.149999999999999" customHeight="1" x14ac:dyDescent="0.25">
      <c r="A170" s="172">
        <v>43276</v>
      </c>
      <c r="B170" s="173" t="s">
        <v>49</v>
      </c>
      <c r="C170" s="252" t="s">
        <v>2896</v>
      </c>
      <c r="D170" s="252" t="s">
        <v>1971</v>
      </c>
      <c r="E170" s="252" t="s">
        <v>1952</v>
      </c>
      <c r="F170" s="252" t="s">
        <v>2642</v>
      </c>
      <c r="G170" s="252" t="s">
        <v>1940</v>
      </c>
      <c r="H170" s="252" t="s">
        <v>1952</v>
      </c>
      <c r="I170" s="252" t="s">
        <v>1978</v>
      </c>
      <c r="J170" s="174"/>
      <c r="K170" s="252" t="s">
        <v>1940</v>
      </c>
      <c r="L170" s="174"/>
      <c r="M170" s="174"/>
      <c r="N170" s="252" t="s">
        <v>1948</v>
      </c>
      <c r="O170" s="253" t="s">
        <v>2909</v>
      </c>
    </row>
    <row r="171" spans="1:15" ht="16.149999999999999" customHeight="1" x14ac:dyDescent="0.25">
      <c r="A171" s="172">
        <v>43273</v>
      </c>
      <c r="B171" s="175" t="s">
        <v>49</v>
      </c>
      <c r="C171" s="254" t="s">
        <v>2910</v>
      </c>
      <c r="D171" s="254" t="s">
        <v>1964</v>
      </c>
      <c r="E171" s="254" t="s">
        <v>1940</v>
      </c>
      <c r="F171" s="254" t="s">
        <v>1937</v>
      </c>
      <c r="G171" s="254" t="s">
        <v>2013</v>
      </c>
      <c r="H171" s="254" t="s">
        <v>1964</v>
      </c>
      <c r="I171" s="254" t="s">
        <v>2856</v>
      </c>
      <c r="J171" s="176"/>
      <c r="K171" s="254" t="s">
        <v>1937</v>
      </c>
      <c r="L171" s="176"/>
      <c r="M171" s="176"/>
      <c r="N171" s="254" t="s">
        <v>1964</v>
      </c>
      <c r="O171" s="255" t="s">
        <v>2909</v>
      </c>
    </row>
    <row r="172" spans="1:15" ht="16.149999999999999" customHeight="1" x14ac:dyDescent="0.25">
      <c r="A172" s="172">
        <v>43272</v>
      </c>
      <c r="B172" s="173" t="s">
        <v>49</v>
      </c>
      <c r="C172" s="252" t="s">
        <v>2816</v>
      </c>
      <c r="D172" s="252" t="s">
        <v>2642</v>
      </c>
      <c r="E172" s="252" t="s">
        <v>1940</v>
      </c>
      <c r="F172" s="252" t="s">
        <v>1976</v>
      </c>
      <c r="G172" s="252" t="s">
        <v>2887</v>
      </c>
      <c r="H172" s="252" t="s">
        <v>1937</v>
      </c>
      <c r="I172" s="252" t="s">
        <v>2856</v>
      </c>
      <c r="J172" s="174"/>
      <c r="K172" s="252" t="s">
        <v>1937</v>
      </c>
      <c r="L172" s="174"/>
      <c r="M172" s="174"/>
      <c r="N172" s="252" t="s">
        <v>1971</v>
      </c>
      <c r="O172" s="253" t="s">
        <v>2909</v>
      </c>
    </row>
    <row r="173" spans="1:15" ht="16.149999999999999" customHeight="1" x14ac:dyDescent="0.25">
      <c r="A173" s="172">
        <v>43271</v>
      </c>
      <c r="B173" s="175" t="s">
        <v>49</v>
      </c>
      <c r="C173" s="254" t="s">
        <v>2911</v>
      </c>
      <c r="D173" s="254" t="s">
        <v>2887</v>
      </c>
      <c r="E173" s="254" t="s">
        <v>1973</v>
      </c>
      <c r="F173" s="254" t="s">
        <v>1937</v>
      </c>
      <c r="G173" s="254" t="s">
        <v>1940</v>
      </c>
      <c r="H173" s="254" t="s">
        <v>1964</v>
      </c>
      <c r="I173" s="254" t="s">
        <v>2645</v>
      </c>
      <c r="J173" s="176"/>
      <c r="K173" s="254" t="s">
        <v>1937</v>
      </c>
      <c r="L173" s="176"/>
      <c r="M173" s="176"/>
      <c r="N173" s="254" t="s">
        <v>2912</v>
      </c>
      <c r="O173" s="255" t="s">
        <v>2909</v>
      </c>
    </row>
    <row r="174" spans="1:15" ht="16.149999999999999" customHeight="1" x14ac:dyDescent="0.25">
      <c r="A174" s="172">
        <v>43270</v>
      </c>
      <c r="B174" s="173" t="s">
        <v>49</v>
      </c>
      <c r="C174" s="252" t="s">
        <v>2819</v>
      </c>
      <c r="D174" s="252" t="s">
        <v>1978</v>
      </c>
      <c r="E174" s="252" t="s">
        <v>1939</v>
      </c>
      <c r="F174" s="252" t="s">
        <v>1952</v>
      </c>
      <c r="G174" s="252" t="s">
        <v>2912</v>
      </c>
      <c r="H174" s="252" t="s">
        <v>1937</v>
      </c>
      <c r="I174" s="252" t="s">
        <v>2642</v>
      </c>
      <c r="J174" s="174"/>
      <c r="K174" s="252" t="s">
        <v>1937</v>
      </c>
      <c r="L174" s="174"/>
      <c r="M174" s="174"/>
      <c r="N174" s="252" t="s">
        <v>1940</v>
      </c>
      <c r="O174" s="253" t="s">
        <v>2909</v>
      </c>
    </row>
    <row r="175" spans="1:15" ht="16.149999999999999" customHeight="1" x14ac:dyDescent="0.25">
      <c r="A175" s="172">
        <v>43269</v>
      </c>
      <c r="B175" s="175" t="s">
        <v>49</v>
      </c>
      <c r="C175" s="254" t="s">
        <v>2913</v>
      </c>
      <c r="D175" s="254" t="s">
        <v>2912</v>
      </c>
      <c r="E175" s="254" t="s">
        <v>1939</v>
      </c>
      <c r="F175" s="254" t="s">
        <v>1940</v>
      </c>
      <c r="G175" s="254" t="s">
        <v>2912</v>
      </c>
      <c r="H175" s="254" t="s">
        <v>1978</v>
      </c>
      <c r="I175" s="254" t="s">
        <v>1937</v>
      </c>
      <c r="J175" s="176"/>
      <c r="K175" s="254" t="s">
        <v>1939</v>
      </c>
      <c r="L175" s="176"/>
      <c r="M175" s="176"/>
      <c r="N175" s="254" t="s">
        <v>1937</v>
      </c>
      <c r="O175" s="255" t="s">
        <v>1952</v>
      </c>
    </row>
    <row r="176" spans="1:15" ht="16.149999999999999" customHeight="1" x14ac:dyDescent="0.25">
      <c r="A176" s="172">
        <v>43266</v>
      </c>
      <c r="B176" s="173" t="s">
        <v>49</v>
      </c>
      <c r="C176" s="252" t="s">
        <v>2884</v>
      </c>
      <c r="D176" s="252" t="s">
        <v>1951</v>
      </c>
      <c r="E176" s="252" t="s">
        <v>1952</v>
      </c>
      <c r="F176" s="252" t="s">
        <v>2013</v>
      </c>
      <c r="G176" s="252" t="s">
        <v>2857</v>
      </c>
      <c r="H176" s="252" t="s">
        <v>1940</v>
      </c>
      <c r="I176" s="252" t="s">
        <v>1951</v>
      </c>
      <c r="J176" s="174"/>
      <c r="K176" s="252" t="s">
        <v>1937</v>
      </c>
      <c r="L176" s="174"/>
      <c r="M176" s="174"/>
      <c r="N176" s="252" t="s">
        <v>1947</v>
      </c>
      <c r="O176" s="253" t="s">
        <v>1952</v>
      </c>
    </row>
    <row r="177" spans="1:15" ht="16.149999999999999" customHeight="1" x14ac:dyDescent="0.25">
      <c r="A177" s="172">
        <v>43265</v>
      </c>
      <c r="B177" s="175" t="s">
        <v>49</v>
      </c>
      <c r="C177" s="254" t="s">
        <v>1903</v>
      </c>
      <c r="D177" s="254" t="s">
        <v>1964</v>
      </c>
      <c r="E177" s="254" t="s">
        <v>1940</v>
      </c>
      <c r="F177" s="254" t="s">
        <v>1973</v>
      </c>
      <c r="G177" s="254" t="s">
        <v>2887</v>
      </c>
      <c r="H177" s="254" t="s">
        <v>1937</v>
      </c>
      <c r="I177" s="254" t="s">
        <v>2857</v>
      </c>
      <c r="J177" s="176"/>
      <c r="K177" s="254" t="s">
        <v>1973</v>
      </c>
      <c r="L177" s="176"/>
      <c r="M177" s="176"/>
      <c r="N177" s="254" t="s">
        <v>1943</v>
      </c>
      <c r="O177" s="255" t="s">
        <v>1940</v>
      </c>
    </row>
    <row r="178" spans="1:15" ht="16.149999999999999" customHeight="1" x14ac:dyDescent="0.25">
      <c r="A178" s="172">
        <v>43264</v>
      </c>
      <c r="B178" s="173" t="s">
        <v>49</v>
      </c>
      <c r="C178" s="252" t="s">
        <v>2817</v>
      </c>
      <c r="D178" s="252" t="s">
        <v>2645</v>
      </c>
      <c r="E178" s="252" t="s">
        <v>1985</v>
      </c>
      <c r="F178" s="252" t="s">
        <v>2856</v>
      </c>
      <c r="G178" s="252" t="s">
        <v>2887</v>
      </c>
      <c r="H178" s="252" t="s">
        <v>1973</v>
      </c>
      <c r="I178" s="252" t="s">
        <v>1976</v>
      </c>
      <c r="J178" s="174"/>
      <c r="K178" s="252" t="s">
        <v>1985</v>
      </c>
      <c r="L178" s="174"/>
      <c r="M178" s="174"/>
      <c r="N178" s="252" t="s">
        <v>2912</v>
      </c>
      <c r="O178" s="253" t="s">
        <v>1940</v>
      </c>
    </row>
    <row r="179" spans="1:15" ht="16.149999999999999" customHeight="1" x14ac:dyDescent="0.25">
      <c r="A179" s="172">
        <v>43263</v>
      </c>
      <c r="B179" s="175" t="s">
        <v>49</v>
      </c>
      <c r="C179" s="254" t="s">
        <v>1909</v>
      </c>
      <c r="D179" s="254" t="s">
        <v>2914</v>
      </c>
      <c r="E179" s="254" t="s">
        <v>2639</v>
      </c>
      <c r="F179" s="254" t="s">
        <v>1973</v>
      </c>
      <c r="G179" s="254" t="s">
        <v>2642</v>
      </c>
      <c r="H179" s="254" t="s">
        <v>1937</v>
      </c>
      <c r="I179" s="254" t="s">
        <v>2647</v>
      </c>
      <c r="J179" s="176"/>
      <c r="K179" s="254" t="s">
        <v>1985</v>
      </c>
      <c r="L179" s="176"/>
      <c r="M179" s="176"/>
      <c r="N179" s="254" t="s">
        <v>1976</v>
      </c>
      <c r="O179" s="255" t="s">
        <v>2645</v>
      </c>
    </row>
    <row r="180" spans="1:15" ht="16.149999999999999" customHeight="1" x14ac:dyDescent="0.25">
      <c r="A180" s="172">
        <v>43259</v>
      </c>
      <c r="B180" s="173" t="s">
        <v>49</v>
      </c>
      <c r="C180" s="252" t="s">
        <v>2915</v>
      </c>
      <c r="D180" s="252" t="s">
        <v>1973</v>
      </c>
      <c r="E180" s="252" t="s">
        <v>1995</v>
      </c>
      <c r="F180" s="252" t="s">
        <v>1973</v>
      </c>
      <c r="G180" s="252" t="s">
        <v>1973</v>
      </c>
      <c r="H180" s="252" t="s">
        <v>2856</v>
      </c>
      <c r="I180" s="252" t="s">
        <v>2647</v>
      </c>
      <c r="J180" s="174"/>
      <c r="K180" s="252" t="s">
        <v>1937</v>
      </c>
      <c r="L180" s="174"/>
      <c r="M180" s="174"/>
      <c r="N180" s="252" t="s">
        <v>1973</v>
      </c>
      <c r="O180" s="253" t="s">
        <v>1964</v>
      </c>
    </row>
    <row r="181" spans="1:15" ht="16.149999999999999" customHeight="1" x14ac:dyDescent="0.25">
      <c r="A181" s="172">
        <v>43258</v>
      </c>
      <c r="B181" s="175" t="s">
        <v>49</v>
      </c>
      <c r="C181" s="254" t="s">
        <v>2812</v>
      </c>
      <c r="D181" s="254" t="s">
        <v>1981</v>
      </c>
      <c r="E181" s="254" t="s">
        <v>1985</v>
      </c>
      <c r="F181" s="254" t="s">
        <v>1659</v>
      </c>
      <c r="G181" s="254" t="s">
        <v>2848</v>
      </c>
      <c r="H181" s="254" t="s">
        <v>1981</v>
      </c>
      <c r="I181" s="254" t="s">
        <v>2864</v>
      </c>
      <c r="J181" s="176"/>
      <c r="K181" s="254" t="s">
        <v>1995</v>
      </c>
      <c r="L181" s="176"/>
      <c r="M181" s="176"/>
      <c r="N181" s="254" t="s">
        <v>2916</v>
      </c>
      <c r="O181" s="255" t="s">
        <v>1981</v>
      </c>
    </row>
    <row r="182" spans="1:15" ht="16.149999999999999" customHeight="1" x14ac:dyDescent="0.25">
      <c r="A182" s="172">
        <v>43257</v>
      </c>
      <c r="B182" s="173" t="s">
        <v>49</v>
      </c>
      <c r="C182" s="252" t="s">
        <v>2807</v>
      </c>
      <c r="D182" s="252" t="s">
        <v>2866</v>
      </c>
      <c r="E182" s="252" t="s">
        <v>1995</v>
      </c>
      <c r="F182" s="252" t="s">
        <v>2836</v>
      </c>
      <c r="G182" s="252" t="s">
        <v>1988</v>
      </c>
      <c r="H182" s="252" t="s">
        <v>2634</v>
      </c>
      <c r="I182" s="252" t="s">
        <v>2852</v>
      </c>
      <c r="J182" s="174"/>
      <c r="K182" s="252" t="s">
        <v>1997</v>
      </c>
      <c r="L182" s="174"/>
      <c r="M182" s="174"/>
      <c r="N182" s="252" t="s">
        <v>1995</v>
      </c>
      <c r="O182" s="253" t="s">
        <v>1995</v>
      </c>
    </row>
    <row r="183" spans="1:15" ht="16.149999999999999" customHeight="1" x14ac:dyDescent="0.25">
      <c r="A183" s="172">
        <v>43256</v>
      </c>
      <c r="B183" s="175" t="s">
        <v>49</v>
      </c>
      <c r="C183" s="254" t="s">
        <v>1920</v>
      </c>
      <c r="D183" s="254" t="s">
        <v>2863</v>
      </c>
      <c r="E183" s="254" t="s">
        <v>2639</v>
      </c>
      <c r="F183" s="254" t="s">
        <v>1997</v>
      </c>
      <c r="G183" s="254" t="s">
        <v>2862</v>
      </c>
      <c r="H183" s="254" t="s">
        <v>2851</v>
      </c>
      <c r="I183" s="254" t="s">
        <v>2866</v>
      </c>
      <c r="J183" s="176"/>
      <c r="K183" s="254" t="s">
        <v>1986</v>
      </c>
      <c r="L183" s="176"/>
      <c r="M183" s="176"/>
      <c r="N183" s="254" t="s">
        <v>1995</v>
      </c>
      <c r="O183" s="255" t="s">
        <v>1995</v>
      </c>
    </row>
    <row r="184" spans="1:15" ht="16.149999999999999" customHeight="1" x14ac:dyDescent="0.25">
      <c r="A184" s="172">
        <v>43252</v>
      </c>
      <c r="B184" s="173" t="s">
        <v>49</v>
      </c>
      <c r="C184" s="252" t="s">
        <v>2895</v>
      </c>
      <c r="D184" s="252" t="s">
        <v>2024</v>
      </c>
      <c r="E184" s="252" t="s">
        <v>1981</v>
      </c>
      <c r="F184" s="252" t="s">
        <v>1995</v>
      </c>
      <c r="G184" s="252" t="s">
        <v>1997</v>
      </c>
      <c r="H184" s="252" t="s">
        <v>2860</v>
      </c>
      <c r="I184" s="252" t="s">
        <v>2862</v>
      </c>
      <c r="J184" s="174"/>
      <c r="K184" s="252" t="s">
        <v>1997</v>
      </c>
      <c r="L184" s="174"/>
      <c r="M184" s="174"/>
      <c r="N184" s="252" t="s">
        <v>2639</v>
      </c>
      <c r="O184" s="253" t="s">
        <v>1981</v>
      </c>
    </row>
    <row r="185" spans="1:15" ht="16.149999999999999" customHeight="1" x14ac:dyDescent="0.25">
      <c r="A185" s="172">
        <v>43251</v>
      </c>
      <c r="B185" s="175" t="s">
        <v>49</v>
      </c>
      <c r="C185" s="254" t="s">
        <v>2635</v>
      </c>
      <c r="D185" s="254" t="s">
        <v>2853</v>
      </c>
      <c r="E185" s="254" t="s">
        <v>1981</v>
      </c>
      <c r="F185" s="254" t="s">
        <v>2865</v>
      </c>
      <c r="G185" s="254" t="s">
        <v>1996</v>
      </c>
      <c r="H185" s="254" t="s">
        <v>2860</v>
      </c>
      <c r="I185" s="254" t="s">
        <v>2917</v>
      </c>
      <c r="J185" s="176"/>
      <c r="K185" s="254" t="s">
        <v>2851</v>
      </c>
      <c r="L185" s="176"/>
      <c r="M185" s="176"/>
      <c r="N185" s="254" t="s">
        <v>2918</v>
      </c>
      <c r="O185" s="255" t="s">
        <v>2639</v>
      </c>
    </row>
    <row r="186" spans="1:15" ht="16.149999999999999" customHeight="1" x14ac:dyDescent="0.25">
      <c r="A186" s="172">
        <v>43250</v>
      </c>
      <c r="B186" s="173" t="s">
        <v>49</v>
      </c>
      <c r="C186" s="252" t="s">
        <v>2919</v>
      </c>
      <c r="D186" s="252" t="s">
        <v>2848</v>
      </c>
      <c r="E186" s="252" t="s">
        <v>1981</v>
      </c>
      <c r="F186" s="252" t="s">
        <v>1995</v>
      </c>
      <c r="G186" s="252" t="s">
        <v>2918</v>
      </c>
      <c r="H186" s="252" t="s">
        <v>2920</v>
      </c>
      <c r="I186" s="252" t="s">
        <v>1988</v>
      </c>
      <c r="J186" s="174"/>
      <c r="K186" s="252" t="s">
        <v>1995</v>
      </c>
      <c r="L186" s="174"/>
      <c r="M186" s="174"/>
      <c r="N186" s="252" t="s">
        <v>2840</v>
      </c>
      <c r="O186" s="253" t="s">
        <v>1985</v>
      </c>
    </row>
    <row r="187" spans="1:15" ht="16.149999999999999" customHeight="1" x14ac:dyDescent="0.25">
      <c r="A187" s="172">
        <v>43249</v>
      </c>
      <c r="B187" s="175" t="s">
        <v>49</v>
      </c>
      <c r="C187" s="254" t="s">
        <v>1914</v>
      </c>
      <c r="D187" s="254" t="s">
        <v>2918</v>
      </c>
      <c r="E187" s="254" t="s">
        <v>2921</v>
      </c>
      <c r="F187" s="254" t="s">
        <v>2848</v>
      </c>
      <c r="G187" s="254" t="s">
        <v>1995</v>
      </c>
      <c r="H187" s="254" t="s">
        <v>2639</v>
      </c>
      <c r="I187" s="254" t="s">
        <v>2860</v>
      </c>
      <c r="J187" s="176"/>
      <c r="K187" s="254" t="s">
        <v>1995</v>
      </c>
      <c r="L187" s="176"/>
      <c r="M187" s="176"/>
      <c r="N187" s="254" t="s">
        <v>2922</v>
      </c>
      <c r="O187" s="255" t="s">
        <v>1985</v>
      </c>
    </row>
    <row r="188" spans="1:15" ht="16.149999999999999" customHeight="1" x14ac:dyDescent="0.25">
      <c r="A188" s="172">
        <v>43248</v>
      </c>
      <c r="B188" s="173" t="s">
        <v>49</v>
      </c>
      <c r="C188" s="252" t="s">
        <v>2638</v>
      </c>
      <c r="D188" s="252" t="s">
        <v>2920</v>
      </c>
      <c r="E188" s="252" t="s">
        <v>2921</v>
      </c>
      <c r="F188" s="252" t="s">
        <v>2636</v>
      </c>
      <c r="G188" s="252" t="s">
        <v>2918</v>
      </c>
      <c r="H188" s="252" t="s">
        <v>2641</v>
      </c>
      <c r="I188" s="252" t="s">
        <v>2866</v>
      </c>
      <c r="J188" s="174"/>
      <c r="K188" s="252" t="s">
        <v>1995</v>
      </c>
      <c r="L188" s="174"/>
      <c r="M188" s="174"/>
      <c r="N188" s="252" t="s">
        <v>2917</v>
      </c>
      <c r="O188" s="253" t="s">
        <v>1985</v>
      </c>
    </row>
    <row r="189" spans="1:15" ht="16.149999999999999" customHeight="1" x14ac:dyDescent="0.25">
      <c r="A189" s="172">
        <v>43245</v>
      </c>
      <c r="B189" s="175" t="s">
        <v>49</v>
      </c>
      <c r="C189" s="254" t="s">
        <v>2814</v>
      </c>
      <c r="D189" s="254" t="s">
        <v>2922</v>
      </c>
      <c r="E189" s="254" t="s">
        <v>1985</v>
      </c>
      <c r="F189" s="254" t="s">
        <v>2863</v>
      </c>
      <c r="G189" s="254" t="s">
        <v>2848</v>
      </c>
      <c r="H189" s="254" t="s">
        <v>1524</v>
      </c>
      <c r="I189" s="254" t="s">
        <v>2640</v>
      </c>
      <c r="J189" s="176"/>
      <c r="K189" s="254" t="s">
        <v>1986</v>
      </c>
      <c r="L189" s="176"/>
      <c r="M189" s="176"/>
      <c r="N189" s="254" t="s">
        <v>1973</v>
      </c>
      <c r="O189" s="255" t="s">
        <v>1981</v>
      </c>
    </row>
    <row r="190" spans="1:15" ht="16.149999999999999" customHeight="1" x14ac:dyDescent="0.25">
      <c r="A190" s="172">
        <v>43244</v>
      </c>
      <c r="B190" s="173" t="s">
        <v>49</v>
      </c>
      <c r="C190" s="252" t="s">
        <v>2923</v>
      </c>
      <c r="D190" s="252" t="s">
        <v>2924</v>
      </c>
      <c r="E190" s="252" t="s">
        <v>2916</v>
      </c>
      <c r="F190" s="252" t="s">
        <v>2848</v>
      </c>
      <c r="G190" s="252" t="s">
        <v>2918</v>
      </c>
      <c r="H190" s="252" t="s">
        <v>1981</v>
      </c>
      <c r="I190" s="252" t="s">
        <v>1988</v>
      </c>
      <c r="J190" s="174"/>
      <c r="K190" s="252" t="s">
        <v>1997</v>
      </c>
      <c r="L190" s="174"/>
      <c r="M190" s="174"/>
      <c r="N190" s="252" t="s">
        <v>2916</v>
      </c>
      <c r="O190" s="253" t="s">
        <v>1985</v>
      </c>
    </row>
    <row r="191" spans="1:15" ht="16.149999999999999" customHeight="1" x14ac:dyDescent="0.25">
      <c r="A191" s="172">
        <v>43243</v>
      </c>
      <c r="B191" s="175" t="s">
        <v>49</v>
      </c>
      <c r="C191" s="254" t="s">
        <v>2925</v>
      </c>
      <c r="D191" s="254" t="s">
        <v>2641</v>
      </c>
      <c r="E191" s="254" t="s">
        <v>2916</v>
      </c>
      <c r="F191" s="254" t="s">
        <v>2853</v>
      </c>
      <c r="G191" s="254" t="s">
        <v>2853</v>
      </c>
      <c r="H191" s="254" t="s">
        <v>2639</v>
      </c>
      <c r="I191" s="254" t="s">
        <v>2858</v>
      </c>
      <c r="J191" s="176"/>
      <c r="K191" s="254" t="s">
        <v>1997</v>
      </c>
      <c r="L191" s="176"/>
      <c r="M191" s="176"/>
      <c r="N191" s="254" t="s">
        <v>2640</v>
      </c>
      <c r="O191" s="255" t="s">
        <v>1981</v>
      </c>
    </row>
    <row r="192" spans="1:15" ht="16.149999999999999" customHeight="1" x14ac:dyDescent="0.25">
      <c r="A192" s="172">
        <v>43242</v>
      </c>
      <c r="B192" s="173" t="s">
        <v>49</v>
      </c>
      <c r="C192" s="252" t="s">
        <v>2803</v>
      </c>
      <c r="D192" s="252" t="s">
        <v>2639</v>
      </c>
      <c r="E192" s="252" t="s">
        <v>2916</v>
      </c>
      <c r="F192" s="252" t="s">
        <v>1995</v>
      </c>
      <c r="G192" s="252" t="s">
        <v>2641</v>
      </c>
      <c r="H192" s="252" t="s">
        <v>1995</v>
      </c>
      <c r="I192" s="252" t="s">
        <v>2641</v>
      </c>
      <c r="J192" s="174"/>
      <c r="K192" s="252" t="s">
        <v>1997</v>
      </c>
      <c r="L192" s="174"/>
      <c r="M192" s="174"/>
      <c r="N192" s="252" t="s">
        <v>2848</v>
      </c>
      <c r="O192" s="253" t="s">
        <v>2854</v>
      </c>
    </row>
    <row r="193" spans="1:15" ht="16.149999999999999" customHeight="1" x14ac:dyDescent="0.25">
      <c r="A193" s="172">
        <v>43241</v>
      </c>
      <c r="B193" s="175" t="s">
        <v>49</v>
      </c>
      <c r="C193" s="254" t="s">
        <v>2923</v>
      </c>
      <c r="D193" s="254" t="s">
        <v>2924</v>
      </c>
      <c r="E193" s="254" t="s">
        <v>2916</v>
      </c>
      <c r="F193" s="254" t="s">
        <v>2636</v>
      </c>
      <c r="G193" s="254" t="s">
        <v>2862</v>
      </c>
      <c r="H193" s="254" t="s">
        <v>2634</v>
      </c>
      <c r="I193" s="254" t="s">
        <v>2643</v>
      </c>
      <c r="J193" s="176"/>
      <c r="K193" s="254" t="s">
        <v>1997</v>
      </c>
      <c r="L193" s="176"/>
      <c r="M193" s="176"/>
      <c r="N193" s="254" t="s">
        <v>2917</v>
      </c>
      <c r="O193" s="255" t="s">
        <v>1981</v>
      </c>
    </row>
    <row r="194" spans="1:15" ht="16.149999999999999" customHeight="1" x14ac:dyDescent="0.25">
      <c r="A194" s="172">
        <v>43238</v>
      </c>
      <c r="B194" s="173" t="s">
        <v>49</v>
      </c>
      <c r="C194" s="252" t="s">
        <v>2638</v>
      </c>
      <c r="D194" s="252" t="s">
        <v>2920</v>
      </c>
      <c r="E194" s="252" t="s">
        <v>2916</v>
      </c>
      <c r="F194" s="252" t="s">
        <v>1981</v>
      </c>
      <c r="G194" s="252" t="s">
        <v>2864</v>
      </c>
      <c r="H194" s="252" t="s">
        <v>2924</v>
      </c>
      <c r="I194" s="252" t="s">
        <v>1996</v>
      </c>
      <c r="J194" s="174"/>
      <c r="K194" s="252" t="s">
        <v>2639</v>
      </c>
      <c r="L194" s="174"/>
      <c r="M194" s="174"/>
      <c r="N194" s="252" t="s">
        <v>1981</v>
      </c>
      <c r="O194" s="253" t="s">
        <v>1995</v>
      </c>
    </row>
    <row r="195" spans="1:15" ht="16.149999999999999" customHeight="1" x14ac:dyDescent="0.25">
      <c r="A195" s="172">
        <v>43237</v>
      </c>
      <c r="B195" s="175" t="s">
        <v>49</v>
      </c>
      <c r="C195" s="254" t="s">
        <v>2926</v>
      </c>
      <c r="D195" s="254" t="s">
        <v>2839</v>
      </c>
      <c r="E195" s="254" t="s">
        <v>2851</v>
      </c>
      <c r="F195" s="254" t="s">
        <v>1987</v>
      </c>
      <c r="G195" s="254" t="s">
        <v>2838</v>
      </c>
      <c r="H195" s="254" t="s">
        <v>2836</v>
      </c>
      <c r="I195" s="254" t="s">
        <v>2849</v>
      </c>
      <c r="J195" s="176"/>
      <c r="K195" s="254" t="s">
        <v>1987</v>
      </c>
      <c r="L195" s="176"/>
      <c r="M195" s="176"/>
      <c r="N195" s="254" t="s">
        <v>2850</v>
      </c>
      <c r="O195" s="255" t="s">
        <v>1986</v>
      </c>
    </row>
    <row r="196" spans="1:15" ht="16.149999999999999" customHeight="1" x14ac:dyDescent="0.25">
      <c r="A196" s="172">
        <v>43236</v>
      </c>
      <c r="B196" s="173" t="s">
        <v>49</v>
      </c>
      <c r="C196" s="252" t="s">
        <v>1929</v>
      </c>
      <c r="D196" s="252" t="s">
        <v>2836</v>
      </c>
      <c r="E196" s="252" t="s">
        <v>2002</v>
      </c>
      <c r="F196" s="252" t="s">
        <v>2837</v>
      </c>
      <c r="G196" s="252" t="s">
        <v>2838</v>
      </c>
      <c r="H196" s="252" t="s">
        <v>2839</v>
      </c>
      <c r="I196" s="252" t="s">
        <v>1989</v>
      </c>
      <c r="J196" s="174"/>
      <c r="K196" s="252" t="s">
        <v>2005</v>
      </c>
      <c r="L196" s="174"/>
      <c r="M196" s="174"/>
      <c r="N196" s="252" t="s">
        <v>2840</v>
      </c>
      <c r="O196" s="253" t="s">
        <v>1986</v>
      </c>
    </row>
    <row r="197" spans="1:15" ht="16.149999999999999" customHeight="1" x14ac:dyDescent="0.25">
      <c r="A197" s="172">
        <v>43235</v>
      </c>
      <c r="B197" s="175" t="s">
        <v>49</v>
      </c>
      <c r="C197" s="254" t="s">
        <v>1929</v>
      </c>
      <c r="D197" s="254" t="s">
        <v>2836</v>
      </c>
      <c r="E197" s="254" t="s">
        <v>2836</v>
      </c>
      <c r="F197" s="254" t="s">
        <v>2841</v>
      </c>
      <c r="G197" s="254" t="s">
        <v>2838</v>
      </c>
      <c r="H197" s="254" t="s">
        <v>2836</v>
      </c>
      <c r="I197" s="254" t="s">
        <v>2842</v>
      </c>
      <c r="J197" s="176"/>
      <c r="K197" s="254" t="s">
        <v>2002</v>
      </c>
      <c r="L197" s="176"/>
      <c r="M197" s="176"/>
      <c r="N197" s="254" t="s">
        <v>2637</v>
      </c>
      <c r="O197" s="255" t="s">
        <v>2843</v>
      </c>
    </row>
    <row r="198" spans="1:15" ht="16.149999999999999" customHeight="1" x14ac:dyDescent="0.25">
      <c r="A198" s="172">
        <v>43231</v>
      </c>
      <c r="B198" s="173" t="s">
        <v>49</v>
      </c>
      <c r="C198" s="252" t="s">
        <v>1946</v>
      </c>
      <c r="D198" s="252" t="s">
        <v>2844</v>
      </c>
      <c r="E198" s="252" t="s">
        <v>2845</v>
      </c>
      <c r="F198" s="252" t="s">
        <v>1987</v>
      </c>
      <c r="G198" s="252" t="s">
        <v>2846</v>
      </c>
      <c r="H198" s="252" t="s">
        <v>1987</v>
      </c>
      <c r="I198" s="252" t="s">
        <v>2840</v>
      </c>
      <c r="J198" s="174"/>
      <c r="K198" s="252" t="s">
        <v>1992</v>
      </c>
      <c r="L198" s="174"/>
      <c r="M198" s="174"/>
      <c r="N198" s="252" t="s">
        <v>1992</v>
      </c>
      <c r="O198" s="253" t="s">
        <v>2844</v>
      </c>
    </row>
    <row r="199" spans="1:15" ht="16.149999999999999" customHeight="1" x14ac:dyDescent="0.25">
      <c r="A199" s="172">
        <v>43230</v>
      </c>
      <c r="B199" s="175" t="s">
        <v>49</v>
      </c>
      <c r="C199" s="254" t="s">
        <v>1944</v>
      </c>
      <c r="D199" s="254" t="s">
        <v>2841</v>
      </c>
      <c r="E199" s="254" t="s">
        <v>2847</v>
      </c>
      <c r="F199" s="254" t="s">
        <v>1992</v>
      </c>
      <c r="G199" s="254" t="s">
        <v>2848</v>
      </c>
      <c r="H199" s="254" t="s">
        <v>2002</v>
      </c>
      <c r="I199" s="254" t="s">
        <v>2849</v>
      </c>
      <c r="J199" s="176"/>
      <c r="K199" s="254" t="s">
        <v>1987</v>
      </c>
      <c r="L199" s="176"/>
      <c r="M199" s="176"/>
      <c r="N199" s="254" t="s">
        <v>2850</v>
      </c>
      <c r="O199" s="255" t="s">
        <v>2851</v>
      </c>
    </row>
    <row r="200" spans="1:15" ht="16.149999999999999" customHeight="1" x14ac:dyDescent="0.25">
      <c r="A200" s="172">
        <v>43229</v>
      </c>
      <c r="B200" s="173" t="s">
        <v>49</v>
      </c>
      <c r="C200" s="252" t="s">
        <v>1982</v>
      </c>
      <c r="D200" s="252" t="s">
        <v>1995</v>
      </c>
      <c r="E200" s="252" t="s">
        <v>1995</v>
      </c>
      <c r="F200" s="252" t="s">
        <v>2852</v>
      </c>
      <c r="G200" s="252" t="s">
        <v>2853</v>
      </c>
      <c r="H200" s="252" t="s">
        <v>2634</v>
      </c>
      <c r="I200" s="252" t="s">
        <v>2854</v>
      </c>
      <c r="J200" s="174"/>
      <c r="K200" s="252" t="s">
        <v>1995</v>
      </c>
      <c r="L200" s="174"/>
      <c r="M200" s="174"/>
      <c r="N200" s="252" t="s">
        <v>2636</v>
      </c>
      <c r="O200" s="253" t="s">
        <v>1997</v>
      </c>
    </row>
    <row r="201" spans="1:15" ht="16.149999999999999" customHeight="1" x14ac:dyDescent="0.25">
      <c r="A201" s="172">
        <v>43228</v>
      </c>
      <c r="B201" s="175" t="s">
        <v>49</v>
      </c>
      <c r="C201" s="254" t="s">
        <v>2855</v>
      </c>
      <c r="D201" s="254" t="s">
        <v>2856</v>
      </c>
      <c r="E201" s="254" t="s">
        <v>1973</v>
      </c>
      <c r="F201" s="254" t="s">
        <v>1985</v>
      </c>
      <c r="G201" s="254" t="s">
        <v>1933</v>
      </c>
      <c r="H201" s="254" t="s">
        <v>2643</v>
      </c>
      <c r="I201" s="254" t="s">
        <v>2857</v>
      </c>
      <c r="J201" s="176"/>
      <c r="K201" s="254" t="s">
        <v>1933</v>
      </c>
      <c r="L201" s="176"/>
      <c r="M201" s="176"/>
      <c r="N201" s="254" t="s">
        <v>1973</v>
      </c>
      <c r="O201" s="255" t="s">
        <v>1973</v>
      </c>
    </row>
    <row r="202" spans="1:15" ht="16.149999999999999" customHeight="1" x14ac:dyDescent="0.25">
      <c r="A202" s="172">
        <v>43227</v>
      </c>
      <c r="B202" s="173" t="s">
        <v>49</v>
      </c>
      <c r="C202" s="252" t="s">
        <v>2813</v>
      </c>
      <c r="D202" s="252" t="s">
        <v>1933</v>
      </c>
      <c r="E202" s="252" t="s">
        <v>2858</v>
      </c>
      <c r="F202" s="252" t="s">
        <v>1981</v>
      </c>
      <c r="G202" s="252" t="s">
        <v>1964</v>
      </c>
      <c r="H202" s="252" t="s">
        <v>1973</v>
      </c>
      <c r="I202" s="252" t="s">
        <v>2858</v>
      </c>
      <c r="J202" s="174"/>
      <c r="K202" s="252" t="s">
        <v>1933</v>
      </c>
      <c r="L202" s="174"/>
      <c r="M202" s="174"/>
      <c r="N202" s="252" t="s">
        <v>1937</v>
      </c>
      <c r="O202" s="253" t="s">
        <v>1933</v>
      </c>
    </row>
    <row r="203" spans="1:15" ht="16.149999999999999" customHeight="1" x14ac:dyDescent="0.25">
      <c r="A203" s="172">
        <v>43224</v>
      </c>
      <c r="B203" s="175" t="s">
        <v>49</v>
      </c>
      <c r="C203" s="254" t="s">
        <v>2810</v>
      </c>
      <c r="D203" s="254" t="s">
        <v>1989</v>
      </c>
      <c r="E203" s="254" t="s">
        <v>2859</v>
      </c>
      <c r="F203" s="254" t="s">
        <v>2838</v>
      </c>
      <c r="G203" s="254" t="s">
        <v>1986</v>
      </c>
      <c r="H203" s="254" t="s">
        <v>2836</v>
      </c>
      <c r="I203" s="254" t="s">
        <v>2860</v>
      </c>
      <c r="J203" s="176"/>
      <c r="K203" s="254" t="s">
        <v>1986</v>
      </c>
      <c r="L203" s="176"/>
      <c r="M203" s="176"/>
      <c r="N203" s="254" t="s">
        <v>2634</v>
      </c>
      <c r="O203" s="255" t="s">
        <v>2851</v>
      </c>
    </row>
    <row r="204" spans="1:15" ht="16.149999999999999" customHeight="1" x14ac:dyDescent="0.25">
      <c r="A204" s="172">
        <v>43223</v>
      </c>
      <c r="B204" s="173" t="s">
        <v>49</v>
      </c>
      <c r="C204" s="252" t="s">
        <v>2861</v>
      </c>
      <c r="D204" s="252" t="s">
        <v>1997</v>
      </c>
      <c r="E204" s="252" t="s">
        <v>2862</v>
      </c>
      <c r="F204" s="252" t="s">
        <v>2849</v>
      </c>
      <c r="G204" s="252" t="s">
        <v>2862</v>
      </c>
      <c r="H204" s="252" t="s">
        <v>1986</v>
      </c>
      <c r="I204" s="252" t="s">
        <v>1996</v>
      </c>
      <c r="J204" s="174"/>
      <c r="K204" s="252" t="s">
        <v>2002</v>
      </c>
      <c r="L204" s="174"/>
      <c r="M204" s="174"/>
      <c r="N204" s="252" t="s">
        <v>2863</v>
      </c>
      <c r="O204" s="253" t="s">
        <v>2860</v>
      </c>
    </row>
    <row r="205" spans="1:15" ht="16.149999999999999" customHeight="1" x14ac:dyDescent="0.25">
      <c r="A205" s="172">
        <v>43222</v>
      </c>
      <c r="B205" s="175" t="s">
        <v>49</v>
      </c>
      <c r="C205" s="254" t="s">
        <v>1913</v>
      </c>
      <c r="D205" s="254" t="s">
        <v>1996</v>
      </c>
      <c r="E205" s="254" t="s">
        <v>1996</v>
      </c>
      <c r="F205" s="254" t="s">
        <v>1989</v>
      </c>
      <c r="G205" s="254" t="s">
        <v>2864</v>
      </c>
      <c r="H205" s="254" t="s">
        <v>1986</v>
      </c>
      <c r="I205" s="254" t="s">
        <v>2865</v>
      </c>
      <c r="J205" s="176"/>
      <c r="K205" s="254" t="s">
        <v>1986</v>
      </c>
      <c r="L205" s="176"/>
      <c r="M205" s="176"/>
      <c r="N205" s="254" t="s">
        <v>2859</v>
      </c>
      <c r="O205" s="255" t="s">
        <v>2862</v>
      </c>
    </row>
    <row r="206" spans="1:15" ht="16.149999999999999" customHeight="1" x14ac:dyDescent="0.25">
      <c r="A206" s="172">
        <v>43220</v>
      </c>
      <c r="B206" s="173" t="s">
        <v>49</v>
      </c>
      <c r="C206" s="252" t="s">
        <v>2807</v>
      </c>
      <c r="D206" s="252" t="s">
        <v>2866</v>
      </c>
      <c r="E206" s="252" t="s">
        <v>2860</v>
      </c>
      <c r="F206" s="252" t="s">
        <v>2851</v>
      </c>
      <c r="G206" s="252" t="s">
        <v>1995</v>
      </c>
      <c r="H206" s="252" t="s">
        <v>2634</v>
      </c>
      <c r="I206" s="252" t="s">
        <v>1988</v>
      </c>
      <c r="J206" s="174"/>
      <c r="K206" s="252" t="s">
        <v>1997</v>
      </c>
      <c r="L206" s="174"/>
      <c r="M206" s="174"/>
      <c r="N206" s="252" t="s">
        <v>1995</v>
      </c>
      <c r="O206" s="253" t="s">
        <v>2853</v>
      </c>
    </row>
    <row r="207" spans="1:15" ht="16.149999999999999" customHeight="1" x14ac:dyDescent="0.25">
      <c r="A207" s="172">
        <v>43217</v>
      </c>
      <c r="B207" s="175" t="s">
        <v>49</v>
      </c>
      <c r="C207" s="254" t="s">
        <v>1983</v>
      </c>
      <c r="D207" s="254" t="s">
        <v>2864</v>
      </c>
      <c r="E207" s="254" t="s">
        <v>1997</v>
      </c>
      <c r="F207" s="254" t="s">
        <v>2836</v>
      </c>
      <c r="G207" s="254" t="s">
        <v>1986</v>
      </c>
      <c r="H207" s="254" t="s">
        <v>1997</v>
      </c>
      <c r="I207" s="254" t="s">
        <v>2867</v>
      </c>
      <c r="J207" s="176"/>
      <c r="K207" s="254" t="s">
        <v>2851</v>
      </c>
      <c r="L207" s="176"/>
      <c r="M207" s="176"/>
      <c r="N207" s="254" t="s">
        <v>2634</v>
      </c>
      <c r="O207" s="255" t="s">
        <v>1997</v>
      </c>
    </row>
    <row r="208" spans="1:15" ht="16.149999999999999" customHeight="1" x14ac:dyDescent="0.25">
      <c r="A208" s="172">
        <v>43216</v>
      </c>
      <c r="B208" s="173" t="s">
        <v>49</v>
      </c>
      <c r="C208" s="252" t="s">
        <v>2804</v>
      </c>
      <c r="D208" s="252" t="s">
        <v>2838</v>
      </c>
      <c r="E208" s="252" t="s">
        <v>1992</v>
      </c>
      <c r="F208" s="252" t="s">
        <v>2851</v>
      </c>
      <c r="G208" s="252" t="s">
        <v>1998</v>
      </c>
      <c r="H208" s="252" t="s">
        <v>2845</v>
      </c>
      <c r="I208" s="252" t="s">
        <v>2845</v>
      </c>
      <c r="J208" s="174"/>
      <c r="K208" s="252" t="s">
        <v>2836</v>
      </c>
      <c r="L208" s="174"/>
      <c r="M208" s="174"/>
      <c r="N208" s="252" t="s">
        <v>1991</v>
      </c>
      <c r="O208" s="253" t="s">
        <v>1986</v>
      </c>
    </row>
    <row r="209" spans="1:15" ht="16.149999999999999" customHeight="1" x14ac:dyDescent="0.25">
      <c r="A209" s="172">
        <v>43215</v>
      </c>
      <c r="B209" s="175" t="s">
        <v>49</v>
      </c>
      <c r="C209" s="254" t="s">
        <v>1930</v>
      </c>
      <c r="D209" s="254" t="s">
        <v>1998</v>
      </c>
      <c r="E209" s="254" t="s">
        <v>1992</v>
      </c>
      <c r="F209" s="254" t="s">
        <v>2637</v>
      </c>
      <c r="G209" s="254" t="s">
        <v>2836</v>
      </c>
      <c r="H209" s="254" t="s">
        <v>2002</v>
      </c>
      <c r="I209" s="254" t="s">
        <v>2849</v>
      </c>
      <c r="J209" s="176"/>
      <c r="K209" s="254" t="s">
        <v>2002</v>
      </c>
      <c r="L209" s="176"/>
      <c r="M209" s="176"/>
      <c r="N209" s="254" t="s">
        <v>1986</v>
      </c>
      <c r="O209" s="255" t="s">
        <v>1986</v>
      </c>
    </row>
    <row r="210" spans="1:15" ht="16.149999999999999" customHeight="1" x14ac:dyDescent="0.25">
      <c r="A210" s="172">
        <v>43214</v>
      </c>
      <c r="B210" s="173" t="s">
        <v>49</v>
      </c>
      <c r="C210" s="252" t="s">
        <v>1935</v>
      </c>
      <c r="D210" s="252" t="s">
        <v>2868</v>
      </c>
      <c r="E210" s="252" t="s">
        <v>2869</v>
      </c>
      <c r="F210" s="252" t="s">
        <v>2870</v>
      </c>
      <c r="G210" s="252" t="s">
        <v>2868</v>
      </c>
      <c r="H210" s="252" t="s">
        <v>2868</v>
      </c>
      <c r="I210" s="252" t="s">
        <v>2871</v>
      </c>
      <c r="J210" s="174"/>
      <c r="K210" s="252" t="s">
        <v>2005</v>
      </c>
      <c r="L210" s="174"/>
      <c r="M210" s="174"/>
      <c r="N210" s="252" t="s">
        <v>1992</v>
      </c>
      <c r="O210" s="253" t="s">
        <v>2004</v>
      </c>
    </row>
    <row r="211" spans="1:15" ht="16.149999999999999" customHeight="1" x14ac:dyDescent="0.25">
      <c r="A211" s="172">
        <v>43213</v>
      </c>
      <c r="B211" s="175" t="s">
        <v>49</v>
      </c>
      <c r="C211" s="254" t="s">
        <v>1950</v>
      </c>
      <c r="D211" s="254" t="s">
        <v>2001</v>
      </c>
      <c r="E211" s="254" t="s">
        <v>2001</v>
      </c>
      <c r="F211" s="254" t="s">
        <v>2872</v>
      </c>
      <c r="G211" s="254" t="s">
        <v>2873</v>
      </c>
      <c r="H211" s="254" t="s">
        <v>2012</v>
      </c>
      <c r="I211" s="254" t="s">
        <v>2874</v>
      </c>
      <c r="J211" s="176"/>
      <c r="K211" s="254" t="s">
        <v>2001</v>
      </c>
      <c r="L211" s="176"/>
      <c r="M211" s="176"/>
      <c r="N211" s="254" t="s">
        <v>2005</v>
      </c>
      <c r="O211" s="255" t="s">
        <v>1994</v>
      </c>
    </row>
    <row r="212" spans="1:15" ht="16.149999999999999" customHeight="1" x14ac:dyDescent="0.25">
      <c r="A212" s="172">
        <v>43210</v>
      </c>
      <c r="B212" s="173" t="s">
        <v>49</v>
      </c>
      <c r="C212" s="252" t="s">
        <v>1955</v>
      </c>
      <c r="D212" s="256" t="s">
        <v>2873</v>
      </c>
      <c r="E212" s="252" t="s">
        <v>2875</v>
      </c>
      <c r="F212" s="252" t="s">
        <v>2876</v>
      </c>
      <c r="G212" s="252" t="s">
        <v>2876</v>
      </c>
      <c r="H212" s="252" t="s">
        <v>2001</v>
      </c>
      <c r="I212" s="252" t="s">
        <v>2877</v>
      </c>
      <c r="J212" s="174"/>
      <c r="K212" s="252" t="s">
        <v>2001</v>
      </c>
      <c r="L212" s="174"/>
      <c r="M212" s="174"/>
      <c r="N212" s="252" t="s">
        <v>2873</v>
      </c>
      <c r="O212" s="253" t="s">
        <v>2873</v>
      </c>
    </row>
    <row r="213" spans="1:15" ht="16.149999999999999" customHeight="1" x14ac:dyDescent="0.25">
      <c r="A213" s="172">
        <v>43209</v>
      </c>
      <c r="B213" s="175" t="s">
        <v>49</v>
      </c>
      <c r="C213" s="254" t="s">
        <v>1959</v>
      </c>
      <c r="D213" s="254" t="s">
        <v>2878</v>
      </c>
      <c r="E213" s="254" t="s">
        <v>2873</v>
      </c>
      <c r="F213" s="254" t="s">
        <v>2005</v>
      </c>
      <c r="G213" s="254" t="s">
        <v>2001</v>
      </c>
      <c r="H213" s="254" t="s">
        <v>1994</v>
      </c>
      <c r="I213" s="254" t="s">
        <v>2879</v>
      </c>
      <c r="J213" s="176"/>
      <c r="K213" s="254" t="s">
        <v>1994</v>
      </c>
      <c r="L213" s="176"/>
      <c r="M213" s="176"/>
      <c r="N213" s="254" t="s">
        <v>2017</v>
      </c>
      <c r="O213" s="255" t="s">
        <v>2873</v>
      </c>
    </row>
    <row r="214" spans="1:15" ht="16.149999999999999" customHeight="1" x14ac:dyDescent="0.25">
      <c r="A214" s="172">
        <v>43208</v>
      </c>
      <c r="B214" s="173" t="s">
        <v>49</v>
      </c>
      <c r="C214" s="252" t="s">
        <v>2880</v>
      </c>
      <c r="D214" s="252" t="s">
        <v>2875</v>
      </c>
      <c r="E214" s="252" t="s">
        <v>2873</v>
      </c>
      <c r="F214" s="252" t="s">
        <v>2873</v>
      </c>
      <c r="G214" s="252" t="s">
        <v>2868</v>
      </c>
      <c r="H214" s="252" t="s">
        <v>2005</v>
      </c>
      <c r="I214" s="252" t="s">
        <v>2881</v>
      </c>
      <c r="J214" s="174"/>
      <c r="K214" s="252" t="s">
        <v>2001</v>
      </c>
      <c r="L214" s="174"/>
      <c r="M214" s="174"/>
      <c r="N214" s="252" t="s">
        <v>2023</v>
      </c>
      <c r="O214" s="253" t="s">
        <v>2001</v>
      </c>
    </row>
    <row r="215" spans="1:15" ht="16.149999999999999" customHeight="1" x14ac:dyDescent="0.25">
      <c r="A215" s="172">
        <v>43207</v>
      </c>
      <c r="B215" s="175" t="s">
        <v>49</v>
      </c>
      <c r="C215" s="254" t="s">
        <v>1935</v>
      </c>
      <c r="D215" s="254" t="s">
        <v>2868</v>
      </c>
      <c r="E215" s="254" t="s">
        <v>2882</v>
      </c>
      <c r="F215" s="254" t="s">
        <v>2002</v>
      </c>
      <c r="G215" s="254" t="s">
        <v>2872</v>
      </c>
      <c r="H215" s="254" t="s">
        <v>2005</v>
      </c>
      <c r="I215" s="254" t="s">
        <v>2004</v>
      </c>
      <c r="J215" s="176"/>
      <c r="K215" s="254" t="s">
        <v>2005</v>
      </c>
      <c r="L215" s="176"/>
      <c r="M215" s="176"/>
      <c r="N215" s="254" t="s">
        <v>2001</v>
      </c>
      <c r="O215" s="255" t="s">
        <v>1992</v>
      </c>
    </row>
    <row r="216" spans="1:15" ht="16.149999999999999" customHeight="1" x14ac:dyDescent="0.25">
      <c r="A216" s="172">
        <v>43206</v>
      </c>
      <c r="B216" s="173" t="s">
        <v>49</v>
      </c>
      <c r="C216" s="252" t="s">
        <v>1931</v>
      </c>
      <c r="D216" s="252" t="s">
        <v>2846</v>
      </c>
      <c r="E216" s="252" t="s">
        <v>2839</v>
      </c>
      <c r="F216" s="252" t="s">
        <v>1992</v>
      </c>
      <c r="G216" s="252" t="s">
        <v>1998</v>
      </c>
      <c r="H216" s="252" t="s">
        <v>1987</v>
      </c>
      <c r="I216" s="252" t="s">
        <v>2842</v>
      </c>
      <c r="J216" s="174"/>
      <c r="K216" s="252" t="s">
        <v>1992</v>
      </c>
      <c r="L216" s="174"/>
      <c r="M216" s="174"/>
      <c r="N216" s="252" t="s">
        <v>2004</v>
      </c>
      <c r="O216" s="253" t="s">
        <v>2002</v>
      </c>
    </row>
    <row r="217" spans="1:15" ht="16.149999999999999" customHeight="1" x14ac:dyDescent="0.25">
      <c r="A217" s="172">
        <v>43203</v>
      </c>
      <c r="B217" s="175" t="s">
        <v>49</v>
      </c>
      <c r="C217" s="254" t="s">
        <v>2883</v>
      </c>
      <c r="D217" s="254" t="s">
        <v>2859</v>
      </c>
      <c r="E217" s="254" t="s">
        <v>2634</v>
      </c>
      <c r="F217" s="254" t="s">
        <v>1981</v>
      </c>
      <c r="G217" s="254" t="s">
        <v>1995</v>
      </c>
      <c r="H217" s="254" t="s">
        <v>1997</v>
      </c>
      <c r="I217" s="254" t="s">
        <v>2840</v>
      </c>
      <c r="J217" s="176"/>
      <c r="K217" s="254" t="s">
        <v>1992</v>
      </c>
      <c r="L217" s="176"/>
      <c r="M217" s="176"/>
      <c r="N217" s="254" t="s">
        <v>2872</v>
      </c>
      <c r="O217" s="255" t="s">
        <v>1985</v>
      </c>
    </row>
    <row r="218" spans="1:15" ht="16.149999999999999" customHeight="1" x14ac:dyDescent="0.25">
      <c r="A218" s="172">
        <v>43202</v>
      </c>
      <c r="B218" s="173" t="s">
        <v>49</v>
      </c>
      <c r="C218" s="252" t="s">
        <v>2813</v>
      </c>
      <c r="D218" s="252" t="s">
        <v>1933</v>
      </c>
      <c r="E218" s="252" t="s">
        <v>1971</v>
      </c>
      <c r="F218" s="252" t="s">
        <v>1981</v>
      </c>
      <c r="G218" s="252" t="s">
        <v>1964</v>
      </c>
      <c r="H218" s="252" t="s">
        <v>1933</v>
      </c>
      <c r="I218" s="252" t="s">
        <v>1933</v>
      </c>
      <c r="J218" s="174"/>
      <c r="K218" s="252" t="s">
        <v>1933</v>
      </c>
      <c r="L218" s="174"/>
      <c r="M218" s="174"/>
      <c r="N218" s="252" t="s">
        <v>1991</v>
      </c>
      <c r="O218" s="253" t="s">
        <v>1971</v>
      </c>
    </row>
    <row r="219" spans="1:15" ht="16.149999999999999" customHeight="1" x14ac:dyDescent="0.25">
      <c r="A219" s="172">
        <v>43201</v>
      </c>
      <c r="B219" s="175" t="s">
        <v>49</v>
      </c>
      <c r="C219" s="254" t="s">
        <v>2884</v>
      </c>
      <c r="D219" s="254" t="s">
        <v>1940</v>
      </c>
      <c r="E219" s="254" t="s">
        <v>1948</v>
      </c>
      <c r="F219" s="254" t="s">
        <v>1976</v>
      </c>
      <c r="G219" s="254" t="s">
        <v>2885</v>
      </c>
      <c r="H219" s="254" t="s">
        <v>1940</v>
      </c>
      <c r="I219" s="254" t="s">
        <v>2886</v>
      </c>
      <c r="J219" s="176"/>
      <c r="K219" s="254" t="s">
        <v>1940</v>
      </c>
      <c r="L219" s="176"/>
      <c r="M219" s="176"/>
      <c r="N219" s="254" t="s">
        <v>2887</v>
      </c>
      <c r="O219" s="255" t="s">
        <v>1939</v>
      </c>
    </row>
    <row r="220" spans="1:15" ht="16.149999999999999" customHeight="1" x14ac:dyDescent="0.25">
      <c r="A220" s="172">
        <v>43200</v>
      </c>
      <c r="B220" s="173" t="s">
        <v>49</v>
      </c>
      <c r="C220" s="252" t="s">
        <v>1974</v>
      </c>
      <c r="D220" s="252" t="s">
        <v>1975</v>
      </c>
      <c r="E220" s="252" t="s">
        <v>2888</v>
      </c>
      <c r="F220" s="252" t="s">
        <v>1934</v>
      </c>
      <c r="G220" s="252" t="s">
        <v>2006</v>
      </c>
      <c r="H220" s="252" t="s">
        <v>1952</v>
      </c>
      <c r="I220" s="252" t="s">
        <v>1948</v>
      </c>
      <c r="J220" s="174"/>
      <c r="K220" s="252" t="s">
        <v>1939</v>
      </c>
      <c r="L220" s="174"/>
      <c r="M220" s="174"/>
      <c r="N220" s="252" t="s">
        <v>1937</v>
      </c>
      <c r="O220" s="253" t="s">
        <v>1959</v>
      </c>
    </row>
    <row r="221" spans="1:15" ht="16.149999999999999" customHeight="1" x14ac:dyDescent="0.25">
      <c r="A221" s="172">
        <v>43199</v>
      </c>
      <c r="B221" s="175" t="s">
        <v>49</v>
      </c>
      <c r="C221" s="254" t="s">
        <v>1905</v>
      </c>
      <c r="D221" s="254" t="s">
        <v>1950</v>
      </c>
      <c r="E221" s="254" t="s">
        <v>2888</v>
      </c>
      <c r="F221" s="254" t="s">
        <v>1975</v>
      </c>
      <c r="G221" s="254" t="s">
        <v>2880</v>
      </c>
      <c r="H221" s="254" t="s">
        <v>1934</v>
      </c>
      <c r="I221" s="254" t="s">
        <v>2889</v>
      </c>
      <c r="J221" s="176"/>
      <c r="K221" s="254" t="s">
        <v>1915</v>
      </c>
      <c r="L221" s="176"/>
      <c r="M221" s="176"/>
      <c r="N221" s="254" t="s">
        <v>1951</v>
      </c>
      <c r="O221" s="255" t="s">
        <v>1921</v>
      </c>
    </row>
    <row r="222" spans="1:15" ht="16.149999999999999" customHeight="1" x14ac:dyDescent="0.25">
      <c r="A222" s="172">
        <v>43196</v>
      </c>
      <c r="B222" s="173" t="s">
        <v>49</v>
      </c>
      <c r="C222" s="252" t="s">
        <v>1889</v>
      </c>
      <c r="D222" s="252" t="s">
        <v>2006</v>
      </c>
      <c r="E222" s="252" t="s">
        <v>2888</v>
      </c>
      <c r="F222" s="252" t="s">
        <v>1963</v>
      </c>
      <c r="G222" s="252" t="s">
        <v>1943</v>
      </c>
      <c r="H222" s="252" t="s">
        <v>1959</v>
      </c>
      <c r="I222" s="252" t="s">
        <v>2889</v>
      </c>
      <c r="J222" s="174"/>
      <c r="K222" s="252" t="s">
        <v>1959</v>
      </c>
      <c r="L222" s="174"/>
      <c r="M222" s="174"/>
      <c r="N222" s="252" t="s">
        <v>1939</v>
      </c>
      <c r="O222" s="253" t="s">
        <v>1970</v>
      </c>
    </row>
    <row r="223" spans="1:15" ht="16.149999999999999" customHeight="1" x14ac:dyDescent="0.25">
      <c r="A223" s="172">
        <v>43195</v>
      </c>
      <c r="B223" s="175" t="s">
        <v>49</v>
      </c>
      <c r="C223" s="254" t="s">
        <v>1786</v>
      </c>
      <c r="D223" s="254" t="s">
        <v>2808</v>
      </c>
      <c r="E223" s="254" t="s">
        <v>2807</v>
      </c>
      <c r="F223" s="254" t="s">
        <v>2808</v>
      </c>
      <c r="G223" s="254" t="s">
        <v>2890</v>
      </c>
      <c r="H223" s="254" t="s">
        <v>1983</v>
      </c>
      <c r="I223" s="254" t="s">
        <v>2808</v>
      </c>
      <c r="J223" s="176"/>
      <c r="K223" s="254" t="s">
        <v>1913</v>
      </c>
      <c r="L223" s="176"/>
      <c r="M223" s="176"/>
      <c r="N223" s="254" t="s">
        <v>1961</v>
      </c>
      <c r="O223" s="255" t="s">
        <v>2883</v>
      </c>
    </row>
    <row r="224" spans="1:15" ht="16.149999999999999" customHeight="1" x14ac:dyDescent="0.25">
      <c r="A224" s="172">
        <v>43194</v>
      </c>
      <c r="B224" s="173" t="s">
        <v>49</v>
      </c>
      <c r="C224" s="252" t="s">
        <v>1780</v>
      </c>
      <c r="D224" s="252" t="s">
        <v>1920</v>
      </c>
      <c r="E224" s="252" t="s">
        <v>1982</v>
      </c>
      <c r="F224" s="252" t="s">
        <v>1920</v>
      </c>
      <c r="G224" s="252" t="s">
        <v>1907</v>
      </c>
      <c r="H224" s="252" t="s">
        <v>1983</v>
      </c>
      <c r="I224" s="252" t="s">
        <v>2808</v>
      </c>
      <c r="J224" s="174"/>
      <c r="K224" s="252" t="s">
        <v>1907</v>
      </c>
      <c r="L224" s="174"/>
      <c r="M224" s="174"/>
      <c r="N224" s="252" t="s">
        <v>2808</v>
      </c>
      <c r="O224" s="253" t="s">
        <v>1920</v>
      </c>
    </row>
    <row r="225" spans="1:15" ht="16.149999999999999" customHeight="1" x14ac:dyDescent="0.25">
      <c r="A225" s="172">
        <v>43193</v>
      </c>
      <c r="B225" s="175" t="s">
        <v>49</v>
      </c>
      <c r="C225" s="254" t="s">
        <v>1821</v>
      </c>
      <c r="D225" s="254" t="s">
        <v>1979</v>
      </c>
      <c r="E225" s="254" t="s">
        <v>1907</v>
      </c>
      <c r="F225" s="254" t="s">
        <v>2891</v>
      </c>
      <c r="G225" s="254" t="s">
        <v>1914</v>
      </c>
      <c r="H225" s="254" t="s">
        <v>1913</v>
      </c>
      <c r="I225" s="254" t="s">
        <v>2638</v>
      </c>
      <c r="J225" s="176"/>
      <c r="K225" s="254" t="s">
        <v>1907</v>
      </c>
      <c r="L225" s="176"/>
      <c r="M225" s="176"/>
      <c r="N225" s="254" t="s">
        <v>2890</v>
      </c>
      <c r="O225" s="255" t="s">
        <v>2883</v>
      </c>
    </row>
    <row r="226" spans="1:15" ht="16.149999999999999" customHeight="1" x14ac:dyDescent="0.25">
      <c r="A226" s="172">
        <v>43192</v>
      </c>
      <c r="B226" s="173" t="s">
        <v>49</v>
      </c>
      <c r="C226" s="252" t="s">
        <v>1919</v>
      </c>
      <c r="D226" s="252" t="s">
        <v>1907</v>
      </c>
      <c r="E226" s="252" t="s">
        <v>1907</v>
      </c>
      <c r="F226" s="252" t="s">
        <v>1907</v>
      </c>
      <c r="G226" s="252" t="s">
        <v>1914</v>
      </c>
      <c r="H226" s="252" t="s">
        <v>1907</v>
      </c>
      <c r="I226" s="252" t="s">
        <v>2811</v>
      </c>
      <c r="J226" s="174"/>
      <c r="K226" s="252" t="s">
        <v>1907</v>
      </c>
      <c r="L226" s="174"/>
      <c r="M226" s="174"/>
      <c r="N226" s="252" t="s">
        <v>2892</v>
      </c>
      <c r="O226" s="253" t="s">
        <v>2893</v>
      </c>
    </row>
    <row r="227" spans="1:15" ht="16.149999999999999" customHeight="1" x14ac:dyDescent="0.25">
      <c r="A227" s="172">
        <v>43187</v>
      </c>
      <c r="B227" s="175" t="s">
        <v>49</v>
      </c>
      <c r="C227" s="254" t="s">
        <v>1825</v>
      </c>
      <c r="D227" s="254" t="s">
        <v>1914</v>
      </c>
      <c r="E227" s="254" t="s">
        <v>1914</v>
      </c>
      <c r="F227" s="254" t="s">
        <v>1918</v>
      </c>
      <c r="G227" s="254" t="s">
        <v>2811</v>
      </c>
      <c r="H227" s="254" t="s">
        <v>1907</v>
      </c>
      <c r="I227" s="254" t="s">
        <v>1909</v>
      </c>
      <c r="J227" s="176"/>
      <c r="K227" s="254" t="s">
        <v>1914</v>
      </c>
      <c r="L227" s="176"/>
      <c r="M227" s="176"/>
      <c r="N227" s="254" t="s">
        <v>2808</v>
      </c>
      <c r="O227" s="255" t="s">
        <v>2808</v>
      </c>
    </row>
    <row r="228" spans="1:15" ht="16.149999999999999" customHeight="1" x14ac:dyDescent="0.25">
      <c r="A228" s="172">
        <v>43186</v>
      </c>
      <c r="B228" s="173" t="s">
        <v>49</v>
      </c>
      <c r="C228" s="252" t="s">
        <v>1797</v>
      </c>
      <c r="D228" s="252" t="s">
        <v>1912</v>
      </c>
      <c r="E228" s="252" t="s">
        <v>1912</v>
      </c>
      <c r="F228" s="252" t="s">
        <v>1912</v>
      </c>
      <c r="G228" s="252" t="s">
        <v>2884</v>
      </c>
      <c r="H228" s="252" t="s">
        <v>1907</v>
      </c>
      <c r="I228" s="252" t="s">
        <v>2894</v>
      </c>
      <c r="J228" s="174"/>
      <c r="K228" s="252" t="s">
        <v>1908</v>
      </c>
      <c r="L228" s="174"/>
      <c r="M228" s="174"/>
      <c r="N228" s="252" t="s">
        <v>2635</v>
      </c>
      <c r="O228" s="253" t="s">
        <v>2895</v>
      </c>
    </row>
    <row r="229" spans="1:15" ht="16.149999999999999" customHeight="1" x14ac:dyDescent="0.25">
      <c r="A229" s="172">
        <v>43185</v>
      </c>
      <c r="B229" s="175" t="s">
        <v>49</v>
      </c>
      <c r="C229" s="254" t="s">
        <v>1743</v>
      </c>
      <c r="D229" s="254" t="s">
        <v>2884</v>
      </c>
      <c r="E229" s="254" t="s">
        <v>1911</v>
      </c>
      <c r="F229" s="254" t="s">
        <v>2896</v>
      </c>
      <c r="G229" s="254" t="s">
        <v>2819</v>
      </c>
      <c r="H229" s="254" t="s">
        <v>1908</v>
      </c>
      <c r="I229" s="254" t="s">
        <v>2897</v>
      </c>
      <c r="J229" s="176"/>
      <c r="K229" s="254" t="s">
        <v>2817</v>
      </c>
      <c r="L229" s="176"/>
      <c r="M229" s="176"/>
      <c r="N229" s="254" t="s">
        <v>2811</v>
      </c>
      <c r="O229" s="255" t="s">
        <v>1785</v>
      </c>
    </row>
    <row r="230" spans="1:15" ht="16.149999999999999" customHeight="1" x14ac:dyDescent="0.25">
      <c r="A230" s="172">
        <v>43182</v>
      </c>
      <c r="B230" s="173" t="s">
        <v>49</v>
      </c>
      <c r="C230" s="252" t="s">
        <v>1730</v>
      </c>
      <c r="D230" s="252" t="s">
        <v>2894</v>
      </c>
      <c r="E230" s="252" t="s">
        <v>1826</v>
      </c>
      <c r="F230" s="252" t="s">
        <v>2818</v>
      </c>
      <c r="G230" s="252" t="s">
        <v>2898</v>
      </c>
      <c r="H230" s="252" t="s">
        <v>2819</v>
      </c>
      <c r="I230" s="252" t="s">
        <v>1972</v>
      </c>
      <c r="J230" s="174"/>
      <c r="K230" s="252" t="s">
        <v>1826</v>
      </c>
      <c r="L230" s="174"/>
      <c r="M230" s="174"/>
      <c r="N230" s="252" t="s">
        <v>2816</v>
      </c>
      <c r="O230" s="253" t="s">
        <v>2896</v>
      </c>
    </row>
    <row r="231" spans="1:15" ht="16.149999999999999" customHeight="1" x14ac:dyDescent="0.25">
      <c r="A231" s="172">
        <v>43181</v>
      </c>
      <c r="B231" s="175" t="s">
        <v>49</v>
      </c>
      <c r="C231" s="254" t="s">
        <v>1729</v>
      </c>
      <c r="D231" s="254" t="s">
        <v>2894</v>
      </c>
      <c r="E231" s="254" t="s">
        <v>2898</v>
      </c>
      <c r="F231" s="254" t="s">
        <v>2819</v>
      </c>
      <c r="G231" s="254" t="s">
        <v>2898</v>
      </c>
      <c r="H231" s="254" t="s">
        <v>1826</v>
      </c>
      <c r="I231" s="254" t="s">
        <v>2818</v>
      </c>
      <c r="J231" s="176"/>
      <c r="K231" s="254" t="s">
        <v>1826</v>
      </c>
      <c r="L231" s="176"/>
      <c r="M231" s="176"/>
      <c r="N231" s="254" t="s">
        <v>1911</v>
      </c>
      <c r="O231" s="255" t="s">
        <v>2819</v>
      </c>
    </row>
    <row r="232" spans="1:15" ht="16.149999999999999" customHeight="1" x14ac:dyDescent="0.25">
      <c r="A232" s="172">
        <v>43180</v>
      </c>
      <c r="B232" s="173" t="s">
        <v>49</v>
      </c>
      <c r="C232" s="252" t="s">
        <v>1725</v>
      </c>
      <c r="D232" s="252" t="s">
        <v>1972</v>
      </c>
      <c r="E232" s="252" t="s">
        <v>2898</v>
      </c>
      <c r="F232" s="252" t="s">
        <v>1826</v>
      </c>
      <c r="G232" s="252" t="s">
        <v>1826</v>
      </c>
      <c r="H232" s="252" t="s">
        <v>2898</v>
      </c>
      <c r="I232" s="252" t="s">
        <v>2899</v>
      </c>
      <c r="J232" s="174"/>
      <c r="K232" s="252" t="s">
        <v>2898</v>
      </c>
      <c r="L232" s="174"/>
      <c r="M232" s="174"/>
      <c r="N232" s="252" t="s">
        <v>1826</v>
      </c>
      <c r="O232" s="253" t="s">
        <v>2900</v>
      </c>
    </row>
    <row r="233" spans="1:15" ht="16.149999999999999" customHeight="1" x14ac:dyDescent="0.25">
      <c r="A233" s="172">
        <v>43179</v>
      </c>
      <c r="B233" s="175" t="s">
        <v>49</v>
      </c>
      <c r="C233" s="254" t="s">
        <v>1869</v>
      </c>
      <c r="D233" s="254" t="s">
        <v>1920</v>
      </c>
      <c r="E233" s="254" t="s">
        <v>1907</v>
      </c>
      <c r="F233" s="254" t="s">
        <v>1920</v>
      </c>
      <c r="G233" s="254" t="s">
        <v>1990</v>
      </c>
      <c r="H233" s="254" t="s">
        <v>1907</v>
      </c>
      <c r="I233" s="254" t="s">
        <v>1920</v>
      </c>
      <c r="J233" s="176"/>
      <c r="K233" s="254" t="s">
        <v>1907</v>
      </c>
      <c r="L233" s="176"/>
      <c r="M233" s="176"/>
      <c r="N233" s="254" t="s">
        <v>1920</v>
      </c>
      <c r="O233" s="255" t="s">
        <v>1920</v>
      </c>
    </row>
    <row r="234" spans="1:15" ht="16.149999999999999" customHeight="1" x14ac:dyDescent="0.25">
      <c r="A234" s="172">
        <v>43175</v>
      </c>
      <c r="B234" s="173" t="s">
        <v>49</v>
      </c>
      <c r="C234" s="252" t="s">
        <v>1837</v>
      </c>
      <c r="D234" s="252" t="s">
        <v>1961</v>
      </c>
      <c r="E234" s="252" t="s">
        <v>1913</v>
      </c>
      <c r="F234" s="252" t="s">
        <v>2803</v>
      </c>
      <c r="G234" s="252" t="s">
        <v>1961</v>
      </c>
      <c r="H234" s="252" t="s">
        <v>1923</v>
      </c>
      <c r="I234" s="252" t="s">
        <v>1990</v>
      </c>
      <c r="J234" s="174"/>
      <c r="K234" s="252" t="s">
        <v>1923</v>
      </c>
      <c r="L234" s="174"/>
      <c r="M234" s="174"/>
      <c r="N234" s="252" t="s">
        <v>1946</v>
      </c>
      <c r="O234" s="253" t="s">
        <v>1920</v>
      </c>
    </row>
    <row r="235" spans="1:15" ht="16.149999999999999" customHeight="1" x14ac:dyDescent="0.25">
      <c r="A235" s="172">
        <v>43174</v>
      </c>
      <c r="B235" s="175" t="s">
        <v>49</v>
      </c>
      <c r="C235" s="254" t="s">
        <v>1787</v>
      </c>
      <c r="D235" s="254" t="s">
        <v>1982</v>
      </c>
      <c r="E235" s="254" t="s">
        <v>1901</v>
      </c>
      <c r="F235" s="254" t="s">
        <v>1961</v>
      </c>
      <c r="G235" s="254" t="s">
        <v>1979</v>
      </c>
      <c r="H235" s="254" t="s">
        <v>1907</v>
      </c>
      <c r="I235" s="254" t="s">
        <v>1982</v>
      </c>
      <c r="J235" s="176"/>
      <c r="K235" s="254" t="s">
        <v>1912</v>
      </c>
      <c r="L235" s="176"/>
      <c r="M235" s="176"/>
      <c r="N235" s="254" t="s">
        <v>1938</v>
      </c>
      <c r="O235" s="255" t="s">
        <v>1912</v>
      </c>
    </row>
    <row r="236" spans="1:15" ht="16.149999999999999" customHeight="1" x14ac:dyDescent="0.25">
      <c r="A236" s="172">
        <v>43173</v>
      </c>
      <c r="B236" s="173" t="s">
        <v>49</v>
      </c>
      <c r="C236" s="252" t="s">
        <v>1885</v>
      </c>
      <c r="D236" s="252" t="s">
        <v>1961</v>
      </c>
      <c r="E236" s="252" t="s">
        <v>1912</v>
      </c>
      <c r="F236" s="252" t="s">
        <v>1930</v>
      </c>
      <c r="G236" s="252" t="s">
        <v>1923</v>
      </c>
      <c r="H236" s="252" t="s">
        <v>1920</v>
      </c>
      <c r="I236" s="252" t="s">
        <v>2804</v>
      </c>
      <c r="J236" s="174"/>
      <c r="K236" s="252" t="s">
        <v>1912</v>
      </c>
      <c r="L236" s="174"/>
      <c r="M236" s="174"/>
      <c r="N236" s="252" t="s">
        <v>2805</v>
      </c>
      <c r="O236" s="253" t="s">
        <v>1913</v>
      </c>
    </row>
    <row r="237" spans="1:15" ht="16.149999999999999" customHeight="1" x14ac:dyDescent="0.25">
      <c r="A237" s="172">
        <v>43172</v>
      </c>
      <c r="B237" s="175" t="s">
        <v>49</v>
      </c>
      <c r="C237" s="254" t="s">
        <v>1897</v>
      </c>
      <c r="D237" s="254" t="s">
        <v>2806</v>
      </c>
      <c r="E237" s="254" t="s">
        <v>1907</v>
      </c>
      <c r="F237" s="254" t="s">
        <v>2804</v>
      </c>
      <c r="G237" s="254" t="s">
        <v>1928</v>
      </c>
      <c r="H237" s="254" t="s">
        <v>1929</v>
      </c>
      <c r="I237" s="254" t="s">
        <v>2806</v>
      </c>
      <c r="J237" s="176"/>
      <c r="K237" s="254" t="s">
        <v>1907</v>
      </c>
      <c r="L237" s="176"/>
      <c r="M237" s="176"/>
      <c r="N237" s="254" t="s">
        <v>2806</v>
      </c>
      <c r="O237" s="255" t="s">
        <v>2807</v>
      </c>
    </row>
    <row r="238" spans="1:15" ht="16.149999999999999" customHeight="1" x14ac:dyDescent="0.25">
      <c r="A238" s="172">
        <v>43171</v>
      </c>
      <c r="B238" s="173" t="s">
        <v>49</v>
      </c>
      <c r="C238" s="252" t="s">
        <v>1897</v>
      </c>
      <c r="D238" s="252" t="s">
        <v>2806</v>
      </c>
      <c r="E238" s="252" t="s">
        <v>1920</v>
      </c>
      <c r="F238" s="252" t="s">
        <v>2808</v>
      </c>
      <c r="G238" s="252" t="s">
        <v>1913</v>
      </c>
      <c r="H238" s="252" t="s">
        <v>1923</v>
      </c>
      <c r="I238" s="252" t="s">
        <v>1938</v>
      </c>
      <c r="J238" s="174"/>
      <c r="K238" s="252" t="s">
        <v>1923</v>
      </c>
      <c r="L238" s="174"/>
      <c r="M238" s="174"/>
      <c r="N238" s="252" t="s">
        <v>2809</v>
      </c>
      <c r="O238" s="253" t="s">
        <v>2810</v>
      </c>
    </row>
    <row r="239" spans="1:15" ht="16.149999999999999" customHeight="1" x14ac:dyDescent="0.25">
      <c r="A239" s="172">
        <v>43168</v>
      </c>
      <c r="B239" s="175" t="s">
        <v>49</v>
      </c>
      <c r="C239" s="254" t="s">
        <v>1797</v>
      </c>
      <c r="D239" s="254" t="s">
        <v>2811</v>
      </c>
      <c r="E239" s="254" t="s">
        <v>1901</v>
      </c>
      <c r="F239" s="254" t="s">
        <v>1912</v>
      </c>
      <c r="G239" s="254" t="s">
        <v>1912</v>
      </c>
      <c r="H239" s="254" t="s">
        <v>2812</v>
      </c>
      <c r="I239" s="254" t="s">
        <v>2813</v>
      </c>
      <c r="J239" s="176"/>
      <c r="K239" s="254" t="s">
        <v>1912</v>
      </c>
      <c r="L239" s="176"/>
      <c r="M239" s="176"/>
      <c r="N239" s="254" t="s">
        <v>1920</v>
      </c>
      <c r="O239" s="255" t="s">
        <v>1984</v>
      </c>
    </row>
    <row r="240" spans="1:15" ht="16.149999999999999" customHeight="1" x14ac:dyDescent="0.25">
      <c r="A240" s="172">
        <v>43167</v>
      </c>
      <c r="B240" s="173" t="s">
        <v>49</v>
      </c>
      <c r="C240" s="252" t="s">
        <v>1783</v>
      </c>
      <c r="D240" s="252" t="s">
        <v>1901</v>
      </c>
      <c r="E240" s="252" t="s">
        <v>1901</v>
      </c>
      <c r="F240" s="252" t="s">
        <v>1917</v>
      </c>
      <c r="G240" s="252" t="s">
        <v>2814</v>
      </c>
      <c r="H240" s="252" t="s">
        <v>1901</v>
      </c>
      <c r="I240" s="252" t="s">
        <v>2646</v>
      </c>
      <c r="J240" s="174"/>
      <c r="K240" s="252" t="s">
        <v>1901</v>
      </c>
      <c r="L240" s="174"/>
      <c r="M240" s="174"/>
      <c r="N240" s="252" t="s">
        <v>1922</v>
      </c>
      <c r="O240" s="253" t="s">
        <v>1910</v>
      </c>
    </row>
    <row r="241" spans="1:15" ht="16.149999999999999" customHeight="1" x14ac:dyDescent="0.25">
      <c r="A241" s="172">
        <v>43166</v>
      </c>
      <c r="B241" s="175" t="s">
        <v>49</v>
      </c>
      <c r="C241" s="254" t="s">
        <v>1741</v>
      </c>
      <c r="D241" s="254" t="s">
        <v>2815</v>
      </c>
      <c r="E241" s="254" t="s">
        <v>2816</v>
      </c>
      <c r="F241" s="254" t="s">
        <v>2646</v>
      </c>
      <c r="G241" s="254" t="s">
        <v>2817</v>
      </c>
      <c r="H241" s="254" t="s">
        <v>2816</v>
      </c>
      <c r="I241" s="254" t="s">
        <v>1909</v>
      </c>
      <c r="J241" s="176"/>
      <c r="K241" s="254" t="s">
        <v>2816</v>
      </c>
      <c r="L241" s="176"/>
      <c r="M241" s="176"/>
      <c r="N241" s="254" t="s">
        <v>1908</v>
      </c>
      <c r="O241" s="255" t="s">
        <v>1911</v>
      </c>
    </row>
    <row r="242" spans="1:15" ht="16.149999999999999" customHeight="1" x14ac:dyDescent="0.25">
      <c r="A242" s="172">
        <v>43165</v>
      </c>
      <c r="B242" s="173" t="s">
        <v>49</v>
      </c>
      <c r="C242" s="252" t="s">
        <v>1730</v>
      </c>
      <c r="D242" s="252" t="s">
        <v>2818</v>
      </c>
      <c r="E242" s="252" t="s">
        <v>1826</v>
      </c>
      <c r="F242" s="252" t="s">
        <v>2816</v>
      </c>
      <c r="G242" s="252" t="s">
        <v>2819</v>
      </c>
      <c r="H242" s="252" t="s">
        <v>1826</v>
      </c>
      <c r="I242" s="252" t="s">
        <v>2820</v>
      </c>
      <c r="J242" s="174"/>
      <c r="K242" s="252" t="s">
        <v>1826</v>
      </c>
      <c r="L242" s="174"/>
      <c r="M242" s="174"/>
      <c r="N242" s="252" t="s">
        <v>2821</v>
      </c>
      <c r="O242" s="253" t="s">
        <v>1826</v>
      </c>
    </row>
    <row r="243" spans="1:15" ht="16.149999999999999" customHeight="1" x14ac:dyDescent="0.25">
      <c r="A243" s="172">
        <v>43164</v>
      </c>
      <c r="B243" s="175" t="s">
        <v>49</v>
      </c>
      <c r="C243" s="254" t="s">
        <v>1845</v>
      </c>
      <c r="D243" s="254" t="s">
        <v>2800</v>
      </c>
      <c r="E243" s="254" t="s">
        <v>1882</v>
      </c>
      <c r="F243" s="254" t="s">
        <v>1900</v>
      </c>
      <c r="G243" s="254" t="s">
        <v>1899</v>
      </c>
      <c r="H243" s="254" t="s">
        <v>1823</v>
      </c>
      <c r="I243" s="254" t="s">
        <v>1819</v>
      </c>
      <c r="J243" s="176"/>
      <c r="K243" s="254" t="s">
        <v>1831</v>
      </c>
      <c r="L243" s="176"/>
      <c r="M243" s="176"/>
      <c r="N243" s="254" t="s">
        <v>1941</v>
      </c>
      <c r="O243" s="255" t="s">
        <v>1881</v>
      </c>
    </row>
    <row r="244" spans="1:15" ht="16.149999999999999" customHeight="1" x14ac:dyDescent="0.25">
      <c r="A244" s="172">
        <v>43161</v>
      </c>
      <c r="B244" s="173" t="s">
        <v>49</v>
      </c>
      <c r="C244" s="252" t="s">
        <v>1716</v>
      </c>
      <c r="D244" s="252" t="s">
        <v>2822</v>
      </c>
      <c r="E244" s="252" t="s">
        <v>1882</v>
      </c>
      <c r="F244" s="252" t="s">
        <v>1902</v>
      </c>
      <c r="G244" s="252" t="s">
        <v>2800</v>
      </c>
      <c r="H244" s="252" t="s">
        <v>1882</v>
      </c>
      <c r="I244" s="252" t="s">
        <v>1891</v>
      </c>
      <c r="J244" s="174"/>
      <c r="K244" s="252" t="s">
        <v>1827</v>
      </c>
      <c r="L244" s="174"/>
      <c r="M244" s="174"/>
      <c r="N244" s="252" t="s">
        <v>1829</v>
      </c>
      <c r="O244" s="253" t="s">
        <v>1843</v>
      </c>
    </row>
    <row r="245" spans="1:15" ht="16.149999999999999" customHeight="1" x14ac:dyDescent="0.25">
      <c r="A245" s="172">
        <v>43160</v>
      </c>
      <c r="B245" s="175" t="s">
        <v>49</v>
      </c>
      <c r="C245" s="254" t="s">
        <v>1693</v>
      </c>
      <c r="D245" s="254" t="s">
        <v>1882</v>
      </c>
      <c r="E245" s="254" t="s">
        <v>1827</v>
      </c>
      <c r="F245" s="254" t="s">
        <v>1899</v>
      </c>
      <c r="G245" s="254" t="s">
        <v>1827</v>
      </c>
      <c r="H245" s="254" t="s">
        <v>1493</v>
      </c>
      <c r="I245" s="254" t="s">
        <v>2823</v>
      </c>
      <c r="J245" s="176"/>
      <c r="K245" s="254" t="s">
        <v>1819</v>
      </c>
      <c r="L245" s="176"/>
      <c r="M245" s="176"/>
      <c r="N245" s="254" t="s">
        <v>1960</v>
      </c>
      <c r="O245" s="255" t="s">
        <v>1882</v>
      </c>
    </row>
    <row r="246" spans="1:15" ht="16.149999999999999" customHeight="1" x14ac:dyDescent="0.25">
      <c r="A246" s="172">
        <v>43159</v>
      </c>
      <c r="B246" s="173" t="s">
        <v>49</v>
      </c>
      <c r="C246" s="252" t="s">
        <v>2785</v>
      </c>
      <c r="D246" s="252" t="s">
        <v>2800</v>
      </c>
      <c r="E246" s="252" t="s">
        <v>1827</v>
      </c>
      <c r="F246" s="252" t="s">
        <v>1902</v>
      </c>
      <c r="G246" s="252" t="s">
        <v>1823</v>
      </c>
      <c r="H246" s="252" t="s">
        <v>1882</v>
      </c>
      <c r="I246" s="252" t="s">
        <v>1899</v>
      </c>
      <c r="J246" s="174"/>
      <c r="K246" s="252" t="s">
        <v>1827</v>
      </c>
      <c r="L246" s="174"/>
      <c r="M246" s="174"/>
      <c r="N246" s="252" t="s">
        <v>2823</v>
      </c>
      <c r="O246" s="253" t="s">
        <v>1819</v>
      </c>
    </row>
    <row r="247" spans="1:15" ht="16.149999999999999" customHeight="1" x14ac:dyDescent="0.25">
      <c r="A247" s="172">
        <v>43158</v>
      </c>
      <c r="B247" s="175" t="s">
        <v>49</v>
      </c>
      <c r="C247" s="254" t="s">
        <v>1893</v>
      </c>
      <c r="D247" s="254" t="s">
        <v>1827</v>
      </c>
      <c r="E247" s="254" t="s">
        <v>1873</v>
      </c>
      <c r="F247" s="254" t="s">
        <v>1882</v>
      </c>
      <c r="G247" s="254" t="s">
        <v>1882</v>
      </c>
      <c r="H247" s="254" t="s">
        <v>1827</v>
      </c>
      <c r="I247" s="254" t="s">
        <v>1876</v>
      </c>
      <c r="J247" s="176"/>
      <c r="K247" s="254" t="s">
        <v>1831</v>
      </c>
      <c r="L247" s="176"/>
      <c r="M247" s="176"/>
      <c r="N247" s="254" t="s">
        <v>1967</v>
      </c>
      <c r="O247" s="255" t="s">
        <v>2796</v>
      </c>
    </row>
    <row r="248" spans="1:15" ht="16.149999999999999" customHeight="1" x14ac:dyDescent="0.25">
      <c r="A248" s="172">
        <v>43157</v>
      </c>
      <c r="B248" s="173" t="s">
        <v>49</v>
      </c>
      <c r="C248" s="252" t="s">
        <v>1771</v>
      </c>
      <c r="D248" s="252" t="s">
        <v>1876</v>
      </c>
      <c r="E248" s="252" t="s">
        <v>1882</v>
      </c>
      <c r="F248" s="252" t="s">
        <v>1823</v>
      </c>
      <c r="G248" s="252" t="s">
        <v>1876</v>
      </c>
      <c r="H248" s="252" t="s">
        <v>1827</v>
      </c>
      <c r="I248" s="252" t="s">
        <v>1899</v>
      </c>
      <c r="J248" s="174"/>
      <c r="K248" s="252" t="s">
        <v>1819</v>
      </c>
      <c r="L248" s="174"/>
      <c r="M248" s="174"/>
      <c r="N248" s="252" t="s">
        <v>2797</v>
      </c>
      <c r="O248" s="253" t="s">
        <v>1819</v>
      </c>
    </row>
    <row r="249" spans="1:15" ht="16.149999999999999" customHeight="1" x14ac:dyDescent="0.25">
      <c r="A249" s="172">
        <v>43154</v>
      </c>
      <c r="B249" s="175" t="s">
        <v>49</v>
      </c>
      <c r="C249" s="254" t="s">
        <v>1855</v>
      </c>
      <c r="D249" s="254" t="s">
        <v>2798</v>
      </c>
      <c r="E249" s="254" t="s">
        <v>1878</v>
      </c>
      <c r="F249" s="254" t="s">
        <v>1876</v>
      </c>
      <c r="G249" s="254" t="s">
        <v>2798</v>
      </c>
      <c r="H249" s="254" t="s">
        <v>2799</v>
      </c>
      <c r="I249" s="254" t="s">
        <v>1891</v>
      </c>
      <c r="J249" s="176"/>
      <c r="K249" s="254" t="s">
        <v>1831</v>
      </c>
      <c r="L249" s="176"/>
      <c r="M249" s="176"/>
      <c r="N249" s="254" t="s">
        <v>1873</v>
      </c>
      <c r="O249" s="255" t="s">
        <v>1831</v>
      </c>
    </row>
    <row r="250" spans="1:15" ht="16.149999999999999" customHeight="1" x14ac:dyDescent="0.25">
      <c r="A250" s="172">
        <v>43153</v>
      </c>
      <c r="B250" s="173" t="s">
        <v>49</v>
      </c>
      <c r="C250" s="252" t="s">
        <v>1880</v>
      </c>
      <c r="D250" s="252" t="s">
        <v>1894</v>
      </c>
      <c r="E250" s="252" t="s">
        <v>1819</v>
      </c>
      <c r="F250" s="252" t="s">
        <v>2800</v>
      </c>
      <c r="G250" s="252" t="s">
        <v>1887</v>
      </c>
      <c r="H250" s="252" t="s">
        <v>1873</v>
      </c>
      <c r="I250" s="252" t="s">
        <v>2798</v>
      </c>
      <c r="J250" s="174"/>
      <c r="K250" s="252" t="s">
        <v>1831</v>
      </c>
      <c r="L250" s="174"/>
      <c r="M250" s="174"/>
      <c r="N250" s="252" t="s">
        <v>1876</v>
      </c>
      <c r="O250" s="253" t="s">
        <v>1927</v>
      </c>
    </row>
    <row r="251" spans="1:15" ht="16.149999999999999" customHeight="1" x14ac:dyDescent="0.25">
      <c r="A251" s="172">
        <v>43152</v>
      </c>
      <c r="B251" s="175" t="s">
        <v>49</v>
      </c>
      <c r="C251" s="254" t="s">
        <v>1861</v>
      </c>
      <c r="D251" s="254" t="s">
        <v>1890</v>
      </c>
      <c r="E251" s="254" t="s">
        <v>1831</v>
      </c>
      <c r="F251" s="254" t="s">
        <v>2801</v>
      </c>
      <c r="G251" s="254" t="s">
        <v>2801</v>
      </c>
      <c r="H251" s="254" t="s">
        <v>1873</v>
      </c>
      <c r="I251" s="254" t="s">
        <v>1897</v>
      </c>
      <c r="J251" s="176"/>
      <c r="K251" s="254" t="s">
        <v>1837</v>
      </c>
      <c r="L251" s="176"/>
      <c r="M251" s="176"/>
      <c r="N251" s="254" t="s">
        <v>1881</v>
      </c>
      <c r="O251" s="255" t="s">
        <v>1822</v>
      </c>
    </row>
    <row r="252" spans="1:15" ht="16.149999999999999" customHeight="1" x14ac:dyDescent="0.25">
      <c r="A252" s="172">
        <v>43151</v>
      </c>
      <c r="B252" s="173" t="s">
        <v>49</v>
      </c>
      <c r="C252" s="252" t="s">
        <v>1850</v>
      </c>
      <c r="D252" s="252" t="s">
        <v>1872</v>
      </c>
      <c r="E252" s="252" t="s">
        <v>1837</v>
      </c>
      <c r="F252" s="252" t="s">
        <v>1885</v>
      </c>
      <c r="G252" s="252" t="s">
        <v>1822</v>
      </c>
      <c r="H252" s="252" t="s">
        <v>1874</v>
      </c>
      <c r="I252" s="252" t="s">
        <v>1927</v>
      </c>
      <c r="J252" s="174"/>
      <c r="K252" s="252" t="s">
        <v>1786</v>
      </c>
      <c r="L252" s="174"/>
      <c r="M252" s="174"/>
      <c r="N252" s="252" t="s">
        <v>1894</v>
      </c>
      <c r="O252" s="253" t="s">
        <v>2793</v>
      </c>
    </row>
    <row r="253" spans="1:15" ht="16.149999999999999" customHeight="1" x14ac:dyDescent="0.25">
      <c r="A253" s="172">
        <v>43150</v>
      </c>
      <c r="B253" s="175" t="s">
        <v>49</v>
      </c>
      <c r="C253" s="254" t="s">
        <v>2678</v>
      </c>
      <c r="D253" s="254" t="s">
        <v>1888</v>
      </c>
      <c r="E253" s="254" t="s">
        <v>1874</v>
      </c>
      <c r="F253" s="254" t="s">
        <v>2802</v>
      </c>
      <c r="G253" s="254" t="s">
        <v>1828</v>
      </c>
      <c r="H253" s="254" t="s">
        <v>1786</v>
      </c>
      <c r="I253" s="254" t="s">
        <v>1874</v>
      </c>
      <c r="J253" s="176"/>
      <c r="K253" s="254" t="s">
        <v>1778</v>
      </c>
      <c r="L253" s="176"/>
      <c r="M253" s="176"/>
      <c r="N253" s="254" t="s">
        <v>1895</v>
      </c>
      <c r="O253" s="255" t="s">
        <v>1785</v>
      </c>
    </row>
    <row r="254" spans="1:15" ht="16.149999999999999" customHeight="1" x14ac:dyDescent="0.25">
      <c r="A254" s="172">
        <v>43147</v>
      </c>
      <c r="B254" s="173" t="s">
        <v>49</v>
      </c>
      <c r="C254" s="252" t="s">
        <v>2681</v>
      </c>
      <c r="D254" s="252" t="s">
        <v>1786</v>
      </c>
      <c r="E254" s="252" t="s">
        <v>1786</v>
      </c>
      <c r="F254" s="252" t="s">
        <v>2648</v>
      </c>
      <c r="G254" s="252" t="s">
        <v>1785</v>
      </c>
      <c r="H254" s="252" t="s">
        <v>1786</v>
      </c>
      <c r="I254" s="252" t="s">
        <v>1780</v>
      </c>
      <c r="J254" s="174"/>
      <c r="K254" s="252" t="s">
        <v>1786</v>
      </c>
      <c r="L254" s="174"/>
      <c r="M254" s="174"/>
      <c r="N254" s="252" t="s">
        <v>1875</v>
      </c>
      <c r="O254" s="253" t="s">
        <v>1779</v>
      </c>
    </row>
    <row r="255" spans="1:15" ht="16.149999999999999" customHeight="1" x14ac:dyDescent="0.25">
      <c r="A255" s="172">
        <v>43146</v>
      </c>
      <c r="B255" s="175" t="s">
        <v>49</v>
      </c>
      <c r="C255" s="254" t="s">
        <v>1824</v>
      </c>
      <c r="D255" s="254" t="s">
        <v>1785</v>
      </c>
      <c r="E255" s="254" t="s">
        <v>1786</v>
      </c>
      <c r="F255" s="254" t="s">
        <v>1794</v>
      </c>
      <c r="G255" s="254" t="s">
        <v>1785</v>
      </c>
      <c r="H255" s="254" t="s">
        <v>1785</v>
      </c>
      <c r="I255" s="254" t="s">
        <v>1790</v>
      </c>
      <c r="J255" s="176"/>
      <c r="K255" s="254" t="s">
        <v>1786</v>
      </c>
      <c r="L255" s="176"/>
      <c r="M255" s="176"/>
      <c r="N255" s="254" t="s">
        <v>1927</v>
      </c>
      <c r="O255" s="255" t="s">
        <v>1778</v>
      </c>
    </row>
    <row r="256" spans="1:15" ht="16.149999999999999" customHeight="1" x14ac:dyDescent="0.25">
      <c r="A256" s="172">
        <v>43145</v>
      </c>
      <c r="B256" s="173" t="s">
        <v>49</v>
      </c>
      <c r="C256" s="252" t="s">
        <v>1820</v>
      </c>
      <c r="D256" s="252" t="s">
        <v>1787</v>
      </c>
      <c r="E256" s="252" t="s">
        <v>1785</v>
      </c>
      <c r="F256" s="252" t="s">
        <v>1793</v>
      </c>
      <c r="G256" s="252" t="s">
        <v>1869</v>
      </c>
      <c r="H256" s="252" t="s">
        <v>1785</v>
      </c>
      <c r="I256" s="252" t="s">
        <v>1793</v>
      </c>
      <c r="J256" s="174"/>
      <c r="K256" s="252" t="s">
        <v>1778</v>
      </c>
      <c r="L256" s="174"/>
      <c r="M256" s="174"/>
      <c r="N256" s="252" t="s">
        <v>1884</v>
      </c>
      <c r="O256" s="253" t="s">
        <v>1793</v>
      </c>
    </row>
    <row r="257" spans="1:15" ht="16.149999999999999" customHeight="1" x14ac:dyDescent="0.25">
      <c r="A257" s="172">
        <v>43144</v>
      </c>
      <c r="B257" s="175" t="s">
        <v>49</v>
      </c>
      <c r="C257" s="254" t="s">
        <v>1820</v>
      </c>
      <c r="D257" s="254" t="s">
        <v>1787</v>
      </c>
      <c r="E257" s="254" t="s">
        <v>1785</v>
      </c>
      <c r="F257" s="254" t="s">
        <v>1801</v>
      </c>
      <c r="G257" s="254" t="s">
        <v>1781</v>
      </c>
      <c r="H257" s="254" t="s">
        <v>1785</v>
      </c>
      <c r="I257" s="254" t="s">
        <v>1821</v>
      </c>
      <c r="J257" s="176"/>
      <c r="K257" s="254" t="s">
        <v>1778</v>
      </c>
      <c r="L257" s="176"/>
      <c r="M257" s="176"/>
      <c r="N257" s="254" t="s">
        <v>2802</v>
      </c>
      <c r="O257" s="255" t="s">
        <v>1797</v>
      </c>
    </row>
    <row r="258" spans="1:15" ht="16.149999999999999" customHeight="1" x14ac:dyDescent="0.25">
      <c r="A258" s="172">
        <v>43143</v>
      </c>
      <c r="B258" s="173" t="s">
        <v>49</v>
      </c>
      <c r="C258" s="252" t="s">
        <v>1820</v>
      </c>
      <c r="D258" s="252" t="s">
        <v>1787</v>
      </c>
      <c r="E258" s="252" t="s">
        <v>1874</v>
      </c>
      <c r="F258" s="252" t="s">
        <v>1798</v>
      </c>
      <c r="G258" s="252" t="s">
        <v>1821</v>
      </c>
      <c r="H258" s="252" t="s">
        <v>1786</v>
      </c>
      <c r="I258" s="252" t="s">
        <v>1797</v>
      </c>
      <c r="J258" s="174"/>
      <c r="K258" s="252" t="s">
        <v>1778</v>
      </c>
      <c r="L258" s="174"/>
      <c r="M258" s="174"/>
      <c r="N258" s="252" t="s">
        <v>1885</v>
      </c>
      <c r="O258" s="253" t="s">
        <v>1793</v>
      </c>
    </row>
    <row r="259" spans="1:15" ht="16.149999999999999" customHeight="1" x14ac:dyDescent="0.25">
      <c r="A259" s="172">
        <v>43140</v>
      </c>
      <c r="B259" s="175" t="s">
        <v>49</v>
      </c>
      <c r="C259" s="254" t="s">
        <v>1820</v>
      </c>
      <c r="D259" s="254" t="s">
        <v>1787</v>
      </c>
      <c r="E259" s="254" t="s">
        <v>1767</v>
      </c>
      <c r="F259" s="254" t="s">
        <v>1767</v>
      </c>
      <c r="G259" s="254" t="s">
        <v>1821</v>
      </c>
      <c r="H259" s="254" t="s">
        <v>1785</v>
      </c>
      <c r="I259" s="254" t="s">
        <v>1828</v>
      </c>
      <c r="J259" s="176"/>
      <c r="K259" s="254" t="s">
        <v>1778</v>
      </c>
      <c r="L259" s="176"/>
      <c r="M259" s="176"/>
      <c r="N259" s="254" t="s">
        <v>1875</v>
      </c>
      <c r="O259" s="255" t="s">
        <v>1779</v>
      </c>
    </row>
    <row r="260" spans="1:15" ht="16.149999999999999" customHeight="1" x14ac:dyDescent="0.25">
      <c r="A260" s="172">
        <v>43139</v>
      </c>
      <c r="B260" s="173" t="s">
        <v>49</v>
      </c>
      <c r="C260" s="252" t="s">
        <v>1820</v>
      </c>
      <c r="D260" s="252" t="s">
        <v>1787</v>
      </c>
      <c r="E260" s="252" t="s">
        <v>1779</v>
      </c>
      <c r="F260" s="252" t="s">
        <v>1779</v>
      </c>
      <c r="G260" s="252" t="s">
        <v>1821</v>
      </c>
      <c r="H260" s="252" t="s">
        <v>1785</v>
      </c>
      <c r="I260" s="252" t="s">
        <v>1828</v>
      </c>
      <c r="J260" s="174"/>
      <c r="K260" s="252" t="s">
        <v>1778</v>
      </c>
      <c r="L260" s="174"/>
      <c r="M260" s="174"/>
      <c r="N260" s="252" t="s">
        <v>2793</v>
      </c>
      <c r="O260" s="253" t="s">
        <v>1779</v>
      </c>
    </row>
    <row r="261" spans="1:15" ht="16.149999999999999" customHeight="1" x14ac:dyDescent="0.25">
      <c r="A261" s="172">
        <v>43138</v>
      </c>
      <c r="B261" s="175" t="s">
        <v>49</v>
      </c>
      <c r="C261" s="254" t="s">
        <v>1789</v>
      </c>
      <c r="D261" s="254" t="s">
        <v>1778</v>
      </c>
      <c r="E261" s="254" t="s">
        <v>1779</v>
      </c>
      <c r="F261" s="254" t="s">
        <v>1801</v>
      </c>
      <c r="G261" s="254" t="s">
        <v>2793</v>
      </c>
      <c r="H261" s="254" t="s">
        <v>1778</v>
      </c>
      <c r="I261" s="254" t="s">
        <v>1778</v>
      </c>
      <c r="J261" s="176"/>
      <c r="K261" s="254" t="s">
        <v>1786</v>
      </c>
      <c r="L261" s="176"/>
      <c r="M261" s="176"/>
      <c r="N261" s="254" t="s">
        <v>1884</v>
      </c>
      <c r="O261" s="255" t="s">
        <v>1779</v>
      </c>
    </row>
    <row r="262" spans="1:15" ht="16.149999999999999" customHeight="1" x14ac:dyDescent="0.25">
      <c r="A262" s="172">
        <v>43137</v>
      </c>
      <c r="B262" s="173" t="s">
        <v>49</v>
      </c>
      <c r="C262" s="252" t="s">
        <v>2771</v>
      </c>
      <c r="D262" s="252" t="s">
        <v>1791</v>
      </c>
      <c r="E262" s="252" t="s">
        <v>1785</v>
      </c>
      <c r="F262" s="252" t="s">
        <v>1805</v>
      </c>
      <c r="G262" s="252" t="s">
        <v>1780</v>
      </c>
      <c r="H262" s="252" t="s">
        <v>1779</v>
      </c>
      <c r="I262" s="252" t="s">
        <v>1807</v>
      </c>
      <c r="J262" s="174"/>
      <c r="K262" s="252" t="s">
        <v>1767</v>
      </c>
      <c r="L262" s="174"/>
      <c r="M262" s="174"/>
      <c r="N262" s="252" t="s">
        <v>2794</v>
      </c>
      <c r="O262" s="253" t="s">
        <v>1767</v>
      </c>
    </row>
    <row r="263" spans="1:15" ht="16.149999999999999" customHeight="1" x14ac:dyDescent="0.25">
      <c r="A263" s="172">
        <v>43136</v>
      </c>
      <c r="B263" s="175" t="s">
        <v>49</v>
      </c>
      <c r="C263" s="254" t="s">
        <v>1842</v>
      </c>
      <c r="D263" s="254" t="s">
        <v>1767</v>
      </c>
      <c r="E263" s="254" t="s">
        <v>1807</v>
      </c>
      <c r="F263" s="254" t="s">
        <v>1797</v>
      </c>
      <c r="G263" s="254" t="s">
        <v>1780</v>
      </c>
      <c r="H263" s="254" t="s">
        <v>1767</v>
      </c>
      <c r="I263" s="254" t="s">
        <v>1765</v>
      </c>
      <c r="J263" s="176"/>
      <c r="K263" s="254" t="s">
        <v>1767</v>
      </c>
      <c r="L263" s="176"/>
      <c r="M263" s="176"/>
      <c r="N263" s="254" t="s">
        <v>1790</v>
      </c>
      <c r="O263" s="255" t="s">
        <v>1807</v>
      </c>
    </row>
    <row r="264" spans="1:15" ht="16.149999999999999" customHeight="1" x14ac:dyDescent="0.25">
      <c r="A264" s="172">
        <v>43133</v>
      </c>
      <c r="B264" s="173" t="s">
        <v>49</v>
      </c>
      <c r="C264" s="252" t="s">
        <v>1824</v>
      </c>
      <c r="D264" s="252" t="s">
        <v>1785</v>
      </c>
      <c r="E264" s="252" t="s">
        <v>1785</v>
      </c>
      <c r="F264" s="252" t="s">
        <v>1800</v>
      </c>
      <c r="G264" s="252" t="s">
        <v>2795</v>
      </c>
      <c r="H264" s="252" t="s">
        <v>1785</v>
      </c>
      <c r="I264" s="252" t="s">
        <v>1778</v>
      </c>
      <c r="J264" s="174"/>
      <c r="K264" s="252" t="s">
        <v>1785</v>
      </c>
      <c r="L264" s="174"/>
      <c r="M264" s="174"/>
      <c r="N264" s="252" t="s">
        <v>1874</v>
      </c>
      <c r="O264" s="253" t="s">
        <v>1919</v>
      </c>
    </row>
    <row r="265" spans="1:15" ht="16.149999999999999" customHeight="1" x14ac:dyDescent="0.25">
      <c r="A265" s="172">
        <v>43132</v>
      </c>
      <c r="B265" s="175" t="s">
        <v>49</v>
      </c>
      <c r="C265" s="254" t="s">
        <v>2770</v>
      </c>
      <c r="D265" s="254" t="s">
        <v>2793</v>
      </c>
      <c r="E265" s="254" t="s">
        <v>1786</v>
      </c>
      <c r="F265" s="254" t="s">
        <v>1783</v>
      </c>
      <c r="G265" s="254" t="s">
        <v>1787</v>
      </c>
      <c r="H265" s="254" t="s">
        <v>1778</v>
      </c>
      <c r="I265" s="254" t="s">
        <v>1778</v>
      </c>
      <c r="J265" s="176"/>
      <c r="K265" s="254" t="s">
        <v>1786</v>
      </c>
      <c r="L265" s="176"/>
      <c r="M265" s="176"/>
      <c r="N265" s="254" t="s">
        <v>1927</v>
      </c>
      <c r="O265" s="255" t="s">
        <v>1786</v>
      </c>
    </row>
    <row r="266" spans="1:15" ht="16.149999999999999" customHeight="1" x14ac:dyDescent="0.25">
      <c r="A266" s="172">
        <v>43131</v>
      </c>
      <c r="B266" s="173" t="s">
        <v>49</v>
      </c>
      <c r="C266" s="252" t="s">
        <v>1803</v>
      </c>
      <c r="D266" s="252" t="s">
        <v>1801</v>
      </c>
      <c r="E266" s="252" t="s">
        <v>1807</v>
      </c>
      <c r="F266" s="252" t="s">
        <v>1765</v>
      </c>
      <c r="G266" s="252" t="s">
        <v>1798</v>
      </c>
      <c r="H266" s="252" t="s">
        <v>1767</v>
      </c>
      <c r="I266" s="252" t="s">
        <v>1804</v>
      </c>
      <c r="J266" s="174"/>
      <c r="K266" s="252" t="s">
        <v>1779</v>
      </c>
      <c r="L266" s="174"/>
      <c r="M266" s="174"/>
      <c r="N266" s="252" t="s">
        <v>2795</v>
      </c>
      <c r="O266" s="253" t="s">
        <v>1801</v>
      </c>
    </row>
    <row r="267" spans="1:15" ht="16.149999999999999" customHeight="1" x14ac:dyDescent="0.25">
      <c r="A267" s="172">
        <v>43130</v>
      </c>
      <c r="B267" s="175" t="s">
        <v>49</v>
      </c>
      <c r="C267" s="254" t="s">
        <v>1803</v>
      </c>
      <c r="D267" s="254" t="s">
        <v>1801</v>
      </c>
      <c r="E267" s="254" t="s">
        <v>1807</v>
      </c>
      <c r="F267" s="254" t="s">
        <v>1767</v>
      </c>
      <c r="G267" s="254" t="s">
        <v>1805</v>
      </c>
      <c r="H267" s="254" t="s">
        <v>1767</v>
      </c>
      <c r="I267" s="254" t="s">
        <v>1810</v>
      </c>
      <c r="J267" s="176"/>
      <c r="K267" s="254" t="s">
        <v>1767</v>
      </c>
      <c r="L267" s="176"/>
      <c r="M267" s="176"/>
      <c r="N267" s="254" t="s">
        <v>1798</v>
      </c>
      <c r="O267" s="255" t="s">
        <v>1807</v>
      </c>
    </row>
    <row r="268" spans="1:15" ht="16.149999999999999" customHeight="1" x14ac:dyDescent="0.25">
      <c r="A268" s="172">
        <v>43129</v>
      </c>
      <c r="B268" s="173" t="s">
        <v>49</v>
      </c>
      <c r="C268" s="252" t="s">
        <v>1724</v>
      </c>
      <c r="D268" s="252" t="s">
        <v>1713</v>
      </c>
      <c r="E268" s="252" t="s">
        <v>1726</v>
      </c>
      <c r="F268" s="252" t="s">
        <v>1717</v>
      </c>
      <c r="G268" s="252" t="s">
        <v>1726</v>
      </c>
      <c r="H268" s="252" t="s">
        <v>1713</v>
      </c>
      <c r="I268" s="252" t="s">
        <v>1845</v>
      </c>
      <c r="J268" s="174"/>
      <c r="K268" s="252" t="s">
        <v>1694</v>
      </c>
      <c r="L268" s="174"/>
      <c r="M268" s="174"/>
      <c r="N268" s="252" t="s">
        <v>1818</v>
      </c>
      <c r="O268" s="253" t="s">
        <v>1713</v>
      </c>
    </row>
    <row r="269" spans="1:15" ht="16.149999999999999" customHeight="1" x14ac:dyDescent="0.25">
      <c r="A269" s="172">
        <v>43126</v>
      </c>
      <c r="B269" s="175" t="s">
        <v>49</v>
      </c>
      <c r="C269" s="254" t="s">
        <v>1698</v>
      </c>
      <c r="D269" s="254" t="s">
        <v>1694</v>
      </c>
      <c r="E269" s="254" t="s">
        <v>1694</v>
      </c>
      <c r="F269" s="254" t="s">
        <v>1694</v>
      </c>
      <c r="G269" s="254" t="s">
        <v>1694</v>
      </c>
      <c r="H269" s="254" t="s">
        <v>1694</v>
      </c>
      <c r="I269" s="254" t="s">
        <v>1735</v>
      </c>
      <c r="J269" s="176"/>
      <c r="K269" s="254" t="s">
        <v>1769</v>
      </c>
      <c r="L269" s="176"/>
      <c r="M269" s="176"/>
      <c r="N269" s="254" t="s">
        <v>1706</v>
      </c>
      <c r="O269" s="255" t="s">
        <v>2689</v>
      </c>
    </row>
    <row r="270" spans="1:15" ht="16.149999999999999" customHeight="1" x14ac:dyDescent="0.25">
      <c r="A270" s="172">
        <v>43125</v>
      </c>
      <c r="B270" s="173" t="s">
        <v>49</v>
      </c>
      <c r="C270" s="252" t="s">
        <v>1638</v>
      </c>
      <c r="D270" s="252" t="s">
        <v>1707</v>
      </c>
      <c r="E270" s="252" t="s">
        <v>1693</v>
      </c>
      <c r="F270" s="252" t="s">
        <v>1694</v>
      </c>
      <c r="G270" s="252" t="s">
        <v>1845</v>
      </c>
      <c r="H270" s="252" t="s">
        <v>1694</v>
      </c>
      <c r="I270" s="252" t="s">
        <v>1769</v>
      </c>
      <c r="J270" s="174"/>
      <c r="K270" s="252" t="s">
        <v>1693</v>
      </c>
      <c r="L270" s="174"/>
      <c r="M270" s="174"/>
      <c r="N270" s="252" t="s">
        <v>1722</v>
      </c>
      <c r="O270" s="253" t="s">
        <v>1703</v>
      </c>
    </row>
    <row r="271" spans="1:15" ht="16.149999999999999" customHeight="1" x14ac:dyDescent="0.25">
      <c r="A271" s="172">
        <v>43124</v>
      </c>
      <c r="B271" s="175" t="s">
        <v>49</v>
      </c>
      <c r="C271" s="254" t="s">
        <v>1666</v>
      </c>
      <c r="D271" s="254" t="s">
        <v>2689</v>
      </c>
      <c r="E271" s="254" t="s">
        <v>1769</v>
      </c>
      <c r="F271" s="254" t="s">
        <v>2785</v>
      </c>
      <c r="G271" s="254" t="s">
        <v>1864</v>
      </c>
      <c r="H271" s="254" t="s">
        <v>1693</v>
      </c>
      <c r="I271" s="254" t="s">
        <v>2790</v>
      </c>
      <c r="J271" s="176"/>
      <c r="K271" s="254" t="s">
        <v>1769</v>
      </c>
      <c r="L271" s="176"/>
      <c r="M271" s="176"/>
      <c r="N271" s="254" t="s">
        <v>1721</v>
      </c>
      <c r="O271" s="255" t="s">
        <v>1694</v>
      </c>
    </row>
    <row r="272" spans="1:15" ht="16.149999999999999" customHeight="1" x14ac:dyDescent="0.25">
      <c r="A272" s="172">
        <v>43123</v>
      </c>
      <c r="B272" s="173" t="s">
        <v>49</v>
      </c>
      <c r="C272" s="252" t="s">
        <v>1859</v>
      </c>
      <c r="D272" s="252" t="s">
        <v>1764</v>
      </c>
      <c r="E272" s="252" t="s">
        <v>1760</v>
      </c>
      <c r="F272" s="252" t="s">
        <v>1898</v>
      </c>
      <c r="G272" s="252" t="s">
        <v>1762</v>
      </c>
      <c r="H272" s="252" t="s">
        <v>1762</v>
      </c>
      <c r="I272" s="252" t="s">
        <v>2791</v>
      </c>
      <c r="J272" s="174"/>
      <c r="K272" s="252" t="s">
        <v>1762</v>
      </c>
      <c r="L272" s="174"/>
      <c r="M272" s="174"/>
      <c r="N272" s="252" t="s">
        <v>2784</v>
      </c>
      <c r="O272" s="253" t="s">
        <v>1861</v>
      </c>
    </row>
    <row r="273" spans="1:15" ht="16.149999999999999" customHeight="1" x14ac:dyDescent="0.25">
      <c r="A273" s="172">
        <v>43122</v>
      </c>
      <c r="B273" s="175" t="s">
        <v>49</v>
      </c>
      <c r="C273" s="254" t="s">
        <v>1639</v>
      </c>
      <c r="D273" s="254" t="s">
        <v>1760</v>
      </c>
      <c r="E273" s="254" t="s">
        <v>1762</v>
      </c>
      <c r="F273" s="254" t="s">
        <v>1864</v>
      </c>
      <c r="G273" s="254" t="s">
        <v>1762</v>
      </c>
      <c r="H273" s="254" t="s">
        <v>1760</v>
      </c>
      <c r="I273" s="254" t="s">
        <v>1704</v>
      </c>
      <c r="J273" s="176"/>
      <c r="K273" s="254" t="s">
        <v>1760</v>
      </c>
      <c r="L273" s="176"/>
      <c r="M273" s="176"/>
      <c r="N273" s="254" t="s">
        <v>1699</v>
      </c>
      <c r="O273" s="255" t="s">
        <v>1760</v>
      </c>
    </row>
    <row r="274" spans="1:15" ht="16.149999999999999" customHeight="1" x14ac:dyDescent="0.25">
      <c r="A274" s="172">
        <v>43119</v>
      </c>
      <c r="B274" s="173" t="s">
        <v>49</v>
      </c>
      <c r="C274" s="252" t="s">
        <v>1868</v>
      </c>
      <c r="D274" s="252" t="s">
        <v>1864</v>
      </c>
      <c r="E274" s="252" t="s">
        <v>1762</v>
      </c>
      <c r="F274" s="252" t="s">
        <v>1762</v>
      </c>
      <c r="G274" s="252" t="s">
        <v>2792</v>
      </c>
      <c r="H274" s="252" t="s">
        <v>1864</v>
      </c>
      <c r="I274" s="252" t="s">
        <v>2792</v>
      </c>
      <c r="J274" s="174"/>
      <c r="K274" s="252" t="s">
        <v>1850</v>
      </c>
      <c r="L274" s="174"/>
      <c r="M274" s="174"/>
      <c r="N274" s="252" t="s">
        <v>1864</v>
      </c>
      <c r="O274" s="253" t="s">
        <v>1866</v>
      </c>
    </row>
    <row r="275" spans="1:15" ht="16.149999999999999" customHeight="1" x14ac:dyDescent="0.25">
      <c r="A275" s="172">
        <v>43118</v>
      </c>
      <c r="B275" s="175" t="s">
        <v>49</v>
      </c>
      <c r="C275" s="254" t="s">
        <v>1645</v>
      </c>
      <c r="D275" s="254" t="s">
        <v>2675</v>
      </c>
      <c r="E275" s="254" t="s">
        <v>1864</v>
      </c>
      <c r="F275" s="254" t="s">
        <v>1760</v>
      </c>
      <c r="G275" s="254" t="s">
        <v>2684</v>
      </c>
      <c r="H275" s="254" t="s">
        <v>1762</v>
      </c>
      <c r="I275" s="254" t="s">
        <v>1866</v>
      </c>
      <c r="J275" s="176"/>
      <c r="K275" s="254" t="s">
        <v>1762</v>
      </c>
      <c r="L275" s="176"/>
      <c r="M275" s="176"/>
      <c r="N275" s="254" t="s">
        <v>1880</v>
      </c>
      <c r="O275" s="255" t="s">
        <v>1760</v>
      </c>
    </row>
    <row r="276" spans="1:15" ht="16.149999999999999" customHeight="1" x14ac:dyDescent="0.25">
      <c r="A276" s="172">
        <v>43117</v>
      </c>
      <c r="B276" s="173" t="s">
        <v>49</v>
      </c>
      <c r="C276" s="252" t="s">
        <v>1572</v>
      </c>
      <c r="D276" s="252" t="s">
        <v>1689</v>
      </c>
      <c r="E276" s="252" t="s">
        <v>1689</v>
      </c>
      <c r="F276" s="252" t="s">
        <v>1769</v>
      </c>
      <c r="G276" s="252" t="s">
        <v>1764</v>
      </c>
      <c r="H276" s="252" t="s">
        <v>1857</v>
      </c>
      <c r="I276" s="252" t="s">
        <v>1651</v>
      </c>
      <c r="J276" s="174"/>
      <c r="K276" s="252" t="s">
        <v>1867</v>
      </c>
      <c r="L276" s="174"/>
      <c r="M276" s="174"/>
      <c r="N276" s="252" t="s">
        <v>2791</v>
      </c>
      <c r="O276" s="253" t="s">
        <v>1689</v>
      </c>
    </row>
    <row r="277" spans="1:15" ht="16.149999999999999" customHeight="1" x14ac:dyDescent="0.25">
      <c r="A277" s="172">
        <v>43116</v>
      </c>
      <c r="B277" s="175" t="s">
        <v>49</v>
      </c>
      <c r="C277" s="254" t="s">
        <v>1859</v>
      </c>
      <c r="D277" s="254" t="s">
        <v>1764</v>
      </c>
      <c r="E277" s="254" t="s">
        <v>1851</v>
      </c>
      <c r="F277" s="254" t="s">
        <v>1693</v>
      </c>
      <c r="G277" s="254" t="s">
        <v>2773</v>
      </c>
      <c r="H277" s="254" t="s">
        <v>1689</v>
      </c>
      <c r="I277" s="254" t="s">
        <v>1760</v>
      </c>
      <c r="J277" s="176"/>
      <c r="K277" s="254" t="s">
        <v>1851</v>
      </c>
      <c r="L277" s="176"/>
      <c r="M277" s="176"/>
      <c r="N277" s="254" t="s">
        <v>1860</v>
      </c>
      <c r="O277" s="255" t="s">
        <v>1760</v>
      </c>
    </row>
    <row r="278" spans="1:15" ht="16.149999999999999" customHeight="1" x14ac:dyDescent="0.25">
      <c r="A278" s="172">
        <v>43115</v>
      </c>
      <c r="B278" s="173" t="s">
        <v>49</v>
      </c>
      <c r="C278" s="252" t="s">
        <v>2656</v>
      </c>
      <c r="D278" s="252" t="s">
        <v>1898</v>
      </c>
      <c r="E278" s="252" t="s">
        <v>1762</v>
      </c>
      <c r="F278" s="252" t="s">
        <v>1694</v>
      </c>
      <c r="G278" s="252" t="s">
        <v>1751</v>
      </c>
      <c r="H278" s="252" t="s">
        <v>1693</v>
      </c>
      <c r="I278" s="252" t="s">
        <v>1769</v>
      </c>
      <c r="J278" s="174"/>
      <c r="K278" s="252" t="s">
        <v>1857</v>
      </c>
      <c r="L278" s="174"/>
      <c r="M278" s="174"/>
      <c r="N278" s="252" t="s">
        <v>1861</v>
      </c>
      <c r="O278" s="253" t="s">
        <v>1762</v>
      </c>
    </row>
    <row r="279" spans="1:15" ht="16.149999999999999" customHeight="1" x14ac:dyDescent="0.25">
      <c r="A279" s="172">
        <v>43112</v>
      </c>
      <c r="B279" s="175" t="s">
        <v>49</v>
      </c>
      <c r="C279" s="254" t="s">
        <v>1579</v>
      </c>
      <c r="D279" s="254" t="s">
        <v>1714</v>
      </c>
      <c r="E279" s="254" t="s">
        <v>1737</v>
      </c>
      <c r="F279" s="254" t="s">
        <v>1754</v>
      </c>
      <c r="G279" s="254" t="s">
        <v>1751</v>
      </c>
      <c r="H279" s="254" t="s">
        <v>1850</v>
      </c>
      <c r="I279" s="254" t="s">
        <v>1717</v>
      </c>
      <c r="J279" s="176"/>
      <c r="K279" s="254" t="s">
        <v>1762</v>
      </c>
      <c r="L279" s="176"/>
      <c r="M279" s="176"/>
      <c r="N279" s="254" t="s">
        <v>1706</v>
      </c>
      <c r="O279" s="255" t="s">
        <v>1717</v>
      </c>
    </row>
    <row r="280" spans="1:15" ht="16.149999999999999" customHeight="1" x14ac:dyDescent="0.25">
      <c r="A280" s="172">
        <v>43111</v>
      </c>
      <c r="B280" s="173" t="s">
        <v>49</v>
      </c>
      <c r="C280" s="252" t="s">
        <v>2663</v>
      </c>
      <c r="D280" s="252" t="s">
        <v>1711</v>
      </c>
      <c r="E280" s="252" t="s">
        <v>1713</v>
      </c>
      <c r="F280" s="252" t="s">
        <v>1754</v>
      </c>
      <c r="G280" s="252" t="s">
        <v>1771</v>
      </c>
      <c r="H280" s="252" t="s">
        <v>1694</v>
      </c>
      <c r="I280" s="252" t="s">
        <v>1714</v>
      </c>
      <c r="J280" s="174"/>
      <c r="K280" s="252" t="s">
        <v>1704</v>
      </c>
      <c r="L280" s="174"/>
      <c r="M280" s="174"/>
      <c r="N280" s="252" t="s">
        <v>1714</v>
      </c>
      <c r="O280" s="253" t="s">
        <v>1707</v>
      </c>
    </row>
    <row r="281" spans="1:15" ht="16.149999999999999" customHeight="1" x14ac:dyDescent="0.25">
      <c r="A281" s="172">
        <v>43110</v>
      </c>
      <c r="B281" s="175" t="s">
        <v>49</v>
      </c>
      <c r="C281" s="254" t="s">
        <v>1705</v>
      </c>
      <c r="D281" s="254" t="s">
        <v>1703</v>
      </c>
      <c r="E281" s="254" t="s">
        <v>1717</v>
      </c>
      <c r="F281" s="254" t="s">
        <v>1701</v>
      </c>
      <c r="G281" s="254" t="s">
        <v>1751</v>
      </c>
      <c r="H281" s="254" t="s">
        <v>1694</v>
      </c>
      <c r="I281" s="254" t="s">
        <v>1694</v>
      </c>
      <c r="J281" s="176"/>
      <c r="K281" s="254" t="s">
        <v>1760</v>
      </c>
      <c r="L281" s="176"/>
      <c r="M281" s="176"/>
      <c r="N281" s="254" t="s">
        <v>1708</v>
      </c>
      <c r="O281" s="255" t="s">
        <v>1693</v>
      </c>
    </row>
    <row r="282" spans="1:15" ht="16.149999999999999" customHeight="1" x14ac:dyDescent="0.25">
      <c r="A282" s="172">
        <v>43109</v>
      </c>
      <c r="B282" s="173" t="s">
        <v>49</v>
      </c>
      <c r="C282" s="252" t="s">
        <v>2783</v>
      </c>
      <c r="D282" s="252" t="s">
        <v>1699</v>
      </c>
      <c r="E282" s="252" t="s">
        <v>1717</v>
      </c>
      <c r="F282" s="252" t="s">
        <v>1711</v>
      </c>
      <c r="G282" s="252" t="s">
        <v>1771</v>
      </c>
      <c r="H282" s="252" t="s">
        <v>1694</v>
      </c>
      <c r="I282" s="252" t="s">
        <v>1717</v>
      </c>
      <c r="J282" s="174"/>
      <c r="K282" s="252" t="s">
        <v>1760</v>
      </c>
      <c r="L282" s="174"/>
      <c r="M282" s="174"/>
      <c r="N282" s="252" t="s">
        <v>1702</v>
      </c>
      <c r="O282" s="253" t="s">
        <v>1693</v>
      </c>
    </row>
    <row r="283" spans="1:15" ht="16.149999999999999" customHeight="1" x14ac:dyDescent="0.25">
      <c r="A283" s="172">
        <v>43105</v>
      </c>
      <c r="B283" s="175" t="s">
        <v>49</v>
      </c>
      <c r="C283" s="254" t="s">
        <v>1698</v>
      </c>
      <c r="D283" s="254" t="s">
        <v>1694</v>
      </c>
      <c r="E283" s="254" t="s">
        <v>1707</v>
      </c>
      <c r="F283" s="254" t="s">
        <v>1693</v>
      </c>
      <c r="G283" s="254" t="s">
        <v>2784</v>
      </c>
      <c r="H283" s="254" t="s">
        <v>1694</v>
      </c>
      <c r="I283" s="254" t="s">
        <v>1734</v>
      </c>
      <c r="J283" s="176"/>
      <c r="K283" s="254" t="s">
        <v>1713</v>
      </c>
      <c r="L283" s="176"/>
      <c r="M283" s="176"/>
      <c r="N283" s="254" t="s">
        <v>1745</v>
      </c>
      <c r="O283" s="255" t="s">
        <v>1703</v>
      </c>
    </row>
    <row r="284" spans="1:15" ht="16.149999999999999" customHeight="1" x14ac:dyDescent="0.25">
      <c r="A284" s="172">
        <v>43104</v>
      </c>
      <c r="B284" s="173" t="s">
        <v>49</v>
      </c>
      <c r="C284" s="252" t="s">
        <v>1564</v>
      </c>
      <c r="D284" s="252" t="s">
        <v>2785</v>
      </c>
      <c r="E284" s="252" t="s">
        <v>1717</v>
      </c>
      <c r="F284" s="252" t="s">
        <v>1866</v>
      </c>
      <c r="G284" s="252" t="s">
        <v>1856</v>
      </c>
      <c r="H284" s="252" t="s">
        <v>1771</v>
      </c>
      <c r="I284" s="252" t="s">
        <v>1767</v>
      </c>
      <c r="J284" s="174"/>
      <c r="K284" s="252" t="s">
        <v>1760</v>
      </c>
      <c r="L284" s="174"/>
      <c r="M284" s="174"/>
      <c r="N284" s="252" t="s">
        <v>1695</v>
      </c>
      <c r="O284" s="253" t="s">
        <v>1693</v>
      </c>
    </row>
    <row r="285" spans="1:15" ht="16.149999999999999" customHeight="1" x14ac:dyDescent="0.25">
      <c r="A285" s="172">
        <v>43103</v>
      </c>
      <c r="B285" s="175" t="s">
        <v>49</v>
      </c>
      <c r="C285" s="254" t="s">
        <v>1571</v>
      </c>
      <c r="D285" s="254" t="s">
        <v>2685</v>
      </c>
      <c r="E285" s="254" t="s">
        <v>1762</v>
      </c>
      <c r="F285" s="254" t="s">
        <v>1762</v>
      </c>
      <c r="G285" s="254" t="s">
        <v>1651</v>
      </c>
      <c r="H285" s="254" t="s">
        <v>1689</v>
      </c>
      <c r="I285" s="254" t="s">
        <v>1651</v>
      </c>
      <c r="J285" s="176"/>
      <c r="K285" s="254" t="s">
        <v>1689</v>
      </c>
      <c r="L285" s="176"/>
      <c r="M285" s="176"/>
      <c r="N285" s="254" t="s">
        <v>1860</v>
      </c>
      <c r="O285" s="255" t="s">
        <v>1762</v>
      </c>
    </row>
    <row r="286" spans="1:15" ht="16.149999999999999" customHeight="1" x14ac:dyDescent="0.25">
      <c r="A286" s="172">
        <v>43102</v>
      </c>
      <c r="B286" s="173" t="s">
        <v>49</v>
      </c>
      <c r="C286" s="252" t="s">
        <v>1603</v>
      </c>
      <c r="D286" s="252" t="s">
        <v>1750</v>
      </c>
      <c r="E286" s="252" t="s">
        <v>1768</v>
      </c>
      <c r="F286" s="252" t="s">
        <v>1589</v>
      </c>
      <c r="G286" s="252" t="s">
        <v>1585</v>
      </c>
      <c r="H286" s="252" t="s">
        <v>1578</v>
      </c>
      <c r="I286" s="252" t="s">
        <v>1579</v>
      </c>
      <c r="J286" s="174"/>
      <c r="K286" s="252" t="s">
        <v>1579</v>
      </c>
      <c r="L286" s="174"/>
      <c r="M286" s="174"/>
      <c r="N286" s="252" t="s">
        <v>1862</v>
      </c>
      <c r="O286" s="253" t="s">
        <v>1584</v>
      </c>
    </row>
    <row r="287" spans="1:15" ht="16.149999999999999" customHeight="1" x14ac:dyDescent="0.25">
      <c r="A287" s="172">
        <v>43097</v>
      </c>
      <c r="B287" s="175" t="s">
        <v>49</v>
      </c>
      <c r="C287" s="254" t="s">
        <v>1611</v>
      </c>
      <c r="D287" s="254" t="s">
        <v>1736</v>
      </c>
      <c r="E287" s="254" t="s">
        <v>1584</v>
      </c>
      <c r="F287" s="254" t="s">
        <v>1584</v>
      </c>
      <c r="G287" s="254" t="s">
        <v>1584</v>
      </c>
      <c r="H287" s="254" t="s">
        <v>1631</v>
      </c>
      <c r="I287" s="254" t="s">
        <v>1573</v>
      </c>
      <c r="J287" s="176"/>
      <c r="K287" s="254" t="s">
        <v>1578</v>
      </c>
      <c r="L287" s="176"/>
      <c r="M287" s="176"/>
      <c r="N287" s="254" t="s">
        <v>1777</v>
      </c>
      <c r="O287" s="255" t="s">
        <v>1631</v>
      </c>
    </row>
    <row r="288" spans="1:15" ht="16.149999999999999" customHeight="1" x14ac:dyDescent="0.25">
      <c r="A288" s="172">
        <v>43096</v>
      </c>
      <c r="B288" s="173" t="s">
        <v>49</v>
      </c>
      <c r="C288" s="252" t="s">
        <v>1620</v>
      </c>
      <c r="D288" s="252" t="s">
        <v>1733</v>
      </c>
      <c r="E288" s="252" t="s">
        <v>1584</v>
      </c>
      <c r="F288" s="252" t="s">
        <v>1736</v>
      </c>
      <c r="G288" s="252" t="s">
        <v>1740</v>
      </c>
      <c r="H288" s="252" t="s">
        <v>1578</v>
      </c>
      <c r="I288" s="252" t="s">
        <v>1579</v>
      </c>
      <c r="J288" s="174"/>
      <c r="K288" s="252" t="s">
        <v>1578</v>
      </c>
      <c r="L288" s="174"/>
      <c r="M288" s="174"/>
      <c r="N288" s="252" t="s">
        <v>1763</v>
      </c>
      <c r="O288" s="253" t="s">
        <v>1631</v>
      </c>
    </row>
    <row r="289" spans="1:15" ht="16.149999999999999" customHeight="1" x14ac:dyDescent="0.25">
      <c r="A289" s="172">
        <v>43095</v>
      </c>
      <c r="B289" s="175" t="s">
        <v>49</v>
      </c>
      <c r="C289" s="254" t="s">
        <v>1600</v>
      </c>
      <c r="D289" s="254" t="s">
        <v>1697</v>
      </c>
      <c r="E289" s="254" t="s">
        <v>1584</v>
      </c>
      <c r="F289" s="254" t="s">
        <v>1579</v>
      </c>
      <c r="G289" s="254" t="s">
        <v>1750</v>
      </c>
      <c r="H289" s="254" t="s">
        <v>1578</v>
      </c>
      <c r="I289" s="254" t="s">
        <v>1753</v>
      </c>
      <c r="J289" s="176"/>
      <c r="K289" s="254" t="s">
        <v>1578</v>
      </c>
      <c r="L289" s="176"/>
      <c r="M289" s="176"/>
      <c r="N289" s="254" t="s">
        <v>1585</v>
      </c>
      <c r="O289" s="255" t="s">
        <v>1631</v>
      </c>
    </row>
    <row r="290" spans="1:15" ht="16.149999999999999" customHeight="1" x14ac:dyDescent="0.25">
      <c r="A290" s="172">
        <v>43091</v>
      </c>
      <c r="B290" s="173" t="s">
        <v>49</v>
      </c>
      <c r="C290" s="252" t="s">
        <v>2705</v>
      </c>
      <c r="D290" s="252" t="s">
        <v>1752</v>
      </c>
      <c r="E290" s="252" t="s">
        <v>1579</v>
      </c>
      <c r="F290" s="252" t="s">
        <v>2663</v>
      </c>
      <c r="G290" s="252" t="s">
        <v>1750</v>
      </c>
      <c r="H290" s="252" t="s">
        <v>1768</v>
      </c>
      <c r="I290" s="252" t="s">
        <v>1733</v>
      </c>
      <c r="J290" s="174"/>
      <c r="K290" s="252" t="s">
        <v>1578</v>
      </c>
      <c r="L290" s="174"/>
      <c r="M290" s="174"/>
      <c r="N290" s="252" t="s">
        <v>1768</v>
      </c>
      <c r="O290" s="253" t="s">
        <v>1578</v>
      </c>
    </row>
    <row r="291" spans="1:15" ht="16.149999999999999" customHeight="1" x14ac:dyDescent="0.25">
      <c r="A291" s="172">
        <v>43090</v>
      </c>
      <c r="B291" s="175" t="s">
        <v>49</v>
      </c>
      <c r="C291" s="254" t="s">
        <v>1603</v>
      </c>
      <c r="D291" s="254" t="s">
        <v>1750</v>
      </c>
      <c r="E291" s="254" t="s">
        <v>1768</v>
      </c>
      <c r="F291" s="254" t="s">
        <v>1736</v>
      </c>
      <c r="G291" s="254" t="s">
        <v>1752</v>
      </c>
      <c r="H291" s="254" t="s">
        <v>1578</v>
      </c>
      <c r="I291" s="254" t="s">
        <v>1811</v>
      </c>
      <c r="J291" s="176"/>
      <c r="K291" s="254" t="s">
        <v>1768</v>
      </c>
      <c r="L291" s="176"/>
      <c r="M291" s="176"/>
      <c r="N291" s="254" t="s">
        <v>1832</v>
      </c>
      <c r="O291" s="255" t="s">
        <v>1584</v>
      </c>
    </row>
    <row r="292" spans="1:15" ht="16.149999999999999" customHeight="1" x14ac:dyDescent="0.25">
      <c r="A292" s="172">
        <v>43089</v>
      </c>
      <c r="B292" s="173" t="s">
        <v>49</v>
      </c>
      <c r="C292" s="252" t="s">
        <v>2671</v>
      </c>
      <c r="D292" s="252" t="s">
        <v>1631</v>
      </c>
      <c r="E292" s="252" t="s">
        <v>1631</v>
      </c>
      <c r="F292" s="252" t="s">
        <v>1584</v>
      </c>
      <c r="G292" s="252" t="s">
        <v>1733</v>
      </c>
      <c r="H292" s="252" t="s">
        <v>1631</v>
      </c>
      <c r="I292" s="252" t="s">
        <v>1848</v>
      </c>
      <c r="J292" s="174"/>
      <c r="K292" s="252" t="s">
        <v>1670</v>
      </c>
      <c r="L292" s="174"/>
      <c r="M292" s="174"/>
      <c r="N292" s="252" t="s">
        <v>1763</v>
      </c>
      <c r="O292" s="253" t="s">
        <v>1584</v>
      </c>
    </row>
    <row r="293" spans="1:15" ht="16.149999999999999" customHeight="1" x14ac:dyDescent="0.25">
      <c r="A293" s="172">
        <v>43088</v>
      </c>
      <c r="B293" s="175" t="s">
        <v>49</v>
      </c>
      <c r="C293" s="254" t="s">
        <v>1612</v>
      </c>
      <c r="D293" s="254" t="s">
        <v>1589</v>
      </c>
      <c r="E293" s="254" t="s">
        <v>1584</v>
      </c>
      <c r="F293" s="254" t="s">
        <v>1589</v>
      </c>
      <c r="G293" s="254" t="s">
        <v>1589</v>
      </c>
      <c r="H293" s="254" t="s">
        <v>1584</v>
      </c>
      <c r="I293" s="254" t="s">
        <v>1836</v>
      </c>
      <c r="J293" s="176"/>
      <c r="K293" s="254" t="s">
        <v>1589</v>
      </c>
      <c r="L293" s="176"/>
      <c r="M293" s="176"/>
      <c r="N293" s="254" t="s">
        <v>1555</v>
      </c>
      <c r="O293" s="255" t="s">
        <v>1589</v>
      </c>
    </row>
    <row r="294" spans="1:15" ht="16.149999999999999" customHeight="1" x14ac:dyDescent="0.25">
      <c r="A294" s="172">
        <v>43087</v>
      </c>
      <c r="B294" s="173" t="s">
        <v>49</v>
      </c>
      <c r="C294" s="252" t="s">
        <v>1601</v>
      </c>
      <c r="D294" s="252" t="s">
        <v>1584</v>
      </c>
      <c r="E294" s="252" t="s">
        <v>1584</v>
      </c>
      <c r="F294" s="252" t="s">
        <v>1753</v>
      </c>
      <c r="G294" s="252" t="s">
        <v>1742</v>
      </c>
      <c r="H294" s="252" t="s">
        <v>1584</v>
      </c>
      <c r="I294" s="252" t="s">
        <v>1813</v>
      </c>
      <c r="J294" s="174"/>
      <c r="K294" s="252" t="s">
        <v>1578</v>
      </c>
      <c r="L294" s="174"/>
      <c r="M294" s="174"/>
      <c r="N294" s="252" t="s">
        <v>1817</v>
      </c>
      <c r="O294" s="253" t="s">
        <v>1589</v>
      </c>
    </row>
    <row r="295" spans="1:15" ht="16.149999999999999" customHeight="1" x14ac:dyDescent="0.25">
      <c r="A295" s="172">
        <v>43084</v>
      </c>
      <c r="B295" s="175" t="s">
        <v>49</v>
      </c>
      <c r="C295" s="254" t="s">
        <v>2769</v>
      </c>
      <c r="D295" s="254" t="s">
        <v>1768</v>
      </c>
      <c r="E295" s="254" t="s">
        <v>1584</v>
      </c>
      <c r="F295" s="254" t="s">
        <v>2663</v>
      </c>
      <c r="G295" s="254" t="s">
        <v>1838</v>
      </c>
      <c r="H295" s="254" t="s">
        <v>1578</v>
      </c>
      <c r="I295" s="254" t="s">
        <v>1584</v>
      </c>
      <c r="J295" s="176"/>
      <c r="K295" s="254" t="s">
        <v>1589</v>
      </c>
      <c r="L295" s="176"/>
      <c r="M295" s="176"/>
      <c r="N295" s="254" t="s">
        <v>1812</v>
      </c>
      <c r="O295" s="255" t="s">
        <v>1589</v>
      </c>
    </row>
    <row r="296" spans="1:15" ht="16.149999999999999" customHeight="1" x14ac:dyDescent="0.25">
      <c r="A296" s="172">
        <v>43083</v>
      </c>
      <c r="B296" s="173" t="s">
        <v>49</v>
      </c>
      <c r="C296" s="252" t="s">
        <v>1625</v>
      </c>
      <c r="D296" s="252" t="s">
        <v>1817</v>
      </c>
      <c r="E296" s="252" t="s">
        <v>1840</v>
      </c>
      <c r="F296" s="252" t="s">
        <v>1588</v>
      </c>
      <c r="G296" s="252" t="s">
        <v>1832</v>
      </c>
      <c r="H296" s="252" t="s">
        <v>1812</v>
      </c>
      <c r="I296" s="252" t="s">
        <v>1747</v>
      </c>
      <c r="J296" s="174"/>
      <c r="K296" s="252" t="s">
        <v>1865</v>
      </c>
      <c r="L296" s="174"/>
      <c r="M296" s="174"/>
      <c r="N296" s="252" t="s">
        <v>1832</v>
      </c>
      <c r="O296" s="253" t="s">
        <v>1836</v>
      </c>
    </row>
    <row r="297" spans="1:15" ht="16.149999999999999" customHeight="1" x14ac:dyDescent="0.25">
      <c r="A297" s="172">
        <v>43082</v>
      </c>
      <c r="B297" s="175" t="s">
        <v>49</v>
      </c>
      <c r="C297" s="254" t="s">
        <v>1606</v>
      </c>
      <c r="D297" s="254" t="s">
        <v>1813</v>
      </c>
      <c r="E297" s="254" t="s">
        <v>1589</v>
      </c>
      <c r="F297" s="254" t="s">
        <v>1589</v>
      </c>
      <c r="G297" s="254" t="s">
        <v>1817</v>
      </c>
      <c r="H297" s="254" t="s">
        <v>1840</v>
      </c>
      <c r="I297" s="254" t="s">
        <v>1750</v>
      </c>
      <c r="J297" s="176"/>
      <c r="K297" s="254" t="s">
        <v>1589</v>
      </c>
      <c r="L297" s="176"/>
      <c r="M297" s="176"/>
      <c r="N297" s="254" t="s">
        <v>1808</v>
      </c>
      <c r="O297" s="255" t="s">
        <v>1777</v>
      </c>
    </row>
    <row r="298" spans="1:15" ht="16.149999999999999" customHeight="1" x14ac:dyDescent="0.25">
      <c r="A298" s="172">
        <v>43081</v>
      </c>
      <c r="B298" s="173" t="s">
        <v>49</v>
      </c>
      <c r="C298" s="252" t="s">
        <v>2697</v>
      </c>
      <c r="D298" s="252" t="s">
        <v>1840</v>
      </c>
      <c r="E298" s="252" t="s">
        <v>1840</v>
      </c>
      <c r="F298" s="252" t="s">
        <v>1799</v>
      </c>
      <c r="G298" s="252" t="s">
        <v>1867</v>
      </c>
      <c r="H298" s="252" t="s">
        <v>1840</v>
      </c>
      <c r="I298" s="252" t="s">
        <v>1840</v>
      </c>
      <c r="J298" s="174"/>
      <c r="K298" s="252" t="s">
        <v>1840</v>
      </c>
      <c r="L298" s="174"/>
      <c r="M298" s="174"/>
      <c r="N298" s="252" t="s">
        <v>1555</v>
      </c>
      <c r="O298" s="253" t="s">
        <v>1813</v>
      </c>
    </row>
    <row r="299" spans="1:15" ht="16.149999999999999" customHeight="1" x14ac:dyDescent="0.25">
      <c r="A299" s="172">
        <v>43080</v>
      </c>
      <c r="B299" s="175" t="s">
        <v>49</v>
      </c>
      <c r="C299" s="254" t="s">
        <v>1686</v>
      </c>
      <c r="D299" s="254" t="s">
        <v>2682</v>
      </c>
      <c r="E299" s="254" t="s">
        <v>1651</v>
      </c>
      <c r="F299" s="254" t="s">
        <v>1689</v>
      </c>
      <c r="G299" s="254" t="s">
        <v>2770</v>
      </c>
      <c r="H299" s="254" t="s">
        <v>1851</v>
      </c>
      <c r="I299" s="254" t="s">
        <v>2679</v>
      </c>
      <c r="J299" s="176"/>
      <c r="K299" s="254" t="s">
        <v>1857</v>
      </c>
      <c r="L299" s="176"/>
      <c r="M299" s="176"/>
      <c r="N299" s="254" t="s">
        <v>1861</v>
      </c>
      <c r="O299" s="255" t="s">
        <v>2771</v>
      </c>
    </row>
    <row r="300" spans="1:15" ht="16.149999999999999" customHeight="1" x14ac:dyDescent="0.25">
      <c r="A300" s="172">
        <v>43076</v>
      </c>
      <c r="B300" s="173" t="s">
        <v>49</v>
      </c>
      <c r="C300" s="252" t="s">
        <v>1615</v>
      </c>
      <c r="D300" s="252" t="s">
        <v>1820</v>
      </c>
      <c r="E300" s="252" t="s">
        <v>1854</v>
      </c>
      <c r="F300" s="252" t="s">
        <v>1689</v>
      </c>
      <c r="G300" s="252" t="s">
        <v>2770</v>
      </c>
      <c r="H300" s="252" t="s">
        <v>1867</v>
      </c>
      <c r="I300" s="252" t="s">
        <v>2672</v>
      </c>
      <c r="J300" s="174"/>
      <c r="K300" s="252" t="s">
        <v>1867</v>
      </c>
      <c r="L300" s="174"/>
      <c r="M300" s="174"/>
      <c r="N300" s="252" t="s">
        <v>2672</v>
      </c>
      <c r="O300" s="253" t="s">
        <v>1636</v>
      </c>
    </row>
    <row r="301" spans="1:15" ht="16.149999999999999" customHeight="1" x14ac:dyDescent="0.25">
      <c r="A301" s="172">
        <v>43075</v>
      </c>
      <c r="B301" s="175" t="s">
        <v>49</v>
      </c>
      <c r="C301" s="254" t="s">
        <v>2680</v>
      </c>
      <c r="D301" s="254" t="s">
        <v>2681</v>
      </c>
      <c r="E301" s="254" t="s">
        <v>1857</v>
      </c>
      <c r="F301" s="254" t="s">
        <v>1760</v>
      </c>
      <c r="G301" s="254" t="s">
        <v>1689</v>
      </c>
      <c r="H301" s="254" t="s">
        <v>1857</v>
      </c>
      <c r="I301" s="254" t="s">
        <v>1860</v>
      </c>
      <c r="J301" s="176"/>
      <c r="K301" s="254" t="s">
        <v>1857</v>
      </c>
      <c r="L301" s="176"/>
      <c r="M301" s="176"/>
      <c r="N301" s="254" t="s">
        <v>1689</v>
      </c>
      <c r="O301" s="255" t="s">
        <v>1854</v>
      </c>
    </row>
    <row r="302" spans="1:15" ht="16.149999999999999" customHeight="1" x14ac:dyDescent="0.25">
      <c r="A302" s="172">
        <v>43074</v>
      </c>
      <c r="B302" s="173" t="s">
        <v>49</v>
      </c>
      <c r="C302" s="252" t="s">
        <v>1697</v>
      </c>
      <c r="D302" s="252" t="s">
        <v>1725</v>
      </c>
      <c r="E302" s="252" t="s">
        <v>1726</v>
      </c>
      <c r="F302" s="252" t="s">
        <v>1721</v>
      </c>
      <c r="G302" s="252" t="s">
        <v>1706</v>
      </c>
      <c r="H302" s="252" t="s">
        <v>1726</v>
      </c>
      <c r="I302" s="252" t="s">
        <v>1715</v>
      </c>
      <c r="J302" s="174"/>
      <c r="K302" s="252" t="s">
        <v>1737</v>
      </c>
      <c r="L302" s="174"/>
      <c r="M302" s="174"/>
      <c r="N302" s="252" t="s">
        <v>1765</v>
      </c>
      <c r="O302" s="253" t="s">
        <v>1713</v>
      </c>
    </row>
    <row r="303" spans="1:15" ht="16.149999999999999" customHeight="1" x14ac:dyDescent="0.25">
      <c r="A303" s="172">
        <v>43073</v>
      </c>
      <c r="B303" s="175" t="s">
        <v>49</v>
      </c>
      <c r="C303" s="254" t="s">
        <v>2663</v>
      </c>
      <c r="D303" s="254" t="s">
        <v>1703</v>
      </c>
      <c r="E303" s="254" t="s">
        <v>1694</v>
      </c>
      <c r="F303" s="254" t="s">
        <v>1721</v>
      </c>
      <c r="G303" s="254" t="s">
        <v>1711</v>
      </c>
      <c r="H303" s="254" t="s">
        <v>1694</v>
      </c>
      <c r="I303" s="254" t="s">
        <v>1695</v>
      </c>
      <c r="J303" s="176"/>
      <c r="K303" s="254" t="s">
        <v>1717</v>
      </c>
      <c r="L303" s="176"/>
      <c r="M303" s="176"/>
      <c r="N303" s="254" t="s">
        <v>1737</v>
      </c>
      <c r="O303" s="255" t="s">
        <v>1771</v>
      </c>
    </row>
    <row r="304" spans="1:15" ht="16.149999999999999" customHeight="1" x14ac:dyDescent="0.25">
      <c r="A304" s="172">
        <v>43070</v>
      </c>
      <c r="B304" s="173" t="s">
        <v>49</v>
      </c>
      <c r="C304" s="252" t="s">
        <v>2772</v>
      </c>
      <c r="D304" s="252" t="s">
        <v>1700</v>
      </c>
      <c r="E304" s="252" t="s">
        <v>1694</v>
      </c>
      <c r="F304" s="252" t="s">
        <v>1694</v>
      </c>
      <c r="G304" s="252" t="s">
        <v>1845</v>
      </c>
      <c r="H304" s="252" t="s">
        <v>1769</v>
      </c>
      <c r="I304" s="252" t="s">
        <v>1855</v>
      </c>
      <c r="J304" s="174"/>
      <c r="K304" s="252" t="s">
        <v>1694</v>
      </c>
      <c r="L304" s="174"/>
      <c r="M304" s="174"/>
      <c r="N304" s="252" t="s">
        <v>1737</v>
      </c>
      <c r="O304" s="253" t="s">
        <v>1771</v>
      </c>
    </row>
    <row r="305" spans="1:15" ht="16.149999999999999" customHeight="1" x14ac:dyDescent="0.25">
      <c r="A305" s="172">
        <v>43069</v>
      </c>
      <c r="B305" s="175" t="s">
        <v>49</v>
      </c>
      <c r="C305" s="254" t="s">
        <v>1664</v>
      </c>
      <c r="D305" s="254" t="s">
        <v>1880</v>
      </c>
      <c r="E305" s="254" t="s">
        <v>1769</v>
      </c>
      <c r="F305" s="254" t="s">
        <v>1769</v>
      </c>
      <c r="G305" s="254" t="s">
        <v>2773</v>
      </c>
      <c r="H305" s="254" t="s">
        <v>1864</v>
      </c>
      <c r="I305" s="254" t="s">
        <v>1762</v>
      </c>
      <c r="J305" s="176"/>
      <c r="K305" s="254" t="s">
        <v>1769</v>
      </c>
      <c r="L305" s="176"/>
      <c r="M305" s="176"/>
      <c r="N305" s="254" t="s">
        <v>1693</v>
      </c>
      <c r="O305" s="255" t="s">
        <v>1861</v>
      </c>
    </row>
    <row r="306" spans="1:15" ht="16.149999999999999" customHeight="1" x14ac:dyDescent="0.25">
      <c r="A306" s="172">
        <v>43068</v>
      </c>
      <c r="B306" s="173" t="s">
        <v>49</v>
      </c>
      <c r="C306" s="252" t="s">
        <v>1592</v>
      </c>
      <c r="D306" s="252" t="s">
        <v>2678</v>
      </c>
      <c r="E306" s="252" t="s">
        <v>1689</v>
      </c>
      <c r="F306" s="252" t="s">
        <v>1762</v>
      </c>
      <c r="G306" s="252" t="s">
        <v>1851</v>
      </c>
      <c r="H306" s="252" t="s">
        <v>1762</v>
      </c>
      <c r="I306" s="252" t="s">
        <v>1856</v>
      </c>
      <c r="J306" s="174"/>
      <c r="K306" s="252" t="s">
        <v>1857</v>
      </c>
      <c r="L306" s="174"/>
      <c r="M306" s="174"/>
      <c r="N306" s="252" t="s">
        <v>1760</v>
      </c>
      <c r="O306" s="253" t="s">
        <v>1851</v>
      </c>
    </row>
    <row r="307" spans="1:15" ht="16.149999999999999" customHeight="1" x14ac:dyDescent="0.25">
      <c r="A307" s="172">
        <v>43067</v>
      </c>
      <c r="B307" s="175" t="s">
        <v>49</v>
      </c>
      <c r="C307" s="254" t="s">
        <v>2701</v>
      </c>
      <c r="D307" s="254" t="s">
        <v>2672</v>
      </c>
      <c r="E307" s="254" t="s">
        <v>1851</v>
      </c>
      <c r="F307" s="254" t="s">
        <v>2681</v>
      </c>
      <c r="G307" s="254" t="s">
        <v>1689</v>
      </c>
      <c r="H307" s="254" t="s">
        <v>1851</v>
      </c>
      <c r="I307" s="254" t="s">
        <v>2774</v>
      </c>
      <c r="J307" s="176"/>
      <c r="K307" s="254" t="s">
        <v>1857</v>
      </c>
      <c r="L307" s="176"/>
      <c r="M307" s="176"/>
      <c r="N307" s="254" t="s">
        <v>1762</v>
      </c>
      <c r="O307" s="255" t="s">
        <v>1692</v>
      </c>
    </row>
    <row r="308" spans="1:15" ht="16.149999999999999" customHeight="1" x14ac:dyDescent="0.25">
      <c r="A308" s="172">
        <v>43066</v>
      </c>
      <c r="B308" s="173" t="s">
        <v>49</v>
      </c>
      <c r="C308" s="252" t="s">
        <v>1572</v>
      </c>
      <c r="D308" s="252" t="s">
        <v>1689</v>
      </c>
      <c r="E308" s="252" t="s">
        <v>1689</v>
      </c>
      <c r="F308" s="252" t="s">
        <v>1762</v>
      </c>
      <c r="G308" s="252" t="s">
        <v>1689</v>
      </c>
      <c r="H308" s="252" t="s">
        <v>2682</v>
      </c>
      <c r="I308" s="252" t="s">
        <v>1762</v>
      </c>
      <c r="J308" s="174"/>
      <c r="K308" s="252" t="s">
        <v>1857</v>
      </c>
      <c r="L308" s="174"/>
      <c r="M308" s="174"/>
      <c r="N308" s="252" t="s">
        <v>1762</v>
      </c>
      <c r="O308" s="253" t="s">
        <v>1851</v>
      </c>
    </row>
    <row r="309" spans="1:15" ht="16.149999999999999" customHeight="1" x14ac:dyDescent="0.25">
      <c r="A309" s="172">
        <v>43063</v>
      </c>
      <c r="B309" s="175" t="s">
        <v>49</v>
      </c>
      <c r="C309" s="254" t="s">
        <v>2742</v>
      </c>
      <c r="D309" s="254" t="s">
        <v>1637</v>
      </c>
      <c r="E309" s="254" t="s">
        <v>1577</v>
      </c>
      <c r="F309" s="254" t="s">
        <v>1564</v>
      </c>
      <c r="G309" s="254" t="s">
        <v>1563</v>
      </c>
      <c r="H309" s="254" t="s">
        <v>1566</v>
      </c>
      <c r="I309" s="254" t="s">
        <v>2775</v>
      </c>
      <c r="J309" s="176"/>
      <c r="K309" s="254" t="s">
        <v>1586</v>
      </c>
      <c r="L309" s="176"/>
      <c r="M309" s="176"/>
      <c r="N309" s="254" t="s">
        <v>1579</v>
      </c>
      <c r="O309" s="255" t="s">
        <v>1665</v>
      </c>
    </row>
    <row r="310" spans="1:15" ht="16.149999999999999" customHeight="1" x14ac:dyDescent="0.25">
      <c r="A310" s="172">
        <v>43062</v>
      </c>
      <c r="B310" s="173" t="s">
        <v>49</v>
      </c>
      <c r="C310" s="252" t="s">
        <v>2714</v>
      </c>
      <c r="D310" s="252" t="s">
        <v>1563</v>
      </c>
      <c r="E310" s="252" t="s">
        <v>1563</v>
      </c>
      <c r="F310" s="252" t="s">
        <v>1566</v>
      </c>
      <c r="G310" s="252" t="s">
        <v>1649</v>
      </c>
      <c r="H310" s="252" t="s">
        <v>1569</v>
      </c>
      <c r="I310" s="252" t="s">
        <v>1577</v>
      </c>
      <c r="J310" s="174"/>
      <c r="K310" s="252" t="s">
        <v>1563</v>
      </c>
      <c r="L310" s="174"/>
      <c r="M310" s="174"/>
      <c r="N310" s="252" t="s">
        <v>1564</v>
      </c>
      <c r="O310" s="253" t="s">
        <v>1569</v>
      </c>
    </row>
    <row r="311" spans="1:15" ht="16.149999999999999" customHeight="1" x14ac:dyDescent="0.25">
      <c r="A311" s="172">
        <v>43061</v>
      </c>
      <c r="B311" s="175" t="s">
        <v>49</v>
      </c>
      <c r="C311" s="254" t="s">
        <v>1662</v>
      </c>
      <c r="D311" s="254" t="s">
        <v>1590</v>
      </c>
      <c r="E311" s="254" t="s">
        <v>1569</v>
      </c>
      <c r="F311" s="254" t="s">
        <v>1569</v>
      </c>
      <c r="G311" s="254" t="s">
        <v>2694</v>
      </c>
      <c r="H311" s="254" t="s">
        <v>1590</v>
      </c>
      <c r="I311" s="254" t="s">
        <v>1650</v>
      </c>
      <c r="J311" s="176"/>
      <c r="K311" s="254" t="s">
        <v>1590</v>
      </c>
      <c r="L311" s="176"/>
      <c r="M311" s="176"/>
      <c r="N311" s="254" t="s">
        <v>1571</v>
      </c>
      <c r="O311" s="255" t="s">
        <v>1619</v>
      </c>
    </row>
    <row r="312" spans="1:15" ht="16.149999999999999" customHeight="1" x14ac:dyDescent="0.25">
      <c r="A312" s="172">
        <v>43060</v>
      </c>
      <c r="B312" s="173" t="s">
        <v>49</v>
      </c>
      <c r="C312" s="252" t="s">
        <v>2693</v>
      </c>
      <c r="D312" s="252" t="s">
        <v>2694</v>
      </c>
      <c r="E312" s="252" t="s">
        <v>1560</v>
      </c>
      <c r="F312" s="252" t="s">
        <v>2692</v>
      </c>
      <c r="G312" s="252" t="s">
        <v>1675</v>
      </c>
      <c r="H312" s="252" t="s">
        <v>1560</v>
      </c>
      <c r="I312" s="252" t="s">
        <v>2695</v>
      </c>
      <c r="J312" s="174"/>
      <c r="K312" s="252" t="s">
        <v>1574</v>
      </c>
      <c r="L312" s="174"/>
      <c r="M312" s="174"/>
      <c r="N312" s="252" t="s">
        <v>1590</v>
      </c>
      <c r="O312" s="253" t="s">
        <v>1560</v>
      </c>
    </row>
    <row r="313" spans="1:15" ht="16.149999999999999" customHeight="1" x14ac:dyDescent="0.25">
      <c r="A313" s="172">
        <v>43059</v>
      </c>
      <c r="B313" s="175" t="s">
        <v>49</v>
      </c>
      <c r="C313" s="254" t="s">
        <v>2735</v>
      </c>
      <c r="D313" s="254" t="s">
        <v>1611</v>
      </c>
      <c r="E313" s="254" t="s">
        <v>1683</v>
      </c>
      <c r="F313" s="254" t="s">
        <v>1603</v>
      </c>
      <c r="G313" s="254" t="s">
        <v>2703</v>
      </c>
      <c r="H313" s="254" t="s">
        <v>1657</v>
      </c>
      <c r="I313" s="254" t="s">
        <v>1627</v>
      </c>
      <c r="J313" s="176"/>
      <c r="K313" s="254" t="s">
        <v>1600</v>
      </c>
      <c r="L313" s="176"/>
      <c r="M313" s="176"/>
      <c r="N313" s="254" t="s">
        <v>1593</v>
      </c>
      <c r="O313" s="255" t="s">
        <v>1603</v>
      </c>
    </row>
    <row r="314" spans="1:15" ht="16.149999999999999" customHeight="1" x14ac:dyDescent="0.25">
      <c r="A314" s="172">
        <v>43056</v>
      </c>
      <c r="B314" s="173" t="s">
        <v>49</v>
      </c>
      <c r="C314" s="252" t="s">
        <v>1543</v>
      </c>
      <c r="D314" s="252" t="s">
        <v>1682</v>
      </c>
      <c r="E314" s="252" t="s">
        <v>1683</v>
      </c>
      <c r="F314" s="252" t="s">
        <v>1603</v>
      </c>
      <c r="G314" s="252" t="s">
        <v>1688</v>
      </c>
      <c r="H314" s="252" t="s">
        <v>2736</v>
      </c>
      <c r="I314" s="252" t="s">
        <v>1628</v>
      </c>
      <c r="J314" s="174"/>
      <c r="K314" s="252" t="s">
        <v>2703</v>
      </c>
      <c r="L314" s="174"/>
      <c r="M314" s="174"/>
      <c r="N314" s="252" t="s">
        <v>1657</v>
      </c>
      <c r="O314" s="253" t="s">
        <v>2662</v>
      </c>
    </row>
    <row r="315" spans="1:15" ht="16.149999999999999" customHeight="1" x14ac:dyDescent="0.25">
      <c r="A315" s="172">
        <v>43055</v>
      </c>
      <c r="B315" s="175" t="s">
        <v>49</v>
      </c>
      <c r="C315" s="254" t="s">
        <v>2737</v>
      </c>
      <c r="D315" s="254" t="s">
        <v>2736</v>
      </c>
      <c r="E315" s="254" t="s">
        <v>1657</v>
      </c>
      <c r="F315" s="254" t="s">
        <v>1676</v>
      </c>
      <c r="G315" s="254" t="s">
        <v>1688</v>
      </c>
      <c r="H315" s="254" t="s">
        <v>1680</v>
      </c>
      <c r="I315" s="254" t="s">
        <v>2738</v>
      </c>
      <c r="J315" s="176"/>
      <c r="K315" s="254" t="s">
        <v>1659</v>
      </c>
      <c r="L315" s="176"/>
      <c r="M315" s="176"/>
      <c r="N315" s="254" t="s">
        <v>1600</v>
      </c>
      <c r="O315" s="255" t="s">
        <v>2739</v>
      </c>
    </row>
    <row r="316" spans="1:15" ht="16.149999999999999" customHeight="1" x14ac:dyDescent="0.25">
      <c r="A316" s="172">
        <v>43054</v>
      </c>
      <c r="B316" s="173" t="s">
        <v>49</v>
      </c>
      <c r="C316" s="252" t="s">
        <v>2740</v>
      </c>
      <c r="D316" s="252" t="s">
        <v>1688</v>
      </c>
      <c r="E316" s="252" t="s">
        <v>1659</v>
      </c>
      <c r="F316" s="252" t="s">
        <v>2741</v>
      </c>
      <c r="G316" s="252" t="s">
        <v>1659</v>
      </c>
      <c r="H316" s="252" t="s">
        <v>2742</v>
      </c>
      <c r="I316" s="252" t="s">
        <v>2743</v>
      </c>
      <c r="J316" s="174"/>
      <c r="K316" s="252" t="s">
        <v>2739</v>
      </c>
      <c r="L316" s="174"/>
      <c r="M316" s="174"/>
      <c r="N316" s="252" t="s">
        <v>1600</v>
      </c>
      <c r="O316" s="253" t="s">
        <v>2739</v>
      </c>
    </row>
    <row r="317" spans="1:15" ht="16.149999999999999" customHeight="1" x14ac:dyDescent="0.25">
      <c r="A317" s="172">
        <v>43053</v>
      </c>
      <c r="B317" s="175" t="s">
        <v>49</v>
      </c>
      <c r="C317" s="254" t="s">
        <v>2744</v>
      </c>
      <c r="D317" s="254" t="s">
        <v>2745</v>
      </c>
      <c r="E317" s="254" t="s">
        <v>2739</v>
      </c>
      <c r="F317" s="254" t="s">
        <v>1668</v>
      </c>
      <c r="G317" s="254" t="s">
        <v>2655</v>
      </c>
      <c r="H317" s="254" t="s">
        <v>2659</v>
      </c>
      <c r="I317" s="254" t="s">
        <v>1575</v>
      </c>
      <c r="J317" s="176"/>
      <c r="K317" s="254" t="s">
        <v>2746</v>
      </c>
      <c r="L317" s="176"/>
      <c r="M317" s="176"/>
      <c r="N317" s="254" t="s">
        <v>1657</v>
      </c>
      <c r="O317" s="255" t="s">
        <v>1680</v>
      </c>
    </row>
    <row r="318" spans="1:15" ht="16.149999999999999" customHeight="1" x14ac:dyDescent="0.25">
      <c r="A318" s="172">
        <v>43049</v>
      </c>
      <c r="B318" s="173" t="s">
        <v>49</v>
      </c>
      <c r="C318" s="252" t="s">
        <v>2747</v>
      </c>
      <c r="D318" s="252" t="s">
        <v>1575</v>
      </c>
      <c r="E318" s="252" t="s">
        <v>2739</v>
      </c>
      <c r="F318" s="252" t="s">
        <v>2748</v>
      </c>
      <c r="G318" s="252" t="s">
        <v>1629</v>
      </c>
      <c r="H318" s="252" t="s">
        <v>2749</v>
      </c>
      <c r="I318" s="252" t="s">
        <v>2750</v>
      </c>
      <c r="J318" s="174"/>
      <c r="K318" s="252" t="s">
        <v>1561</v>
      </c>
      <c r="L318" s="174"/>
      <c r="M318" s="174"/>
      <c r="N318" s="252" t="s">
        <v>1659</v>
      </c>
      <c r="O318" s="253" t="s">
        <v>1561</v>
      </c>
    </row>
    <row r="319" spans="1:15" ht="16.149999999999999" customHeight="1" x14ac:dyDescent="0.25">
      <c r="A319" s="172">
        <v>43048</v>
      </c>
      <c r="B319" s="175" t="s">
        <v>49</v>
      </c>
      <c r="C319" s="254" t="s">
        <v>2712</v>
      </c>
      <c r="D319" s="254" t="s">
        <v>1656</v>
      </c>
      <c r="E319" s="254" t="s">
        <v>1654</v>
      </c>
      <c r="F319" s="254" t="s">
        <v>1570</v>
      </c>
      <c r="G319" s="254" t="s">
        <v>2751</v>
      </c>
      <c r="H319" s="254" t="s">
        <v>2721</v>
      </c>
      <c r="I319" s="254" t="s">
        <v>2666</v>
      </c>
      <c r="J319" s="176"/>
      <c r="K319" s="254" t="s">
        <v>1570</v>
      </c>
      <c r="L319" s="176"/>
      <c r="M319" s="176"/>
      <c r="N319" s="254" t="s">
        <v>1644</v>
      </c>
      <c r="O319" s="255" t="s">
        <v>2718</v>
      </c>
    </row>
    <row r="320" spans="1:15" ht="16.149999999999999" customHeight="1" x14ac:dyDescent="0.25">
      <c r="A320" s="172">
        <v>43047</v>
      </c>
      <c r="B320" s="173" t="s">
        <v>49</v>
      </c>
      <c r="C320" s="252" t="s">
        <v>2752</v>
      </c>
      <c r="D320" s="252" t="s">
        <v>1654</v>
      </c>
      <c r="E320" s="252" t="s">
        <v>1654</v>
      </c>
      <c r="F320" s="252" t="s">
        <v>2710</v>
      </c>
      <c r="G320" s="252" t="s">
        <v>1570</v>
      </c>
      <c r="H320" s="252" t="s">
        <v>2753</v>
      </c>
      <c r="I320" s="252" t="s">
        <v>1652</v>
      </c>
      <c r="J320" s="174"/>
      <c r="K320" s="252" t="s">
        <v>1654</v>
      </c>
      <c r="L320" s="174"/>
      <c r="M320" s="174"/>
      <c r="N320" s="252" t="s">
        <v>1663</v>
      </c>
      <c r="O320" s="253" t="s">
        <v>2719</v>
      </c>
    </row>
    <row r="321" spans="1:15" ht="16.149999999999999" customHeight="1" x14ac:dyDescent="0.25">
      <c r="A321" s="172">
        <v>43046</v>
      </c>
      <c r="B321" s="175" t="s">
        <v>49</v>
      </c>
      <c r="C321" s="254" t="s">
        <v>1527</v>
      </c>
      <c r="D321" s="254" t="s">
        <v>2754</v>
      </c>
      <c r="E321" s="254" t="s">
        <v>2710</v>
      </c>
      <c r="F321" s="254" t="s">
        <v>2755</v>
      </c>
      <c r="G321" s="254" t="s">
        <v>2719</v>
      </c>
      <c r="H321" s="254" t="s">
        <v>1556</v>
      </c>
      <c r="I321" s="254" t="s">
        <v>2754</v>
      </c>
      <c r="J321" s="176"/>
      <c r="K321" s="254" t="s">
        <v>1558</v>
      </c>
      <c r="L321" s="176"/>
      <c r="M321" s="176"/>
      <c r="N321" s="254" t="s">
        <v>1570</v>
      </c>
      <c r="O321" s="255" t="s">
        <v>2693</v>
      </c>
    </row>
    <row r="322" spans="1:15" ht="16.149999999999999" customHeight="1" x14ac:dyDescent="0.25">
      <c r="A322" s="172">
        <v>43042</v>
      </c>
      <c r="B322" s="173" t="s">
        <v>49</v>
      </c>
      <c r="C322" s="252" t="s">
        <v>1506</v>
      </c>
      <c r="D322" s="252" t="s">
        <v>1557</v>
      </c>
      <c r="E322" s="252" t="s">
        <v>2693</v>
      </c>
      <c r="F322" s="252" t="s">
        <v>2726</v>
      </c>
      <c r="G322" s="252" t="s">
        <v>2756</v>
      </c>
      <c r="H322" s="252" t="s">
        <v>1553</v>
      </c>
      <c r="I322" s="252" t="s">
        <v>1553</v>
      </c>
      <c r="J322" s="174"/>
      <c r="K322" s="252" t="s">
        <v>1559</v>
      </c>
      <c r="L322" s="174"/>
      <c r="M322" s="174"/>
      <c r="N322" s="252" t="s">
        <v>2693</v>
      </c>
      <c r="O322" s="253" t="s">
        <v>1553</v>
      </c>
    </row>
    <row r="323" spans="1:15" ht="16.149999999999999" customHeight="1" x14ac:dyDescent="0.25">
      <c r="A323" s="172">
        <v>43041</v>
      </c>
      <c r="B323" s="175" t="s">
        <v>49</v>
      </c>
      <c r="C323" s="254" t="s">
        <v>2757</v>
      </c>
      <c r="D323" s="254" t="s">
        <v>2758</v>
      </c>
      <c r="E323" s="254" t="s">
        <v>1553</v>
      </c>
      <c r="F323" s="254" t="s">
        <v>2726</v>
      </c>
      <c r="G323" s="254" t="s">
        <v>1557</v>
      </c>
      <c r="H323" s="254" t="s">
        <v>1557</v>
      </c>
      <c r="I323" s="254" t="s">
        <v>2759</v>
      </c>
      <c r="J323" s="176"/>
      <c r="K323" s="254" t="s">
        <v>1544</v>
      </c>
      <c r="L323" s="176"/>
      <c r="M323" s="176"/>
      <c r="N323" s="254" t="s">
        <v>2693</v>
      </c>
      <c r="O323" s="255" t="s">
        <v>1552</v>
      </c>
    </row>
    <row r="324" spans="1:15" ht="16.149999999999999" customHeight="1" x14ac:dyDescent="0.25">
      <c r="A324" s="172">
        <v>43040</v>
      </c>
      <c r="B324" s="173" t="s">
        <v>49</v>
      </c>
      <c r="C324" s="252" t="s">
        <v>2760</v>
      </c>
      <c r="D324" s="252" t="s">
        <v>2761</v>
      </c>
      <c r="E324" s="252" t="s">
        <v>1557</v>
      </c>
      <c r="F324" s="252" t="s">
        <v>2726</v>
      </c>
      <c r="G324" s="252" t="s">
        <v>1559</v>
      </c>
      <c r="H324" s="252" t="s">
        <v>1557</v>
      </c>
      <c r="I324" s="252" t="s">
        <v>2762</v>
      </c>
      <c r="J324" s="174"/>
      <c r="K324" s="252" t="s">
        <v>2693</v>
      </c>
      <c r="L324" s="174"/>
      <c r="M324" s="174"/>
      <c r="N324" s="252" t="s">
        <v>1558</v>
      </c>
      <c r="O324" s="253" t="s">
        <v>1552</v>
      </c>
    </row>
    <row r="325" spans="1:15" ht="16.149999999999999" customHeight="1" x14ac:dyDescent="0.25">
      <c r="A325" s="172">
        <v>43039</v>
      </c>
      <c r="B325" s="175" t="s">
        <v>49</v>
      </c>
      <c r="C325" s="254" t="s">
        <v>2763</v>
      </c>
      <c r="D325" s="254" t="s">
        <v>2764</v>
      </c>
      <c r="E325" s="254" t="s">
        <v>1552</v>
      </c>
      <c r="F325" s="254" t="s">
        <v>1608</v>
      </c>
      <c r="G325" s="254" t="s">
        <v>1597</v>
      </c>
      <c r="H325" s="254" t="s">
        <v>1608</v>
      </c>
      <c r="I325" s="254" t="s">
        <v>2764</v>
      </c>
      <c r="J325" s="176"/>
      <c r="K325" s="254" t="s">
        <v>1553</v>
      </c>
      <c r="L325" s="176"/>
      <c r="M325" s="176"/>
      <c r="N325" s="254" t="s">
        <v>2693</v>
      </c>
      <c r="O325" s="255" t="s">
        <v>1552</v>
      </c>
    </row>
    <row r="326" spans="1:15" ht="16.149999999999999" customHeight="1" x14ac:dyDescent="0.25">
      <c r="A326" s="172">
        <v>43038</v>
      </c>
      <c r="B326" s="173" t="s">
        <v>49</v>
      </c>
      <c r="C326" s="252" t="s">
        <v>2765</v>
      </c>
      <c r="D326" s="252" t="s">
        <v>2766</v>
      </c>
      <c r="E326" s="252" t="s">
        <v>1544</v>
      </c>
      <c r="F326" s="252" t="s">
        <v>2719</v>
      </c>
      <c r="G326" s="252" t="s">
        <v>2767</v>
      </c>
      <c r="H326" s="252" t="s">
        <v>1557</v>
      </c>
      <c r="I326" s="252" t="s">
        <v>2735</v>
      </c>
      <c r="J326" s="174"/>
      <c r="K326" s="252" t="s">
        <v>1553</v>
      </c>
      <c r="L326" s="174"/>
      <c r="M326" s="174"/>
      <c r="N326" s="252" t="s">
        <v>2693</v>
      </c>
      <c r="O326" s="253" t="s">
        <v>1552</v>
      </c>
    </row>
    <row r="327" spans="1:15" ht="16.149999999999999" customHeight="1" x14ac:dyDescent="0.25">
      <c r="A327" s="172">
        <v>43035</v>
      </c>
      <c r="B327" s="175" t="s">
        <v>49</v>
      </c>
      <c r="C327" s="254" t="s">
        <v>118</v>
      </c>
      <c r="D327" s="254" t="s">
        <v>80</v>
      </c>
      <c r="E327" s="254" t="s">
        <v>76</v>
      </c>
      <c r="F327" s="254" t="s">
        <v>80</v>
      </c>
      <c r="G327" s="254" t="s">
        <v>396</v>
      </c>
      <c r="H327" s="254" t="s">
        <v>80</v>
      </c>
      <c r="I327" s="254" t="s">
        <v>397</v>
      </c>
      <c r="J327" s="176"/>
      <c r="K327" s="254" t="s">
        <v>80</v>
      </c>
      <c r="L327" s="176"/>
      <c r="M327" s="176"/>
      <c r="N327" s="254" t="s">
        <v>83</v>
      </c>
      <c r="O327" s="255" t="s">
        <v>70</v>
      </c>
    </row>
    <row r="328" spans="1:15" ht="16.149999999999999" customHeight="1" x14ac:dyDescent="0.25">
      <c r="A328" s="172">
        <v>43034</v>
      </c>
      <c r="B328" s="173" t="s">
        <v>49</v>
      </c>
      <c r="C328" s="252" t="s">
        <v>398</v>
      </c>
      <c r="D328" s="252" t="s">
        <v>399</v>
      </c>
      <c r="E328" s="252" t="s">
        <v>76</v>
      </c>
      <c r="F328" s="252" t="s">
        <v>68</v>
      </c>
      <c r="G328" s="252" t="s">
        <v>397</v>
      </c>
      <c r="H328" s="252" t="s">
        <v>80</v>
      </c>
      <c r="I328" s="252" t="s">
        <v>400</v>
      </c>
      <c r="J328" s="174"/>
      <c r="K328" s="252" t="s">
        <v>80</v>
      </c>
      <c r="L328" s="174"/>
      <c r="M328" s="174"/>
      <c r="N328" s="252" t="s">
        <v>83</v>
      </c>
      <c r="O328" s="253" t="s">
        <v>401</v>
      </c>
    </row>
    <row r="329" spans="1:15" ht="16.149999999999999" customHeight="1" x14ac:dyDescent="0.25">
      <c r="A329" s="172">
        <v>43033</v>
      </c>
      <c r="B329" s="175" t="s">
        <v>49</v>
      </c>
      <c r="C329" s="254" t="s">
        <v>75</v>
      </c>
      <c r="D329" s="254" t="s">
        <v>76</v>
      </c>
      <c r="E329" s="254" t="s">
        <v>76</v>
      </c>
      <c r="F329" s="254" t="s">
        <v>402</v>
      </c>
      <c r="G329" s="254" t="s">
        <v>76</v>
      </c>
      <c r="H329" s="254" t="s">
        <v>80</v>
      </c>
      <c r="I329" s="254" t="s">
        <v>403</v>
      </c>
      <c r="J329" s="176"/>
      <c r="K329" s="254" t="s">
        <v>70</v>
      </c>
      <c r="L329" s="176"/>
      <c r="M329" s="176"/>
      <c r="N329" s="254" t="s">
        <v>80</v>
      </c>
      <c r="O329" s="255" t="s">
        <v>89</v>
      </c>
    </row>
    <row r="330" spans="1:15" ht="16.149999999999999" customHeight="1" x14ac:dyDescent="0.25">
      <c r="A330" s="172">
        <v>43032</v>
      </c>
      <c r="B330" s="173" t="s">
        <v>49</v>
      </c>
      <c r="C330" s="252" t="s">
        <v>404</v>
      </c>
      <c r="D330" s="252" t="s">
        <v>405</v>
      </c>
      <c r="E330" s="252" t="s">
        <v>68</v>
      </c>
      <c r="F330" s="252" t="s">
        <v>406</v>
      </c>
      <c r="G330" s="252" t="s">
        <v>407</v>
      </c>
      <c r="H330" s="252" t="s">
        <v>87</v>
      </c>
      <c r="I330" s="252" t="s">
        <v>74</v>
      </c>
      <c r="J330" s="174"/>
      <c r="K330" s="252" t="s">
        <v>66</v>
      </c>
      <c r="L330" s="174"/>
      <c r="M330" s="174"/>
      <c r="N330" s="252" t="s">
        <v>408</v>
      </c>
      <c r="O330" s="253" t="s">
        <v>80</v>
      </c>
    </row>
    <row r="331" spans="1:15" ht="16.149999999999999" customHeight="1" x14ac:dyDescent="0.25">
      <c r="A331" s="172">
        <v>43031</v>
      </c>
      <c r="B331" s="175" t="s">
        <v>49</v>
      </c>
      <c r="C331" s="254" t="s">
        <v>120</v>
      </c>
      <c r="D331" s="254" t="s">
        <v>409</v>
      </c>
      <c r="E331" s="254" t="s">
        <v>76</v>
      </c>
      <c r="F331" s="254" t="s">
        <v>410</v>
      </c>
      <c r="G331" s="254" t="s">
        <v>411</v>
      </c>
      <c r="H331" s="254" t="s">
        <v>83</v>
      </c>
      <c r="I331" s="254" t="s">
        <v>399</v>
      </c>
      <c r="J331" s="176"/>
      <c r="K331" s="254" t="s">
        <v>87</v>
      </c>
      <c r="L331" s="176"/>
      <c r="M331" s="176"/>
      <c r="N331" s="254" t="s">
        <v>408</v>
      </c>
      <c r="O331" s="255" t="s">
        <v>80</v>
      </c>
    </row>
    <row r="332" spans="1:15" ht="16.149999999999999" customHeight="1" x14ac:dyDescent="0.25">
      <c r="A332" s="172">
        <v>43028</v>
      </c>
      <c r="B332" s="173" t="s">
        <v>49</v>
      </c>
      <c r="C332" s="252" t="s">
        <v>412</v>
      </c>
      <c r="D332" s="252" t="s">
        <v>70</v>
      </c>
      <c r="E332" s="252" t="s">
        <v>413</v>
      </c>
      <c r="F332" s="252" t="s">
        <v>414</v>
      </c>
      <c r="G332" s="252" t="s">
        <v>76</v>
      </c>
      <c r="H332" s="252" t="s">
        <v>70</v>
      </c>
      <c r="I332" s="252" t="s">
        <v>411</v>
      </c>
      <c r="J332" s="174"/>
      <c r="K332" s="252" t="s">
        <v>70</v>
      </c>
      <c r="L332" s="174"/>
      <c r="M332" s="174"/>
      <c r="N332" s="252" t="s">
        <v>66</v>
      </c>
      <c r="O332" s="253" t="s">
        <v>401</v>
      </c>
    </row>
    <row r="333" spans="1:15" ht="16.149999999999999" customHeight="1" x14ac:dyDescent="0.25">
      <c r="A333" s="172">
        <v>43027</v>
      </c>
      <c r="B333" s="175" t="s">
        <v>49</v>
      </c>
      <c r="C333" s="254" t="s">
        <v>114</v>
      </c>
      <c r="D333" s="254" t="s">
        <v>415</v>
      </c>
      <c r="E333" s="254" t="s">
        <v>413</v>
      </c>
      <c r="F333" s="254" t="s">
        <v>414</v>
      </c>
      <c r="G333" s="254" t="s">
        <v>416</v>
      </c>
      <c r="H333" s="254" t="s">
        <v>80</v>
      </c>
      <c r="I333" s="254" t="s">
        <v>407</v>
      </c>
      <c r="J333" s="176"/>
      <c r="K333" s="254" t="s">
        <v>70</v>
      </c>
      <c r="L333" s="176"/>
      <c r="M333" s="176"/>
      <c r="N333" s="254" t="s">
        <v>66</v>
      </c>
      <c r="O333" s="255" t="s">
        <v>414</v>
      </c>
    </row>
    <row r="334" spans="1:15" ht="16.149999999999999" customHeight="1" x14ac:dyDescent="0.25">
      <c r="A334" s="172">
        <v>43026</v>
      </c>
      <c r="B334" s="173" t="s">
        <v>49</v>
      </c>
      <c r="C334" s="252" t="s">
        <v>417</v>
      </c>
      <c r="D334" s="252" t="s">
        <v>418</v>
      </c>
      <c r="E334" s="252" t="s">
        <v>70</v>
      </c>
      <c r="F334" s="252" t="s">
        <v>414</v>
      </c>
      <c r="G334" s="252" t="s">
        <v>415</v>
      </c>
      <c r="H334" s="252" t="s">
        <v>401</v>
      </c>
      <c r="I334" s="252" t="s">
        <v>419</v>
      </c>
      <c r="J334" s="174"/>
      <c r="K334" s="252" t="s">
        <v>414</v>
      </c>
      <c r="L334" s="174"/>
      <c r="M334" s="174"/>
      <c r="N334" s="252" t="s">
        <v>66</v>
      </c>
      <c r="O334" s="253" t="s">
        <v>410</v>
      </c>
    </row>
    <row r="335" spans="1:15" ht="16.149999999999999" customHeight="1" x14ac:dyDescent="0.25">
      <c r="A335" s="172">
        <v>43025</v>
      </c>
      <c r="B335" s="175" t="s">
        <v>49</v>
      </c>
      <c r="C335" s="254" t="s">
        <v>420</v>
      </c>
      <c r="D335" s="254" t="s">
        <v>401</v>
      </c>
      <c r="E335" s="254" t="s">
        <v>70</v>
      </c>
      <c r="F335" s="254" t="s">
        <v>51</v>
      </c>
      <c r="G335" s="254" t="s">
        <v>401</v>
      </c>
      <c r="H335" s="254" t="s">
        <v>401</v>
      </c>
      <c r="I335" s="254" t="s">
        <v>414</v>
      </c>
      <c r="J335" s="176"/>
      <c r="K335" s="254" t="s">
        <v>401</v>
      </c>
      <c r="L335" s="176"/>
      <c r="M335" s="176"/>
      <c r="N335" s="254" t="s">
        <v>80</v>
      </c>
      <c r="O335" s="255" t="s">
        <v>421</v>
      </c>
    </row>
    <row r="336" spans="1:15" ht="16.149999999999999" customHeight="1" x14ac:dyDescent="0.25">
      <c r="A336" s="172">
        <v>43021</v>
      </c>
      <c r="B336" s="173" t="s">
        <v>49</v>
      </c>
      <c r="C336" s="252" t="s">
        <v>422</v>
      </c>
      <c r="D336" s="252" t="s">
        <v>423</v>
      </c>
      <c r="E336" s="252" t="s">
        <v>89</v>
      </c>
      <c r="F336" s="252" t="s">
        <v>62</v>
      </c>
      <c r="G336" s="252" t="s">
        <v>424</v>
      </c>
      <c r="H336" s="252" t="s">
        <v>423</v>
      </c>
      <c r="I336" s="252" t="s">
        <v>425</v>
      </c>
      <c r="J336" s="174"/>
      <c r="K336" s="252" t="s">
        <v>423</v>
      </c>
      <c r="L336" s="174"/>
      <c r="M336" s="174"/>
      <c r="N336" s="252" t="s">
        <v>401</v>
      </c>
      <c r="O336" s="253" t="s">
        <v>426</v>
      </c>
    </row>
    <row r="337" spans="1:15" ht="16.149999999999999" customHeight="1" x14ac:dyDescent="0.25">
      <c r="A337" s="172">
        <v>43020</v>
      </c>
      <c r="B337" s="175" t="s">
        <v>49</v>
      </c>
      <c r="C337" s="254" t="s">
        <v>50</v>
      </c>
      <c r="D337" s="254" t="s">
        <v>51</v>
      </c>
      <c r="E337" s="254" t="s">
        <v>423</v>
      </c>
      <c r="F337" s="254" t="s">
        <v>423</v>
      </c>
      <c r="G337" s="254" t="s">
        <v>424</v>
      </c>
      <c r="H337" s="254" t="s">
        <v>62</v>
      </c>
      <c r="I337" s="254" t="s">
        <v>60</v>
      </c>
      <c r="J337" s="176"/>
      <c r="K337" s="254" t="s">
        <v>423</v>
      </c>
      <c r="L337" s="176"/>
      <c r="M337" s="176"/>
      <c r="N337" s="254" t="s">
        <v>410</v>
      </c>
      <c r="O337" s="255" t="s">
        <v>64</v>
      </c>
    </row>
    <row r="338" spans="1:15" ht="16.149999999999999" customHeight="1" x14ac:dyDescent="0.25">
      <c r="A338" s="172">
        <v>43019</v>
      </c>
      <c r="B338" s="173" t="s">
        <v>49</v>
      </c>
      <c r="C338" s="252" t="s">
        <v>52</v>
      </c>
      <c r="D338" s="252" t="s">
        <v>53</v>
      </c>
      <c r="E338" s="252" t="s">
        <v>89</v>
      </c>
      <c r="F338" s="252" t="s">
        <v>423</v>
      </c>
      <c r="G338" s="252" t="s">
        <v>427</v>
      </c>
      <c r="H338" s="252" t="s">
        <v>64</v>
      </c>
      <c r="I338" s="252" t="s">
        <v>421</v>
      </c>
      <c r="J338" s="174"/>
      <c r="K338" s="252" t="s">
        <v>410</v>
      </c>
      <c r="L338" s="174"/>
      <c r="M338" s="174"/>
      <c r="N338" s="252" t="s">
        <v>401</v>
      </c>
      <c r="O338" s="253" t="s">
        <v>423</v>
      </c>
    </row>
    <row r="339" spans="1:15" ht="16.149999999999999" customHeight="1" x14ac:dyDescent="0.25">
      <c r="A339" s="172">
        <v>43018</v>
      </c>
      <c r="B339" s="175" t="s">
        <v>49</v>
      </c>
      <c r="C339" s="254" t="s">
        <v>54</v>
      </c>
      <c r="D339" s="254" t="s">
        <v>55</v>
      </c>
      <c r="E339" s="254" t="s">
        <v>410</v>
      </c>
      <c r="F339" s="254" t="s">
        <v>64</v>
      </c>
      <c r="G339" s="254" t="s">
        <v>89</v>
      </c>
      <c r="H339" s="254" t="s">
        <v>424</v>
      </c>
      <c r="I339" s="254" t="s">
        <v>428</v>
      </c>
      <c r="J339" s="176"/>
      <c r="K339" s="254" t="s">
        <v>423</v>
      </c>
      <c r="L339" s="176"/>
      <c r="M339" s="176"/>
      <c r="N339" s="254" t="s">
        <v>401</v>
      </c>
      <c r="O339" s="255" t="s">
        <v>62</v>
      </c>
    </row>
    <row r="340" spans="1:15" ht="16.149999999999999" customHeight="1" x14ac:dyDescent="0.25">
      <c r="A340" s="172">
        <v>43017</v>
      </c>
      <c r="B340" s="173" t="s">
        <v>49</v>
      </c>
      <c r="C340" s="252" t="s">
        <v>54</v>
      </c>
      <c r="D340" s="252" t="s">
        <v>55</v>
      </c>
      <c r="E340" s="252" t="s">
        <v>64</v>
      </c>
      <c r="F340" s="252" t="s">
        <v>89</v>
      </c>
      <c r="G340" s="252" t="s">
        <v>410</v>
      </c>
      <c r="H340" s="252" t="s">
        <v>64</v>
      </c>
      <c r="I340" s="252" t="s">
        <v>410</v>
      </c>
      <c r="J340" s="174"/>
      <c r="K340" s="252" t="s">
        <v>423</v>
      </c>
      <c r="L340" s="174"/>
      <c r="M340" s="174"/>
      <c r="N340" s="252" t="s">
        <v>66</v>
      </c>
      <c r="O340" s="253" t="s">
        <v>62</v>
      </c>
    </row>
    <row r="341" spans="1:15" ht="16.149999999999999" customHeight="1" x14ac:dyDescent="0.25">
      <c r="A341" s="172">
        <v>43014</v>
      </c>
      <c r="B341" s="175" t="s">
        <v>49</v>
      </c>
      <c r="C341" s="254" t="s">
        <v>56</v>
      </c>
      <c r="D341" s="254" t="s">
        <v>51</v>
      </c>
      <c r="E341" s="254" t="s">
        <v>64</v>
      </c>
      <c r="F341" s="254" t="s">
        <v>89</v>
      </c>
      <c r="G341" s="254" t="s">
        <v>429</v>
      </c>
      <c r="H341" s="254" t="s">
        <v>62</v>
      </c>
      <c r="I341" s="254" t="s">
        <v>55</v>
      </c>
      <c r="J341" s="176"/>
      <c r="K341" s="254" t="s">
        <v>89</v>
      </c>
      <c r="L341" s="176"/>
      <c r="M341" s="176"/>
      <c r="N341" s="254" t="s">
        <v>410</v>
      </c>
      <c r="O341" s="255" t="s">
        <v>430</v>
      </c>
    </row>
    <row r="342" spans="1:15" ht="16.149999999999999" customHeight="1" x14ac:dyDescent="0.25">
      <c r="A342" s="172">
        <v>43013</v>
      </c>
      <c r="B342" s="173" t="s">
        <v>49</v>
      </c>
      <c r="C342" s="252" t="s">
        <v>57</v>
      </c>
      <c r="D342" s="252" t="s">
        <v>58</v>
      </c>
      <c r="E342" s="252" t="s">
        <v>62</v>
      </c>
      <c r="F342" s="252" t="s">
        <v>93</v>
      </c>
      <c r="G342" s="252" t="s">
        <v>429</v>
      </c>
      <c r="H342" s="252" t="s">
        <v>430</v>
      </c>
      <c r="I342" s="252" t="s">
        <v>423</v>
      </c>
      <c r="J342" s="174"/>
      <c r="K342" s="252" t="s">
        <v>93</v>
      </c>
      <c r="L342" s="174"/>
      <c r="M342" s="174"/>
      <c r="N342" s="252" t="s">
        <v>401</v>
      </c>
      <c r="O342" s="253" t="s">
        <v>431</v>
      </c>
    </row>
    <row r="343" spans="1:15" ht="16.149999999999999" customHeight="1" x14ac:dyDescent="0.25">
      <c r="A343" s="172">
        <v>43012</v>
      </c>
      <c r="B343" s="175" t="s">
        <v>49</v>
      </c>
      <c r="C343" s="254" t="s">
        <v>59</v>
      </c>
      <c r="D343" s="254" t="s">
        <v>60</v>
      </c>
      <c r="E343" s="254" t="s">
        <v>62</v>
      </c>
      <c r="F343" s="254" t="s">
        <v>430</v>
      </c>
      <c r="G343" s="254" t="s">
        <v>62</v>
      </c>
      <c r="H343" s="254" t="s">
        <v>432</v>
      </c>
      <c r="I343" s="254" t="s">
        <v>93</v>
      </c>
      <c r="J343" s="176"/>
      <c r="K343" s="254" t="s">
        <v>62</v>
      </c>
      <c r="L343" s="176"/>
      <c r="M343" s="176"/>
      <c r="N343" s="254" t="s">
        <v>70</v>
      </c>
      <c r="O343" s="255" t="s">
        <v>93</v>
      </c>
    </row>
    <row r="344" spans="1:15" ht="16.149999999999999" customHeight="1" x14ac:dyDescent="0.25">
      <c r="A344" s="172">
        <v>43011</v>
      </c>
      <c r="B344" s="173" t="s">
        <v>49</v>
      </c>
      <c r="C344" s="252" t="s">
        <v>61</v>
      </c>
      <c r="D344" s="252" t="s">
        <v>62</v>
      </c>
      <c r="E344" s="252" t="s">
        <v>423</v>
      </c>
      <c r="F344" s="252" t="s">
        <v>430</v>
      </c>
      <c r="G344" s="252" t="s">
        <v>93</v>
      </c>
      <c r="H344" s="252" t="s">
        <v>62</v>
      </c>
      <c r="I344" s="252" t="s">
        <v>62</v>
      </c>
      <c r="J344" s="174"/>
      <c r="K344" s="252" t="s">
        <v>64</v>
      </c>
      <c r="L344" s="174"/>
      <c r="M344" s="174"/>
      <c r="N344" s="252" t="s">
        <v>70</v>
      </c>
      <c r="O344" s="253" t="s">
        <v>62</v>
      </c>
    </row>
    <row r="345" spans="1:15" ht="16.149999999999999" customHeight="1" x14ac:dyDescent="0.25">
      <c r="A345" s="172">
        <v>43010</v>
      </c>
      <c r="B345" s="175" t="s">
        <v>49</v>
      </c>
      <c r="C345" s="254" t="s">
        <v>63</v>
      </c>
      <c r="D345" s="254" t="s">
        <v>64</v>
      </c>
      <c r="E345" s="254" t="s">
        <v>423</v>
      </c>
      <c r="F345" s="254" t="s">
        <v>93</v>
      </c>
      <c r="G345" s="254" t="s">
        <v>93</v>
      </c>
      <c r="H345" s="254" t="s">
        <v>62</v>
      </c>
      <c r="I345" s="254" t="s">
        <v>53</v>
      </c>
      <c r="J345" s="176"/>
      <c r="K345" s="254" t="s">
        <v>423</v>
      </c>
      <c r="L345" s="176"/>
      <c r="M345" s="176"/>
      <c r="N345" s="254" t="s">
        <v>70</v>
      </c>
      <c r="O345" s="255" t="s">
        <v>62</v>
      </c>
    </row>
    <row r="346" spans="1:15" ht="16.149999999999999" customHeight="1" x14ac:dyDescent="0.25">
      <c r="A346" s="172">
        <v>43007</v>
      </c>
      <c r="B346" s="173" t="s">
        <v>49</v>
      </c>
      <c r="C346" s="252" t="s">
        <v>65</v>
      </c>
      <c r="D346" s="252" t="s">
        <v>66</v>
      </c>
      <c r="E346" s="252" t="s">
        <v>66</v>
      </c>
      <c r="F346" s="252" t="s">
        <v>406</v>
      </c>
      <c r="G346" s="252" t="s">
        <v>399</v>
      </c>
      <c r="H346" s="252" t="s">
        <v>405</v>
      </c>
      <c r="I346" s="252" t="s">
        <v>433</v>
      </c>
      <c r="J346" s="174"/>
      <c r="K346" s="252" t="s">
        <v>66</v>
      </c>
      <c r="L346" s="174"/>
      <c r="M346" s="174"/>
      <c r="N346" s="252" t="s">
        <v>66</v>
      </c>
      <c r="O346" s="253" t="s">
        <v>76</v>
      </c>
    </row>
    <row r="347" spans="1:15" ht="16.149999999999999" customHeight="1" x14ac:dyDescent="0.25">
      <c r="A347" s="172">
        <v>43006</v>
      </c>
      <c r="B347" s="175" t="s">
        <v>49</v>
      </c>
      <c r="C347" s="254" t="s">
        <v>67</v>
      </c>
      <c r="D347" s="254" t="s">
        <v>68</v>
      </c>
      <c r="E347" s="254" t="s">
        <v>66</v>
      </c>
      <c r="F347" s="254" t="s">
        <v>68</v>
      </c>
      <c r="G347" s="254" t="s">
        <v>434</v>
      </c>
      <c r="H347" s="254" t="s">
        <v>68</v>
      </c>
      <c r="I347" s="254" t="s">
        <v>435</v>
      </c>
      <c r="J347" s="176"/>
      <c r="K347" s="254" t="s">
        <v>66</v>
      </c>
      <c r="L347" s="176"/>
      <c r="M347" s="176"/>
      <c r="N347" s="254" t="s">
        <v>406</v>
      </c>
      <c r="O347" s="255" t="s">
        <v>76</v>
      </c>
    </row>
    <row r="348" spans="1:15" ht="16.149999999999999" customHeight="1" x14ac:dyDescent="0.25">
      <c r="A348" s="172">
        <v>43005</v>
      </c>
      <c r="B348" s="173" t="s">
        <v>49</v>
      </c>
      <c r="C348" s="252" t="s">
        <v>69</v>
      </c>
      <c r="D348" s="252" t="s">
        <v>70</v>
      </c>
      <c r="E348" s="252" t="s">
        <v>70</v>
      </c>
      <c r="F348" s="252" t="s">
        <v>413</v>
      </c>
      <c r="G348" s="252" t="s">
        <v>416</v>
      </c>
      <c r="H348" s="252" t="s">
        <v>436</v>
      </c>
      <c r="I348" s="252" t="s">
        <v>407</v>
      </c>
      <c r="J348" s="174"/>
      <c r="K348" s="252" t="s">
        <v>70</v>
      </c>
      <c r="L348" s="174"/>
      <c r="M348" s="174"/>
      <c r="N348" s="252" t="s">
        <v>83</v>
      </c>
      <c r="O348" s="253" t="s">
        <v>413</v>
      </c>
    </row>
    <row r="349" spans="1:15" ht="16.149999999999999" customHeight="1" x14ac:dyDescent="0.25">
      <c r="A349" s="172">
        <v>43004</v>
      </c>
      <c r="B349" s="175" t="s">
        <v>49</v>
      </c>
      <c r="C349" s="254" t="s">
        <v>69</v>
      </c>
      <c r="D349" s="254" t="s">
        <v>70</v>
      </c>
      <c r="E349" s="254" t="s">
        <v>70</v>
      </c>
      <c r="F349" s="254" t="s">
        <v>70</v>
      </c>
      <c r="G349" s="254" t="s">
        <v>434</v>
      </c>
      <c r="H349" s="254" t="s">
        <v>80</v>
      </c>
      <c r="I349" s="254" t="s">
        <v>437</v>
      </c>
      <c r="J349" s="176"/>
      <c r="K349" s="254" t="s">
        <v>70</v>
      </c>
      <c r="L349" s="176"/>
      <c r="M349" s="176"/>
      <c r="N349" s="254" t="s">
        <v>83</v>
      </c>
      <c r="O349" s="255" t="s">
        <v>413</v>
      </c>
    </row>
    <row r="350" spans="1:15" ht="16.149999999999999" customHeight="1" x14ac:dyDescent="0.25">
      <c r="A350" s="172">
        <v>43003</v>
      </c>
      <c r="B350" s="173" t="s">
        <v>49</v>
      </c>
      <c r="C350" s="252" t="s">
        <v>71</v>
      </c>
      <c r="D350" s="252" t="s">
        <v>72</v>
      </c>
      <c r="E350" s="252" t="s">
        <v>80</v>
      </c>
      <c r="F350" s="252" t="s">
        <v>401</v>
      </c>
      <c r="G350" s="252" t="s">
        <v>76</v>
      </c>
      <c r="H350" s="252" t="s">
        <v>433</v>
      </c>
      <c r="I350" s="252" t="s">
        <v>414</v>
      </c>
      <c r="J350" s="174"/>
      <c r="K350" s="252" t="s">
        <v>70</v>
      </c>
      <c r="L350" s="174"/>
      <c r="M350" s="174"/>
      <c r="N350" s="252" t="s">
        <v>83</v>
      </c>
      <c r="O350" s="253" t="s">
        <v>413</v>
      </c>
    </row>
    <row r="351" spans="1:15" ht="16.149999999999999" customHeight="1" x14ac:dyDescent="0.25">
      <c r="A351" s="172">
        <v>43000</v>
      </c>
      <c r="B351" s="175" t="s">
        <v>49</v>
      </c>
      <c r="C351" s="254" t="s">
        <v>67</v>
      </c>
      <c r="D351" s="254" t="s">
        <v>68</v>
      </c>
      <c r="E351" s="254" t="s">
        <v>66</v>
      </c>
      <c r="F351" s="254" t="s">
        <v>70</v>
      </c>
      <c r="G351" s="254" t="s">
        <v>85</v>
      </c>
      <c r="H351" s="254" t="s">
        <v>68</v>
      </c>
      <c r="I351" s="254" t="s">
        <v>68</v>
      </c>
      <c r="J351" s="176"/>
      <c r="K351" s="254" t="s">
        <v>80</v>
      </c>
      <c r="L351" s="176"/>
      <c r="M351" s="176"/>
      <c r="N351" s="254" t="s">
        <v>83</v>
      </c>
      <c r="O351" s="255" t="s">
        <v>413</v>
      </c>
    </row>
    <row r="352" spans="1:15" ht="16.149999999999999" customHeight="1" x14ac:dyDescent="0.25">
      <c r="A352" s="172">
        <v>42999</v>
      </c>
      <c r="B352" s="173" t="s">
        <v>49</v>
      </c>
      <c r="C352" s="252" t="s">
        <v>73</v>
      </c>
      <c r="D352" s="252" t="s">
        <v>74</v>
      </c>
      <c r="E352" s="252" t="s">
        <v>80</v>
      </c>
      <c r="F352" s="252" t="s">
        <v>76</v>
      </c>
      <c r="G352" s="252" t="s">
        <v>66</v>
      </c>
      <c r="H352" s="252" t="s">
        <v>438</v>
      </c>
      <c r="I352" s="252" t="s">
        <v>87</v>
      </c>
      <c r="J352" s="174"/>
      <c r="K352" s="252" t="s">
        <v>76</v>
      </c>
      <c r="L352" s="174"/>
      <c r="M352" s="174"/>
      <c r="N352" s="252" t="s">
        <v>83</v>
      </c>
      <c r="O352" s="253" t="s">
        <v>413</v>
      </c>
    </row>
    <row r="353" spans="1:15" ht="16.149999999999999" customHeight="1" x14ac:dyDescent="0.25">
      <c r="A353" s="172">
        <v>42998</v>
      </c>
      <c r="B353" s="175" t="s">
        <v>49</v>
      </c>
      <c r="C353" s="254" t="s">
        <v>75</v>
      </c>
      <c r="D353" s="254" t="s">
        <v>76</v>
      </c>
      <c r="E353" s="254" t="s">
        <v>66</v>
      </c>
      <c r="F353" s="254" t="s">
        <v>70</v>
      </c>
      <c r="G353" s="254" t="s">
        <v>87</v>
      </c>
      <c r="H353" s="254" t="s">
        <v>396</v>
      </c>
      <c r="I353" s="254" t="s">
        <v>413</v>
      </c>
      <c r="J353" s="176"/>
      <c r="K353" s="254" t="s">
        <v>70</v>
      </c>
      <c r="L353" s="176"/>
      <c r="M353" s="176"/>
      <c r="N353" s="254" t="s">
        <v>83</v>
      </c>
      <c r="O353" s="255" t="s">
        <v>413</v>
      </c>
    </row>
    <row r="354" spans="1:15" ht="16.149999999999999" customHeight="1" x14ac:dyDescent="0.25">
      <c r="A354" s="172">
        <v>42997</v>
      </c>
      <c r="B354" s="173" t="s">
        <v>49</v>
      </c>
      <c r="C354" s="252" t="s">
        <v>67</v>
      </c>
      <c r="D354" s="252" t="s">
        <v>68</v>
      </c>
      <c r="E354" s="252" t="s">
        <v>80</v>
      </c>
      <c r="F354" s="252" t="s">
        <v>70</v>
      </c>
      <c r="G354" s="252" t="s">
        <v>66</v>
      </c>
      <c r="H354" s="252" t="s">
        <v>85</v>
      </c>
      <c r="I354" s="252" t="s">
        <v>439</v>
      </c>
      <c r="J354" s="174"/>
      <c r="K354" s="252" t="s">
        <v>70</v>
      </c>
      <c r="L354" s="174"/>
      <c r="M354" s="174"/>
      <c r="N354" s="252" t="s">
        <v>83</v>
      </c>
      <c r="O354" s="253" t="s">
        <v>413</v>
      </c>
    </row>
    <row r="355" spans="1:15" ht="16.149999999999999" customHeight="1" x14ac:dyDescent="0.25">
      <c r="A355" s="172">
        <v>42996</v>
      </c>
      <c r="B355" s="175" t="s">
        <v>49</v>
      </c>
      <c r="C355" s="254" t="s">
        <v>75</v>
      </c>
      <c r="D355" s="254" t="s">
        <v>76</v>
      </c>
      <c r="E355" s="254" t="s">
        <v>66</v>
      </c>
      <c r="F355" s="254" t="s">
        <v>70</v>
      </c>
      <c r="G355" s="254" t="s">
        <v>400</v>
      </c>
      <c r="H355" s="254" t="s">
        <v>396</v>
      </c>
      <c r="I355" s="254" t="s">
        <v>93</v>
      </c>
      <c r="J355" s="176"/>
      <c r="K355" s="254" t="s">
        <v>70</v>
      </c>
      <c r="L355" s="176"/>
      <c r="M355" s="176"/>
      <c r="N355" s="254" t="s">
        <v>406</v>
      </c>
      <c r="O355" s="255" t="s">
        <v>68</v>
      </c>
    </row>
    <row r="356" spans="1:15" ht="16.149999999999999" customHeight="1" x14ac:dyDescent="0.25">
      <c r="A356" s="172">
        <v>42993</v>
      </c>
      <c r="B356" s="173" t="s">
        <v>49</v>
      </c>
      <c r="C356" s="252" t="s">
        <v>77</v>
      </c>
      <c r="D356" s="252" t="s">
        <v>78</v>
      </c>
      <c r="E356" s="252" t="s">
        <v>80</v>
      </c>
      <c r="F356" s="252" t="s">
        <v>70</v>
      </c>
      <c r="G356" s="252" t="s">
        <v>66</v>
      </c>
      <c r="H356" s="252" t="s">
        <v>68</v>
      </c>
      <c r="I356" s="252" t="s">
        <v>66</v>
      </c>
      <c r="J356" s="174"/>
      <c r="K356" s="252" t="s">
        <v>70</v>
      </c>
      <c r="L356" s="174"/>
      <c r="M356" s="174"/>
      <c r="N356" s="252" t="s">
        <v>83</v>
      </c>
      <c r="O356" s="253" t="s">
        <v>76</v>
      </c>
    </row>
    <row r="357" spans="1:15" ht="16.149999999999999" customHeight="1" x14ac:dyDescent="0.25">
      <c r="A357" s="172">
        <v>42992</v>
      </c>
      <c r="B357" s="175" t="s">
        <v>49</v>
      </c>
      <c r="C357" s="254" t="s">
        <v>79</v>
      </c>
      <c r="D357" s="254" t="s">
        <v>80</v>
      </c>
      <c r="E357" s="254" t="s">
        <v>80</v>
      </c>
      <c r="F357" s="254" t="s">
        <v>70</v>
      </c>
      <c r="G357" s="254" t="s">
        <v>66</v>
      </c>
      <c r="H357" s="254" t="s">
        <v>68</v>
      </c>
      <c r="I357" s="254" t="s">
        <v>440</v>
      </c>
      <c r="J357" s="176"/>
      <c r="K357" s="254" t="s">
        <v>80</v>
      </c>
      <c r="L357" s="176"/>
      <c r="M357" s="176"/>
      <c r="N357" s="254" t="s">
        <v>83</v>
      </c>
      <c r="O357" s="255" t="s">
        <v>76</v>
      </c>
    </row>
    <row r="358" spans="1:15" ht="16.149999999999999" customHeight="1" x14ac:dyDescent="0.25">
      <c r="A358" s="172">
        <v>42991</v>
      </c>
      <c r="B358" s="173" t="s">
        <v>49</v>
      </c>
      <c r="C358" s="252" t="s">
        <v>67</v>
      </c>
      <c r="D358" s="252" t="s">
        <v>68</v>
      </c>
      <c r="E358" s="252" t="s">
        <v>80</v>
      </c>
      <c r="F358" s="252" t="s">
        <v>70</v>
      </c>
      <c r="G358" s="252" t="s">
        <v>66</v>
      </c>
      <c r="H358" s="252" t="s">
        <v>80</v>
      </c>
      <c r="I358" s="252" t="s">
        <v>441</v>
      </c>
      <c r="J358" s="174"/>
      <c r="K358" s="252" t="s">
        <v>66</v>
      </c>
      <c r="L358" s="174"/>
      <c r="M358" s="174"/>
      <c r="N358" s="252" t="s">
        <v>83</v>
      </c>
      <c r="O358" s="253" t="s">
        <v>76</v>
      </c>
    </row>
    <row r="359" spans="1:15" ht="16.149999999999999" customHeight="1" x14ac:dyDescent="0.25">
      <c r="A359" s="172">
        <v>42990</v>
      </c>
      <c r="B359" s="175" t="s">
        <v>49</v>
      </c>
      <c r="C359" s="254" t="s">
        <v>79</v>
      </c>
      <c r="D359" s="254" t="s">
        <v>80</v>
      </c>
      <c r="E359" s="254" t="s">
        <v>66</v>
      </c>
      <c r="F359" s="254" t="s">
        <v>70</v>
      </c>
      <c r="G359" s="254" t="s">
        <v>76</v>
      </c>
      <c r="H359" s="254" t="s">
        <v>85</v>
      </c>
      <c r="I359" s="254" t="s">
        <v>397</v>
      </c>
      <c r="J359" s="176"/>
      <c r="K359" s="254" t="s">
        <v>80</v>
      </c>
      <c r="L359" s="176"/>
      <c r="M359" s="176"/>
      <c r="N359" s="254" t="s">
        <v>83</v>
      </c>
      <c r="O359" s="255" t="s">
        <v>80</v>
      </c>
    </row>
    <row r="360" spans="1:15" ht="16.149999999999999" customHeight="1" x14ac:dyDescent="0.25">
      <c r="A360" s="172">
        <v>42989</v>
      </c>
      <c r="B360" s="173" t="s">
        <v>49</v>
      </c>
      <c r="C360" s="252" t="s">
        <v>65</v>
      </c>
      <c r="D360" s="252" t="s">
        <v>66</v>
      </c>
      <c r="E360" s="252" t="s">
        <v>66</v>
      </c>
      <c r="F360" s="252" t="s">
        <v>80</v>
      </c>
      <c r="G360" s="252" t="s">
        <v>72</v>
      </c>
      <c r="H360" s="252" t="s">
        <v>87</v>
      </c>
      <c r="I360" s="252" t="s">
        <v>442</v>
      </c>
      <c r="J360" s="174"/>
      <c r="K360" s="252" t="s">
        <v>66</v>
      </c>
      <c r="L360" s="174"/>
      <c r="M360" s="174"/>
      <c r="N360" s="252" t="s">
        <v>83</v>
      </c>
      <c r="O360" s="253" t="s">
        <v>66</v>
      </c>
    </row>
    <row r="361" spans="1:15" ht="16.149999999999999" customHeight="1" x14ac:dyDescent="0.25">
      <c r="A361" s="172">
        <v>42986</v>
      </c>
      <c r="B361" s="175" t="s">
        <v>49</v>
      </c>
      <c r="C361" s="254" t="s">
        <v>81</v>
      </c>
      <c r="D361" s="254" t="s">
        <v>66</v>
      </c>
      <c r="E361" s="254" t="s">
        <v>66</v>
      </c>
      <c r="F361" s="254" t="s">
        <v>66</v>
      </c>
      <c r="G361" s="254" t="s">
        <v>408</v>
      </c>
      <c r="H361" s="254" t="s">
        <v>443</v>
      </c>
      <c r="I361" s="254" t="s">
        <v>396</v>
      </c>
      <c r="J361" s="176"/>
      <c r="K361" s="254" t="s">
        <v>68</v>
      </c>
      <c r="L361" s="176"/>
      <c r="M361" s="176"/>
      <c r="N361" s="254" t="s">
        <v>406</v>
      </c>
      <c r="O361" s="255" t="s">
        <v>66</v>
      </c>
    </row>
    <row r="362" spans="1:15" ht="16.149999999999999" customHeight="1" x14ac:dyDescent="0.25">
      <c r="A362" s="172">
        <v>42985</v>
      </c>
      <c r="B362" s="173" t="s">
        <v>49</v>
      </c>
      <c r="C362" s="252" t="s">
        <v>82</v>
      </c>
      <c r="D362" s="252" t="s">
        <v>83</v>
      </c>
      <c r="E362" s="252" t="s">
        <v>66</v>
      </c>
      <c r="F362" s="252" t="s">
        <v>406</v>
      </c>
      <c r="G362" s="252" t="s">
        <v>83</v>
      </c>
      <c r="H362" s="252" t="s">
        <v>444</v>
      </c>
      <c r="I362" s="252" t="s">
        <v>445</v>
      </c>
      <c r="J362" s="174"/>
      <c r="K362" s="252" t="s">
        <v>83</v>
      </c>
      <c r="L362" s="174"/>
      <c r="M362" s="174"/>
      <c r="N362" s="252" t="s">
        <v>408</v>
      </c>
      <c r="O362" s="253" t="s">
        <v>66</v>
      </c>
    </row>
    <row r="363" spans="1:15" ht="16.149999999999999" customHeight="1" x14ac:dyDescent="0.25">
      <c r="A363" s="172">
        <v>42984</v>
      </c>
      <c r="B363" s="175" t="s">
        <v>49</v>
      </c>
      <c r="C363" s="254" t="s">
        <v>65</v>
      </c>
      <c r="D363" s="254" t="s">
        <v>66</v>
      </c>
      <c r="E363" s="254" t="s">
        <v>66</v>
      </c>
      <c r="F363" s="254" t="s">
        <v>80</v>
      </c>
      <c r="G363" s="254" t="s">
        <v>446</v>
      </c>
      <c r="H363" s="254" t="s">
        <v>74</v>
      </c>
      <c r="I363" s="254" t="s">
        <v>447</v>
      </c>
      <c r="J363" s="176"/>
      <c r="K363" s="254" t="s">
        <v>66</v>
      </c>
      <c r="L363" s="176"/>
      <c r="M363" s="176"/>
      <c r="N363" s="254" t="s">
        <v>408</v>
      </c>
      <c r="O363" s="255" t="s">
        <v>66</v>
      </c>
    </row>
    <row r="364" spans="1:15" ht="16.149999999999999" customHeight="1" x14ac:dyDescent="0.25">
      <c r="A364" s="172">
        <v>42983</v>
      </c>
      <c r="B364" s="173" t="s">
        <v>49</v>
      </c>
      <c r="C364" s="252" t="s">
        <v>65</v>
      </c>
      <c r="D364" s="252" t="s">
        <v>66</v>
      </c>
      <c r="E364" s="252" t="s">
        <v>66</v>
      </c>
      <c r="F364" s="252" t="s">
        <v>85</v>
      </c>
      <c r="G364" s="252" t="s">
        <v>443</v>
      </c>
      <c r="H364" s="252" t="s">
        <v>396</v>
      </c>
      <c r="I364" s="252" t="s">
        <v>80</v>
      </c>
      <c r="J364" s="174"/>
      <c r="K364" s="252" t="s">
        <v>66</v>
      </c>
      <c r="L364" s="174"/>
      <c r="M364" s="174"/>
      <c r="N364" s="252" t="s">
        <v>406</v>
      </c>
      <c r="O364" s="253" t="s">
        <v>68</v>
      </c>
    </row>
    <row r="365" spans="1:15" ht="16.149999999999999" customHeight="1" x14ac:dyDescent="0.25">
      <c r="A365" s="172">
        <v>42982</v>
      </c>
      <c r="B365" s="175" t="s">
        <v>49</v>
      </c>
      <c r="C365" s="254" t="s">
        <v>84</v>
      </c>
      <c r="D365" s="254" t="s">
        <v>85</v>
      </c>
      <c r="E365" s="254" t="s">
        <v>66</v>
      </c>
      <c r="F365" s="254" t="s">
        <v>87</v>
      </c>
      <c r="G365" s="254" t="s">
        <v>406</v>
      </c>
      <c r="H365" s="254" t="s">
        <v>66</v>
      </c>
      <c r="I365" s="254" t="s">
        <v>444</v>
      </c>
      <c r="J365" s="176"/>
      <c r="K365" s="254" t="s">
        <v>66</v>
      </c>
      <c r="L365" s="176"/>
      <c r="M365" s="176"/>
      <c r="N365" s="254" t="s">
        <v>406</v>
      </c>
      <c r="O365" s="255" t="s">
        <v>80</v>
      </c>
    </row>
    <row r="366" spans="1:15" ht="16.149999999999999" customHeight="1" x14ac:dyDescent="0.25">
      <c r="A366" s="172">
        <v>42979</v>
      </c>
      <c r="B366" s="173" t="s">
        <v>49</v>
      </c>
      <c r="C366" s="252" t="s">
        <v>86</v>
      </c>
      <c r="D366" s="252" t="s">
        <v>87</v>
      </c>
      <c r="E366" s="252" t="s">
        <v>66</v>
      </c>
      <c r="F366" s="252" t="s">
        <v>410</v>
      </c>
      <c r="G366" s="252" t="s">
        <v>406</v>
      </c>
      <c r="H366" s="252" t="s">
        <v>83</v>
      </c>
      <c r="I366" s="252" t="s">
        <v>448</v>
      </c>
      <c r="J366" s="174"/>
      <c r="K366" s="252" t="s">
        <v>66</v>
      </c>
      <c r="L366" s="174"/>
      <c r="M366" s="174"/>
      <c r="N366" s="252" t="s">
        <v>406</v>
      </c>
      <c r="O366" s="253" t="s">
        <v>70</v>
      </c>
    </row>
    <row r="367" spans="1:15" ht="16.149999999999999" customHeight="1" x14ac:dyDescent="0.25">
      <c r="A367" s="172">
        <v>42978</v>
      </c>
      <c r="B367" s="175" t="s">
        <v>49</v>
      </c>
      <c r="C367" s="254" t="s">
        <v>88</v>
      </c>
      <c r="D367" s="254" t="s">
        <v>89</v>
      </c>
      <c r="E367" s="254" t="s">
        <v>410</v>
      </c>
      <c r="F367" s="254" t="s">
        <v>423</v>
      </c>
      <c r="G367" s="254" t="s">
        <v>413</v>
      </c>
      <c r="H367" s="254" t="s">
        <v>410</v>
      </c>
      <c r="I367" s="254" t="s">
        <v>449</v>
      </c>
      <c r="J367" s="176"/>
      <c r="K367" s="254" t="s">
        <v>62</v>
      </c>
      <c r="L367" s="176"/>
      <c r="M367" s="176"/>
      <c r="N367" s="254" t="s">
        <v>70</v>
      </c>
      <c r="O367" s="255" t="s">
        <v>62</v>
      </c>
    </row>
    <row r="368" spans="1:15" ht="16.149999999999999" customHeight="1" x14ac:dyDescent="0.25">
      <c r="A368" s="172">
        <v>42977</v>
      </c>
      <c r="B368" s="173" t="s">
        <v>49</v>
      </c>
      <c r="C368" s="252" t="s">
        <v>90</v>
      </c>
      <c r="D368" s="252" t="s">
        <v>91</v>
      </c>
      <c r="E368" s="252" t="s">
        <v>62</v>
      </c>
      <c r="F368" s="252" t="s">
        <v>93</v>
      </c>
      <c r="G368" s="252" t="s">
        <v>450</v>
      </c>
      <c r="H368" s="252" t="s">
        <v>423</v>
      </c>
      <c r="I368" s="252" t="s">
        <v>62</v>
      </c>
      <c r="J368" s="174"/>
      <c r="K368" s="252" t="s">
        <v>423</v>
      </c>
      <c r="L368" s="174"/>
      <c r="M368" s="174"/>
      <c r="N368" s="252" t="s">
        <v>70</v>
      </c>
      <c r="O368" s="253" t="s">
        <v>451</v>
      </c>
    </row>
    <row r="369" spans="1:15" ht="16.149999999999999" customHeight="1" x14ac:dyDescent="0.25">
      <c r="A369" s="172">
        <v>42976</v>
      </c>
      <c r="B369" s="175" t="s">
        <v>49</v>
      </c>
      <c r="C369" s="254" t="s">
        <v>92</v>
      </c>
      <c r="D369" s="254" t="s">
        <v>93</v>
      </c>
      <c r="E369" s="254" t="s">
        <v>93</v>
      </c>
      <c r="F369" s="254" t="s">
        <v>452</v>
      </c>
      <c r="G369" s="254" t="s">
        <v>453</v>
      </c>
      <c r="H369" s="254" t="s">
        <v>93</v>
      </c>
      <c r="I369" s="254" t="s">
        <v>454</v>
      </c>
      <c r="J369" s="176"/>
      <c r="K369" s="254" t="s">
        <v>93</v>
      </c>
      <c r="L369" s="176"/>
      <c r="M369" s="176"/>
      <c r="N369" s="254" t="s">
        <v>423</v>
      </c>
      <c r="O369" s="255" t="s">
        <v>97</v>
      </c>
    </row>
    <row r="370" spans="1:15" ht="16.149999999999999" customHeight="1" x14ac:dyDescent="0.25">
      <c r="A370" s="172">
        <v>42975</v>
      </c>
      <c r="B370" s="173" t="s">
        <v>49</v>
      </c>
      <c r="C370" s="252" t="s">
        <v>94</v>
      </c>
      <c r="D370" s="252" t="s">
        <v>95</v>
      </c>
      <c r="E370" s="252" t="s">
        <v>97</v>
      </c>
      <c r="F370" s="252" t="s">
        <v>99</v>
      </c>
      <c r="G370" s="252" t="s">
        <v>455</v>
      </c>
      <c r="H370" s="252" t="s">
        <v>97</v>
      </c>
      <c r="I370" s="252" t="s">
        <v>58</v>
      </c>
      <c r="J370" s="174"/>
      <c r="K370" s="252" t="s">
        <v>93</v>
      </c>
      <c r="L370" s="174"/>
      <c r="M370" s="174"/>
      <c r="N370" s="252" t="s">
        <v>423</v>
      </c>
      <c r="O370" s="253" t="s">
        <v>101</v>
      </c>
    </row>
    <row r="371" spans="1:15" ht="16.149999999999999" customHeight="1" x14ac:dyDescent="0.25">
      <c r="A371" s="172">
        <v>42972</v>
      </c>
      <c r="B371" s="175" t="s">
        <v>49</v>
      </c>
      <c r="C371" s="254" t="s">
        <v>96</v>
      </c>
      <c r="D371" s="254" t="s">
        <v>97</v>
      </c>
      <c r="E371" s="254" t="s">
        <v>97</v>
      </c>
      <c r="F371" s="254" t="s">
        <v>101</v>
      </c>
      <c r="G371" s="254" t="s">
        <v>454</v>
      </c>
      <c r="H371" s="254" t="s">
        <v>99</v>
      </c>
      <c r="I371" s="254" t="s">
        <v>456</v>
      </c>
      <c r="J371" s="176"/>
      <c r="K371" s="254" t="s">
        <v>97</v>
      </c>
      <c r="L371" s="176"/>
      <c r="M371" s="176"/>
      <c r="N371" s="254" t="s">
        <v>62</v>
      </c>
      <c r="O371" s="255" t="s">
        <v>101</v>
      </c>
    </row>
    <row r="372" spans="1:15" ht="16.149999999999999" customHeight="1" x14ac:dyDescent="0.25">
      <c r="A372" s="172">
        <v>42971</v>
      </c>
      <c r="B372" s="173" t="s">
        <v>49</v>
      </c>
      <c r="C372" s="252" t="s">
        <v>98</v>
      </c>
      <c r="D372" s="252" t="s">
        <v>99</v>
      </c>
      <c r="E372" s="252" t="s">
        <v>99</v>
      </c>
      <c r="F372" s="252" t="s">
        <v>457</v>
      </c>
      <c r="G372" s="252" t="s">
        <v>97</v>
      </c>
      <c r="H372" s="252" t="s">
        <v>99</v>
      </c>
      <c r="I372" s="252" t="s">
        <v>458</v>
      </c>
      <c r="J372" s="174"/>
      <c r="K372" s="252" t="s">
        <v>97</v>
      </c>
      <c r="L372" s="174"/>
      <c r="M372" s="174"/>
      <c r="N372" s="252" t="s">
        <v>62</v>
      </c>
      <c r="O372" s="253" t="s">
        <v>459</v>
      </c>
    </row>
    <row r="373" spans="1:15" ht="16.149999999999999" customHeight="1" x14ac:dyDescent="0.25">
      <c r="A373" s="172">
        <v>42970</v>
      </c>
      <c r="B373" s="175" t="s">
        <v>49</v>
      </c>
      <c r="C373" s="254" t="s">
        <v>100</v>
      </c>
      <c r="D373" s="254" t="s">
        <v>101</v>
      </c>
      <c r="E373" s="254" t="s">
        <v>101</v>
      </c>
      <c r="F373" s="254" t="s">
        <v>460</v>
      </c>
      <c r="G373" s="254" t="s">
        <v>99</v>
      </c>
      <c r="H373" s="254" t="s">
        <v>101</v>
      </c>
      <c r="I373" s="254" t="s">
        <v>461</v>
      </c>
      <c r="J373" s="176"/>
      <c r="K373" s="254" t="s">
        <v>460</v>
      </c>
      <c r="L373" s="176"/>
      <c r="M373" s="176"/>
      <c r="N373" s="254" t="s">
        <v>97</v>
      </c>
      <c r="O373" s="255" t="s">
        <v>462</v>
      </c>
    </row>
    <row r="374" spans="1:15" ht="16.149999999999999" customHeight="1" x14ac:dyDescent="0.25">
      <c r="A374" s="172">
        <v>42969</v>
      </c>
      <c r="B374" s="173" t="s">
        <v>49</v>
      </c>
      <c r="C374" s="252" t="s">
        <v>102</v>
      </c>
      <c r="D374" s="252" t="s">
        <v>97</v>
      </c>
      <c r="E374" s="252" t="s">
        <v>97</v>
      </c>
      <c r="F374" s="252" t="s">
        <v>463</v>
      </c>
      <c r="G374" s="252" t="s">
        <v>97</v>
      </c>
      <c r="H374" s="252" t="s">
        <v>97</v>
      </c>
      <c r="I374" s="252" t="s">
        <v>464</v>
      </c>
      <c r="J374" s="174"/>
      <c r="K374" s="252" t="s">
        <v>93</v>
      </c>
      <c r="L374" s="174"/>
      <c r="M374" s="174"/>
      <c r="N374" s="252" t="s">
        <v>423</v>
      </c>
      <c r="O374" s="253" t="s">
        <v>452</v>
      </c>
    </row>
    <row r="375" spans="1:15" ht="16.149999999999999" customHeight="1" x14ac:dyDescent="0.25">
      <c r="A375" s="172">
        <v>42965</v>
      </c>
      <c r="B375" s="175" t="s">
        <v>49</v>
      </c>
      <c r="C375" s="254" t="s">
        <v>96</v>
      </c>
      <c r="D375" s="254" t="s">
        <v>97</v>
      </c>
      <c r="E375" s="254" t="s">
        <v>97</v>
      </c>
      <c r="F375" s="254" t="s">
        <v>452</v>
      </c>
      <c r="G375" s="254" t="s">
        <v>97</v>
      </c>
      <c r="H375" s="254" t="s">
        <v>97</v>
      </c>
      <c r="I375" s="254" t="s">
        <v>465</v>
      </c>
      <c r="J375" s="176"/>
      <c r="K375" s="254" t="s">
        <v>430</v>
      </c>
      <c r="L375" s="176"/>
      <c r="M375" s="176"/>
      <c r="N375" s="254" t="s">
        <v>423</v>
      </c>
      <c r="O375" s="255" t="s">
        <v>104</v>
      </c>
    </row>
    <row r="376" spans="1:15" ht="16.149999999999999" customHeight="1" x14ac:dyDescent="0.25">
      <c r="A376" s="172">
        <v>42964</v>
      </c>
      <c r="B376" s="173" t="s">
        <v>49</v>
      </c>
      <c r="C376" s="252" t="s">
        <v>103</v>
      </c>
      <c r="D376" s="252" t="s">
        <v>104</v>
      </c>
      <c r="E376" s="252" t="s">
        <v>99</v>
      </c>
      <c r="F376" s="252" t="s">
        <v>459</v>
      </c>
      <c r="G376" s="252" t="s">
        <v>452</v>
      </c>
      <c r="H376" s="252" t="s">
        <v>97</v>
      </c>
      <c r="I376" s="252" t="s">
        <v>62</v>
      </c>
      <c r="J376" s="174"/>
      <c r="K376" s="252" t="s">
        <v>97</v>
      </c>
      <c r="L376" s="174"/>
      <c r="M376" s="174"/>
      <c r="N376" s="252" t="s">
        <v>62</v>
      </c>
      <c r="O376" s="253" t="s">
        <v>99</v>
      </c>
    </row>
    <row r="377" spans="1:15" ht="16.149999999999999" customHeight="1" x14ac:dyDescent="0.25">
      <c r="A377" s="172">
        <v>42963</v>
      </c>
      <c r="B377" s="175" t="s">
        <v>49</v>
      </c>
      <c r="C377" s="254" t="s">
        <v>98</v>
      </c>
      <c r="D377" s="254" t="s">
        <v>99</v>
      </c>
      <c r="E377" s="254" t="s">
        <v>99</v>
      </c>
      <c r="F377" s="254" t="s">
        <v>466</v>
      </c>
      <c r="G377" s="254" t="s">
        <v>452</v>
      </c>
      <c r="H377" s="254" t="s">
        <v>99</v>
      </c>
      <c r="I377" s="254" t="s">
        <v>455</v>
      </c>
      <c r="J377" s="176"/>
      <c r="K377" s="254" t="s">
        <v>99</v>
      </c>
      <c r="L377" s="176"/>
      <c r="M377" s="176"/>
      <c r="N377" s="254" t="s">
        <v>93</v>
      </c>
      <c r="O377" s="255" t="s">
        <v>459</v>
      </c>
    </row>
    <row r="378" spans="1:15" ht="16.149999999999999" customHeight="1" x14ac:dyDescent="0.25">
      <c r="A378" s="172">
        <v>42962</v>
      </c>
      <c r="B378" s="173" t="s">
        <v>49</v>
      </c>
      <c r="C378" s="252" t="s">
        <v>98</v>
      </c>
      <c r="D378" s="252" t="s">
        <v>99</v>
      </c>
      <c r="E378" s="252" t="s">
        <v>99</v>
      </c>
      <c r="F378" s="252" t="s">
        <v>466</v>
      </c>
      <c r="G378" s="252" t="s">
        <v>452</v>
      </c>
      <c r="H378" s="252" t="s">
        <v>99</v>
      </c>
      <c r="I378" s="252" t="s">
        <v>455</v>
      </c>
      <c r="J378" s="174"/>
      <c r="K378" s="252" t="s">
        <v>99</v>
      </c>
      <c r="L378" s="174"/>
      <c r="M378" s="174"/>
      <c r="N378" s="252" t="s">
        <v>62</v>
      </c>
      <c r="O378" s="253" t="s">
        <v>459</v>
      </c>
    </row>
    <row r="379" spans="1:15" ht="16.149999999999999" customHeight="1" x14ac:dyDescent="0.25">
      <c r="A379" s="172">
        <v>42961</v>
      </c>
      <c r="B379" s="175" t="s">
        <v>49</v>
      </c>
      <c r="C379" s="254" t="s">
        <v>105</v>
      </c>
      <c r="D379" s="254" t="s">
        <v>106</v>
      </c>
      <c r="E379" s="254" t="s">
        <v>99</v>
      </c>
      <c r="F379" s="254" t="s">
        <v>101</v>
      </c>
      <c r="G379" s="254" t="s">
        <v>467</v>
      </c>
      <c r="H379" s="254" t="s">
        <v>97</v>
      </c>
      <c r="I379" s="254" t="s">
        <v>463</v>
      </c>
      <c r="J379" s="176"/>
      <c r="K379" s="254" t="s">
        <v>452</v>
      </c>
      <c r="L379" s="176"/>
      <c r="M379" s="176"/>
      <c r="N379" s="254" t="s">
        <v>62</v>
      </c>
      <c r="O379" s="255" t="s">
        <v>99</v>
      </c>
    </row>
    <row r="380" spans="1:15" ht="16.149999999999999" customHeight="1" x14ac:dyDescent="0.25">
      <c r="A380" s="172">
        <v>42958</v>
      </c>
      <c r="B380" s="173" t="s">
        <v>49</v>
      </c>
      <c r="C380" s="252" t="s">
        <v>105</v>
      </c>
      <c r="D380" s="252" t="s">
        <v>99</v>
      </c>
      <c r="E380" s="252" t="s">
        <v>99</v>
      </c>
      <c r="F380" s="252" t="s">
        <v>106</v>
      </c>
      <c r="G380" s="252" t="s">
        <v>468</v>
      </c>
      <c r="H380" s="252" t="s">
        <v>99</v>
      </c>
      <c r="I380" s="252" t="s">
        <v>469</v>
      </c>
      <c r="J380" s="174"/>
      <c r="K380" s="252" t="s">
        <v>101</v>
      </c>
      <c r="L380" s="174"/>
      <c r="M380" s="174"/>
      <c r="N380" s="252" t="s">
        <v>99</v>
      </c>
      <c r="O380" s="253" t="s">
        <v>470</v>
      </c>
    </row>
    <row r="381" spans="1:15" ht="16.149999999999999" customHeight="1" x14ac:dyDescent="0.25">
      <c r="A381" s="172">
        <v>42957</v>
      </c>
      <c r="B381" s="175" t="s">
        <v>49</v>
      </c>
      <c r="C381" s="254" t="s">
        <v>103</v>
      </c>
      <c r="D381" s="254" t="s">
        <v>104</v>
      </c>
      <c r="E381" s="254" t="s">
        <v>97</v>
      </c>
      <c r="F381" s="254" t="s">
        <v>452</v>
      </c>
      <c r="G381" s="254" t="s">
        <v>468</v>
      </c>
      <c r="H381" s="254" t="s">
        <v>97</v>
      </c>
      <c r="I381" s="254" t="s">
        <v>466</v>
      </c>
      <c r="J381" s="176"/>
      <c r="K381" s="254" t="s">
        <v>97</v>
      </c>
      <c r="L381" s="176"/>
      <c r="M381" s="176"/>
      <c r="N381" s="254" t="s">
        <v>62</v>
      </c>
      <c r="O381" s="255" t="s">
        <v>99</v>
      </c>
    </row>
    <row r="382" spans="1:15" ht="16.149999999999999" customHeight="1" x14ac:dyDescent="0.25">
      <c r="A382" s="172">
        <v>42956</v>
      </c>
      <c r="B382" s="173" t="s">
        <v>49</v>
      </c>
      <c r="C382" s="252" t="s">
        <v>105</v>
      </c>
      <c r="D382" s="252" t="s">
        <v>106</v>
      </c>
      <c r="E382" s="252" t="s">
        <v>99</v>
      </c>
      <c r="F382" s="252" t="s">
        <v>97</v>
      </c>
      <c r="G382" s="252" t="s">
        <v>468</v>
      </c>
      <c r="H382" s="252" t="s">
        <v>97</v>
      </c>
      <c r="I382" s="252" t="s">
        <v>459</v>
      </c>
      <c r="J382" s="174"/>
      <c r="K382" s="252" t="s">
        <v>99</v>
      </c>
      <c r="L382" s="174"/>
      <c r="M382" s="174"/>
      <c r="N382" s="252" t="s">
        <v>97</v>
      </c>
      <c r="O382" s="253" t="s">
        <v>459</v>
      </c>
    </row>
    <row r="383" spans="1:15" ht="16.149999999999999" customHeight="1" x14ac:dyDescent="0.25">
      <c r="A383" s="172">
        <v>42955</v>
      </c>
      <c r="B383" s="175" t="s">
        <v>49</v>
      </c>
      <c r="C383" s="254" t="s">
        <v>61</v>
      </c>
      <c r="D383" s="254" t="s">
        <v>62</v>
      </c>
      <c r="E383" s="254" t="s">
        <v>62</v>
      </c>
      <c r="F383" s="254" t="s">
        <v>454</v>
      </c>
      <c r="G383" s="254" t="s">
        <v>471</v>
      </c>
      <c r="H383" s="254" t="s">
        <v>62</v>
      </c>
      <c r="I383" s="254" t="s">
        <v>472</v>
      </c>
      <c r="J383" s="176"/>
      <c r="K383" s="254" t="s">
        <v>64</v>
      </c>
      <c r="L383" s="176"/>
      <c r="M383" s="176"/>
      <c r="N383" s="254" t="s">
        <v>401</v>
      </c>
      <c r="O383" s="255" t="s">
        <v>99</v>
      </c>
    </row>
    <row r="384" spans="1:15" ht="16.149999999999999" customHeight="1" x14ac:dyDescent="0.25">
      <c r="A384" s="172">
        <v>42951</v>
      </c>
      <c r="B384" s="173" t="s">
        <v>49</v>
      </c>
      <c r="C384" s="252" t="s">
        <v>107</v>
      </c>
      <c r="D384" s="252" t="s">
        <v>108</v>
      </c>
      <c r="E384" s="252" t="s">
        <v>473</v>
      </c>
      <c r="F384" s="252" t="s">
        <v>86</v>
      </c>
      <c r="G384" s="252" t="s">
        <v>474</v>
      </c>
      <c r="H384" s="252" t="s">
        <v>473</v>
      </c>
      <c r="I384" s="252" t="s">
        <v>475</v>
      </c>
      <c r="J384" s="174"/>
      <c r="K384" s="252" t="s">
        <v>474</v>
      </c>
      <c r="L384" s="174"/>
      <c r="M384" s="174"/>
      <c r="N384" s="252" t="s">
        <v>460</v>
      </c>
      <c r="O384" s="253" t="s">
        <v>476</v>
      </c>
    </row>
    <row r="385" spans="1:15" ht="16.149999999999999" customHeight="1" x14ac:dyDescent="0.25">
      <c r="A385" s="172">
        <v>42950</v>
      </c>
      <c r="B385" s="175" t="s">
        <v>49</v>
      </c>
      <c r="C385" s="254" t="s">
        <v>109</v>
      </c>
      <c r="D385" s="254" t="s">
        <v>110</v>
      </c>
      <c r="E385" s="254" t="s">
        <v>473</v>
      </c>
      <c r="F385" s="254" t="s">
        <v>125</v>
      </c>
      <c r="G385" s="254" t="s">
        <v>477</v>
      </c>
      <c r="H385" s="254" t="s">
        <v>473</v>
      </c>
      <c r="I385" s="254" t="s">
        <v>476</v>
      </c>
      <c r="J385" s="176"/>
      <c r="K385" s="254" t="s">
        <v>473</v>
      </c>
      <c r="L385" s="176"/>
      <c r="M385" s="176"/>
      <c r="N385" s="254" t="s">
        <v>478</v>
      </c>
      <c r="O385" s="255" t="s">
        <v>479</v>
      </c>
    </row>
    <row r="386" spans="1:15" ht="16.149999999999999" customHeight="1" x14ac:dyDescent="0.25">
      <c r="A386" s="172">
        <v>42949</v>
      </c>
      <c r="B386" s="173" t="s">
        <v>49</v>
      </c>
      <c r="C386" s="252" t="s">
        <v>111</v>
      </c>
      <c r="D386" s="252" t="s">
        <v>112</v>
      </c>
      <c r="E386" s="252" t="s">
        <v>112</v>
      </c>
      <c r="F386" s="252" t="s">
        <v>69</v>
      </c>
      <c r="G386" s="252" t="s">
        <v>480</v>
      </c>
      <c r="H386" s="252" t="s">
        <v>112</v>
      </c>
      <c r="I386" s="252" t="s">
        <v>125</v>
      </c>
      <c r="J386" s="174"/>
      <c r="K386" s="252" t="s">
        <v>112</v>
      </c>
      <c r="L386" s="174"/>
      <c r="M386" s="174"/>
      <c r="N386" s="252" t="s">
        <v>473</v>
      </c>
      <c r="O386" s="253" t="s">
        <v>120</v>
      </c>
    </row>
    <row r="387" spans="1:15" ht="16.149999999999999" customHeight="1" x14ac:dyDescent="0.25">
      <c r="A387" s="172">
        <v>42948</v>
      </c>
      <c r="B387" s="175" t="s">
        <v>49</v>
      </c>
      <c r="C387" s="254" t="s">
        <v>111</v>
      </c>
      <c r="D387" s="254" t="s">
        <v>112</v>
      </c>
      <c r="E387" s="254" t="s">
        <v>125</v>
      </c>
      <c r="F387" s="254" t="s">
        <v>123</v>
      </c>
      <c r="G387" s="254" t="s">
        <v>481</v>
      </c>
      <c r="H387" s="254" t="s">
        <v>112</v>
      </c>
      <c r="I387" s="254" t="s">
        <v>84</v>
      </c>
      <c r="J387" s="176"/>
      <c r="K387" s="254" t="s">
        <v>118</v>
      </c>
      <c r="L387" s="176"/>
      <c r="M387" s="176"/>
      <c r="N387" s="254" t="s">
        <v>473</v>
      </c>
      <c r="O387" s="255" t="s">
        <v>112</v>
      </c>
    </row>
    <row r="388" spans="1:15" ht="16.149999999999999" customHeight="1" x14ac:dyDescent="0.25">
      <c r="A388" s="172">
        <v>42947</v>
      </c>
      <c r="B388" s="173" t="s">
        <v>49</v>
      </c>
      <c r="C388" s="252" t="s">
        <v>113</v>
      </c>
      <c r="D388" s="252" t="s">
        <v>114</v>
      </c>
      <c r="E388" s="252" t="s">
        <v>114</v>
      </c>
      <c r="F388" s="252" t="s">
        <v>482</v>
      </c>
      <c r="G388" s="252" t="s">
        <v>125</v>
      </c>
      <c r="H388" s="252" t="s">
        <v>125</v>
      </c>
      <c r="I388" s="252" t="s">
        <v>483</v>
      </c>
      <c r="J388" s="174"/>
      <c r="K388" s="252" t="s">
        <v>114</v>
      </c>
      <c r="L388" s="174"/>
      <c r="M388" s="174"/>
      <c r="N388" s="252" t="s">
        <v>86</v>
      </c>
      <c r="O388" s="253" t="s">
        <v>114</v>
      </c>
    </row>
    <row r="389" spans="1:15" ht="16.149999999999999" customHeight="1" x14ac:dyDescent="0.25">
      <c r="A389" s="172">
        <v>42944</v>
      </c>
      <c r="B389" s="175" t="s">
        <v>49</v>
      </c>
      <c r="C389" s="254" t="s">
        <v>115</v>
      </c>
      <c r="D389" s="254" t="s">
        <v>116</v>
      </c>
      <c r="E389" s="254" t="s">
        <v>484</v>
      </c>
      <c r="F389" s="254" t="s">
        <v>485</v>
      </c>
      <c r="G389" s="254" t="s">
        <v>486</v>
      </c>
      <c r="H389" s="254" t="s">
        <v>114</v>
      </c>
      <c r="I389" s="254" t="s">
        <v>52</v>
      </c>
      <c r="J389" s="176"/>
      <c r="K389" s="254" t="s">
        <v>127</v>
      </c>
      <c r="L389" s="176"/>
      <c r="M389" s="176"/>
      <c r="N389" s="254" t="s">
        <v>125</v>
      </c>
      <c r="O389" s="255" t="s">
        <v>484</v>
      </c>
    </row>
    <row r="390" spans="1:15" ht="16.149999999999999" customHeight="1" x14ac:dyDescent="0.25">
      <c r="A390" s="172">
        <v>42943</v>
      </c>
      <c r="B390" s="173" t="s">
        <v>49</v>
      </c>
      <c r="C390" s="252" t="s">
        <v>117</v>
      </c>
      <c r="D390" s="252" t="s">
        <v>118</v>
      </c>
      <c r="E390" s="252" t="s">
        <v>125</v>
      </c>
      <c r="F390" s="252" t="s">
        <v>120</v>
      </c>
      <c r="G390" s="252" t="s">
        <v>118</v>
      </c>
      <c r="H390" s="252" t="s">
        <v>118</v>
      </c>
      <c r="I390" s="252" t="s">
        <v>125</v>
      </c>
      <c r="J390" s="174"/>
      <c r="K390" s="252" t="s">
        <v>487</v>
      </c>
      <c r="L390" s="174"/>
      <c r="M390" s="174"/>
      <c r="N390" s="252" t="s">
        <v>474</v>
      </c>
      <c r="O390" s="253" t="s">
        <v>112</v>
      </c>
    </row>
    <row r="391" spans="1:15" ht="16.149999999999999" customHeight="1" x14ac:dyDescent="0.25">
      <c r="A391" s="172">
        <v>42942</v>
      </c>
      <c r="B391" s="175" t="s">
        <v>49</v>
      </c>
      <c r="C391" s="254" t="s">
        <v>119</v>
      </c>
      <c r="D391" s="254" t="s">
        <v>120</v>
      </c>
      <c r="E391" s="254" t="s">
        <v>112</v>
      </c>
      <c r="F391" s="254" t="s">
        <v>120</v>
      </c>
      <c r="G391" s="254" t="s">
        <v>86</v>
      </c>
      <c r="H391" s="254" t="s">
        <v>112</v>
      </c>
      <c r="I391" s="254" t="s">
        <v>412</v>
      </c>
      <c r="J391" s="176"/>
      <c r="K391" s="254" t="s">
        <v>81</v>
      </c>
      <c r="L391" s="176"/>
      <c r="M391" s="176"/>
      <c r="N391" s="254" t="s">
        <v>474</v>
      </c>
      <c r="O391" s="255" t="s">
        <v>404</v>
      </c>
    </row>
    <row r="392" spans="1:15" ht="16.149999999999999" customHeight="1" x14ac:dyDescent="0.25">
      <c r="A392" s="172">
        <v>42941</v>
      </c>
      <c r="B392" s="173" t="s">
        <v>49</v>
      </c>
      <c r="C392" s="252" t="s">
        <v>121</v>
      </c>
      <c r="D392" s="252" t="s">
        <v>86</v>
      </c>
      <c r="E392" s="252" t="s">
        <v>86</v>
      </c>
      <c r="F392" s="252" t="s">
        <v>488</v>
      </c>
      <c r="G392" s="252" t="s">
        <v>477</v>
      </c>
      <c r="H392" s="252" t="s">
        <v>86</v>
      </c>
      <c r="I392" s="252" t="s">
        <v>79</v>
      </c>
      <c r="J392" s="174"/>
      <c r="K392" s="252" t="s">
        <v>112</v>
      </c>
      <c r="L392" s="174"/>
      <c r="M392" s="174"/>
      <c r="N392" s="252" t="s">
        <v>474</v>
      </c>
      <c r="O392" s="253" t="s">
        <v>489</v>
      </c>
    </row>
    <row r="393" spans="1:15" ht="16.149999999999999" customHeight="1" x14ac:dyDescent="0.25">
      <c r="A393" s="172">
        <v>42940</v>
      </c>
      <c r="B393" s="175" t="s">
        <v>49</v>
      </c>
      <c r="C393" s="254" t="s">
        <v>117</v>
      </c>
      <c r="D393" s="254" t="s">
        <v>118</v>
      </c>
      <c r="E393" s="254" t="s">
        <v>112</v>
      </c>
      <c r="F393" s="254" t="s">
        <v>486</v>
      </c>
      <c r="G393" s="254" t="s">
        <v>69</v>
      </c>
      <c r="H393" s="254" t="s">
        <v>112</v>
      </c>
      <c r="I393" s="254" t="s">
        <v>398</v>
      </c>
      <c r="J393" s="176"/>
      <c r="K393" s="254" t="s">
        <v>125</v>
      </c>
      <c r="L393" s="176"/>
      <c r="M393" s="176"/>
      <c r="N393" s="254" t="s">
        <v>473</v>
      </c>
      <c r="O393" s="255" t="s">
        <v>86</v>
      </c>
    </row>
    <row r="394" spans="1:15" ht="16.149999999999999" customHeight="1" x14ac:dyDescent="0.25">
      <c r="A394" s="172">
        <v>42937</v>
      </c>
      <c r="B394" s="173" t="s">
        <v>49</v>
      </c>
      <c r="C394" s="252" t="s">
        <v>122</v>
      </c>
      <c r="D394" s="252" t="s">
        <v>123</v>
      </c>
      <c r="E394" s="252" t="s">
        <v>125</v>
      </c>
      <c r="F394" s="252" t="s">
        <v>490</v>
      </c>
      <c r="G394" s="252" t="s">
        <v>490</v>
      </c>
      <c r="H394" s="252" t="s">
        <v>114</v>
      </c>
      <c r="I394" s="252" t="s">
        <v>491</v>
      </c>
      <c r="J394" s="174"/>
      <c r="K394" s="252" t="s">
        <v>127</v>
      </c>
      <c r="L394" s="174"/>
      <c r="M394" s="174"/>
      <c r="N394" s="252" t="s">
        <v>112</v>
      </c>
      <c r="O394" s="253" t="s">
        <v>125</v>
      </c>
    </row>
    <row r="395" spans="1:15" ht="16.149999999999999" customHeight="1" x14ac:dyDescent="0.25">
      <c r="A395" s="172">
        <v>42935</v>
      </c>
      <c r="B395" s="175" t="s">
        <v>49</v>
      </c>
      <c r="C395" s="254" t="s">
        <v>113</v>
      </c>
      <c r="D395" s="254" t="s">
        <v>114</v>
      </c>
      <c r="E395" s="254" t="s">
        <v>114</v>
      </c>
      <c r="F395" s="254" t="s">
        <v>114</v>
      </c>
      <c r="G395" s="254" t="s">
        <v>486</v>
      </c>
      <c r="H395" s="254" t="s">
        <v>127</v>
      </c>
      <c r="I395" s="254" t="s">
        <v>492</v>
      </c>
      <c r="J395" s="176"/>
      <c r="K395" s="254" t="s">
        <v>484</v>
      </c>
      <c r="L395" s="176"/>
      <c r="M395" s="176"/>
      <c r="N395" s="254" t="s">
        <v>112</v>
      </c>
      <c r="O395" s="255" t="s">
        <v>118</v>
      </c>
    </row>
    <row r="396" spans="1:15" ht="16.149999999999999" customHeight="1" x14ac:dyDescent="0.25">
      <c r="A396" s="172">
        <v>42934</v>
      </c>
      <c r="B396" s="173" t="s">
        <v>49</v>
      </c>
      <c r="C396" s="252" t="s">
        <v>124</v>
      </c>
      <c r="D396" s="252" t="s">
        <v>125</v>
      </c>
      <c r="E396" s="252" t="s">
        <v>125</v>
      </c>
      <c r="F396" s="252" t="s">
        <v>486</v>
      </c>
      <c r="G396" s="252" t="s">
        <v>125</v>
      </c>
      <c r="H396" s="252" t="s">
        <v>493</v>
      </c>
      <c r="I396" s="252" t="s">
        <v>404</v>
      </c>
      <c r="J396" s="174"/>
      <c r="K396" s="252" t="s">
        <v>493</v>
      </c>
      <c r="L396" s="174"/>
      <c r="M396" s="174"/>
      <c r="N396" s="252" t="s">
        <v>86</v>
      </c>
      <c r="O396" s="253" t="s">
        <v>494</v>
      </c>
    </row>
    <row r="397" spans="1:15" ht="16.149999999999999" customHeight="1" x14ac:dyDescent="0.25">
      <c r="A397" s="172">
        <v>42933</v>
      </c>
      <c r="B397" s="175" t="s">
        <v>49</v>
      </c>
      <c r="C397" s="254" t="s">
        <v>119</v>
      </c>
      <c r="D397" s="254" t="s">
        <v>120</v>
      </c>
      <c r="E397" s="254" t="s">
        <v>112</v>
      </c>
      <c r="F397" s="254" t="s">
        <v>486</v>
      </c>
      <c r="G397" s="254" t="s">
        <v>125</v>
      </c>
      <c r="H397" s="254" t="s">
        <v>112</v>
      </c>
      <c r="I397" s="254" t="s">
        <v>495</v>
      </c>
      <c r="J397" s="176"/>
      <c r="K397" s="254" t="s">
        <v>81</v>
      </c>
      <c r="L397" s="176"/>
      <c r="M397" s="176"/>
      <c r="N397" s="254" t="s">
        <v>474</v>
      </c>
      <c r="O397" s="255" t="s">
        <v>479</v>
      </c>
    </row>
    <row r="398" spans="1:15" ht="16.149999999999999" customHeight="1" x14ac:dyDescent="0.25">
      <c r="A398" s="172">
        <v>42930</v>
      </c>
      <c r="B398" s="173" t="s">
        <v>49</v>
      </c>
      <c r="C398" s="252" t="s">
        <v>113</v>
      </c>
      <c r="D398" s="252" t="s">
        <v>123</v>
      </c>
      <c r="E398" s="252" t="s">
        <v>114</v>
      </c>
      <c r="F398" s="252" t="s">
        <v>483</v>
      </c>
      <c r="G398" s="252" t="s">
        <v>490</v>
      </c>
      <c r="H398" s="252" t="s">
        <v>114</v>
      </c>
      <c r="I398" s="252" t="s">
        <v>496</v>
      </c>
      <c r="J398" s="174"/>
      <c r="K398" s="252" t="s">
        <v>127</v>
      </c>
      <c r="L398" s="174"/>
      <c r="M398" s="174"/>
      <c r="N398" s="252" t="s">
        <v>112</v>
      </c>
      <c r="O398" s="253" t="s">
        <v>487</v>
      </c>
    </row>
    <row r="399" spans="1:15" ht="16.149999999999999" customHeight="1" x14ac:dyDescent="0.25">
      <c r="A399" s="172">
        <v>42929</v>
      </c>
      <c r="B399" s="175" t="s">
        <v>49</v>
      </c>
      <c r="C399" s="254" t="s">
        <v>126</v>
      </c>
      <c r="D399" s="254" t="s">
        <v>127</v>
      </c>
      <c r="E399" s="254" t="s">
        <v>484</v>
      </c>
      <c r="F399" s="254" t="s">
        <v>134</v>
      </c>
      <c r="G399" s="254" t="s">
        <v>497</v>
      </c>
      <c r="H399" s="254" t="s">
        <v>484</v>
      </c>
      <c r="I399" s="254" t="s">
        <v>71</v>
      </c>
      <c r="J399" s="176"/>
      <c r="K399" s="254" t="s">
        <v>114</v>
      </c>
      <c r="L399" s="176"/>
      <c r="M399" s="176"/>
      <c r="N399" s="254" t="s">
        <v>112</v>
      </c>
      <c r="O399" s="255" t="s">
        <v>498</v>
      </c>
    </row>
    <row r="400" spans="1:15" ht="16.149999999999999" customHeight="1" x14ac:dyDescent="0.25">
      <c r="A400" s="172">
        <v>42928</v>
      </c>
      <c r="B400" s="173" t="s">
        <v>49</v>
      </c>
      <c r="C400" s="252" t="s">
        <v>128</v>
      </c>
      <c r="D400" s="252" t="s">
        <v>63</v>
      </c>
      <c r="E400" s="252" t="s">
        <v>50</v>
      </c>
      <c r="F400" s="252" t="s">
        <v>61</v>
      </c>
      <c r="G400" s="252" t="s">
        <v>50</v>
      </c>
      <c r="H400" s="252" t="s">
        <v>138</v>
      </c>
      <c r="I400" s="252" t="s">
        <v>499</v>
      </c>
      <c r="J400" s="174"/>
      <c r="K400" s="252" t="s">
        <v>59</v>
      </c>
      <c r="L400" s="174"/>
      <c r="M400" s="174"/>
      <c r="N400" s="252" t="s">
        <v>484</v>
      </c>
      <c r="O400" s="253" t="s">
        <v>50</v>
      </c>
    </row>
    <row r="401" spans="1:15" ht="16.149999999999999" customHeight="1" x14ac:dyDescent="0.25">
      <c r="A401" s="172">
        <v>42927</v>
      </c>
      <c r="B401" s="175" t="s">
        <v>49</v>
      </c>
      <c r="C401" s="254" t="s">
        <v>128</v>
      </c>
      <c r="D401" s="254" t="s">
        <v>63</v>
      </c>
      <c r="E401" s="254" t="s">
        <v>50</v>
      </c>
      <c r="F401" s="254" t="s">
        <v>134</v>
      </c>
      <c r="G401" s="254" t="s">
        <v>50</v>
      </c>
      <c r="H401" s="254" t="s">
        <v>59</v>
      </c>
      <c r="I401" s="254" t="s">
        <v>499</v>
      </c>
      <c r="J401" s="176"/>
      <c r="K401" s="254" t="s">
        <v>500</v>
      </c>
      <c r="L401" s="176"/>
      <c r="M401" s="176"/>
      <c r="N401" s="254" t="s">
        <v>484</v>
      </c>
      <c r="O401" s="255" t="s">
        <v>138</v>
      </c>
    </row>
    <row r="402" spans="1:15" ht="16.149999999999999" customHeight="1" x14ac:dyDescent="0.25">
      <c r="A402" s="172">
        <v>42926</v>
      </c>
      <c r="B402" s="173" t="s">
        <v>49</v>
      </c>
      <c r="C402" s="252" t="s">
        <v>129</v>
      </c>
      <c r="D402" s="252" t="s">
        <v>130</v>
      </c>
      <c r="E402" s="252" t="s">
        <v>484</v>
      </c>
      <c r="F402" s="252" t="s">
        <v>63</v>
      </c>
      <c r="G402" s="252" t="s">
        <v>88</v>
      </c>
      <c r="H402" s="252" t="s">
        <v>52</v>
      </c>
      <c r="I402" s="252" t="s">
        <v>501</v>
      </c>
      <c r="J402" s="174"/>
      <c r="K402" s="252" t="s">
        <v>497</v>
      </c>
      <c r="L402" s="174"/>
      <c r="M402" s="174"/>
      <c r="N402" s="252" t="s">
        <v>125</v>
      </c>
      <c r="O402" s="253" t="s">
        <v>483</v>
      </c>
    </row>
    <row r="403" spans="1:15" ht="16.149999999999999" customHeight="1" x14ac:dyDescent="0.25">
      <c r="A403" s="172">
        <v>42923</v>
      </c>
      <c r="B403" s="175" t="s">
        <v>49</v>
      </c>
      <c r="C403" s="254" t="s">
        <v>131</v>
      </c>
      <c r="D403" s="254" t="s">
        <v>132</v>
      </c>
      <c r="E403" s="254" t="s">
        <v>102</v>
      </c>
      <c r="F403" s="254" t="s">
        <v>102</v>
      </c>
      <c r="G403" s="254" t="s">
        <v>61</v>
      </c>
      <c r="H403" s="254" t="s">
        <v>502</v>
      </c>
      <c r="I403" s="254" t="s">
        <v>503</v>
      </c>
      <c r="J403" s="176"/>
      <c r="K403" s="254" t="s">
        <v>502</v>
      </c>
      <c r="L403" s="176"/>
      <c r="M403" s="176"/>
      <c r="N403" s="254" t="s">
        <v>50</v>
      </c>
      <c r="O403" s="255" t="s">
        <v>136</v>
      </c>
    </row>
    <row r="404" spans="1:15" ht="16.149999999999999" customHeight="1" x14ac:dyDescent="0.25">
      <c r="A404" s="172">
        <v>42922</v>
      </c>
      <c r="B404" s="173" t="s">
        <v>49</v>
      </c>
      <c r="C404" s="252" t="s">
        <v>133</v>
      </c>
      <c r="D404" s="252" t="s">
        <v>134</v>
      </c>
      <c r="E404" s="252" t="s">
        <v>50</v>
      </c>
      <c r="F404" s="252" t="s">
        <v>59</v>
      </c>
      <c r="G404" s="252" t="s">
        <v>136</v>
      </c>
      <c r="H404" s="252" t="s">
        <v>50</v>
      </c>
      <c r="I404" s="252" t="s">
        <v>504</v>
      </c>
      <c r="J404" s="174"/>
      <c r="K404" s="252" t="s">
        <v>50</v>
      </c>
      <c r="L404" s="174"/>
      <c r="M404" s="174"/>
      <c r="N404" s="252" t="s">
        <v>114</v>
      </c>
      <c r="O404" s="253" t="s">
        <v>52</v>
      </c>
    </row>
    <row r="405" spans="1:15" ht="16.149999999999999" customHeight="1" x14ac:dyDescent="0.25">
      <c r="A405" s="172">
        <v>42921</v>
      </c>
      <c r="B405" s="175" t="s">
        <v>49</v>
      </c>
      <c r="C405" s="254" t="s">
        <v>135</v>
      </c>
      <c r="D405" s="254" t="s">
        <v>136</v>
      </c>
      <c r="E405" s="254" t="s">
        <v>484</v>
      </c>
      <c r="F405" s="254" t="s">
        <v>134</v>
      </c>
      <c r="G405" s="254" t="s">
        <v>88</v>
      </c>
      <c r="H405" s="254" t="s">
        <v>484</v>
      </c>
      <c r="I405" s="254" t="s">
        <v>505</v>
      </c>
      <c r="J405" s="176"/>
      <c r="K405" s="254" t="s">
        <v>484</v>
      </c>
      <c r="L405" s="176"/>
      <c r="M405" s="176"/>
      <c r="N405" s="254" t="s">
        <v>125</v>
      </c>
      <c r="O405" s="255" t="s">
        <v>422</v>
      </c>
    </row>
    <row r="406" spans="1:15" ht="16.149999999999999" customHeight="1" x14ac:dyDescent="0.25">
      <c r="A406" s="172">
        <v>42920</v>
      </c>
      <c r="B406" s="173" t="s">
        <v>49</v>
      </c>
      <c r="C406" s="252" t="s">
        <v>137</v>
      </c>
      <c r="D406" s="252" t="s">
        <v>138</v>
      </c>
      <c r="E406" s="252" t="s">
        <v>59</v>
      </c>
      <c r="F406" s="252" t="s">
        <v>506</v>
      </c>
      <c r="G406" s="252" t="s">
        <v>507</v>
      </c>
      <c r="H406" s="252" t="s">
        <v>50</v>
      </c>
      <c r="I406" s="252" t="s">
        <v>134</v>
      </c>
      <c r="J406" s="174"/>
      <c r="K406" s="252" t="s">
        <v>50</v>
      </c>
      <c r="L406" s="174"/>
      <c r="M406" s="174"/>
      <c r="N406" s="252" t="s">
        <v>114</v>
      </c>
      <c r="O406" s="253" t="s">
        <v>59</v>
      </c>
    </row>
    <row r="407" spans="1:15" ht="16.149999999999999" customHeight="1" x14ac:dyDescent="0.25">
      <c r="A407" s="172">
        <v>42916</v>
      </c>
      <c r="B407" s="175" t="s">
        <v>49</v>
      </c>
      <c r="C407" s="254" t="s">
        <v>139</v>
      </c>
      <c r="D407" s="254" t="s">
        <v>140</v>
      </c>
      <c r="E407" s="254" t="s">
        <v>508</v>
      </c>
      <c r="F407" s="254" t="s">
        <v>509</v>
      </c>
      <c r="G407" s="254" t="s">
        <v>140</v>
      </c>
      <c r="H407" s="254" t="s">
        <v>140</v>
      </c>
      <c r="I407" s="254" t="s">
        <v>510</v>
      </c>
      <c r="J407" s="176"/>
      <c r="K407" s="254" t="s">
        <v>117</v>
      </c>
      <c r="L407" s="176"/>
      <c r="M407" s="176"/>
      <c r="N407" s="254" t="s">
        <v>511</v>
      </c>
      <c r="O407" s="255" t="s">
        <v>512</v>
      </c>
    </row>
    <row r="408" spans="1:15" ht="16.149999999999999" customHeight="1" x14ac:dyDescent="0.25">
      <c r="A408" s="172">
        <v>42915</v>
      </c>
      <c r="B408" s="173" t="s">
        <v>49</v>
      </c>
      <c r="C408" s="252" t="s">
        <v>141</v>
      </c>
      <c r="D408" s="252" t="s">
        <v>142</v>
      </c>
      <c r="E408" s="252" t="s">
        <v>513</v>
      </c>
      <c r="F408" s="252" t="s">
        <v>117</v>
      </c>
      <c r="G408" s="252" t="s">
        <v>124</v>
      </c>
      <c r="H408" s="252" t="s">
        <v>140</v>
      </c>
      <c r="I408" s="252" t="s">
        <v>514</v>
      </c>
      <c r="J408" s="174"/>
      <c r="K408" s="252" t="s">
        <v>511</v>
      </c>
      <c r="L408" s="174"/>
      <c r="M408" s="174"/>
      <c r="N408" s="252" t="s">
        <v>515</v>
      </c>
      <c r="O408" s="253" t="s">
        <v>516</v>
      </c>
    </row>
    <row r="409" spans="1:15" ht="16.149999999999999" customHeight="1" x14ac:dyDescent="0.25">
      <c r="A409" s="172">
        <v>42914</v>
      </c>
      <c r="B409" s="175" t="s">
        <v>49</v>
      </c>
      <c r="C409" s="254" t="s">
        <v>143</v>
      </c>
      <c r="D409" s="254" t="s">
        <v>144</v>
      </c>
      <c r="E409" s="254" t="s">
        <v>517</v>
      </c>
      <c r="F409" s="254" t="s">
        <v>518</v>
      </c>
      <c r="G409" s="254" t="s">
        <v>519</v>
      </c>
      <c r="H409" s="254" t="s">
        <v>517</v>
      </c>
      <c r="I409" s="254" t="s">
        <v>520</v>
      </c>
      <c r="J409" s="176"/>
      <c r="K409" s="254" t="s">
        <v>517</v>
      </c>
      <c r="L409" s="176"/>
      <c r="M409" s="176"/>
      <c r="N409" s="254" t="s">
        <v>521</v>
      </c>
      <c r="O409" s="255" t="s">
        <v>519</v>
      </c>
    </row>
    <row r="410" spans="1:15" ht="16.149999999999999" customHeight="1" x14ac:dyDescent="0.25">
      <c r="A410" s="172">
        <v>42913</v>
      </c>
      <c r="B410" s="173" t="s">
        <v>49</v>
      </c>
      <c r="C410" s="252" t="s">
        <v>145</v>
      </c>
      <c r="D410" s="252" t="s">
        <v>128</v>
      </c>
      <c r="E410" s="252" t="s">
        <v>519</v>
      </c>
      <c r="F410" s="252" t="s">
        <v>522</v>
      </c>
      <c r="G410" s="252" t="s">
        <v>523</v>
      </c>
      <c r="H410" s="252" t="s">
        <v>128</v>
      </c>
      <c r="I410" s="252" t="s">
        <v>524</v>
      </c>
      <c r="J410" s="174"/>
      <c r="K410" s="252" t="s">
        <v>128</v>
      </c>
      <c r="L410" s="174"/>
      <c r="M410" s="174"/>
      <c r="N410" s="252" t="s">
        <v>519</v>
      </c>
      <c r="O410" s="253" t="s">
        <v>525</v>
      </c>
    </row>
    <row r="411" spans="1:15" ht="16.149999999999999" customHeight="1" x14ac:dyDescent="0.25">
      <c r="A411" s="172">
        <v>42909</v>
      </c>
      <c r="B411" s="175" t="s">
        <v>49</v>
      </c>
      <c r="C411" s="254" t="s">
        <v>146</v>
      </c>
      <c r="D411" s="254" t="s">
        <v>147</v>
      </c>
      <c r="E411" s="254" t="s">
        <v>526</v>
      </c>
      <c r="F411" s="254" t="s">
        <v>527</v>
      </c>
      <c r="G411" s="254" t="s">
        <v>528</v>
      </c>
      <c r="H411" s="254" t="s">
        <v>529</v>
      </c>
      <c r="I411" s="254" t="s">
        <v>147</v>
      </c>
      <c r="J411" s="176"/>
      <c r="K411" s="254" t="s">
        <v>530</v>
      </c>
      <c r="L411" s="176"/>
      <c r="M411" s="176"/>
      <c r="N411" s="254" t="s">
        <v>519</v>
      </c>
      <c r="O411" s="255" t="s">
        <v>525</v>
      </c>
    </row>
    <row r="412" spans="1:15" ht="16.149999999999999" customHeight="1" x14ac:dyDescent="0.25">
      <c r="A412" s="172">
        <v>42908</v>
      </c>
      <c r="B412" s="173" t="s">
        <v>49</v>
      </c>
      <c r="C412" s="252" t="s">
        <v>148</v>
      </c>
      <c r="D412" s="252" t="s">
        <v>149</v>
      </c>
      <c r="E412" s="252" t="s">
        <v>531</v>
      </c>
      <c r="F412" s="252" t="s">
        <v>532</v>
      </c>
      <c r="G412" s="252" t="s">
        <v>532</v>
      </c>
      <c r="H412" s="252" t="s">
        <v>528</v>
      </c>
      <c r="I412" s="252" t="s">
        <v>533</v>
      </c>
      <c r="J412" s="174"/>
      <c r="K412" s="252" t="s">
        <v>527</v>
      </c>
      <c r="L412" s="174"/>
      <c r="M412" s="174"/>
      <c r="N412" s="252" t="s">
        <v>525</v>
      </c>
      <c r="O412" s="253" t="s">
        <v>534</v>
      </c>
    </row>
    <row r="413" spans="1:15" ht="16.149999999999999" customHeight="1" x14ac:dyDescent="0.25">
      <c r="A413" s="172">
        <v>42907</v>
      </c>
      <c r="B413" s="175" t="s">
        <v>49</v>
      </c>
      <c r="C413" s="254" t="s">
        <v>150</v>
      </c>
      <c r="D413" s="254" t="s">
        <v>151</v>
      </c>
      <c r="E413" s="254" t="s">
        <v>525</v>
      </c>
      <c r="F413" s="254" t="s">
        <v>153</v>
      </c>
      <c r="G413" s="254" t="s">
        <v>535</v>
      </c>
      <c r="H413" s="254" t="s">
        <v>151</v>
      </c>
      <c r="I413" s="254" t="s">
        <v>536</v>
      </c>
      <c r="J413" s="176"/>
      <c r="K413" s="254" t="s">
        <v>151</v>
      </c>
      <c r="L413" s="176"/>
      <c r="M413" s="176"/>
      <c r="N413" s="254" t="s">
        <v>528</v>
      </c>
      <c r="O413" s="255" t="s">
        <v>534</v>
      </c>
    </row>
    <row r="414" spans="1:15" ht="16.149999999999999" customHeight="1" x14ac:dyDescent="0.25">
      <c r="A414" s="172">
        <v>42906</v>
      </c>
      <c r="B414" s="173" t="s">
        <v>49</v>
      </c>
      <c r="C414" s="252" t="s">
        <v>152</v>
      </c>
      <c r="D414" s="252" t="s">
        <v>153</v>
      </c>
      <c r="E414" s="252" t="s">
        <v>534</v>
      </c>
      <c r="F414" s="252" t="s">
        <v>161</v>
      </c>
      <c r="G414" s="252" t="s">
        <v>537</v>
      </c>
      <c r="H414" s="252" t="s">
        <v>537</v>
      </c>
      <c r="I414" s="252" t="s">
        <v>531</v>
      </c>
      <c r="J414" s="174"/>
      <c r="K414" s="252" t="s">
        <v>161</v>
      </c>
      <c r="L414" s="174"/>
      <c r="M414" s="174"/>
      <c r="N414" s="252" t="s">
        <v>161</v>
      </c>
      <c r="O414" s="253" t="s">
        <v>538</v>
      </c>
    </row>
    <row r="415" spans="1:15" ht="16.149999999999999" customHeight="1" x14ac:dyDescent="0.25">
      <c r="A415" s="172">
        <v>42902</v>
      </c>
      <c r="B415" s="175" t="s">
        <v>49</v>
      </c>
      <c r="C415" s="254" t="s">
        <v>154</v>
      </c>
      <c r="D415" s="254" t="s">
        <v>155</v>
      </c>
      <c r="E415" s="254" t="s">
        <v>528</v>
      </c>
      <c r="F415" s="254" t="s">
        <v>159</v>
      </c>
      <c r="G415" s="254" t="s">
        <v>537</v>
      </c>
      <c r="H415" s="254" t="s">
        <v>151</v>
      </c>
      <c r="I415" s="254" t="s">
        <v>539</v>
      </c>
      <c r="J415" s="176"/>
      <c r="K415" s="254" t="s">
        <v>527</v>
      </c>
      <c r="L415" s="176"/>
      <c r="M415" s="176"/>
      <c r="N415" s="254" t="s">
        <v>525</v>
      </c>
      <c r="O415" s="255" t="s">
        <v>526</v>
      </c>
    </row>
    <row r="416" spans="1:15" ht="16.149999999999999" customHeight="1" x14ac:dyDescent="0.25">
      <c r="A416" s="172">
        <v>42901</v>
      </c>
      <c r="B416" s="173" t="s">
        <v>49</v>
      </c>
      <c r="C416" s="252" t="s">
        <v>156</v>
      </c>
      <c r="D416" s="252" t="s">
        <v>157</v>
      </c>
      <c r="E416" s="252" t="s">
        <v>537</v>
      </c>
      <c r="F416" s="252" t="s">
        <v>540</v>
      </c>
      <c r="G416" s="252" t="s">
        <v>161</v>
      </c>
      <c r="H416" s="252" t="s">
        <v>537</v>
      </c>
      <c r="I416" s="252" t="s">
        <v>541</v>
      </c>
      <c r="J416" s="174"/>
      <c r="K416" s="252" t="s">
        <v>537</v>
      </c>
      <c r="L416" s="174"/>
      <c r="M416" s="174"/>
      <c r="N416" s="252" t="s">
        <v>528</v>
      </c>
      <c r="O416" s="253" t="s">
        <v>542</v>
      </c>
    </row>
    <row r="417" spans="1:15" ht="16.149999999999999" customHeight="1" x14ac:dyDescent="0.25">
      <c r="A417" s="172">
        <v>42900</v>
      </c>
      <c r="B417" s="175" t="s">
        <v>49</v>
      </c>
      <c r="C417" s="254" t="s">
        <v>158</v>
      </c>
      <c r="D417" s="254" t="s">
        <v>159</v>
      </c>
      <c r="E417" s="254" t="s">
        <v>534</v>
      </c>
      <c r="F417" s="254" t="s">
        <v>153</v>
      </c>
      <c r="G417" s="254" t="s">
        <v>543</v>
      </c>
      <c r="H417" s="254" t="s">
        <v>151</v>
      </c>
      <c r="I417" s="254" t="s">
        <v>536</v>
      </c>
      <c r="J417" s="176"/>
      <c r="K417" s="254" t="s">
        <v>534</v>
      </c>
      <c r="L417" s="176"/>
      <c r="M417" s="176"/>
      <c r="N417" s="254" t="s">
        <v>530</v>
      </c>
      <c r="O417" s="255" t="s">
        <v>542</v>
      </c>
    </row>
    <row r="418" spans="1:15" ht="16.149999999999999" customHeight="1" x14ac:dyDescent="0.25">
      <c r="A418" s="172">
        <v>42899</v>
      </c>
      <c r="B418" s="173" t="s">
        <v>49</v>
      </c>
      <c r="C418" s="252" t="s">
        <v>160</v>
      </c>
      <c r="D418" s="252" t="s">
        <v>161</v>
      </c>
      <c r="E418" s="252" t="s">
        <v>161</v>
      </c>
      <c r="F418" s="252" t="s">
        <v>544</v>
      </c>
      <c r="G418" s="252" t="s">
        <v>545</v>
      </c>
      <c r="H418" s="252" t="s">
        <v>161</v>
      </c>
      <c r="I418" s="252" t="s">
        <v>543</v>
      </c>
      <c r="J418" s="174"/>
      <c r="K418" s="252" t="s">
        <v>161</v>
      </c>
      <c r="L418" s="174"/>
      <c r="M418" s="174"/>
      <c r="N418" s="252" t="s">
        <v>537</v>
      </c>
      <c r="O418" s="253" t="s">
        <v>161</v>
      </c>
    </row>
    <row r="419" spans="1:15" ht="16.149999999999999" customHeight="1" x14ac:dyDescent="0.25">
      <c r="A419" s="172">
        <v>42898</v>
      </c>
      <c r="B419" s="175" t="s">
        <v>49</v>
      </c>
      <c r="C419" s="254" t="s">
        <v>162</v>
      </c>
      <c r="D419" s="254" t="s">
        <v>163</v>
      </c>
      <c r="E419" s="254" t="s">
        <v>546</v>
      </c>
      <c r="F419" s="254" t="s">
        <v>547</v>
      </c>
      <c r="G419" s="254" t="s">
        <v>548</v>
      </c>
      <c r="H419" s="254" t="s">
        <v>161</v>
      </c>
      <c r="I419" s="254" t="s">
        <v>163</v>
      </c>
      <c r="J419" s="176"/>
      <c r="K419" s="254" t="s">
        <v>549</v>
      </c>
      <c r="L419" s="176"/>
      <c r="M419" s="176"/>
      <c r="N419" s="254" t="s">
        <v>151</v>
      </c>
      <c r="O419" s="255" t="s">
        <v>547</v>
      </c>
    </row>
    <row r="420" spans="1:15" ht="16.149999999999999" customHeight="1" x14ac:dyDescent="0.25">
      <c r="A420" s="172">
        <v>42895</v>
      </c>
      <c r="B420" s="173" t="s">
        <v>49</v>
      </c>
      <c r="C420" s="252" t="s">
        <v>164</v>
      </c>
      <c r="D420" s="252" t="s">
        <v>165</v>
      </c>
      <c r="E420" s="252" t="s">
        <v>550</v>
      </c>
      <c r="F420" s="252" t="s">
        <v>551</v>
      </c>
      <c r="G420" s="252" t="s">
        <v>552</v>
      </c>
      <c r="H420" s="252" t="s">
        <v>553</v>
      </c>
      <c r="I420" s="252" t="s">
        <v>554</v>
      </c>
      <c r="J420" s="174"/>
      <c r="K420" s="252" t="s">
        <v>555</v>
      </c>
      <c r="L420" s="174"/>
      <c r="M420" s="174"/>
      <c r="N420" s="252" t="s">
        <v>549</v>
      </c>
      <c r="O420" s="253" t="s">
        <v>555</v>
      </c>
    </row>
    <row r="421" spans="1:15" ht="16.149999999999999" customHeight="1" x14ac:dyDescent="0.25">
      <c r="A421" s="172">
        <v>42894</v>
      </c>
      <c r="B421" s="175" t="s">
        <v>49</v>
      </c>
      <c r="C421" s="254" t="s">
        <v>166</v>
      </c>
      <c r="D421" s="254" t="s">
        <v>167</v>
      </c>
      <c r="E421" s="254" t="s">
        <v>167</v>
      </c>
      <c r="F421" s="254" t="s">
        <v>556</v>
      </c>
      <c r="G421" s="254" t="s">
        <v>557</v>
      </c>
      <c r="H421" s="254" t="s">
        <v>167</v>
      </c>
      <c r="I421" s="254" t="s">
        <v>557</v>
      </c>
      <c r="J421" s="176"/>
      <c r="K421" s="254" t="s">
        <v>558</v>
      </c>
      <c r="L421" s="176"/>
      <c r="M421" s="176"/>
      <c r="N421" s="254" t="s">
        <v>555</v>
      </c>
      <c r="O421" s="255" t="s">
        <v>559</v>
      </c>
    </row>
    <row r="422" spans="1:15" ht="16.149999999999999" customHeight="1" x14ac:dyDescent="0.25">
      <c r="A422" s="172">
        <v>42893</v>
      </c>
      <c r="B422" s="173" t="s">
        <v>49</v>
      </c>
      <c r="C422" s="252" t="s">
        <v>168</v>
      </c>
      <c r="D422" s="252" t="s">
        <v>143</v>
      </c>
      <c r="E422" s="252" t="s">
        <v>143</v>
      </c>
      <c r="F422" s="252" t="s">
        <v>560</v>
      </c>
      <c r="G422" s="252" t="s">
        <v>561</v>
      </c>
      <c r="H422" s="252" t="s">
        <v>143</v>
      </c>
      <c r="I422" s="252" t="s">
        <v>562</v>
      </c>
      <c r="J422" s="174"/>
      <c r="K422" s="252" t="s">
        <v>143</v>
      </c>
      <c r="L422" s="174"/>
      <c r="M422" s="174"/>
      <c r="N422" s="252" t="s">
        <v>563</v>
      </c>
      <c r="O422" s="253" t="s">
        <v>564</v>
      </c>
    </row>
    <row r="423" spans="1:15" ht="16.149999999999999" customHeight="1" x14ac:dyDescent="0.25">
      <c r="A423" s="172">
        <v>42892</v>
      </c>
      <c r="B423" s="175" t="s">
        <v>49</v>
      </c>
      <c r="C423" s="254" t="s">
        <v>169</v>
      </c>
      <c r="D423" s="254" t="s">
        <v>170</v>
      </c>
      <c r="E423" s="254" t="s">
        <v>565</v>
      </c>
      <c r="F423" s="254" t="s">
        <v>566</v>
      </c>
      <c r="G423" s="254" t="s">
        <v>567</v>
      </c>
      <c r="H423" s="254" t="s">
        <v>568</v>
      </c>
      <c r="I423" s="254" t="s">
        <v>569</v>
      </c>
      <c r="J423" s="176"/>
      <c r="K423" s="254" t="s">
        <v>570</v>
      </c>
      <c r="L423" s="176"/>
      <c r="M423" s="176"/>
      <c r="N423" s="254" t="s">
        <v>143</v>
      </c>
      <c r="O423" s="255" t="s">
        <v>568</v>
      </c>
    </row>
    <row r="424" spans="1:15" ht="16.149999999999999" customHeight="1" x14ac:dyDescent="0.25">
      <c r="A424" s="172">
        <v>42891</v>
      </c>
      <c r="B424" s="173" t="s">
        <v>49</v>
      </c>
      <c r="C424" s="252" t="s">
        <v>171</v>
      </c>
      <c r="D424" s="252" t="s">
        <v>172</v>
      </c>
      <c r="E424" s="252" t="s">
        <v>150</v>
      </c>
      <c r="F424" s="252" t="s">
        <v>571</v>
      </c>
      <c r="G424" s="252" t="s">
        <v>174</v>
      </c>
      <c r="H424" s="252" t="s">
        <v>156</v>
      </c>
      <c r="I424" s="252" t="s">
        <v>180</v>
      </c>
      <c r="J424" s="174"/>
      <c r="K424" s="252" t="s">
        <v>572</v>
      </c>
      <c r="L424" s="174"/>
      <c r="M424" s="174"/>
      <c r="N424" s="252" t="s">
        <v>573</v>
      </c>
      <c r="O424" s="253" t="s">
        <v>574</v>
      </c>
    </row>
    <row r="425" spans="1:15" ht="16.149999999999999" customHeight="1" x14ac:dyDescent="0.25">
      <c r="A425" s="172">
        <v>42888</v>
      </c>
      <c r="B425" s="175" t="s">
        <v>49</v>
      </c>
      <c r="C425" s="254" t="s">
        <v>173</v>
      </c>
      <c r="D425" s="254" t="s">
        <v>174</v>
      </c>
      <c r="E425" s="254" t="s">
        <v>174</v>
      </c>
      <c r="F425" s="254" t="s">
        <v>176</v>
      </c>
      <c r="G425" s="254" t="s">
        <v>174</v>
      </c>
      <c r="H425" s="254" t="s">
        <v>174</v>
      </c>
      <c r="I425" s="254" t="s">
        <v>160</v>
      </c>
      <c r="J425" s="176"/>
      <c r="K425" s="254" t="s">
        <v>571</v>
      </c>
      <c r="L425" s="176"/>
      <c r="M425" s="176"/>
      <c r="N425" s="254" t="s">
        <v>575</v>
      </c>
      <c r="O425" s="255" t="s">
        <v>576</v>
      </c>
    </row>
    <row r="426" spans="1:15" ht="16.149999999999999" customHeight="1" x14ac:dyDescent="0.25">
      <c r="A426" s="172">
        <v>42887</v>
      </c>
      <c r="B426" s="173" t="s">
        <v>49</v>
      </c>
      <c r="C426" s="252" t="s">
        <v>175</v>
      </c>
      <c r="D426" s="252" t="s">
        <v>176</v>
      </c>
      <c r="E426" s="252" t="s">
        <v>174</v>
      </c>
      <c r="F426" s="252" t="s">
        <v>577</v>
      </c>
      <c r="G426" s="252" t="s">
        <v>184</v>
      </c>
      <c r="H426" s="252" t="s">
        <v>184</v>
      </c>
      <c r="I426" s="252" t="s">
        <v>571</v>
      </c>
      <c r="J426" s="174"/>
      <c r="K426" s="252" t="s">
        <v>174</v>
      </c>
      <c r="L426" s="174"/>
      <c r="M426" s="174"/>
      <c r="N426" s="252" t="s">
        <v>571</v>
      </c>
      <c r="O426" s="253" t="s">
        <v>578</v>
      </c>
    </row>
    <row r="427" spans="1:15" ht="16.149999999999999" customHeight="1" x14ac:dyDescent="0.25">
      <c r="A427" s="172">
        <v>42886</v>
      </c>
      <c r="B427" s="175" t="s">
        <v>49</v>
      </c>
      <c r="C427" s="254" t="s">
        <v>177</v>
      </c>
      <c r="D427" s="254" t="s">
        <v>178</v>
      </c>
      <c r="E427" s="254" t="s">
        <v>571</v>
      </c>
      <c r="F427" s="254" t="s">
        <v>579</v>
      </c>
      <c r="G427" s="254" t="s">
        <v>180</v>
      </c>
      <c r="H427" s="254" t="s">
        <v>174</v>
      </c>
      <c r="I427" s="254" t="s">
        <v>580</v>
      </c>
      <c r="J427" s="176"/>
      <c r="K427" s="254" t="s">
        <v>174</v>
      </c>
      <c r="L427" s="254" t="s">
        <v>571</v>
      </c>
      <c r="M427" s="176"/>
      <c r="N427" s="176"/>
      <c r="O427" s="255" t="s">
        <v>581</v>
      </c>
    </row>
    <row r="428" spans="1:15" ht="16.149999999999999" customHeight="1" x14ac:dyDescent="0.25">
      <c r="A428" s="172">
        <v>42885</v>
      </c>
      <c r="B428" s="173" t="s">
        <v>49</v>
      </c>
      <c r="C428" s="252" t="s">
        <v>179</v>
      </c>
      <c r="D428" s="252" t="s">
        <v>180</v>
      </c>
      <c r="E428" s="252" t="s">
        <v>184</v>
      </c>
      <c r="F428" s="252" t="s">
        <v>582</v>
      </c>
      <c r="G428" s="252" t="s">
        <v>583</v>
      </c>
      <c r="H428" s="252" t="s">
        <v>180</v>
      </c>
      <c r="I428" s="252" t="s">
        <v>584</v>
      </c>
      <c r="J428" s="174"/>
      <c r="K428" s="252" t="s">
        <v>581</v>
      </c>
      <c r="L428" s="252" t="s">
        <v>581</v>
      </c>
      <c r="M428" s="174"/>
      <c r="N428" s="174"/>
      <c r="O428" s="253" t="s">
        <v>180</v>
      </c>
    </row>
    <row r="429" spans="1:15" ht="16.149999999999999" customHeight="1" x14ac:dyDescent="0.25">
      <c r="A429" s="172">
        <v>42881</v>
      </c>
      <c r="B429" s="175" t="s">
        <v>49</v>
      </c>
      <c r="C429" s="254" t="s">
        <v>173</v>
      </c>
      <c r="D429" s="254" t="s">
        <v>174</v>
      </c>
      <c r="E429" s="254" t="s">
        <v>174</v>
      </c>
      <c r="F429" s="254" t="s">
        <v>174</v>
      </c>
      <c r="G429" s="254" t="s">
        <v>585</v>
      </c>
      <c r="H429" s="254" t="s">
        <v>184</v>
      </c>
      <c r="I429" s="254" t="s">
        <v>586</v>
      </c>
      <c r="J429" s="176"/>
      <c r="K429" s="254" t="s">
        <v>174</v>
      </c>
      <c r="L429" s="254" t="s">
        <v>156</v>
      </c>
      <c r="M429" s="176"/>
      <c r="N429" s="176"/>
      <c r="O429" s="255" t="s">
        <v>587</v>
      </c>
    </row>
    <row r="430" spans="1:15" ht="16.149999999999999" customHeight="1" x14ac:dyDescent="0.25">
      <c r="A430" s="172">
        <v>42880</v>
      </c>
      <c r="B430" s="173" t="s">
        <v>49</v>
      </c>
      <c r="C430" s="252" t="s">
        <v>181</v>
      </c>
      <c r="D430" s="252" t="s">
        <v>182</v>
      </c>
      <c r="E430" s="252" t="s">
        <v>156</v>
      </c>
      <c r="F430" s="252" t="s">
        <v>588</v>
      </c>
      <c r="G430" s="252" t="s">
        <v>174</v>
      </c>
      <c r="H430" s="252" t="s">
        <v>572</v>
      </c>
      <c r="I430" s="252" t="s">
        <v>182</v>
      </c>
      <c r="J430" s="174"/>
      <c r="K430" s="252" t="s">
        <v>572</v>
      </c>
      <c r="L430" s="252" t="s">
        <v>573</v>
      </c>
      <c r="M430" s="174"/>
      <c r="N430" s="174"/>
      <c r="O430" s="253" t="s">
        <v>587</v>
      </c>
    </row>
    <row r="431" spans="1:15" ht="16.149999999999999" customHeight="1" x14ac:dyDescent="0.25">
      <c r="A431" s="172">
        <v>42879</v>
      </c>
      <c r="B431" s="175" t="s">
        <v>49</v>
      </c>
      <c r="C431" s="254" t="s">
        <v>183</v>
      </c>
      <c r="D431" s="254" t="s">
        <v>184</v>
      </c>
      <c r="E431" s="254" t="s">
        <v>184</v>
      </c>
      <c r="F431" s="254" t="s">
        <v>589</v>
      </c>
      <c r="G431" s="254" t="s">
        <v>590</v>
      </c>
      <c r="H431" s="254" t="s">
        <v>184</v>
      </c>
      <c r="I431" s="254" t="s">
        <v>591</v>
      </c>
      <c r="J431" s="176"/>
      <c r="K431" s="254" t="s">
        <v>592</v>
      </c>
      <c r="L431" s="254" t="s">
        <v>174</v>
      </c>
      <c r="M431" s="176"/>
      <c r="N431" s="176"/>
      <c r="O431" s="255" t="s">
        <v>184</v>
      </c>
    </row>
    <row r="432" spans="1:15" ht="16.149999999999999" customHeight="1" x14ac:dyDescent="0.25">
      <c r="A432" s="172">
        <v>42878</v>
      </c>
      <c r="B432" s="173" t="s">
        <v>49</v>
      </c>
      <c r="C432" s="252" t="s">
        <v>179</v>
      </c>
      <c r="D432" s="252" t="s">
        <v>180</v>
      </c>
      <c r="E432" s="252" t="s">
        <v>581</v>
      </c>
      <c r="F432" s="252" t="s">
        <v>593</v>
      </c>
      <c r="G432" s="252" t="s">
        <v>594</v>
      </c>
      <c r="H432" s="252" t="s">
        <v>184</v>
      </c>
      <c r="I432" s="252" t="s">
        <v>595</v>
      </c>
      <c r="J432" s="174"/>
      <c r="K432" s="252" t="s">
        <v>578</v>
      </c>
      <c r="L432" s="252" t="s">
        <v>184</v>
      </c>
      <c r="M432" s="174"/>
      <c r="N432" s="174"/>
      <c r="O432" s="253" t="s">
        <v>583</v>
      </c>
    </row>
    <row r="433" spans="1:15" ht="16.149999999999999" customHeight="1" x14ac:dyDescent="0.25">
      <c r="A433" s="172">
        <v>42877</v>
      </c>
      <c r="B433" s="175" t="s">
        <v>49</v>
      </c>
      <c r="C433" s="254" t="s">
        <v>185</v>
      </c>
      <c r="D433" s="254" t="s">
        <v>186</v>
      </c>
      <c r="E433" s="254" t="s">
        <v>186</v>
      </c>
      <c r="F433" s="254" t="s">
        <v>186</v>
      </c>
      <c r="G433" s="254" t="s">
        <v>596</v>
      </c>
      <c r="H433" s="254" t="s">
        <v>186</v>
      </c>
      <c r="I433" s="254" t="s">
        <v>584</v>
      </c>
      <c r="J433" s="176"/>
      <c r="K433" s="254" t="s">
        <v>597</v>
      </c>
      <c r="L433" s="254" t="s">
        <v>583</v>
      </c>
      <c r="M433" s="176"/>
      <c r="N433" s="176"/>
      <c r="O433" s="255" t="s">
        <v>186</v>
      </c>
    </row>
    <row r="434" spans="1:15" ht="16.149999999999999" customHeight="1" x14ac:dyDescent="0.25">
      <c r="A434" s="172">
        <v>42874</v>
      </c>
      <c r="B434" s="173" t="s">
        <v>49</v>
      </c>
      <c r="C434" s="252" t="s">
        <v>187</v>
      </c>
      <c r="D434" s="252" t="s">
        <v>188</v>
      </c>
      <c r="E434" s="252" t="s">
        <v>598</v>
      </c>
      <c r="F434" s="252" t="s">
        <v>169</v>
      </c>
      <c r="G434" s="252" t="s">
        <v>599</v>
      </c>
      <c r="H434" s="252" t="s">
        <v>600</v>
      </c>
      <c r="I434" s="252" t="s">
        <v>601</v>
      </c>
      <c r="J434" s="174"/>
      <c r="K434" s="252" t="s">
        <v>191</v>
      </c>
      <c r="L434" s="252" t="s">
        <v>598</v>
      </c>
      <c r="M434" s="174"/>
      <c r="N434" s="174"/>
      <c r="O434" s="253" t="s">
        <v>188</v>
      </c>
    </row>
    <row r="435" spans="1:15" ht="16.149999999999999" customHeight="1" x14ac:dyDescent="0.25">
      <c r="A435" s="172">
        <v>42873</v>
      </c>
      <c r="B435" s="175" t="s">
        <v>49</v>
      </c>
      <c r="C435" s="254" t="s">
        <v>189</v>
      </c>
      <c r="D435" s="254" t="s">
        <v>188</v>
      </c>
      <c r="E435" s="254" t="s">
        <v>188</v>
      </c>
      <c r="F435" s="254" t="s">
        <v>602</v>
      </c>
      <c r="G435" s="254" t="s">
        <v>601</v>
      </c>
      <c r="H435" s="254" t="s">
        <v>600</v>
      </c>
      <c r="I435" s="254" t="s">
        <v>603</v>
      </c>
      <c r="J435" s="176"/>
      <c r="K435" s="254" t="s">
        <v>599</v>
      </c>
      <c r="L435" s="254" t="s">
        <v>598</v>
      </c>
      <c r="M435" s="176"/>
      <c r="N435" s="176"/>
      <c r="O435" s="255" t="s">
        <v>206</v>
      </c>
    </row>
    <row r="436" spans="1:15" ht="16.149999999999999" customHeight="1" x14ac:dyDescent="0.25">
      <c r="A436" s="172">
        <v>42872</v>
      </c>
      <c r="B436" s="173" t="s">
        <v>49</v>
      </c>
      <c r="C436" s="252" t="s">
        <v>190</v>
      </c>
      <c r="D436" s="252" t="s">
        <v>191</v>
      </c>
      <c r="E436" s="252" t="s">
        <v>188</v>
      </c>
      <c r="F436" s="252" t="s">
        <v>604</v>
      </c>
      <c r="G436" s="252" t="s">
        <v>600</v>
      </c>
      <c r="H436" s="252" t="s">
        <v>600</v>
      </c>
      <c r="I436" s="252" t="s">
        <v>601</v>
      </c>
      <c r="J436" s="174"/>
      <c r="K436" s="252" t="s">
        <v>188</v>
      </c>
      <c r="L436" s="252" t="s">
        <v>188</v>
      </c>
      <c r="M436" s="174"/>
      <c r="N436" s="174"/>
      <c r="O436" s="253" t="s">
        <v>206</v>
      </c>
    </row>
    <row r="437" spans="1:15" ht="16.149999999999999" customHeight="1" x14ac:dyDescent="0.25">
      <c r="A437" s="172">
        <v>42871</v>
      </c>
      <c r="B437" s="175" t="s">
        <v>49</v>
      </c>
      <c r="C437" s="254" t="s">
        <v>192</v>
      </c>
      <c r="D437" s="254" t="s">
        <v>193</v>
      </c>
      <c r="E437" s="254" t="s">
        <v>605</v>
      </c>
      <c r="F437" s="254" t="s">
        <v>606</v>
      </c>
      <c r="G437" s="254" t="s">
        <v>607</v>
      </c>
      <c r="H437" s="254" t="s">
        <v>600</v>
      </c>
      <c r="I437" s="254" t="s">
        <v>603</v>
      </c>
      <c r="J437" s="176"/>
      <c r="K437" s="254" t="s">
        <v>608</v>
      </c>
      <c r="L437" s="254" t="s">
        <v>608</v>
      </c>
      <c r="M437" s="176"/>
      <c r="N437" s="176"/>
      <c r="O437" s="255" t="s">
        <v>605</v>
      </c>
    </row>
    <row r="438" spans="1:15" ht="16.149999999999999" customHeight="1" x14ac:dyDescent="0.25">
      <c r="A438" s="172">
        <v>42870</v>
      </c>
      <c r="B438" s="173" t="s">
        <v>49</v>
      </c>
      <c r="C438" s="252" t="s">
        <v>194</v>
      </c>
      <c r="D438" s="252" t="s">
        <v>195</v>
      </c>
      <c r="E438" s="252" t="s">
        <v>598</v>
      </c>
      <c r="F438" s="252" t="s">
        <v>609</v>
      </c>
      <c r="G438" s="252" t="s">
        <v>610</v>
      </c>
      <c r="H438" s="252" t="s">
        <v>188</v>
      </c>
      <c r="I438" s="252" t="s">
        <v>611</v>
      </c>
      <c r="J438" s="174"/>
      <c r="K438" s="252" t="s">
        <v>575</v>
      </c>
      <c r="L438" s="252" t="s">
        <v>575</v>
      </c>
      <c r="M438" s="174"/>
      <c r="N438" s="174"/>
      <c r="O438" s="253" t="s">
        <v>598</v>
      </c>
    </row>
    <row r="439" spans="1:15" ht="16.149999999999999" customHeight="1" x14ac:dyDescent="0.25">
      <c r="A439" s="172">
        <v>42867</v>
      </c>
      <c r="B439" s="175" t="s">
        <v>49</v>
      </c>
      <c r="C439" s="254" t="s">
        <v>194</v>
      </c>
      <c r="D439" s="254" t="s">
        <v>196</v>
      </c>
      <c r="E439" s="254" t="s">
        <v>598</v>
      </c>
      <c r="F439" s="254" t="s">
        <v>612</v>
      </c>
      <c r="G439" s="254" t="s">
        <v>612</v>
      </c>
      <c r="H439" s="254" t="s">
        <v>609</v>
      </c>
      <c r="I439" s="254" t="s">
        <v>613</v>
      </c>
      <c r="J439" s="176"/>
      <c r="K439" s="254" t="s">
        <v>575</v>
      </c>
      <c r="L439" s="254" t="s">
        <v>598</v>
      </c>
      <c r="M439" s="176"/>
      <c r="N439" s="176"/>
      <c r="O439" s="255" t="s">
        <v>598</v>
      </c>
    </row>
    <row r="440" spans="1:15" ht="16.149999999999999" customHeight="1" x14ac:dyDescent="0.25">
      <c r="A440" s="172">
        <v>42866</v>
      </c>
      <c r="B440" s="173" t="s">
        <v>49</v>
      </c>
      <c r="C440" s="252" t="s">
        <v>197</v>
      </c>
      <c r="D440" s="252" t="s">
        <v>198</v>
      </c>
      <c r="E440" s="252" t="s">
        <v>575</v>
      </c>
      <c r="F440" s="252" t="s">
        <v>612</v>
      </c>
      <c r="G440" s="252" t="s">
        <v>200</v>
      </c>
      <c r="H440" s="252" t="s">
        <v>614</v>
      </c>
      <c r="I440" s="252" t="s">
        <v>196</v>
      </c>
      <c r="J440" s="174"/>
      <c r="K440" s="252" t="s">
        <v>614</v>
      </c>
      <c r="L440" s="252" t="s">
        <v>615</v>
      </c>
      <c r="M440" s="174"/>
      <c r="N440" s="174"/>
      <c r="O440" s="253" t="s">
        <v>598</v>
      </c>
    </row>
    <row r="441" spans="1:15" ht="16.149999999999999" customHeight="1" x14ac:dyDescent="0.25">
      <c r="A441" s="172">
        <v>42865</v>
      </c>
      <c r="B441" s="175" t="s">
        <v>49</v>
      </c>
      <c r="C441" s="254" t="s">
        <v>199</v>
      </c>
      <c r="D441" s="254" t="s">
        <v>200</v>
      </c>
      <c r="E441" s="254" t="s">
        <v>575</v>
      </c>
      <c r="F441" s="254" t="s">
        <v>616</v>
      </c>
      <c r="G441" s="254" t="s">
        <v>603</v>
      </c>
      <c r="H441" s="254" t="s">
        <v>575</v>
      </c>
      <c r="I441" s="254" t="s">
        <v>617</v>
      </c>
      <c r="J441" s="176"/>
      <c r="K441" s="254" t="s">
        <v>614</v>
      </c>
      <c r="L441" s="254" t="s">
        <v>614</v>
      </c>
      <c r="M441" s="176"/>
      <c r="N441" s="176"/>
      <c r="O441" s="255" t="s">
        <v>598</v>
      </c>
    </row>
    <row r="442" spans="1:15" ht="16.149999999999999" customHeight="1" x14ac:dyDescent="0.25">
      <c r="A442" s="172">
        <v>42864</v>
      </c>
      <c r="B442" s="173" t="s">
        <v>49</v>
      </c>
      <c r="C442" s="252" t="s">
        <v>201</v>
      </c>
      <c r="D442" s="252" t="s">
        <v>202</v>
      </c>
      <c r="E442" s="252" t="s">
        <v>575</v>
      </c>
      <c r="F442" s="252" t="s">
        <v>618</v>
      </c>
      <c r="G442" s="252" t="s">
        <v>619</v>
      </c>
      <c r="H442" s="252" t="s">
        <v>598</v>
      </c>
      <c r="I442" s="252" t="s">
        <v>619</v>
      </c>
      <c r="J442" s="174"/>
      <c r="K442" s="252" t="s">
        <v>600</v>
      </c>
      <c r="L442" s="252" t="s">
        <v>600</v>
      </c>
      <c r="M442" s="174"/>
      <c r="N442" s="174"/>
      <c r="O442" s="253" t="s">
        <v>206</v>
      </c>
    </row>
    <row r="443" spans="1:15" ht="16.149999999999999" customHeight="1" x14ac:dyDescent="0.25">
      <c r="A443" s="172">
        <v>42863</v>
      </c>
      <c r="B443" s="175" t="s">
        <v>49</v>
      </c>
      <c r="C443" s="254" t="s">
        <v>203</v>
      </c>
      <c r="D443" s="254" t="s">
        <v>204</v>
      </c>
      <c r="E443" s="254" t="s">
        <v>206</v>
      </c>
      <c r="F443" s="254" t="s">
        <v>620</v>
      </c>
      <c r="G443" s="254" t="s">
        <v>206</v>
      </c>
      <c r="H443" s="254" t="s">
        <v>600</v>
      </c>
      <c r="I443" s="254" t="s">
        <v>621</v>
      </c>
      <c r="J443" s="176"/>
      <c r="K443" s="254" t="s">
        <v>600</v>
      </c>
      <c r="L443" s="254" t="s">
        <v>598</v>
      </c>
      <c r="M443" s="176"/>
      <c r="N443" s="176"/>
      <c r="O443" s="255" t="s">
        <v>608</v>
      </c>
    </row>
    <row r="444" spans="1:15" ht="16.149999999999999" customHeight="1" x14ac:dyDescent="0.25">
      <c r="A444" s="172">
        <v>42860</v>
      </c>
      <c r="B444" s="173" t="s">
        <v>49</v>
      </c>
      <c r="C444" s="252" t="s">
        <v>205</v>
      </c>
      <c r="D444" s="252" t="s">
        <v>206</v>
      </c>
      <c r="E444" s="252" t="s">
        <v>575</v>
      </c>
      <c r="F444" s="252" t="s">
        <v>608</v>
      </c>
      <c r="G444" s="252" t="s">
        <v>602</v>
      </c>
      <c r="H444" s="252" t="s">
        <v>188</v>
      </c>
      <c r="I444" s="252" t="s">
        <v>622</v>
      </c>
      <c r="J444" s="174"/>
      <c r="K444" s="252" t="s">
        <v>188</v>
      </c>
      <c r="L444" s="252" t="s">
        <v>206</v>
      </c>
      <c r="M444" s="174"/>
      <c r="N444" s="174"/>
      <c r="O444" s="253" t="s">
        <v>206</v>
      </c>
    </row>
    <row r="445" spans="1:15" ht="16.149999999999999" customHeight="1" x14ac:dyDescent="0.25">
      <c r="A445" s="172">
        <v>42859</v>
      </c>
      <c r="B445" s="175" t="s">
        <v>49</v>
      </c>
      <c r="C445" s="254" t="s">
        <v>207</v>
      </c>
      <c r="D445" s="254" t="s">
        <v>208</v>
      </c>
      <c r="E445" s="254" t="s">
        <v>605</v>
      </c>
      <c r="F445" s="254" t="s">
        <v>623</v>
      </c>
      <c r="G445" s="254" t="s">
        <v>624</v>
      </c>
      <c r="H445" s="254" t="s">
        <v>605</v>
      </c>
      <c r="I445" s="254" t="s">
        <v>208</v>
      </c>
      <c r="J445" s="176"/>
      <c r="K445" s="254" t="s">
        <v>208</v>
      </c>
      <c r="L445" s="254" t="s">
        <v>625</v>
      </c>
      <c r="M445" s="176"/>
      <c r="N445" s="176"/>
      <c r="O445" s="255" t="s">
        <v>208</v>
      </c>
    </row>
    <row r="446" spans="1:15" ht="16.149999999999999" customHeight="1" x14ac:dyDescent="0.25">
      <c r="A446" s="172">
        <v>42858</v>
      </c>
      <c r="B446" s="173" t="s">
        <v>49</v>
      </c>
      <c r="C446" s="252" t="s">
        <v>207</v>
      </c>
      <c r="D446" s="252" t="s">
        <v>208</v>
      </c>
      <c r="E446" s="252" t="s">
        <v>208</v>
      </c>
      <c r="F446" s="252" t="s">
        <v>605</v>
      </c>
      <c r="G446" s="252" t="s">
        <v>626</v>
      </c>
      <c r="H446" s="252" t="s">
        <v>208</v>
      </c>
      <c r="I446" s="252" t="s">
        <v>627</v>
      </c>
      <c r="J446" s="174"/>
      <c r="K446" s="252" t="s">
        <v>208</v>
      </c>
      <c r="L446" s="252" t="s">
        <v>628</v>
      </c>
      <c r="M446" s="174"/>
      <c r="N446" s="174"/>
      <c r="O446" s="253" t="s">
        <v>208</v>
      </c>
    </row>
    <row r="447" spans="1:15" ht="16.149999999999999" customHeight="1" x14ac:dyDescent="0.25">
      <c r="A447" s="172">
        <v>42857</v>
      </c>
      <c r="B447" s="175" t="s">
        <v>49</v>
      </c>
      <c r="C447" s="254" t="s">
        <v>209</v>
      </c>
      <c r="D447" s="254" t="s">
        <v>210</v>
      </c>
      <c r="E447" s="254" t="s">
        <v>608</v>
      </c>
      <c r="F447" s="254" t="s">
        <v>629</v>
      </c>
      <c r="G447" s="254" t="s">
        <v>626</v>
      </c>
      <c r="H447" s="254" t="s">
        <v>629</v>
      </c>
      <c r="I447" s="254" t="s">
        <v>630</v>
      </c>
      <c r="J447" s="176"/>
      <c r="K447" s="254" t="s">
        <v>208</v>
      </c>
      <c r="L447" s="254" t="s">
        <v>626</v>
      </c>
      <c r="M447" s="176"/>
      <c r="N447" s="176"/>
      <c r="O447" s="255" t="s">
        <v>208</v>
      </c>
    </row>
    <row r="448" spans="1:15" ht="16.149999999999999" customHeight="1" x14ac:dyDescent="0.25">
      <c r="A448" s="172">
        <v>42853</v>
      </c>
      <c r="B448" s="173" t="s">
        <v>49</v>
      </c>
      <c r="C448" s="252" t="s">
        <v>211</v>
      </c>
      <c r="D448" s="252" t="s">
        <v>212</v>
      </c>
      <c r="E448" s="252" t="s">
        <v>631</v>
      </c>
      <c r="F448" s="252" t="s">
        <v>632</v>
      </c>
      <c r="G448" s="252" t="s">
        <v>205</v>
      </c>
      <c r="H448" s="252" t="s">
        <v>631</v>
      </c>
      <c r="I448" s="252" t="s">
        <v>633</v>
      </c>
      <c r="J448" s="174"/>
      <c r="K448" s="252" t="s">
        <v>634</v>
      </c>
      <c r="L448" s="252" t="s">
        <v>635</v>
      </c>
      <c r="M448" s="174"/>
      <c r="N448" s="174"/>
      <c r="O448" s="253" t="s">
        <v>636</v>
      </c>
    </row>
    <row r="449" spans="1:15" ht="16.149999999999999" customHeight="1" x14ac:dyDescent="0.25">
      <c r="A449" s="172">
        <v>42852</v>
      </c>
      <c r="B449" s="175" t="s">
        <v>49</v>
      </c>
      <c r="C449" s="254" t="s">
        <v>213</v>
      </c>
      <c r="D449" s="254" t="s">
        <v>214</v>
      </c>
      <c r="E449" s="254" t="s">
        <v>637</v>
      </c>
      <c r="F449" s="254" t="s">
        <v>638</v>
      </c>
      <c r="G449" s="254" t="s">
        <v>639</v>
      </c>
      <c r="H449" s="254" t="s">
        <v>640</v>
      </c>
      <c r="I449" s="254" t="s">
        <v>641</v>
      </c>
      <c r="J449" s="176"/>
      <c r="K449" s="254" t="s">
        <v>637</v>
      </c>
      <c r="L449" s="254" t="s">
        <v>642</v>
      </c>
      <c r="M449" s="176"/>
      <c r="N449" s="176"/>
      <c r="O449" s="255" t="s">
        <v>640</v>
      </c>
    </row>
    <row r="450" spans="1:15" ht="16.149999999999999" customHeight="1" x14ac:dyDescent="0.25">
      <c r="A450" s="172">
        <v>42851</v>
      </c>
      <c r="B450" s="173" t="s">
        <v>49</v>
      </c>
      <c r="C450" s="252" t="s">
        <v>215</v>
      </c>
      <c r="D450" s="252" t="s">
        <v>216</v>
      </c>
      <c r="E450" s="252" t="s">
        <v>222</v>
      </c>
      <c r="F450" s="252" t="s">
        <v>643</v>
      </c>
      <c r="G450" s="252" t="s">
        <v>641</v>
      </c>
      <c r="H450" s="252" t="s">
        <v>642</v>
      </c>
      <c r="I450" s="252" t="s">
        <v>216</v>
      </c>
      <c r="J450" s="174"/>
      <c r="K450" s="252" t="s">
        <v>222</v>
      </c>
      <c r="L450" s="252" t="s">
        <v>644</v>
      </c>
      <c r="M450" s="174"/>
      <c r="N450" s="174"/>
      <c r="O450" s="253" t="s">
        <v>645</v>
      </c>
    </row>
    <row r="451" spans="1:15" ht="16.149999999999999" customHeight="1" x14ac:dyDescent="0.25">
      <c r="A451" s="172">
        <v>42850</v>
      </c>
      <c r="B451" s="175" t="s">
        <v>49</v>
      </c>
      <c r="C451" s="254" t="s">
        <v>217</v>
      </c>
      <c r="D451" s="254" t="s">
        <v>218</v>
      </c>
      <c r="E451" s="254" t="s">
        <v>218</v>
      </c>
      <c r="F451" s="254" t="s">
        <v>646</v>
      </c>
      <c r="G451" s="254" t="s">
        <v>647</v>
      </c>
      <c r="H451" s="254" t="s">
        <v>637</v>
      </c>
      <c r="I451" s="254" t="s">
        <v>648</v>
      </c>
      <c r="J451" s="176"/>
      <c r="K451" s="254" t="s">
        <v>637</v>
      </c>
      <c r="L451" s="254" t="s">
        <v>642</v>
      </c>
      <c r="M451" s="176"/>
      <c r="N451" s="176"/>
      <c r="O451" s="255" t="s">
        <v>649</v>
      </c>
    </row>
    <row r="452" spans="1:15" ht="16.149999999999999" customHeight="1" x14ac:dyDescent="0.25">
      <c r="A452" s="172">
        <v>42849</v>
      </c>
      <c r="B452" s="173" t="s">
        <v>49</v>
      </c>
      <c r="C452" s="252" t="s">
        <v>219</v>
      </c>
      <c r="D452" s="252" t="s">
        <v>220</v>
      </c>
      <c r="E452" s="252" t="s">
        <v>209</v>
      </c>
      <c r="F452" s="252" t="s">
        <v>640</v>
      </c>
      <c r="G452" s="252" t="s">
        <v>650</v>
      </c>
      <c r="H452" s="252" t="s">
        <v>640</v>
      </c>
      <c r="I452" s="252" t="s">
        <v>651</v>
      </c>
      <c r="J452" s="174"/>
      <c r="K452" s="252" t="s">
        <v>640</v>
      </c>
      <c r="L452" s="252" t="s">
        <v>218</v>
      </c>
      <c r="M452" s="174"/>
      <c r="N452" s="174"/>
      <c r="O452" s="253" t="s">
        <v>218</v>
      </c>
    </row>
    <row r="453" spans="1:15" ht="16.149999999999999" customHeight="1" x14ac:dyDescent="0.25">
      <c r="A453" s="172">
        <v>42846</v>
      </c>
      <c r="B453" s="175" t="s">
        <v>49</v>
      </c>
      <c r="C453" s="254" t="s">
        <v>221</v>
      </c>
      <c r="D453" s="254" t="s">
        <v>222</v>
      </c>
      <c r="E453" s="254" t="s">
        <v>218</v>
      </c>
      <c r="F453" s="254" t="s">
        <v>222</v>
      </c>
      <c r="G453" s="254" t="s">
        <v>652</v>
      </c>
      <c r="H453" s="254" t="s">
        <v>642</v>
      </c>
      <c r="I453" s="254" t="s">
        <v>224</v>
      </c>
      <c r="J453" s="176"/>
      <c r="K453" s="254" t="s">
        <v>642</v>
      </c>
      <c r="L453" s="254" t="s">
        <v>222</v>
      </c>
      <c r="M453" s="176"/>
      <c r="N453" s="176"/>
      <c r="O453" s="255" t="s">
        <v>653</v>
      </c>
    </row>
    <row r="454" spans="1:15" ht="16.149999999999999" customHeight="1" x14ac:dyDescent="0.25">
      <c r="A454" s="172">
        <v>42845</v>
      </c>
      <c r="B454" s="173" t="s">
        <v>49</v>
      </c>
      <c r="C454" s="252" t="s">
        <v>223</v>
      </c>
      <c r="D454" s="252" t="s">
        <v>224</v>
      </c>
      <c r="E454" s="252" t="s">
        <v>653</v>
      </c>
      <c r="F454" s="252" t="s">
        <v>654</v>
      </c>
      <c r="G454" s="252" t="s">
        <v>644</v>
      </c>
      <c r="H454" s="252" t="s">
        <v>653</v>
      </c>
      <c r="I454" s="252" t="s">
        <v>655</v>
      </c>
      <c r="J454" s="174"/>
      <c r="K454" s="252" t="s">
        <v>653</v>
      </c>
      <c r="L454" s="252" t="s">
        <v>656</v>
      </c>
      <c r="M454" s="174"/>
      <c r="N454" s="174"/>
      <c r="O454" s="253" t="s">
        <v>654</v>
      </c>
    </row>
    <row r="455" spans="1:15" ht="16.149999999999999" customHeight="1" x14ac:dyDescent="0.25">
      <c r="A455" s="172">
        <v>42844</v>
      </c>
      <c r="B455" s="175" t="s">
        <v>49</v>
      </c>
      <c r="C455" s="254" t="s">
        <v>225</v>
      </c>
      <c r="D455" s="254" t="s">
        <v>226</v>
      </c>
      <c r="E455" s="254" t="s">
        <v>657</v>
      </c>
      <c r="F455" s="254" t="s">
        <v>644</v>
      </c>
      <c r="G455" s="254" t="s">
        <v>658</v>
      </c>
      <c r="H455" s="254" t="s">
        <v>652</v>
      </c>
      <c r="I455" s="254" t="s">
        <v>659</v>
      </c>
      <c r="J455" s="176"/>
      <c r="K455" s="254" t="s">
        <v>657</v>
      </c>
      <c r="L455" s="254" t="s">
        <v>644</v>
      </c>
      <c r="M455" s="176"/>
      <c r="N455" s="176"/>
      <c r="O455" s="255" t="s">
        <v>660</v>
      </c>
    </row>
    <row r="456" spans="1:15" ht="16.149999999999999" customHeight="1" x14ac:dyDescent="0.25">
      <c r="A456" s="172">
        <v>42843</v>
      </c>
      <c r="B456" s="173" t="s">
        <v>49</v>
      </c>
      <c r="C456" s="252" t="s">
        <v>227</v>
      </c>
      <c r="D456" s="252" t="s">
        <v>228</v>
      </c>
      <c r="E456" s="252" t="s">
        <v>661</v>
      </c>
      <c r="F456" s="252" t="s">
        <v>662</v>
      </c>
      <c r="G456" s="252" t="s">
        <v>663</v>
      </c>
      <c r="H456" s="252" t="s">
        <v>661</v>
      </c>
      <c r="I456" s="252" t="s">
        <v>664</v>
      </c>
      <c r="J456" s="174"/>
      <c r="K456" s="252" t="s">
        <v>665</v>
      </c>
      <c r="L456" s="252" t="s">
        <v>666</v>
      </c>
      <c r="M456" s="174"/>
      <c r="N456" s="174"/>
      <c r="O456" s="253" t="s">
        <v>667</v>
      </c>
    </row>
    <row r="457" spans="1:15" ht="16.149999999999999" customHeight="1" x14ac:dyDescent="0.25">
      <c r="A457" s="172">
        <v>42842</v>
      </c>
      <c r="B457" s="175" t="s">
        <v>49</v>
      </c>
      <c r="C457" s="254" t="s">
        <v>229</v>
      </c>
      <c r="D457" s="254" t="s">
        <v>230</v>
      </c>
      <c r="E457" s="254" t="s">
        <v>668</v>
      </c>
      <c r="F457" s="254" t="s">
        <v>669</v>
      </c>
      <c r="G457" s="254" t="s">
        <v>670</v>
      </c>
      <c r="H457" s="254" t="s">
        <v>670</v>
      </c>
      <c r="I457" s="254" t="s">
        <v>671</v>
      </c>
      <c r="J457" s="176"/>
      <c r="K457" s="254" t="s">
        <v>670</v>
      </c>
      <c r="L457" s="254" t="s">
        <v>669</v>
      </c>
      <c r="M457" s="176"/>
      <c r="N457" s="176"/>
      <c r="O457" s="255" t="s">
        <v>668</v>
      </c>
    </row>
    <row r="458" spans="1:15" ht="16.149999999999999" customHeight="1" x14ac:dyDescent="0.25">
      <c r="A458" s="172">
        <v>42837</v>
      </c>
      <c r="B458" s="173" t="s">
        <v>49</v>
      </c>
      <c r="C458" s="252" t="s">
        <v>231</v>
      </c>
      <c r="D458" s="252" t="s">
        <v>232</v>
      </c>
      <c r="E458" s="252" t="s">
        <v>234</v>
      </c>
      <c r="F458" s="252" t="s">
        <v>672</v>
      </c>
      <c r="G458" s="252" t="s">
        <v>672</v>
      </c>
      <c r="H458" s="252" t="s">
        <v>669</v>
      </c>
      <c r="I458" s="252" t="s">
        <v>673</v>
      </c>
      <c r="J458" s="174"/>
      <c r="K458" s="252" t="s">
        <v>668</v>
      </c>
      <c r="L458" s="252" t="s">
        <v>234</v>
      </c>
      <c r="M458" s="174"/>
      <c r="N458" s="174"/>
      <c r="O458" s="253" t="s">
        <v>234</v>
      </c>
    </row>
    <row r="459" spans="1:15" ht="16.149999999999999" customHeight="1" x14ac:dyDescent="0.25">
      <c r="A459" s="172">
        <v>42836</v>
      </c>
      <c r="B459" s="175" t="s">
        <v>49</v>
      </c>
      <c r="C459" s="254" t="s">
        <v>233</v>
      </c>
      <c r="D459" s="254" t="s">
        <v>234</v>
      </c>
      <c r="E459" s="254" t="s">
        <v>234</v>
      </c>
      <c r="F459" s="254" t="s">
        <v>668</v>
      </c>
      <c r="G459" s="254" t="s">
        <v>232</v>
      </c>
      <c r="H459" s="254" t="s">
        <v>668</v>
      </c>
      <c r="I459" s="254" t="s">
        <v>674</v>
      </c>
      <c r="J459" s="176"/>
      <c r="K459" s="254" t="s">
        <v>234</v>
      </c>
      <c r="L459" s="254" t="s">
        <v>234</v>
      </c>
      <c r="M459" s="176"/>
      <c r="N459" s="176"/>
      <c r="O459" s="255" t="s">
        <v>234</v>
      </c>
    </row>
    <row r="460" spans="1:15" ht="16.149999999999999" customHeight="1" x14ac:dyDescent="0.25">
      <c r="A460" s="172">
        <v>42835</v>
      </c>
      <c r="B460" s="173" t="s">
        <v>49</v>
      </c>
      <c r="C460" s="252" t="s">
        <v>235</v>
      </c>
      <c r="D460" s="252" t="s">
        <v>236</v>
      </c>
      <c r="E460" s="252" t="s">
        <v>242</v>
      </c>
      <c r="F460" s="252" t="s">
        <v>668</v>
      </c>
      <c r="G460" s="252" t="s">
        <v>672</v>
      </c>
      <c r="H460" s="252" t="s">
        <v>668</v>
      </c>
      <c r="I460" s="252" t="s">
        <v>675</v>
      </c>
      <c r="J460" s="174"/>
      <c r="K460" s="252" t="s">
        <v>232</v>
      </c>
      <c r="L460" s="252" t="s">
        <v>669</v>
      </c>
      <c r="M460" s="174"/>
      <c r="N460" s="174"/>
      <c r="O460" s="253" t="s">
        <v>676</v>
      </c>
    </row>
    <row r="461" spans="1:15" ht="16.149999999999999" customHeight="1" x14ac:dyDescent="0.25">
      <c r="A461" s="172">
        <v>42832</v>
      </c>
      <c r="B461" s="175" t="s">
        <v>49</v>
      </c>
      <c r="C461" s="254" t="s">
        <v>237</v>
      </c>
      <c r="D461" s="254" t="s">
        <v>238</v>
      </c>
      <c r="E461" s="254" t="s">
        <v>242</v>
      </c>
      <c r="F461" s="254" t="s">
        <v>668</v>
      </c>
      <c r="G461" s="254" t="s">
        <v>677</v>
      </c>
      <c r="H461" s="254" t="s">
        <v>234</v>
      </c>
      <c r="I461" s="254" t="s">
        <v>678</v>
      </c>
      <c r="J461" s="176"/>
      <c r="K461" s="254" t="s">
        <v>238</v>
      </c>
      <c r="L461" s="254" t="s">
        <v>679</v>
      </c>
      <c r="M461" s="176"/>
      <c r="N461" s="176"/>
      <c r="O461" s="255" t="s">
        <v>680</v>
      </c>
    </row>
    <row r="462" spans="1:15" ht="16.149999999999999" customHeight="1" x14ac:dyDescent="0.25">
      <c r="A462" s="172">
        <v>42831</v>
      </c>
      <c r="B462" s="173" t="s">
        <v>49</v>
      </c>
      <c r="C462" s="252" t="s">
        <v>239</v>
      </c>
      <c r="D462" s="252" t="s">
        <v>240</v>
      </c>
      <c r="E462" s="252" t="s">
        <v>669</v>
      </c>
      <c r="F462" s="252" t="s">
        <v>671</v>
      </c>
      <c r="G462" s="252" t="s">
        <v>672</v>
      </c>
      <c r="H462" s="252" t="s">
        <v>669</v>
      </c>
      <c r="I462" s="252" t="s">
        <v>681</v>
      </c>
      <c r="J462" s="174"/>
      <c r="K462" s="252" t="s">
        <v>669</v>
      </c>
      <c r="L462" s="252" t="s">
        <v>672</v>
      </c>
      <c r="M462" s="174"/>
      <c r="N462" s="174"/>
      <c r="O462" s="253" t="s">
        <v>682</v>
      </c>
    </row>
    <row r="463" spans="1:15" ht="16.149999999999999" customHeight="1" x14ac:dyDescent="0.25">
      <c r="A463" s="172">
        <v>42830</v>
      </c>
      <c r="B463" s="175" t="s">
        <v>49</v>
      </c>
      <c r="C463" s="254" t="s">
        <v>241</v>
      </c>
      <c r="D463" s="254" t="s">
        <v>242</v>
      </c>
      <c r="E463" s="254" t="s">
        <v>242</v>
      </c>
      <c r="F463" s="254" t="s">
        <v>683</v>
      </c>
      <c r="G463" s="254" t="s">
        <v>684</v>
      </c>
      <c r="H463" s="254" t="s">
        <v>242</v>
      </c>
      <c r="I463" s="254" t="s">
        <v>680</v>
      </c>
      <c r="J463" s="176"/>
      <c r="K463" s="254" t="s">
        <v>238</v>
      </c>
      <c r="L463" s="254" t="s">
        <v>672</v>
      </c>
      <c r="M463" s="176"/>
      <c r="N463" s="176"/>
      <c r="O463" s="255" t="s">
        <v>223</v>
      </c>
    </row>
    <row r="464" spans="1:15" ht="16.149999999999999" customHeight="1" x14ac:dyDescent="0.25">
      <c r="A464" s="172">
        <v>42829</v>
      </c>
      <c r="B464" s="173" t="s">
        <v>49</v>
      </c>
      <c r="C464" s="252" t="s">
        <v>243</v>
      </c>
      <c r="D464" s="252" t="s">
        <v>244</v>
      </c>
      <c r="E464" s="252" t="s">
        <v>685</v>
      </c>
      <c r="F464" s="252" t="s">
        <v>683</v>
      </c>
      <c r="G464" s="252" t="s">
        <v>686</v>
      </c>
      <c r="H464" s="252" t="s">
        <v>686</v>
      </c>
      <c r="I464" s="252" t="s">
        <v>687</v>
      </c>
      <c r="J464" s="174"/>
      <c r="K464" s="252" t="s">
        <v>679</v>
      </c>
      <c r="L464" s="252" t="s">
        <v>234</v>
      </c>
      <c r="M464" s="174"/>
      <c r="N464" s="174"/>
      <c r="O464" s="253" t="s">
        <v>688</v>
      </c>
    </row>
    <row r="465" spans="1:15" ht="16.149999999999999" customHeight="1" x14ac:dyDescent="0.25">
      <c r="A465" s="172">
        <v>42828</v>
      </c>
      <c r="B465" s="175" t="s">
        <v>49</v>
      </c>
      <c r="C465" s="254" t="s">
        <v>245</v>
      </c>
      <c r="D465" s="254" t="s">
        <v>246</v>
      </c>
      <c r="E465" s="254" t="s">
        <v>689</v>
      </c>
      <c r="F465" s="254" t="s">
        <v>690</v>
      </c>
      <c r="G465" s="254" t="s">
        <v>687</v>
      </c>
      <c r="H465" s="254" t="s">
        <v>689</v>
      </c>
      <c r="I465" s="254" t="s">
        <v>691</v>
      </c>
      <c r="J465" s="176"/>
      <c r="K465" s="254" t="s">
        <v>685</v>
      </c>
      <c r="L465" s="254" t="s">
        <v>242</v>
      </c>
      <c r="M465" s="176"/>
      <c r="N465" s="176"/>
      <c r="O465" s="255" t="s">
        <v>692</v>
      </c>
    </row>
    <row r="466" spans="1:15" ht="16.149999999999999" customHeight="1" x14ac:dyDescent="0.25">
      <c r="A466" s="172">
        <v>42825</v>
      </c>
      <c r="B466" s="173" t="s">
        <v>49</v>
      </c>
      <c r="C466" s="252" t="s">
        <v>247</v>
      </c>
      <c r="D466" s="252" t="s">
        <v>248</v>
      </c>
      <c r="E466" s="252" t="s">
        <v>689</v>
      </c>
      <c r="F466" s="252" t="s">
        <v>250</v>
      </c>
      <c r="G466" s="252" t="s">
        <v>693</v>
      </c>
      <c r="H466" s="252" t="s">
        <v>248</v>
      </c>
      <c r="I466" s="252" t="s">
        <v>694</v>
      </c>
      <c r="J466" s="174"/>
      <c r="K466" s="252" t="s">
        <v>248</v>
      </c>
      <c r="L466" s="252" t="s">
        <v>685</v>
      </c>
      <c r="M466" s="174"/>
      <c r="N466" s="174"/>
      <c r="O466" s="253" t="s">
        <v>695</v>
      </c>
    </row>
    <row r="467" spans="1:15" ht="16.149999999999999" customHeight="1" x14ac:dyDescent="0.25">
      <c r="A467" s="172">
        <v>42824</v>
      </c>
      <c r="B467" s="175" t="s">
        <v>49</v>
      </c>
      <c r="C467" s="254" t="s">
        <v>249</v>
      </c>
      <c r="D467" s="254" t="s">
        <v>250</v>
      </c>
      <c r="E467" s="254" t="s">
        <v>696</v>
      </c>
      <c r="F467" s="254" t="s">
        <v>250</v>
      </c>
      <c r="G467" s="254" t="s">
        <v>250</v>
      </c>
      <c r="H467" s="254" t="s">
        <v>697</v>
      </c>
      <c r="I467" s="254" t="s">
        <v>698</v>
      </c>
      <c r="J467" s="176"/>
      <c r="K467" s="254" t="s">
        <v>248</v>
      </c>
      <c r="L467" s="254" t="s">
        <v>689</v>
      </c>
      <c r="M467" s="176"/>
      <c r="N467" s="176"/>
      <c r="O467" s="255" t="s">
        <v>699</v>
      </c>
    </row>
    <row r="468" spans="1:15" ht="16.149999999999999" customHeight="1" x14ac:dyDescent="0.25">
      <c r="A468" s="172">
        <v>42823</v>
      </c>
      <c r="B468" s="173" t="s">
        <v>49</v>
      </c>
      <c r="C468" s="252" t="s">
        <v>251</v>
      </c>
      <c r="D468" s="252" t="s">
        <v>252</v>
      </c>
      <c r="E468" s="252" t="s">
        <v>248</v>
      </c>
      <c r="F468" s="252" t="s">
        <v>700</v>
      </c>
      <c r="G468" s="252" t="s">
        <v>699</v>
      </c>
      <c r="H468" s="252" t="s">
        <v>696</v>
      </c>
      <c r="I468" s="252" t="s">
        <v>701</v>
      </c>
      <c r="J468" s="174"/>
      <c r="K468" s="252" t="s">
        <v>702</v>
      </c>
      <c r="L468" s="252" t="s">
        <v>689</v>
      </c>
      <c r="M468" s="174"/>
      <c r="N468" s="174"/>
      <c r="O468" s="253" t="s">
        <v>703</v>
      </c>
    </row>
    <row r="469" spans="1:15" ht="16.149999999999999" customHeight="1" x14ac:dyDescent="0.25">
      <c r="A469" s="172">
        <v>42822</v>
      </c>
      <c r="B469" s="175" t="s">
        <v>49</v>
      </c>
      <c r="C469" s="254" t="s">
        <v>253</v>
      </c>
      <c r="D469" s="254" t="s">
        <v>254</v>
      </c>
      <c r="E469" s="254" t="s">
        <v>696</v>
      </c>
      <c r="F469" s="254" t="s">
        <v>700</v>
      </c>
      <c r="G469" s="254" t="s">
        <v>704</v>
      </c>
      <c r="H469" s="254" t="s">
        <v>696</v>
      </c>
      <c r="I469" s="254" t="s">
        <v>705</v>
      </c>
      <c r="J469" s="176"/>
      <c r="K469" s="254" t="s">
        <v>700</v>
      </c>
      <c r="L469" s="254" t="s">
        <v>248</v>
      </c>
      <c r="M469" s="176"/>
      <c r="N469" s="176"/>
      <c r="O469" s="255" t="s">
        <v>702</v>
      </c>
    </row>
    <row r="470" spans="1:15" ht="16.149999999999999" customHeight="1" x14ac:dyDescent="0.25">
      <c r="A470" s="172">
        <v>42821</v>
      </c>
      <c r="B470" s="173" t="s">
        <v>49</v>
      </c>
      <c r="C470" s="252" t="s">
        <v>255</v>
      </c>
      <c r="D470" s="252" t="s">
        <v>256</v>
      </c>
      <c r="E470" s="252" t="s">
        <v>706</v>
      </c>
      <c r="F470" s="252" t="s">
        <v>700</v>
      </c>
      <c r="G470" s="252" t="s">
        <v>703</v>
      </c>
      <c r="H470" s="252" t="s">
        <v>700</v>
      </c>
      <c r="I470" s="252" t="s">
        <v>707</v>
      </c>
      <c r="J470" s="174"/>
      <c r="K470" s="252" t="s">
        <v>700</v>
      </c>
      <c r="L470" s="252" t="s">
        <v>696</v>
      </c>
      <c r="M470" s="174"/>
      <c r="N470" s="174"/>
      <c r="O470" s="253" t="s">
        <v>706</v>
      </c>
    </row>
    <row r="471" spans="1:15" ht="16.149999999999999" customHeight="1" x14ac:dyDescent="0.25">
      <c r="A471" s="172">
        <v>42818</v>
      </c>
      <c r="B471" s="175" t="s">
        <v>49</v>
      </c>
      <c r="C471" s="254" t="s">
        <v>257</v>
      </c>
      <c r="D471" s="254" t="s">
        <v>258</v>
      </c>
      <c r="E471" s="254" t="s">
        <v>234</v>
      </c>
      <c r="F471" s="254" t="s">
        <v>242</v>
      </c>
      <c r="G471" s="254" t="s">
        <v>238</v>
      </c>
      <c r="H471" s="254" t="s">
        <v>234</v>
      </c>
      <c r="I471" s="254" t="s">
        <v>708</v>
      </c>
      <c r="J471" s="176"/>
      <c r="K471" s="254" t="s">
        <v>238</v>
      </c>
      <c r="L471" s="254" t="s">
        <v>668</v>
      </c>
      <c r="M471" s="176"/>
      <c r="N471" s="176"/>
      <c r="O471" s="255" t="s">
        <v>223</v>
      </c>
    </row>
    <row r="472" spans="1:15" ht="16.149999999999999" customHeight="1" x14ac:dyDescent="0.25">
      <c r="A472" s="172">
        <v>42817</v>
      </c>
      <c r="B472" s="173" t="s">
        <v>49</v>
      </c>
      <c r="C472" s="252" t="s">
        <v>241</v>
      </c>
      <c r="D472" s="252" t="s">
        <v>259</v>
      </c>
      <c r="E472" s="252" t="s">
        <v>242</v>
      </c>
      <c r="F472" s="252" t="s">
        <v>709</v>
      </c>
      <c r="G472" s="252" t="s">
        <v>686</v>
      </c>
      <c r="H472" s="252" t="s">
        <v>242</v>
      </c>
      <c r="I472" s="252" t="s">
        <v>259</v>
      </c>
      <c r="J472" s="174"/>
      <c r="K472" s="252" t="s">
        <v>685</v>
      </c>
      <c r="L472" s="252" t="s">
        <v>242</v>
      </c>
      <c r="M472" s="174"/>
      <c r="N472" s="174"/>
      <c r="O472" s="253" t="s">
        <v>685</v>
      </c>
    </row>
    <row r="473" spans="1:15" ht="16.149999999999999" customHeight="1" x14ac:dyDescent="0.25">
      <c r="A473" s="172">
        <v>42816</v>
      </c>
      <c r="B473" s="175" t="s">
        <v>49</v>
      </c>
      <c r="C473" s="254" t="s">
        <v>260</v>
      </c>
      <c r="D473" s="254" t="s">
        <v>261</v>
      </c>
      <c r="E473" s="254" t="s">
        <v>248</v>
      </c>
      <c r="F473" s="254" t="s">
        <v>710</v>
      </c>
      <c r="G473" s="254" t="s">
        <v>702</v>
      </c>
      <c r="H473" s="254" t="s">
        <v>706</v>
      </c>
      <c r="I473" s="254" t="s">
        <v>697</v>
      </c>
      <c r="J473" s="176"/>
      <c r="K473" s="254" t="s">
        <v>696</v>
      </c>
      <c r="L473" s="254" t="s">
        <v>248</v>
      </c>
      <c r="M473" s="176"/>
      <c r="N473" s="176"/>
      <c r="O473" s="255" t="s">
        <v>711</v>
      </c>
    </row>
    <row r="474" spans="1:15" ht="16.149999999999999" customHeight="1" x14ac:dyDescent="0.25">
      <c r="A474" s="172">
        <v>42815</v>
      </c>
      <c r="B474" s="173" t="s">
        <v>49</v>
      </c>
      <c r="C474" s="252" t="s">
        <v>262</v>
      </c>
      <c r="D474" s="252" t="s">
        <v>263</v>
      </c>
      <c r="E474" s="252" t="s">
        <v>700</v>
      </c>
      <c r="F474" s="252" t="s">
        <v>712</v>
      </c>
      <c r="G474" s="252" t="s">
        <v>707</v>
      </c>
      <c r="H474" s="252" t="s">
        <v>707</v>
      </c>
      <c r="I474" s="252" t="s">
        <v>713</v>
      </c>
      <c r="J474" s="174"/>
      <c r="K474" s="252" t="s">
        <v>711</v>
      </c>
      <c r="L474" s="252" t="s">
        <v>696</v>
      </c>
      <c r="M474" s="174"/>
      <c r="N474" s="174"/>
      <c r="O474" s="253" t="s">
        <v>714</v>
      </c>
    </row>
    <row r="475" spans="1:15" ht="16.149999999999999" customHeight="1" x14ac:dyDescent="0.25">
      <c r="A475" s="172">
        <v>42811</v>
      </c>
      <c r="B475" s="175" t="s">
        <v>49</v>
      </c>
      <c r="C475" s="254" t="s">
        <v>264</v>
      </c>
      <c r="D475" s="254" t="s">
        <v>265</v>
      </c>
      <c r="E475" s="254" t="s">
        <v>707</v>
      </c>
      <c r="F475" s="254" t="s">
        <v>715</v>
      </c>
      <c r="G475" s="254" t="s">
        <v>716</v>
      </c>
      <c r="H475" s="254" t="s">
        <v>265</v>
      </c>
      <c r="I475" s="254" t="s">
        <v>717</v>
      </c>
      <c r="J475" s="176"/>
      <c r="K475" s="254" t="s">
        <v>265</v>
      </c>
      <c r="L475" s="254" t="s">
        <v>700</v>
      </c>
      <c r="M475" s="176"/>
      <c r="N475" s="176"/>
      <c r="O475" s="255" t="s">
        <v>718</v>
      </c>
    </row>
    <row r="476" spans="1:15" ht="16.149999999999999" customHeight="1" x14ac:dyDescent="0.25">
      <c r="A476" s="172">
        <v>42810</v>
      </c>
      <c r="B476" s="173" t="s">
        <v>49</v>
      </c>
      <c r="C476" s="252" t="s">
        <v>266</v>
      </c>
      <c r="D476" s="252" t="s">
        <v>267</v>
      </c>
      <c r="E476" s="252" t="s">
        <v>267</v>
      </c>
      <c r="F476" s="252" t="s">
        <v>719</v>
      </c>
      <c r="G476" s="252" t="s">
        <v>720</v>
      </c>
      <c r="H476" s="252" t="s">
        <v>267</v>
      </c>
      <c r="I476" s="252" t="s">
        <v>721</v>
      </c>
      <c r="J476" s="174"/>
      <c r="K476" s="252" t="s">
        <v>267</v>
      </c>
      <c r="L476" s="252" t="s">
        <v>722</v>
      </c>
      <c r="M476" s="174"/>
      <c r="N476" s="174"/>
      <c r="O476" s="253" t="s">
        <v>723</v>
      </c>
    </row>
    <row r="477" spans="1:15" ht="16.149999999999999" customHeight="1" x14ac:dyDescent="0.25">
      <c r="A477" s="172">
        <v>42809</v>
      </c>
      <c r="B477" s="175" t="s">
        <v>49</v>
      </c>
      <c r="C477" s="254" t="s">
        <v>268</v>
      </c>
      <c r="D477" s="254" t="s">
        <v>229</v>
      </c>
      <c r="E477" s="254" t="s">
        <v>229</v>
      </c>
      <c r="F477" s="254" t="s">
        <v>724</v>
      </c>
      <c r="G477" s="254" t="s">
        <v>725</v>
      </c>
      <c r="H477" s="254" t="s">
        <v>229</v>
      </c>
      <c r="I477" s="254" t="s">
        <v>723</v>
      </c>
      <c r="J477" s="176"/>
      <c r="K477" s="254" t="s">
        <v>229</v>
      </c>
      <c r="L477" s="254" t="s">
        <v>726</v>
      </c>
      <c r="M477" s="176"/>
      <c r="N477" s="176"/>
      <c r="O477" s="255" t="s">
        <v>727</v>
      </c>
    </row>
    <row r="478" spans="1:15" ht="16.149999999999999" customHeight="1" x14ac:dyDescent="0.25">
      <c r="A478" s="172">
        <v>42808</v>
      </c>
      <c r="B478" s="173" t="s">
        <v>49</v>
      </c>
      <c r="C478" s="252" t="s">
        <v>269</v>
      </c>
      <c r="D478" s="252" t="s">
        <v>270</v>
      </c>
      <c r="E478" s="252" t="s">
        <v>728</v>
      </c>
      <c r="F478" s="252" t="s">
        <v>729</v>
      </c>
      <c r="G478" s="252" t="s">
        <v>730</v>
      </c>
      <c r="H478" s="252" t="s">
        <v>731</v>
      </c>
      <c r="I478" s="252" t="s">
        <v>732</v>
      </c>
      <c r="J478" s="174"/>
      <c r="K478" s="252" t="s">
        <v>733</v>
      </c>
      <c r="L478" s="252" t="s">
        <v>728</v>
      </c>
      <c r="M478" s="174"/>
      <c r="N478" s="174"/>
      <c r="O478" s="253" t="s">
        <v>272</v>
      </c>
    </row>
    <row r="479" spans="1:15" ht="16.149999999999999" customHeight="1" x14ac:dyDescent="0.25">
      <c r="A479" s="172">
        <v>42807</v>
      </c>
      <c r="B479" s="175" t="s">
        <v>49</v>
      </c>
      <c r="C479" s="254" t="s">
        <v>271</v>
      </c>
      <c r="D479" s="254" t="s">
        <v>272</v>
      </c>
      <c r="E479" s="254" t="s">
        <v>733</v>
      </c>
      <c r="F479" s="254" t="s">
        <v>731</v>
      </c>
      <c r="G479" s="254" t="s">
        <v>734</v>
      </c>
      <c r="H479" s="254" t="s">
        <v>733</v>
      </c>
      <c r="I479" s="254" t="s">
        <v>735</v>
      </c>
      <c r="J479" s="176"/>
      <c r="K479" s="254" t="s">
        <v>731</v>
      </c>
      <c r="L479" s="254" t="s">
        <v>731</v>
      </c>
      <c r="M479" s="176"/>
      <c r="N479" s="176"/>
      <c r="O479" s="255" t="s">
        <v>733</v>
      </c>
    </row>
    <row r="480" spans="1:15" ht="16.149999999999999" customHeight="1" x14ac:dyDescent="0.25">
      <c r="A480" s="172">
        <v>42804</v>
      </c>
      <c r="B480" s="173" t="s">
        <v>49</v>
      </c>
      <c r="C480" s="252" t="s">
        <v>273</v>
      </c>
      <c r="D480" s="252" t="s">
        <v>274</v>
      </c>
      <c r="E480" s="252" t="s">
        <v>736</v>
      </c>
      <c r="F480" s="252" t="s">
        <v>737</v>
      </c>
      <c r="G480" s="252" t="s">
        <v>279</v>
      </c>
      <c r="H480" s="252" t="s">
        <v>736</v>
      </c>
      <c r="I480" s="252" t="s">
        <v>738</v>
      </c>
      <c r="J480" s="174"/>
      <c r="K480" s="252" t="s">
        <v>736</v>
      </c>
      <c r="L480" s="252" t="s">
        <v>733</v>
      </c>
      <c r="M480" s="174"/>
      <c r="N480" s="174"/>
      <c r="O480" s="253" t="s">
        <v>739</v>
      </c>
    </row>
    <row r="481" spans="1:15" ht="16.149999999999999" customHeight="1" x14ac:dyDescent="0.25">
      <c r="A481" s="172">
        <v>42803</v>
      </c>
      <c r="B481" s="175" t="s">
        <v>49</v>
      </c>
      <c r="C481" s="254" t="s">
        <v>275</v>
      </c>
      <c r="D481" s="254" t="s">
        <v>245</v>
      </c>
      <c r="E481" s="254" t="s">
        <v>739</v>
      </c>
      <c r="F481" s="254" t="s">
        <v>277</v>
      </c>
      <c r="G481" s="254" t="s">
        <v>249</v>
      </c>
      <c r="H481" s="254" t="s">
        <v>739</v>
      </c>
      <c r="I481" s="254" t="s">
        <v>243</v>
      </c>
      <c r="J481" s="176"/>
      <c r="K481" s="254" t="s">
        <v>740</v>
      </c>
      <c r="L481" s="254" t="s">
        <v>733</v>
      </c>
      <c r="M481" s="176"/>
      <c r="N481" s="176"/>
      <c r="O481" s="255" t="s">
        <v>740</v>
      </c>
    </row>
    <row r="482" spans="1:15" ht="16.149999999999999" customHeight="1" x14ac:dyDescent="0.25">
      <c r="A482" s="172">
        <v>42802</v>
      </c>
      <c r="B482" s="173" t="s">
        <v>49</v>
      </c>
      <c r="C482" s="252" t="s">
        <v>276</v>
      </c>
      <c r="D482" s="252" t="s">
        <v>277</v>
      </c>
      <c r="E482" s="252" t="s">
        <v>277</v>
      </c>
      <c r="F482" s="252" t="s">
        <v>741</v>
      </c>
      <c r="G482" s="252" t="s">
        <v>279</v>
      </c>
      <c r="H482" s="252" t="s">
        <v>277</v>
      </c>
      <c r="I482" s="252" t="s">
        <v>736</v>
      </c>
      <c r="J482" s="174"/>
      <c r="K482" s="252" t="s">
        <v>277</v>
      </c>
      <c r="L482" s="252" t="s">
        <v>736</v>
      </c>
      <c r="M482" s="174"/>
      <c r="N482" s="174"/>
      <c r="O482" s="253" t="s">
        <v>277</v>
      </c>
    </row>
    <row r="483" spans="1:15" ht="16.149999999999999" customHeight="1" x14ac:dyDescent="0.25">
      <c r="A483" s="172">
        <v>42801</v>
      </c>
      <c r="B483" s="175" t="s">
        <v>49</v>
      </c>
      <c r="C483" s="254" t="s">
        <v>278</v>
      </c>
      <c r="D483" s="254" t="s">
        <v>279</v>
      </c>
      <c r="E483" s="254" t="s">
        <v>279</v>
      </c>
      <c r="F483" s="254" t="s">
        <v>742</v>
      </c>
      <c r="G483" s="254" t="s">
        <v>743</v>
      </c>
      <c r="H483" s="254" t="s">
        <v>744</v>
      </c>
      <c r="I483" s="254" t="s">
        <v>745</v>
      </c>
      <c r="J483" s="176"/>
      <c r="K483" s="254" t="s">
        <v>249</v>
      </c>
      <c r="L483" s="254" t="s">
        <v>733</v>
      </c>
      <c r="M483" s="176"/>
      <c r="N483" s="176"/>
      <c r="O483" s="255" t="s">
        <v>279</v>
      </c>
    </row>
    <row r="484" spans="1:15" ht="16.149999999999999" customHeight="1" x14ac:dyDescent="0.25">
      <c r="A484" s="172">
        <v>42800</v>
      </c>
      <c r="B484" s="173" t="s">
        <v>49</v>
      </c>
      <c r="C484" s="252" t="s">
        <v>280</v>
      </c>
      <c r="D484" s="252" t="s">
        <v>251</v>
      </c>
      <c r="E484" s="252" t="s">
        <v>277</v>
      </c>
      <c r="F484" s="252" t="s">
        <v>744</v>
      </c>
      <c r="G484" s="252" t="s">
        <v>255</v>
      </c>
      <c r="H484" s="252" t="s">
        <v>744</v>
      </c>
      <c r="I484" s="252" t="s">
        <v>746</v>
      </c>
      <c r="J484" s="174"/>
      <c r="K484" s="252" t="s">
        <v>249</v>
      </c>
      <c r="L484" s="252" t="s">
        <v>739</v>
      </c>
      <c r="M484" s="174"/>
      <c r="N484" s="174"/>
      <c r="O484" s="253" t="s">
        <v>747</v>
      </c>
    </row>
    <row r="485" spans="1:15" ht="16.149999999999999" customHeight="1" x14ac:dyDescent="0.25">
      <c r="A485" s="172">
        <v>42797</v>
      </c>
      <c r="B485" s="175" t="s">
        <v>49</v>
      </c>
      <c r="C485" s="254" t="s">
        <v>281</v>
      </c>
      <c r="D485" s="254" t="s">
        <v>282</v>
      </c>
      <c r="E485" s="254" t="s">
        <v>748</v>
      </c>
      <c r="F485" s="254" t="s">
        <v>749</v>
      </c>
      <c r="G485" s="254" t="s">
        <v>750</v>
      </c>
      <c r="H485" s="254" t="s">
        <v>748</v>
      </c>
      <c r="I485" s="254" t="s">
        <v>751</v>
      </c>
      <c r="J485" s="176"/>
      <c r="K485" s="254" t="s">
        <v>752</v>
      </c>
      <c r="L485" s="254" t="s">
        <v>753</v>
      </c>
      <c r="M485" s="176"/>
      <c r="N485" s="176"/>
      <c r="O485" s="255" t="s">
        <v>754</v>
      </c>
    </row>
    <row r="486" spans="1:15" ht="16.149999999999999" customHeight="1" x14ac:dyDescent="0.25">
      <c r="A486" s="172">
        <v>42796</v>
      </c>
      <c r="B486" s="173" t="s">
        <v>49</v>
      </c>
      <c r="C486" s="252" t="s">
        <v>283</v>
      </c>
      <c r="D486" s="252" t="s">
        <v>284</v>
      </c>
      <c r="E486" s="252" t="s">
        <v>755</v>
      </c>
      <c r="F486" s="252" t="s">
        <v>756</v>
      </c>
      <c r="G486" s="252" t="s">
        <v>757</v>
      </c>
      <c r="H486" s="252" t="s">
        <v>286</v>
      </c>
      <c r="I486" s="252" t="s">
        <v>758</v>
      </c>
      <c r="J486" s="174"/>
      <c r="K486" s="252" t="s">
        <v>750</v>
      </c>
      <c r="L486" s="252" t="s">
        <v>748</v>
      </c>
      <c r="M486" s="174"/>
      <c r="N486" s="174"/>
      <c r="O486" s="253" t="s">
        <v>750</v>
      </c>
    </row>
    <row r="487" spans="1:15" ht="16.149999999999999" customHeight="1" x14ac:dyDescent="0.25">
      <c r="A487" s="172">
        <v>42795</v>
      </c>
      <c r="B487" s="175" t="s">
        <v>49</v>
      </c>
      <c r="C487" s="254" t="s">
        <v>285</v>
      </c>
      <c r="D487" s="254" t="s">
        <v>286</v>
      </c>
      <c r="E487" s="254" t="s">
        <v>286</v>
      </c>
      <c r="F487" s="254" t="s">
        <v>286</v>
      </c>
      <c r="G487" s="254" t="s">
        <v>757</v>
      </c>
      <c r="H487" s="254" t="s">
        <v>759</v>
      </c>
      <c r="I487" s="254" t="s">
        <v>760</v>
      </c>
      <c r="J487" s="176"/>
      <c r="K487" s="254" t="s">
        <v>286</v>
      </c>
      <c r="L487" s="254" t="s">
        <v>750</v>
      </c>
      <c r="M487" s="176"/>
      <c r="N487" s="176"/>
      <c r="O487" s="255" t="s">
        <v>286</v>
      </c>
    </row>
    <row r="488" spans="1:15" ht="16.149999999999999" customHeight="1" x14ac:dyDescent="0.25">
      <c r="A488" s="172">
        <v>42794</v>
      </c>
      <c r="B488" s="173" t="s">
        <v>49</v>
      </c>
      <c r="C488" s="252" t="s">
        <v>287</v>
      </c>
      <c r="D488" s="252" t="s">
        <v>288</v>
      </c>
      <c r="E488" s="252" t="s">
        <v>759</v>
      </c>
      <c r="F488" s="252" t="s">
        <v>761</v>
      </c>
      <c r="G488" s="252" t="s">
        <v>759</v>
      </c>
      <c r="H488" s="252" t="s">
        <v>762</v>
      </c>
      <c r="I488" s="252" t="s">
        <v>763</v>
      </c>
      <c r="J488" s="174"/>
      <c r="K488" s="252" t="s">
        <v>759</v>
      </c>
      <c r="L488" s="252" t="s">
        <v>286</v>
      </c>
      <c r="M488" s="174"/>
      <c r="N488" s="174"/>
      <c r="O488" s="253" t="s">
        <v>764</v>
      </c>
    </row>
    <row r="489" spans="1:15" ht="16.149999999999999" customHeight="1" x14ac:dyDescent="0.25">
      <c r="A489" s="172">
        <v>42793</v>
      </c>
      <c r="B489" s="175" t="s">
        <v>49</v>
      </c>
      <c r="C489" s="254" t="s">
        <v>289</v>
      </c>
      <c r="D489" s="254" t="s">
        <v>290</v>
      </c>
      <c r="E489" s="254" t="s">
        <v>755</v>
      </c>
      <c r="F489" s="254" t="s">
        <v>755</v>
      </c>
      <c r="G489" s="254" t="s">
        <v>765</v>
      </c>
      <c r="H489" s="254" t="s">
        <v>286</v>
      </c>
      <c r="I489" s="254" t="s">
        <v>766</v>
      </c>
      <c r="J489" s="176"/>
      <c r="K489" s="254" t="s">
        <v>767</v>
      </c>
      <c r="L489" s="254" t="s">
        <v>755</v>
      </c>
      <c r="M489" s="176"/>
      <c r="N489" s="176"/>
      <c r="O489" s="255" t="s">
        <v>286</v>
      </c>
    </row>
    <row r="490" spans="1:15" ht="16.149999999999999" customHeight="1" x14ac:dyDescent="0.25">
      <c r="A490" s="172">
        <v>42790</v>
      </c>
      <c r="B490" s="173" t="s">
        <v>49</v>
      </c>
      <c r="C490" s="252" t="s">
        <v>291</v>
      </c>
      <c r="D490" s="252" t="s">
        <v>292</v>
      </c>
      <c r="E490" s="252" t="s">
        <v>768</v>
      </c>
      <c r="F490" s="252" t="s">
        <v>769</v>
      </c>
      <c r="G490" s="252" t="s">
        <v>770</v>
      </c>
      <c r="H490" s="252" t="s">
        <v>771</v>
      </c>
      <c r="I490" s="252" t="s">
        <v>769</v>
      </c>
      <c r="J490" s="174"/>
      <c r="K490" s="252" t="s">
        <v>772</v>
      </c>
      <c r="L490" s="252" t="s">
        <v>769</v>
      </c>
      <c r="M490" s="174"/>
      <c r="N490" s="174"/>
      <c r="O490" s="253" t="s">
        <v>771</v>
      </c>
    </row>
    <row r="491" spans="1:15" ht="16.149999999999999" customHeight="1" x14ac:dyDescent="0.25">
      <c r="A491" s="172">
        <v>42789</v>
      </c>
      <c r="B491" s="175" t="s">
        <v>49</v>
      </c>
      <c r="C491" s="254" t="s">
        <v>293</v>
      </c>
      <c r="D491" s="254" t="s">
        <v>294</v>
      </c>
      <c r="E491" s="254" t="s">
        <v>294</v>
      </c>
      <c r="F491" s="254" t="s">
        <v>769</v>
      </c>
      <c r="G491" s="254" t="s">
        <v>772</v>
      </c>
      <c r="H491" s="254" t="s">
        <v>294</v>
      </c>
      <c r="I491" s="254" t="s">
        <v>773</v>
      </c>
      <c r="J491" s="176"/>
      <c r="K491" s="254" t="s">
        <v>774</v>
      </c>
      <c r="L491" s="254" t="s">
        <v>769</v>
      </c>
      <c r="M491" s="176"/>
      <c r="N491" s="176"/>
      <c r="O491" s="255" t="s">
        <v>294</v>
      </c>
    </row>
    <row r="492" spans="1:15" ht="16.149999999999999" customHeight="1" x14ac:dyDescent="0.25">
      <c r="A492" s="172">
        <v>42788</v>
      </c>
      <c r="B492" s="173" t="s">
        <v>49</v>
      </c>
      <c r="C492" s="252" t="s">
        <v>293</v>
      </c>
      <c r="D492" s="252" t="s">
        <v>294</v>
      </c>
      <c r="E492" s="252" t="s">
        <v>771</v>
      </c>
      <c r="F492" s="252" t="s">
        <v>294</v>
      </c>
      <c r="G492" s="252" t="s">
        <v>771</v>
      </c>
      <c r="H492" s="252" t="s">
        <v>294</v>
      </c>
      <c r="I492" s="252" t="s">
        <v>769</v>
      </c>
      <c r="J492" s="174"/>
      <c r="K492" s="252" t="s">
        <v>294</v>
      </c>
      <c r="L492" s="252" t="s">
        <v>355</v>
      </c>
      <c r="M492" s="174"/>
      <c r="N492" s="174"/>
      <c r="O492" s="253" t="s">
        <v>294</v>
      </c>
    </row>
    <row r="493" spans="1:15" ht="16.149999999999999" customHeight="1" x14ac:dyDescent="0.25">
      <c r="A493" s="172">
        <v>42787</v>
      </c>
      <c r="B493" s="175" t="s">
        <v>49</v>
      </c>
      <c r="C493" s="254" t="s">
        <v>295</v>
      </c>
      <c r="D493" s="254" t="s">
        <v>296</v>
      </c>
      <c r="E493" s="254" t="s">
        <v>320</v>
      </c>
      <c r="F493" s="254" t="s">
        <v>775</v>
      </c>
      <c r="G493" s="254" t="s">
        <v>287</v>
      </c>
      <c r="H493" s="254" t="s">
        <v>287</v>
      </c>
      <c r="I493" s="254" t="s">
        <v>776</v>
      </c>
      <c r="J493" s="176"/>
      <c r="K493" s="254" t="s">
        <v>287</v>
      </c>
      <c r="L493" s="254" t="s">
        <v>320</v>
      </c>
      <c r="M493" s="176"/>
      <c r="N493" s="176"/>
      <c r="O493" s="255" t="s">
        <v>312</v>
      </c>
    </row>
    <row r="494" spans="1:15" ht="16.149999999999999" customHeight="1" x14ac:dyDescent="0.25">
      <c r="A494" s="172">
        <v>42786</v>
      </c>
      <c r="B494" s="173" t="s">
        <v>49</v>
      </c>
      <c r="C494" s="252" t="s">
        <v>297</v>
      </c>
      <c r="D494" s="252" t="s">
        <v>298</v>
      </c>
      <c r="E494" s="252" t="s">
        <v>298</v>
      </c>
      <c r="F494" s="252" t="s">
        <v>777</v>
      </c>
      <c r="G494" s="252" t="s">
        <v>778</v>
      </c>
      <c r="H494" s="252" t="s">
        <v>316</v>
      </c>
      <c r="I494" s="252" t="s">
        <v>779</v>
      </c>
      <c r="J494" s="174"/>
      <c r="K494" s="252" t="s">
        <v>300</v>
      </c>
      <c r="L494" s="252" t="s">
        <v>287</v>
      </c>
      <c r="M494" s="174"/>
      <c r="N494" s="174"/>
      <c r="O494" s="253" t="s">
        <v>780</v>
      </c>
    </row>
    <row r="495" spans="1:15" ht="16.149999999999999" customHeight="1" x14ac:dyDescent="0.25">
      <c r="A495" s="172">
        <v>42783</v>
      </c>
      <c r="B495" s="175" t="s">
        <v>49</v>
      </c>
      <c r="C495" s="254" t="s">
        <v>299</v>
      </c>
      <c r="D495" s="254" t="s">
        <v>300</v>
      </c>
      <c r="E495" s="254" t="s">
        <v>298</v>
      </c>
      <c r="F495" s="254" t="s">
        <v>781</v>
      </c>
      <c r="G495" s="254" t="s">
        <v>778</v>
      </c>
      <c r="H495" s="254" t="s">
        <v>316</v>
      </c>
      <c r="I495" s="254" t="s">
        <v>323</v>
      </c>
      <c r="J495" s="176"/>
      <c r="K495" s="254" t="s">
        <v>316</v>
      </c>
      <c r="L495" s="254" t="s">
        <v>298</v>
      </c>
      <c r="M495" s="176"/>
      <c r="N495" s="176"/>
      <c r="O495" s="255" t="s">
        <v>316</v>
      </c>
    </row>
    <row r="496" spans="1:15" ht="16.149999999999999" customHeight="1" x14ac:dyDescent="0.25">
      <c r="A496" s="172">
        <v>42782</v>
      </c>
      <c r="B496" s="173" t="s">
        <v>49</v>
      </c>
      <c r="C496" s="252" t="s">
        <v>301</v>
      </c>
      <c r="D496" s="252" t="s">
        <v>302</v>
      </c>
      <c r="E496" s="252" t="s">
        <v>316</v>
      </c>
      <c r="F496" s="252" t="s">
        <v>781</v>
      </c>
      <c r="G496" s="252" t="s">
        <v>778</v>
      </c>
      <c r="H496" s="252" t="s">
        <v>316</v>
      </c>
      <c r="I496" s="252" t="s">
        <v>781</v>
      </c>
      <c r="J496" s="174"/>
      <c r="K496" s="252" t="s">
        <v>300</v>
      </c>
      <c r="L496" s="252" t="s">
        <v>781</v>
      </c>
      <c r="M496" s="174"/>
      <c r="N496" s="174"/>
      <c r="O496" s="253" t="s">
        <v>782</v>
      </c>
    </row>
    <row r="497" spans="1:15" ht="16.149999999999999" customHeight="1" x14ac:dyDescent="0.25">
      <c r="A497" s="172">
        <v>42781</v>
      </c>
      <c r="B497" s="175" t="s">
        <v>49</v>
      </c>
      <c r="C497" s="254" t="s">
        <v>303</v>
      </c>
      <c r="D497" s="254" t="s">
        <v>304</v>
      </c>
      <c r="E497" s="254" t="s">
        <v>783</v>
      </c>
      <c r="F497" s="254" t="s">
        <v>784</v>
      </c>
      <c r="G497" s="254" t="s">
        <v>306</v>
      </c>
      <c r="H497" s="254" t="s">
        <v>783</v>
      </c>
      <c r="I497" s="254" t="s">
        <v>785</v>
      </c>
      <c r="J497" s="176"/>
      <c r="K497" s="254" t="s">
        <v>783</v>
      </c>
      <c r="L497" s="254" t="s">
        <v>345</v>
      </c>
      <c r="M497" s="176"/>
      <c r="N497" s="176"/>
      <c r="O497" s="255" t="s">
        <v>784</v>
      </c>
    </row>
    <row r="498" spans="1:15" ht="16.149999999999999" customHeight="1" x14ac:dyDescent="0.25">
      <c r="A498" s="172">
        <v>42780</v>
      </c>
      <c r="B498" s="173" t="s">
        <v>49</v>
      </c>
      <c r="C498" s="252" t="s">
        <v>305</v>
      </c>
      <c r="D498" s="252" t="s">
        <v>306</v>
      </c>
      <c r="E498" s="252" t="s">
        <v>306</v>
      </c>
      <c r="F498" s="252" t="s">
        <v>306</v>
      </c>
      <c r="G498" s="252" t="s">
        <v>786</v>
      </c>
      <c r="H498" s="252" t="s">
        <v>787</v>
      </c>
      <c r="I498" s="252" t="s">
        <v>785</v>
      </c>
      <c r="J498" s="174"/>
      <c r="K498" s="252" t="s">
        <v>783</v>
      </c>
      <c r="L498" s="252" t="s">
        <v>783</v>
      </c>
      <c r="M498" s="174"/>
      <c r="N498" s="174"/>
      <c r="O498" s="253" t="s">
        <v>781</v>
      </c>
    </row>
    <row r="499" spans="1:15" ht="16.149999999999999" customHeight="1" x14ac:dyDescent="0.25">
      <c r="A499" s="172">
        <v>42779</v>
      </c>
      <c r="B499" s="175" t="s">
        <v>49</v>
      </c>
      <c r="C499" s="254" t="s">
        <v>307</v>
      </c>
      <c r="D499" s="254" t="s">
        <v>308</v>
      </c>
      <c r="E499" s="254" t="s">
        <v>781</v>
      </c>
      <c r="F499" s="254" t="s">
        <v>788</v>
      </c>
      <c r="G499" s="254" t="s">
        <v>777</v>
      </c>
      <c r="H499" s="254" t="s">
        <v>306</v>
      </c>
      <c r="I499" s="254" t="s">
        <v>789</v>
      </c>
      <c r="J499" s="176"/>
      <c r="K499" s="254" t="s">
        <v>306</v>
      </c>
      <c r="L499" s="254" t="s">
        <v>787</v>
      </c>
      <c r="M499" s="176"/>
      <c r="N499" s="176"/>
      <c r="O499" s="255" t="s">
        <v>298</v>
      </c>
    </row>
    <row r="500" spans="1:15" ht="16.149999999999999" customHeight="1" x14ac:dyDescent="0.25">
      <c r="A500" s="172">
        <v>42776</v>
      </c>
      <c r="B500" s="173" t="s">
        <v>49</v>
      </c>
      <c r="C500" s="252" t="s">
        <v>309</v>
      </c>
      <c r="D500" s="252" t="s">
        <v>287</v>
      </c>
      <c r="E500" s="252" t="s">
        <v>312</v>
      </c>
      <c r="F500" s="252" t="s">
        <v>790</v>
      </c>
      <c r="G500" s="252" t="s">
        <v>791</v>
      </c>
      <c r="H500" s="252" t="s">
        <v>287</v>
      </c>
      <c r="I500" s="252" t="s">
        <v>312</v>
      </c>
      <c r="J500" s="174"/>
      <c r="K500" s="252" t="s">
        <v>287</v>
      </c>
      <c r="L500" s="252" t="s">
        <v>316</v>
      </c>
      <c r="M500" s="174"/>
      <c r="N500" s="174"/>
      <c r="O500" s="253" t="s">
        <v>298</v>
      </c>
    </row>
    <row r="501" spans="1:15" ht="16.149999999999999" customHeight="1" x14ac:dyDescent="0.25">
      <c r="A501" s="172">
        <v>42775</v>
      </c>
      <c r="B501" s="175" t="s">
        <v>49</v>
      </c>
      <c r="C501" s="254" t="s">
        <v>310</v>
      </c>
      <c r="D501" s="254" t="s">
        <v>296</v>
      </c>
      <c r="E501" s="254" t="s">
        <v>312</v>
      </c>
      <c r="F501" s="254" t="s">
        <v>778</v>
      </c>
      <c r="G501" s="254" t="s">
        <v>296</v>
      </c>
      <c r="H501" s="254" t="s">
        <v>296</v>
      </c>
      <c r="I501" s="254" t="s">
        <v>792</v>
      </c>
      <c r="J501" s="176"/>
      <c r="K501" s="254" t="s">
        <v>298</v>
      </c>
      <c r="L501" s="254" t="s">
        <v>781</v>
      </c>
      <c r="M501" s="176"/>
      <c r="N501" s="176"/>
      <c r="O501" s="255" t="s">
        <v>296</v>
      </c>
    </row>
    <row r="502" spans="1:15" ht="16.149999999999999" customHeight="1" x14ac:dyDescent="0.25">
      <c r="A502" s="172">
        <v>42774</v>
      </c>
      <c r="B502" s="173" t="s">
        <v>49</v>
      </c>
      <c r="C502" s="252" t="s">
        <v>311</v>
      </c>
      <c r="D502" s="252" t="s">
        <v>312</v>
      </c>
      <c r="E502" s="252" t="s">
        <v>312</v>
      </c>
      <c r="F502" s="252" t="s">
        <v>287</v>
      </c>
      <c r="G502" s="252" t="s">
        <v>793</v>
      </c>
      <c r="H502" s="252" t="s">
        <v>312</v>
      </c>
      <c r="I502" s="252" t="s">
        <v>794</v>
      </c>
      <c r="J502" s="174"/>
      <c r="K502" s="252" t="s">
        <v>792</v>
      </c>
      <c r="L502" s="252" t="s">
        <v>312</v>
      </c>
      <c r="M502" s="174"/>
      <c r="N502" s="174"/>
      <c r="O502" s="253" t="s">
        <v>312</v>
      </c>
    </row>
    <row r="503" spans="1:15" ht="16.149999999999999" customHeight="1" x14ac:dyDescent="0.25">
      <c r="A503" s="172">
        <v>42773</v>
      </c>
      <c r="B503" s="175" t="s">
        <v>49</v>
      </c>
      <c r="C503" s="254" t="s">
        <v>313</v>
      </c>
      <c r="D503" s="254" t="s">
        <v>314</v>
      </c>
      <c r="E503" s="254" t="s">
        <v>792</v>
      </c>
      <c r="F503" s="254" t="s">
        <v>316</v>
      </c>
      <c r="G503" s="254" t="s">
        <v>283</v>
      </c>
      <c r="H503" s="254" t="s">
        <v>312</v>
      </c>
      <c r="I503" s="254" t="s">
        <v>296</v>
      </c>
      <c r="J503" s="176"/>
      <c r="K503" s="254" t="s">
        <v>795</v>
      </c>
      <c r="L503" s="254" t="s">
        <v>320</v>
      </c>
      <c r="M503" s="176"/>
      <c r="N503" s="176"/>
      <c r="O503" s="255" t="s">
        <v>296</v>
      </c>
    </row>
    <row r="504" spans="1:15" ht="16.149999999999999" customHeight="1" x14ac:dyDescent="0.25">
      <c r="A504" s="172">
        <v>42772</v>
      </c>
      <c r="B504" s="173" t="s">
        <v>49</v>
      </c>
      <c r="C504" s="252" t="s">
        <v>315</v>
      </c>
      <c r="D504" s="252" t="s">
        <v>316</v>
      </c>
      <c r="E504" s="252" t="s">
        <v>316</v>
      </c>
      <c r="F504" s="252" t="s">
        <v>316</v>
      </c>
      <c r="G504" s="252" t="s">
        <v>312</v>
      </c>
      <c r="H504" s="252" t="s">
        <v>316</v>
      </c>
      <c r="I504" s="252" t="s">
        <v>796</v>
      </c>
      <c r="J504" s="174"/>
      <c r="K504" s="252" t="s">
        <v>316</v>
      </c>
      <c r="L504" s="252" t="s">
        <v>306</v>
      </c>
      <c r="M504" s="174"/>
      <c r="N504" s="174"/>
      <c r="O504" s="253" t="s">
        <v>302</v>
      </c>
    </row>
    <row r="505" spans="1:15" ht="16.149999999999999" customHeight="1" x14ac:dyDescent="0.25">
      <c r="A505" s="172">
        <v>42769</v>
      </c>
      <c r="B505" s="175" t="s">
        <v>49</v>
      </c>
      <c r="C505" s="254" t="s">
        <v>317</v>
      </c>
      <c r="D505" s="254" t="s">
        <v>318</v>
      </c>
      <c r="E505" s="254" t="s">
        <v>320</v>
      </c>
      <c r="F505" s="254" t="s">
        <v>797</v>
      </c>
      <c r="G505" s="254" t="s">
        <v>798</v>
      </c>
      <c r="H505" s="254" t="s">
        <v>320</v>
      </c>
      <c r="I505" s="254" t="s">
        <v>778</v>
      </c>
      <c r="J505" s="176"/>
      <c r="K505" s="254" t="s">
        <v>320</v>
      </c>
      <c r="L505" s="254" t="s">
        <v>312</v>
      </c>
      <c r="M505" s="176"/>
      <c r="N505" s="176"/>
      <c r="O505" s="255" t="s">
        <v>314</v>
      </c>
    </row>
    <row r="506" spans="1:15" ht="16.149999999999999" customHeight="1" x14ac:dyDescent="0.25">
      <c r="A506" s="172">
        <v>42768</v>
      </c>
      <c r="B506" s="173" t="s">
        <v>49</v>
      </c>
      <c r="C506" s="252" t="s">
        <v>319</v>
      </c>
      <c r="D506" s="252" t="s">
        <v>320</v>
      </c>
      <c r="E506" s="252" t="s">
        <v>320</v>
      </c>
      <c r="F506" s="252" t="s">
        <v>789</v>
      </c>
      <c r="G506" s="252" t="s">
        <v>799</v>
      </c>
      <c r="H506" s="252" t="s">
        <v>792</v>
      </c>
      <c r="I506" s="252" t="s">
        <v>320</v>
      </c>
      <c r="J506" s="174"/>
      <c r="K506" s="252" t="s">
        <v>320</v>
      </c>
      <c r="L506" s="252" t="s">
        <v>312</v>
      </c>
      <c r="M506" s="174"/>
      <c r="N506" s="174"/>
      <c r="O506" s="253" t="s">
        <v>312</v>
      </c>
    </row>
    <row r="507" spans="1:15" ht="16.149999999999999" customHeight="1" x14ac:dyDescent="0.25">
      <c r="A507" s="172">
        <v>42767</v>
      </c>
      <c r="B507" s="175" t="s">
        <v>49</v>
      </c>
      <c r="C507" s="254" t="s">
        <v>321</v>
      </c>
      <c r="D507" s="254" t="s">
        <v>287</v>
      </c>
      <c r="E507" s="254" t="s">
        <v>312</v>
      </c>
      <c r="F507" s="254" t="s">
        <v>800</v>
      </c>
      <c r="G507" s="254" t="s">
        <v>792</v>
      </c>
      <c r="H507" s="254" t="s">
        <v>287</v>
      </c>
      <c r="I507" s="254" t="s">
        <v>789</v>
      </c>
      <c r="J507" s="176"/>
      <c r="K507" s="254" t="s">
        <v>296</v>
      </c>
      <c r="L507" s="254" t="s">
        <v>287</v>
      </c>
      <c r="M507" s="176"/>
      <c r="N507" s="176"/>
      <c r="O507" s="255" t="s">
        <v>287</v>
      </c>
    </row>
    <row r="508" spans="1:15" ht="16.149999999999999" customHeight="1" x14ac:dyDescent="0.25">
      <c r="A508" s="172">
        <v>42766</v>
      </c>
      <c r="B508" s="173" t="s">
        <v>49</v>
      </c>
      <c r="C508" s="252" t="s">
        <v>322</v>
      </c>
      <c r="D508" s="252" t="s">
        <v>323</v>
      </c>
      <c r="E508" s="252" t="s">
        <v>287</v>
      </c>
      <c r="F508" s="252" t="s">
        <v>300</v>
      </c>
      <c r="G508" s="252" t="s">
        <v>287</v>
      </c>
      <c r="H508" s="252" t="s">
        <v>300</v>
      </c>
      <c r="I508" s="252" t="s">
        <v>801</v>
      </c>
      <c r="J508" s="174"/>
      <c r="K508" s="252" t="s">
        <v>300</v>
      </c>
      <c r="L508" s="252" t="s">
        <v>316</v>
      </c>
      <c r="M508" s="174"/>
      <c r="N508" s="174"/>
      <c r="O508" s="253" t="s">
        <v>312</v>
      </c>
    </row>
    <row r="509" spans="1:15" ht="16.149999999999999" customHeight="1" x14ac:dyDescent="0.25">
      <c r="A509" s="172">
        <v>42765</v>
      </c>
      <c r="B509" s="175" t="s">
        <v>49</v>
      </c>
      <c r="C509" s="254" t="s">
        <v>324</v>
      </c>
      <c r="D509" s="254" t="s">
        <v>325</v>
      </c>
      <c r="E509" s="254" t="s">
        <v>802</v>
      </c>
      <c r="F509" s="254" t="s">
        <v>320</v>
      </c>
      <c r="G509" s="254" t="s">
        <v>325</v>
      </c>
      <c r="H509" s="254" t="s">
        <v>325</v>
      </c>
      <c r="I509" s="254" t="s">
        <v>803</v>
      </c>
      <c r="J509" s="176"/>
      <c r="K509" s="254" t="s">
        <v>325</v>
      </c>
      <c r="L509" s="254" t="s">
        <v>802</v>
      </c>
      <c r="M509" s="176"/>
      <c r="N509" s="176"/>
      <c r="O509" s="255" t="s">
        <v>804</v>
      </c>
    </row>
    <row r="510" spans="1:15" ht="16.149999999999999" customHeight="1" x14ac:dyDescent="0.25">
      <c r="A510" s="172">
        <v>42762</v>
      </c>
      <c r="B510" s="173" t="s">
        <v>49</v>
      </c>
      <c r="C510" s="252" t="s">
        <v>326</v>
      </c>
      <c r="D510" s="252" t="s">
        <v>286</v>
      </c>
      <c r="E510" s="252" t="s">
        <v>286</v>
      </c>
      <c r="F510" s="252" t="s">
        <v>805</v>
      </c>
      <c r="G510" s="252" t="s">
        <v>764</v>
      </c>
      <c r="H510" s="252" t="s">
        <v>286</v>
      </c>
      <c r="I510" s="252" t="s">
        <v>806</v>
      </c>
      <c r="J510" s="174"/>
      <c r="K510" s="252" t="s">
        <v>284</v>
      </c>
      <c r="L510" s="252" t="s">
        <v>286</v>
      </c>
      <c r="M510" s="174"/>
      <c r="N510" s="174"/>
      <c r="O510" s="253" t="s">
        <v>764</v>
      </c>
    </row>
    <row r="511" spans="1:15" ht="16.149999999999999" customHeight="1" x14ac:dyDescent="0.25">
      <c r="A511" s="172">
        <v>42761</v>
      </c>
      <c r="B511" s="175" t="s">
        <v>49</v>
      </c>
      <c r="C511" s="254" t="s">
        <v>327</v>
      </c>
      <c r="D511" s="254" t="s">
        <v>328</v>
      </c>
      <c r="E511" s="254" t="s">
        <v>759</v>
      </c>
      <c r="F511" s="254" t="s">
        <v>807</v>
      </c>
      <c r="G511" s="254" t="s">
        <v>765</v>
      </c>
      <c r="H511" s="254" t="s">
        <v>759</v>
      </c>
      <c r="I511" s="254" t="s">
        <v>808</v>
      </c>
      <c r="J511" s="176"/>
      <c r="K511" s="254" t="s">
        <v>330</v>
      </c>
      <c r="L511" s="254" t="s">
        <v>765</v>
      </c>
      <c r="M511" s="176"/>
      <c r="N511" s="176"/>
      <c r="O511" s="255" t="s">
        <v>809</v>
      </c>
    </row>
    <row r="512" spans="1:15" ht="16.149999999999999" customHeight="1" x14ac:dyDescent="0.25">
      <c r="A512" s="172">
        <v>42760</v>
      </c>
      <c r="B512" s="173" t="s">
        <v>49</v>
      </c>
      <c r="C512" s="252" t="s">
        <v>329</v>
      </c>
      <c r="D512" s="252" t="s">
        <v>330</v>
      </c>
      <c r="E512" s="252" t="s">
        <v>762</v>
      </c>
      <c r="F512" s="252" t="s">
        <v>810</v>
      </c>
      <c r="G512" s="252" t="s">
        <v>811</v>
      </c>
      <c r="H512" s="252" t="s">
        <v>762</v>
      </c>
      <c r="I512" s="252" t="s">
        <v>812</v>
      </c>
      <c r="J512" s="174"/>
      <c r="K512" s="252" t="s">
        <v>762</v>
      </c>
      <c r="L512" s="252" t="s">
        <v>813</v>
      </c>
      <c r="M512" s="174"/>
      <c r="N512" s="174"/>
      <c r="O512" s="253" t="s">
        <v>814</v>
      </c>
    </row>
    <row r="513" spans="1:15" ht="16.149999999999999" customHeight="1" x14ac:dyDescent="0.25">
      <c r="A513" s="172">
        <v>42759</v>
      </c>
      <c r="B513" s="175" t="s">
        <v>49</v>
      </c>
      <c r="C513" s="254" t="s">
        <v>331</v>
      </c>
      <c r="D513" s="254" t="s">
        <v>332</v>
      </c>
      <c r="E513" s="254" t="s">
        <v>808</v>
      </c>
      <c r="F513" s="254" t="s">
        <v>815</v>
      </c>
      <c r="G513" s="254" t="s">
        <v>816</v>
      </c>
      <c r="H513" s="254" t="s">
        <v>808</v>
      </c>
      <c r="I513" s="254" t="s">
        <v>817</v>
      </c>
      <c r="J513" s="176"/>
      <c r="K513" s="254" t="s">
        <v>813</v>
      </c>
      <c r="L513" s="254" t="s">
        <v>808</v>
      </c>
      <c r="M513" s="176"/>
      <c r="N513" s="176"/>
      <c r="O513" s="255" t="s">
        <v>810</v>
      </c>
    </row>
    <row r="514" spans="1:15" ht="16.149999999999999" customHeight="1" x14ac:dyDescent="0.25">
      <c r="A514" s="172">
        <v>42758</v>
      </c>
      <c r="B514" s="173" t="s">
        <v>49</v>
      </c>
      <c r="C514" s="252" t="s">
        <v>333</v>
      </c>
      <c r="D514" s="252" t="s">
        <v>334</v>
      </c>
      <c r="E514" s="252" t="s">
        <v>808</v>
      </c>
      <c r="F514" s="252" t="s">
        <v>818</v>
      </c>
      <c r="G514" s="252" t="s">
        <v>816</v>
      </c>
      <c r="H514" s="252" t="s">
        <v>819</v>
      </c>
      <c r="I514" s="252" t="s">
        <v>820</v>
      </c>
      <c r="J514" s="174"/>
      <c r="K514" s="252" t="s">
        <v>819</v>
      </c>
      <c r="L514" s="252" t="s">
        <v>821</v>
      </c>
      <c r="M514" s="174"/>
      <c r="N514" s="174"/>
      <c r="O514" s="253" t="s">
        <v>810</v>
      </c>
    </row>
    <row r="515" spans="1:15" ht="16.149999999999999" customHeight="1" x14ac:dyDescent="0.25">
      <c r="A515" s="172">
        <v>42755</v>
      </c>
      <c r="B515" s="175" t="s">
        <v>49</v>
      </c>
      <c r="C515" s="254" t="s">
        <v>335</v>
      </c>
      <c r="D515" s="254" t="s">
        <v>336</v>
      </c>
      <c r="E515" s="254" t="s">
        <v>822</v>
      </c>
      <c r="F515" s="254" t="s">
        <v>353</v>
      </c>
      <c r="G515" s="254" t="s">
        <v>816</v>
      </c>
      <c r="H515" s="254" t="s">
        <v>818</v>
      </c>
      <c r="I515" s="254" t="s">
        <v>344</v>
      </c>
      <c r="J515" s="176"/>
      <c r="K515" s="254" t="s">
        <v>821</v>
      </c>
      <c r="L515" s="254" t="s">
        <v>765</v>
      </c>
      <c r="M515" s="176"/>
      <c r="N515" s="176"/>
      <c r="O515" s="255" t="s">
        <v>818</v>
      </c>
    </row>
    <row r="516" spans="1:15" ht="16.149999999999999" customHeight="1" x14ac:dyDescent="0.25">
      <c r="A516" s="172">
        <v>42754</v>
      </c>
      <c r="B516" s="173" t="s">
        <v>49</v>
      </c>
      <c r="C516" s="252" t="s">
        <v>337</v>
      </c>
      <c r="D516" s="252" t="s">
        <v>338</v>
      </c>
      <c r="E516" s="252" t="s">
        <v>822</v>
      </c>
      <c r="F516" s="252" t="s">
        <v>353</v>
      </c>
      <c r="G516" s="252" t="s">
        <v>823</v>
      </c>
      <c r="H516" s="252" t="s">
        <v>822</v>
      </c>
      <c r="I516" s="252" t="s">
        <v>824</v>
      </c>
      <c r="J516" s="174"/>
      <c r="K516" s="252" t="s">
        <v>821</v>
      </c>
      <c r="L516" s="252" t="s">
        <v>821</v>
      </c>
      <c r="M516" s="174"/>
      <c r="N516" s="174"/>
      <c r="O516" s="253" t="s">
        <v>822</v>
      </c>
    </row>
    <row r="517" spans="1:15" ht="16.149999999999999" customHeight="1" x14ac:dyDescent="0.25">
      <c r="A517" s="172">
        <v>42753</v>
      </c>
      <c r="B517" s="175" t="s">
        <v>49</v>
      </c>
      <c r="C517" s="254" t="s">
        <v>339</v>
      </c>
      <c r="D517" s="254" t="s">
        <v>340</v>
      </c>
      <c r="E517" s="254" t="s">
        <v>825</v>
      </c>
      <c r="F517" s="254" t="s">
        <v>821</v>
      </c>
      <c r="G517" s="254" t="s">
        <v>823</v>
      </c>
      <c r="H517" s="254" t="s">
        <v>353</v>
      </c>
      <c r="I517" s="254" t="s">
        <v>825</v>
      </c>
      <c r="J517" s="176"/>
      <c r="K517" s="254" t="s">
        <v>826</v>
      </c>
      <c r="L517" s="254" t="s">
        <v>818</v>
      </c>
      <c r="M517" s="176"/>
      <c r="N517" s="176"/>
      <c r="O517" s="255" t="s">
        <v>822</v>
      </c>
    </row>
    <row r="518" spans="1:15" ht="16.149999999999999" customHeight="1" x14ac:dyDescent="0.25">
      <c r="A518" s="172">
        <v>42752</v>
      </c>
      <c r="B518" s="173" t="s">
        <v>49</v>
      </c>
      <c r="C518" s="252" t="s">
        <v>341</v>
      </c>
      <c r="D518" s="252" t="s">
        <v>342</v>
      </c>
      <c r="E518" s="252" t="s">
        <v>825</v>
      </c>
      <c r="F518" s="252" t="s">
        <v>820</v>
      </c>
      <c r="G518" s="252" t="s">
        <v>827</v>
      </c>
      <c r="H518" s="252" t="s">
        <v>822</v>
      </c>
      <c r="I518" s="252" t="s">
        <v>828</v>
      </c>
      <c r="J518" s="174"/>
      <c r="K518" s="252" t="s">
        <v>829</v>
      </c>
      <c r="L518" s="252" t="s">
        <v>808</v>
      </c>
      <c r="M518" s="174"/>
      <c r="N518" s="174"/>
      <c r="O518" s="253" t="s">
        <v>822</v>
      </c>
    </row>
    <row r="519" spans="1:15" ht="16.149999999999999" customHeight="1" x14ac:dyDescent="0.25">
      <c r="A519" s="172">
        <v>42751</v>
      </c>
      <c r="B519" s="175" t="s">
        <v>49</v>
      </c>
      <c r="C519" s="254" t="s">
        <v>343</v>
      </c>
      <c r="D519" s="254" t="s">
        <v>344</v>
      </c>
      <c r="E519" s="254" t="s">
        <v>821</v>
      </c>
      <c r="F519" s="254" t="s">
        <v>819</v>
      </c>
      <c r="G519" s="254" t="s">
        <v>822</v>
      </c>
      <c r="H519" s="254" t="s">
        <v>822</v>
      </c>
      <c r="I519" s="254" t="s">
        <v>340</v>
      </c>
      <c r="J519" s="176"/>
      <c r="K519" s="254" t="s">
        <v>821</v>
      </c>
      <c r="L519" s="254" t="s">
        <v>765</v>
      </c>
      <c r="M519" s="176"/>
      <c r="N519" s="176"/>
      <c r="O519" s="255" t="s">
        <v>822</v>
      </c>
    </row>
    <row r="520" spans="1:15" ht="16.149999999999999" customHeight="1" x14ac:dyDescent="0.25">
      <c r="A520" s="172">
        <v>42748</v>
      </c>
      <c r="B520" s="173" t="s">
        <v>49</v>
      </c>
      <c r="C520" s="252" t="s">
        <v>345</v>
      </c>
      <c r="D520" s="252" t="s">
        <v>336</v>
      </c>
      <c r="E520" s="252" t="s">
        <v>819</v>
      </c>
      <c r="F520" s="252" t="s">
        <v>817</v>
      </c>
      <c r="G520" s="252" t="s">
        <v>818</v>
      </c>
      <c r="H520" s="252" t="s">
        <v>821</v>
      </c>
      <c r="I520" s="252" t="s">
        <v>830</v>
      </c>
      <c r="J520" s="174"/>
      <c r="K520" s="252" t="s">
        <v>821</v>
      </c>
      <c r="L520" s="252" t="s">
        <v>765</v>
      </c>
      <c r="M520" s="174"/>
      <c r="N520" s="174"/>
      <c r="O520" s="253" t="s">
        <v>342</v>
      </c>
    </row>
    <row r="521" spans="1:15" ht="16.149999999999999" customHeight="1" x14ac:dyDescent="0.25">
      <c r="A521" s="172">
        <v>42747</v>
      </c>
      <c r="B521" s="175" t="s">
        <v>49</v>
      </c>
      <c r="C521" s="254" t="s">
        <v>346</v>
      </c>
      <c r="D521" s="254" t="s">
        <v>347</v>
      </c>
      <c r="E521" s="254" t="s">
        <v>821</v>
      </c>
      <c r="F521" s="254" t="s">
        <v>831</v>
      </c>
      <c r="G521" s="254" t="s">
        <v>821</v>
      </c>
      <c r="H521" s="254" t="s">
        <v>818</v>
      </c>
      <c r="I521" s="254" t="s">
        <v>832</v>
      </c>
      <c r="J521" s="176"/>
      <c r="K521" s="254" t="s">
        <v>819</v>
      </c>
      <c r="L521" s="254" t="s">
        <v>765</v>
      </c>
      <c r="M521" s="176"/>
      <c r="N521" s="176"/>
      <c r="O521" s="255" t="s">
        <v>353</v>
      </c>
    </row>
    <row r="522" spans="1:15" ht="16.149999999999999" customHeight="1" x14ac:dyDescent="0.25">
      <c r="A522" s="172">
        <v>42746</v>
      </c>
      <c r="B522" s="173" t="s">
        <v>49</v>
      </c>
      <c r="C522" s="252" t="s">
        <v>348</v>
      </c>
      <c r="D522" s="252" t="s">
        <v>349</v>
      </c>
      <c r="E522" s="252" t="s">
        <v>833</v>
      </c>
      <c r="F522" s="252" t="s">
        <v>834</v>
      </c>
      <c r="G522" s="252" t="s">
        <v>273</v>
      </c>
      <c r="H522" s="252" t="s">
        <v>835</v>
      </c>
      <c r="I522" s="252" t="s">
        <v>836</v>
      </c>
      <c r="J522" s="174"/>
      <c r="K522" s="252" t="s">
        <v>829</v>
      </c>
      <c r="L522" s="252" t="s">
        <v>822</v>
      </c>
      <c r="M522" s="174"/>
      <c r="N522" s="174"/>
      <c r="O522" s="253" t="s">
        <v>837</v>
      </c>
    </row>
    <row r="523" spans="1:15" ht="16.149999999999999" customHeight="1" x14ac:dyDescent="0.25">
      <c r="A523" s="172">
        <v>42745</v>
      </c>
      <c r="B523" s="175" t="s">
        <v>49</v>
      </c>
      <c r="C523" s="254" t="s">
        <v>350</v>
      </c>
      <c r="D523" s="254" t="s">
        <v>351</v>
      </c>
      <c r="E523" s="254" t="s">
        <v>351</v>
      </c>
      <c r="F523" s="254" t="s">
        <v>825</v>
      </c>
      <c r="G523" s="254" t="s">
        <v>838</v>
      </c>
      <c r="H523" s="254" t="s">
        <v>833</v>
      </c>
      <c r="I523" s="254" t="s">
        <v>839</v>
      </c>
      <c r="J523" s="176"/>
      <c r="K523" s="254" t="s">
        <v>351</v>
      </c>
      <c r="L523" s="254" t="s">
        <v>825</v>
      </c>
      <c r="M523" s="176"/>
      <c r="N523" s="176"/>
      <c r="O523" s="255" t="s">
        <v>837</v>
      </c>
    </row>
    <row r="524" spans="1:15" ht="16.149999999999999" customHeight="1" x14ac:dyDescent="0.25">
      <c r="A524" s="172">
        <v>42741</v>
      </c>
      <c r="B524" s="173" t="s">
        <v>49</v>
      </c>
      <c r="C524" s="252" t="s">
        <v>352</v>
      </c>
      <c r="D524" s="252" t="s">
        <v>353</v>
      </c>
      <c r="E524" s="252" t="s">
        <v>353</v>
      </c>
      <c r="F524" s="252" t="s">
        <v>342</v>
      </c>
      <c r="G524" s="252" t="s">
        <v>271</v>
      </c>
      <c r="H524" s="252" t="s">
        <v>353</v>
      </c>
      <c r="I524" s="252" t="s">
        <v>828</v>
      </c>
      <c r="J524" s="174"/>
      <c r="K524" s="252" t="s">
        <v>353</v>
      </c>
      <c r="L524" s="252" t="s">
        <v>822</v>
      </c>
      <c r="M524" s="174"/>
      <c r="N524" s="174"/>
      <c r="O524" s="253" t="s">
        <v>271</v>
      </c>
    </row>
    <row r="525" spans="1:15" ht="16.149999999999999" customHeight="1" x14ac:dyDescent="0.25">
      <c r="A525" s="172">
        <v>42740</v>
      </c>
      <c r="B525" s="175" t="s">
        <v>49</v>
      </c>
      <c r="C525" s="254" t="s">
        <v>339</v>
      </c>
      <c r="D525" s="254" t="s">
        <v>340</v>
      </c>
      <c r="E525" s="254" t="s">
        <v>822</v>
      </c>
      <c r="F525" s="254" t="s">
        <v>342</v>
      </c>
      <c r="G525" s="254" t="s">
        <v>840</v>
      </c>
      <c r="H525" s="254" t="s">
        <v>353</v>
      </c>
      <c r="I525" s="254" t="s">
        <v>836</v>
      </c>
      <c r="J525" s="176"/>
      <c r="K525" s="254" t="s">
        <v>822</v>
      </c>
      <c r="L525" s="254" t="s">
        <v>821</v>
      </c>
      <c r="M525" s="176"/>
      <c r="N525" s="176"/>
      <c r="O525" s="255" t="s">
        <v>825</v>
      </c>
    </row>
    <row r="526" spans="1:15" ht="16.149999999999999" customHeight="1" x14ac:dyDescent="0.25">
      <c r="A526" s="172">
        <v>42739</v>
      </c>
      <c r="B526" s="173" t="s">
        <v>49</v>
      </c>
      <c r="C526" s="252" t="s">
        <v>352</v>
      </c>
      <c r="D526" s="252" t="s">
        <v>353</v>
      </c>
      <c r="E526" s="252" t="s">
        <v>821</v>
      </c>
      <c r="F526" s="252" t="s">
        <v>342</v>
      </c>
      <c r="G526" s="252" t="s">
        <v>353</v>
      </c>
      <c r="H526" s="252" t="s">
        <v>353</v>
      </c>
      <c r="I526" s="252" t="s">
        <v>841</v>
      </c>
      <c r="J526" s="174"/>
      <c r="K526" s="252" t="s">
        <v>353</v>
      </c>
      <c r="L526" s="252" t="s">
        <v>821</v>
      </c>
      <c r="M526" s="174"/>
      <c r="N526" s="174"/>
      <c r="O526" s="253" t="s">
        <v>842</v>
      </c>
    </row>
    <row r="527" spans="1:15" ht="16.149999999999999" customHeight="1" x14ac:dyDescent="0.25">
      <c r="A527" s="172">
        <v>42738</v>
      </c>
      <c r="B527" s="175" t="s">
        <v>49</v>
      </c>
      <c r="C527" s="254" t="s">
        <v>354</v>
      </c>
      <c r="D527" s="254" t="s">
        <v>355</v>
      </c>
      <c r="E527" s="254" t="s">
        <v>294</v>
      </c>
      <c r="F527" s="254" t="s">
        <v>843</v>
      </c>
      <c r="G527" s="254" t="s">
        <v>844</v>
      </c>
      <c r="H527" s="254" t="s">
        <v>355</v>
      </c>
      <c r="I527" s="254" t="s">
        <v>845</v>
      </c>
      <c r="J527" s="176"/>
      <c r="K527" s="254" t="s">
        <v>355</v>
      </c>
      <c r="L527" s="254" t="s">
        <v>355</v>
      </c>
      <c r="M527" s="176"/>
      <c r="N527" s="176"/>
      <c r="O527" s="255" t="s">
        <v>773</v>
      </c>
    </row>
    <row r="528" spans="1:15" ht="16.149999999999999" customHeight="1" x14ac:dyDescent="0.25">
      <c r="A528" s="172">
        <v>42737</v>
      </c>
      <c r="B528" s="173" t="s">
        <v>49</v>
      </c>
      <c r="C528" s="252" t="s">
        <v>356</v>
      </c>
      <c r="D528" s="252" t="s">
        <v>355</v>
      </c>
      <c r="E528" s="252" t="s">
        <v>355</v>
      </c>
      <c r="F528" s="252" t="s">
        <v>843</v>
      </c>
      <c r="G528" s="252" t="s">
        <v>843</v>
      </c>
      <c r="H528" s="252" t="s">
        <v>294</v>
      </c>
      <c r="I528" s="252" t="s">
        <v>846</v>
      </c>
      <c r="J528" s="174"/>
      <c r="K528" s="252" t="s">
        <v>355</v>
      </c>
      <c r="L528" s="252" t="s">
        <v>355</v>
      </c>
      <c r="M528" s="174"/>
      <c r="N528" s="174"/>
      <c r="O528" s="253" t="s">
        <v>847</v>
      </c>
    </row>
    <row r="529" spans="1:15" ht="16.149999999999999" customHeight="1" x14ac:dyDescent="0.25">
      <c r="A529" s="172">
        <v>42733</v>
      </c>
      <c r="B529" s="175" t="s">
        <v>49</v>
      </c>
      <c r="C529" s="254" t="s">
        <v>354</v>
      </c>
      <c r="D529" s="254" t="s">
        <v>355</v>
      </c>
      <c r="E529" s="254" t="s">
        <v>294</v>
      </c>
      <c r="F529" s="254" t="s">
        <v>843</v>
      </c>
      <c r="G529" s="254" t="s">
        <v>848</v>
      </c>
      <c r="H529" s="254" t="s">
        <v>355</v>
      </c>
      <c r="I529" s="254" t="s">
        <v>849</v>
      </c>
      <c r="J529" s="176"/>
      <c r="K529" s="254" t="s">
        <v>355</v>
      </c>
      <c r="L529" s="254" t="s">
        <v>842</v>
      </c>
      <c r="M529" s="176"/>
      <c r="N529" s="176"/>
      <c r="O529" s="255" t="s">
        <v>769</v>
      </c>
    </row>
    <row r="530" spans="1:15" ht="16.149999999999999" customHeight="1" x14ac:dyDescent="0.25">
      <c r="A530" s="172">
        <v>42732</v>
      </c>
      <c r="B530" s="173" t="s">
        <v>49</v>
      </c>
      <c r="C530" s="252" t="s">
        <v>850</v>
      </c>
      <c r="D530" s="252" t="s">
        <v>851</v>
      </c>
      <c r="E530" s="252" t="s">
        <v>294</v>
      </c>
      <c r="F530" s="252" t="s">
        <v>852</v>
      </c>
      <c r="G530" s="252" t="s">
        <v>848</v>
      </c>
      <c r="H530" s="252" t="s">
        <v>769</v>
      </c>
      <c r="I530" s="252" t="s">
        <v>853</v>
      </c>
      <c r="J530" s="174"/>
      <c r="K530" s="252" t="s">
        <v>769</v>
      </c>
      <c r="L530" s="252" t="s">
        <v>355</v>
      </c>
      <c r="M530" s="174"/>
      <c r="N530" s="174"/>
      <c r="O530" s="253" t="s">
        <v>846</v>
      </c>
    </row>
    <row r="531" spans="1:15" ht="16.149999999999999" customHeight="1" x14ac:dyDescent="0.25">
      <c r="A531" s="172">
        <v>42731</v>
      </c>
      <c r="B531" s="175" t="s">
        <v>49</v>
      </c>
      <c r="C531" s="254" t="s">
        <v>854</v>
      </c>
      <c r="D531" s="254" t="s">
        <v>846</v>
      </c>
      <c r="E531" s="254" t="s">
        <v>848</v>
      </c>
      <c r="F531" s="254" t="s">
        <v>852</v>
      </c>
      <c r="G531" s="254" t="s">
        <v>848</v>
      </c>
      <c r="H531" s="254" t="s">
        <v>769</v>
      </c>
      <c r="I531" s="254" t="s">
        <v>855</v>
      </c>
      <c r="J531" s="176"/>
      <c r="K531" s="254" t="s">
        <v>848</v>
      </c>
      <c r="L531" s="254" t="s">
        <v>771</v>
      </c>
      <c r="M531" s="176"/>
      <c r="N531" s="176"/>
      <c r="O531" s="255" t="s">
        <v>856</v>
      </c>
    </row>
    <row r="532" spans="1:15" ht="16.149999999999999" customHeight="1" x14ac:dyDescent="0.25">
      <c r="A532" s="172">
        <v>42730</v>
      </c>
      <c r="B532" s="173" t="s">
        <v>49</v>
      </c>
      <c r="C532" s="252" t="s">
        <v>857</v>
      </c>
      <c r="D532" s="252" t="s">
        <v>858</v>
      </c>
      <c r="E532" s="252" t="s">
        <v>294</v>
      </c>
      <c r="F532" s="252" t="s">
        <v>294</v>
      </c>
      <c r="G532" s="252" t="s">
        <v>848</v>
      </c>
      <c r="H532" s="252" t="s">
        <v>769</v>
      </c>
      <c r="I532" s="252" t="s">
        <v>859</v>
      </c>
      <c r="J532" s="174"/>
      <c r="K532" s="252" t="s">
        <v>771</v>
      </c>
      <c r="L532" s="252" t="s">
        <v>860</v>
      </c>
      <c r="M532" s="174"/>
      <c r="N532" s="174"/>
      <c r="O532" s="253" t="s">
        <v>856</v>
      </c>
    </row>
    <row r="533" spans="1:15" ht="16.149999999999999" customHeight="1" x14ac:dyDescent="0.25">
      <c r="A533" s="172">
        <v>42727</v>
      </c>
      <c r="B533" s="175" t="s">
        <v>49</v>
      </c>
      <c r="C533" s="254" t="s">
        <v>861</v>
      </c>
      <c r="D533" s="254" t="s">
        <v>847</v>
      </c>
      <c r="E533" s="254" t="s">
        <v>294</v>
      </c>
      <c r="F533" s="254" t="s">
        <v>355</v>
      </c>
      <c r="G533" s="254" t="s">
        <v>772</v>
      </c>
      <c r="H533" s="254" t="s">
        <v>294</v>
      </c>
      <c r="I533" s="254" t="s">
        <v>841</v>
      </c>
      <c r="J533" s="176"/>
      <c r="K533" s="254" t="s">
        <v>848</v>
      </c>
      <c r="L533" s="254" t="s">
        <v>769</v>
      </c>
      <c r="M533" s="176"/>
      <c r="N533" s="176"/>
      <c r="O533" s="255" t="s">
        <v>856</v>
      </c>
    </row>
    <row r="534" spans="1:15" ht="16.149999999999999" customHeight="1" x14ac:dyDescent="0.25">
      <c r="A534" s="172">
        <v>42726</v>
      </c>
      <c r="B534" s="173" t="s">
        <v>49</v>
      </c>
      <c r="C534" s="252" t="s">
        <v>854</v>
      </c>
      <c r="D534" s="252" t="s">
        <v>846</v>
      </c>
      <c r="E534" s="252" t="s">
        <v>294</v>
      </c>
      <c r="F534" s="252" t="s">
        <v>355</v>
      </c>
      <c r="G534" s="252" t="s">
        <v>848</v>
      </c>
      <c r="H534" s="252" t="s">
        <v>769</v>
      </c>
      <c r="I534" s="252" t="s">
        <v>862</v>
      </c>
      <c r="J534" s="174"/>
      <c r="K534" s="252" t="s">
        <v>771</v>
      </c>
      <c r="L534" s="252" t="s">
        <v>768</v>
      </c>
      <c r="M534" s="174"/>
      <c r="N534" s="174"/>
      <c r="O534" s="253" t="s">
        <v>856</v>
      </c>
    </row>
    <row r="535" spans="1:15" ht="16.149999999999999" customHeight="1" x14ac:dyDescent="0.25">
      <c r="A535" s="172">
        <v>42725</v>
      </c>
      <c r="B535" s="175" t="s">
        <v>49</v>
      </c>
      <c r="C535" s="254" t="s">
        <v>863</v>
      </c>
      <c r="D535" s="254" t="s">
        <v>864</v>
      </c>
      <c r="E535" s="254" t="s">
        <v>851</v>
      </c>
      <c r="F535" s="254" t="s">
        <v>842</v>
      </c>
      <c r="G535" s="254" t="s">
        <v>772</v>
      </c>
      <c r="H535" s="254" t="s">
        <v>294</v>
      </c>
      <c r="I535" s="254" t="s">
        <v>865</v>
      </c>
      <c r="J535" s="176"/>
      <c r="K535" s="254" t="s">
        <v>294</v>
      </c>
      <c r="L535" s="254" t="s">
        <v>771</v>
      </c>
      <c r="M535" s="176"/>
      <c r="N535" s="176"/>
      <c r="O535" s="255" t="s">
        <v>856</v>
      </c>
    </row>
    <row r="536" spans="1:15" ht="16.149999999999999" customHeight="1" x14ac:dyDescent="0.25">
      <c r="A536" s="172">
        <v>42724</v>
      </c>
      <c r="B536" s="173" t="s">
        <v>49</v>
      </c>
      <c r="C536" s="252" t="s">
        <v>854</v>
      </c>
      <c r="D536" s="252" t="s">
        <v>866</v>
      </c>
      <c r="E536" s="252" t="s">
        <v>846</v>
      </c>
      <c r="F536" s="252" t="s">
        <v>843</v>
      </c>
      <c r="G536" s="252" t="s">
        <v>774</v>
      </c>
      <c r="H536" s="252" t="s">
        <v>769</v>
      </c>
      <c r="I536" s="252" t="s">
        <v>867</v>
      </c>
      <c r="J536" s="174"/>
      <c r="K536" s="252" t="s">
        <v>294</v>
      </c>
      <c r="L536" s="252" t="s">
        <v>769</v>
      </c>
      <c r="M536" s="174"/>
      <c r="N536" s="174"/>
      <c r="O536" s="253" t="s">
        <v>856</v>
      </c>
    </row>
    <row r="537" spans="1:15" ht="16.149999999999999" customHeight="1" x14ac:dyDescent="0.25">
      <c r="A537" s="172">
        <v>42723</v>
      </c>
      <c r="B537" s="175" t="s">
        <v>49</v>
      </c>
      <c r="C537" s="254" t="s">
        <v>868</v>
      </c>
      <c r="D537" s="254" t="s">
        <v>769</v>
      </c>
      <c r="E537" s="254" t="s">
        <v>856</v>
      </c>
      <c r="F537" s="254" t="s">
        <v>355</v>
      </c>
      <c r="G537" s="254" t="s">
        <v>848</v>
      </c>
      <c r="H537" s="254" t="s">
        <v>771</v>
      </c>
      <c r="I537" s="254" t="s">
        <v>334</v>
      </c>
      <c r="J537" s="176"/>
      <c r="K537" s="254" t="s">
        <v>769</v>
      </c>
      <c r="L537" s="254" t="s">
        <v>769</v>
      </c>
      <c r="M537" s="176"/>
      <c r="N537" s="176"/>
      <c r="O537" s="255" t="s">
        <v>802</v>
      </c>
    </row>
    <row r="538" spans="1:15" ht="16.149999999999999" customHeight="1" x14ac:dyDescent="0.25">
      <c r="A538" s="172">
        <v>42720</v>
      </c>
      <c r="B538" s="173" t="s">
        <v>49</v>
      </c>
      <c r="C538" s="252" t="s">
        <v>869</v>
      </c>
      <c r="D538" s="252" t="s">
        <v>870</v>
      </c>
      <c r="E538" s="252" t="s">
        <v>295</v>
      </c>
      <c r="F538" s="252" t="s">
        <v>871</v>
      </c>
      <c r="G538" s="252" t="s">
        <v>872</v>
      </c>
      <c r="H538" s="252" t="s">
        <v>873</v>
      </c>
      <c r="I538" s="252" t="s">
        <v>874</v>
      </c>
      <c r="J538" s="174"/>
      <c r="K538" s="252" t="s">
        <v>875</v>
      </c>
      <c r="L538" s="252" t="s">
        <v>876</v>
      </c>
      <c r="M538" s="174"/>
      <c r="N538" s="174"/>
      <c r="O538" s="253" t="s">
        <v>313</v>
      </c>
    </row>
    <row r="539" spans="1:15" ht="16.149999999999999" customHeight="1" x14ac:dyDescent="0.25">
      <c r="A539" s="172">
        <v>42719</v>
      </c>
      <c r="B539" s="175" t="s">
        <v>49</v>
      </c>
      <c r="C539" s="254" t="s">
        <v>877</v>
      </c>
      <c r="D539" s="254" t="s">
        <v>878</v>
      </c>
      <c r="E539" s="254" t="s">
        <v>876</v>
      </c>
      <c r="F539" s="254" t="s">
        <v>879</v>
      </c>
      <c r="G539" s="254" t="s">
        <v>879</v>
      </c>
      <c r="H539" s="254" t="s">
        <v>879</v>
      </c>
      <c r="I539" s="254" t="s">
        <v>880</v>
      </c>
      <c r="J539" s="176"/>
      <c r="K539" s="254" t="s">
        <v>313</v>
      </c>
      <c r="L539" s="254" t="s">
        <v>881</v>
      </c>
      <c r="M539" s="176"/>
      <c r="N539" s="176"/>
      <c r="O539" s="255" t="s">
        <v>313</v>
      </c>
    </row>
    <row r="540" spans="1:15" ht="16.149999999999999" customHeight="1" x14ac:dyDescent="0.25">
      <c r="A540" s="172">
        <v>42718</v>
      </c>
      <c r="B540" s="173" t="s">
        <v>49</v>
      </c>
      <c r="C540" s="252" t="s">
        <v>882</v>
      </c>
      <c r="D540" s="252" t="s">
        <v>875</v>
      </c>
      <c r="E540" s="252" t="s">
        <v>873</v>
      </c>
      <c r="F540" s="252" t="s">
        <v>871</v>
      </c>
      <c r="G540" s="252" t="s">
        <v>883</v>
      </c>
      <c r="H540" s="252" t="s">
        <v>884</v>
      </c>
      <c r="I540" s="252" t="s">
        <v>874</v>
      </c>
      <c r="J540" s="174"/>
      <c r="K540" s="252" t="s">
        <v>884</v>
      </c>
      <c r="L540" s="252" t="s">
        <v>879</v>
      </c>
      <c r="M540" s="174"/>
      <c r="N540" s="174"/>
      <c r="O540" s="253" t="s">
        <v>313</v>
      </c>
    </row>
    <row r="541" spans="1:15" ht="16.149999999999999" customHeight="1" x14ac:dyDescent="0.25">
      <c r="A541" s="172">
        <v>42717</v>
      </c>
      <c r="B541" s="175" t="s">
        <v>49</v>
      </c>
      <c r="C541" s="254" t="s">
        <v>885</v>
      </c>
      <c r="D541" s="254" t="s">
        <v>886</v>
      </c>
      <c r="E541" s="254" t="s">
        <v>887</v>
      </c>
      <c r="F541" s="254" t="s">
        <v>888</v>
      </c>
      <c r="G541" s="254" t="s">
        <v>884</v>
      </c>
      <c r="H541" s="254" t="s">
        <v>879</v>
      </c>
      <c r="I541" s="254" t="s">
        <v>321</v>
      </c>
      <c r="J541" s="176"/>
      <c r="K541" s="254" t="s">
        <v>887</v>
      </c>
      <c r="L541" s="254" t="s">
        <v>876</v>
      </c>
      <c r="M541" s="176"/>
      <c r="N541" s="176"/>
      <c r="O541" s="255" t="s">
        <v>313</v>
      </c>
    </row>
    <row r="542" spans="1:15" ht="16.149999999999999" customHeight="1" x14ac:dyDescent="0.25">
      <c r="A542" s="172">
        <v>42716</v>
      </c>
      <c r="B542" s="173" t="s">
        <v>49</v>
      </c>
      <c r="C542" s="252" t="s">
        <v>889</v>
      </c>
      <c r="D542" s="252" t="s">
        <v>313</v>
      </c>
      <c r="E542" s="252" t="s">
        <v>884</v>
      </c>
      <c r="F542" s="252" t="s">
        <v>888</v>
      </c>
      <c r="G542" s="252" t="s">
        <v>890</v>
      </c>
      <c r="H542" s="252" t="s">
        <v>873</v>
      </c>
      <c r="I542" s="252" t="s">
        <v>891</v>
      </c>
      <c r="J542" s="174"/>
      <c r="K542" s="252" t="s">
        <v>879</v>
      </c>
      <c r="L542" s="252" t="s">
        <v>892</v>
      </c>
      <c r="M542" s="174"/>
      <c r="N542" s="174"/>
      <c r="O542" s="253" t="s">
        <v>873</v>
      </c>
    </row>
    <row r="543" spans="1:15" ht="16.149999999999999" customHeight="1" x14ac:dyDescent="0.25">
      <c r="A543" s="172">
        <v>42713</v>
      </c>
      <c r="B543" s="175" t="s">
        <v>49</v>
      </c>
      <c r="C543" s="254" t="s">
        <v>893</v>
      </c>
      <c r="D543" s="254" t="s">
        <v>879</v>
      </c>
      <c r="E543" s="254" t="s">
        <v>884</v>
      </c>
      <c r="F543" s="254" t="s">
        <v>879</v>
      </c>
      <c r="G543" s="254" t="s">
        <v>879</v>
      </c>
      <c r="H543" s="254" t="s">
        <v>879</v>
      </c>
      <c r="I543" s="254" t="s">
        <v>894</v>
      </c>
      <c r="J543" s="176"/>
      <c r="K543" s="254" t="s">
        <v>879</v>
      </c>
      <c r="L543" s="254" t="s">
        <v>873</v>
      </c>
      <c r="M543" s="176"/>
      <c r="N543" s="176"/>
      <c r="O543" s="255" t="s">
        <v>884</v>
      </c>
    </row>
    <row r="544" spans="1:15" ht="16.149999999999999" customHeight="1" x14ac:dyDescent="0.25">
      <c r="A544" s="172">
        <v>42711</v>
      </c>
      <c r="B544" s="173" t="s">
        <v>49</v>
      </c>
      <c r="C544" s="252" t="s">
        <v>895</v>
      </c>
      <c r="D544" s="252" t="s">
        <v>873</v>
      </c>
      <c r="E544" s="252" t="s">
        <v>879</v>
      </c>
      <c r="F544" s="252" t="s">
        <v>873</v>
      </c>
      <c r="G544" s="252" t="s">
        <v>873</v>
      </c>
      <c r="H544" s="252" t="s">
        <v>873</v>
      </c>
      <c r="I544" s="252" t="s">
        <v>873</v>
      </c>
      <c r="J544" s="174"/>
      <c r="K544" s="252" t="s">
        <v>313</v>
      </c>
      <c r="L544" s="252" t="s">
        <v>873</v>
      </c>
      <c r="M544" s="174"/>
      <c r="N544" s="174"/>
      <c r="O544" s="253" t="s">
        <v>876</v>
      </c>
    </row>
    <row r="545" spans="1:15" ht="16.149999999999999" customHeight="1" x14ac:dyDescent="0.25">
      <c r="A545" s="172">
        <v>42710</v>
      </c>
      <c r="B545" s="175" t="s">
        <v>49</v>
      </c>
      <c r="C545" s="254" t="s">
        <v>896</v>
      </c>
      <c r="D545" s="254" t="s">
        <v>876</v>
      </c>
      <c r="E545" s="254" t="s">
        <v>873</v>
      </c>
      <c r="F545" s="254" t="s">
        <v>310</v>
      </c>
      <c r="G545" s="254" t="s">
        <v>321</v>
      </c>
      <c r="H545" s="254" t="s">
        <v>876</v>
      </c>
      <c r="I545" s="254" t="s">
        <v>297</v>
      </c>
      <c r="J545" s="176"/>
      <c r="K545" s="254" t="s">
        <v>876</v>
      </c>
      <c r="L545" s="254" t="s">
        <v>876</v>
      </c>
      <c r="M545" s="176"/>
      <c r="N545" s="176"/>
      <c r="O545" s="255" t="s">
        <v>874</v>
      </c>
    </row>
    <row r="546" spans="1:15" ht="16.149999999999999" customHeight="1" x14ac:dyDescent="0.25">
      <c r="A546" s="172">
        <v>42709</v>
      </c>
      <c r="B546" s="173" t="s">
        <v>49</v>
      </c>
      <c r="C546" s="252" t="s">
        <v>897</v>
      </c>
      <c r="D546" s="252" t="s">
        <v>898</v>
      </c>
      <c r="E546" s="252" t="s">
        <v>873</v>
      </c>
      <c r="F546" s="252" t="s">
        <v>310</v>
      </c>
      <c r="G546" s="252" t="s">
        <v>874</v>
      </c>
      <c r="H546" s="252" t="s">
        <v>881</v>
      </c>
      <c r="I546" s="252" t="s">
        <v>899</v>
      </c>
      <c r="J546" s="174"/>
      <c r="K546" s="252" t="s">
        <v>876</v>
      </c>
      <c r="L546" s="252" t="s">
        <v>876</v>
      </c>
      <c r="M546" s="174"/>
      <c r="N546" s="174"/>
      <c r="O546" s="253" t="s">
        <v>881</v>
      </c>
    </row>
    <row r="547" spans="1:15" ht="16.149999999999999" customHeight="1" x14ac:dyDescent="0.25">
      <c r="A547" s="172">
        <v>42706</v>
      </c>
      <c r="B547" s="175" t="s">
        <v>49</v>
      </c>
      <c r="C547" s="254" t="s">
        <v>900</v>
      </c>
      <c r="D547" s="254" t="s">
        <v>874</v>
      </c>
      <c r="E547" s="254" t="s">
        <v>876</v>
      </c>
      <c r="F547" s="254" t="s">
        <v>881</v>
      </c>
      <c r="G547" s="254" t="s">
        <v>874</v>
      </c>
      <c r="H547" s="254" t="s">
        <v>876</v>
      </c>
      <c r="I547" s="254" t="s">
        <v>311</v>
      </c>
      <c r="J547" s="176"/>
      <c r="K547" s="254" t="s">
        <v>874</v>
      </c>
      <c r="L547" s="254" t="s">
        <v>881</v>
      </c>
      <c r="M547" s="176"/>
      <c r="N547" s="176"/>
      <c r="O547" s="255" t="s">
        <v>881</v>
      </c>
    </row>
    <row r="548" spans="1:15" ht="16.149999999999999" customHeight="1" x14ac:dyDescent="0.25">
      <c r="A548" s="172">
        <v>42705</v>
      </c>
      <c r="B548" s="173" t="s">
        <v>49</v>
      </c>
      <c r="C548" s="252" t="s">
        <v>901</v>
      </c>
      <c r="D548" s="252" t="s">
        <v>881</v>
      </c>
      <c r="E548" s="252" t="s">
        <v>873</v>
      </c>
      <c r="F548" s="252" t="s">
        <v>874</v>
      </c>
      <c r="G548" s="252" t="s">
        <v>322</v>
      </c>
      <c r="H548" s="252" t="s">
        <v>881</v>
      </c>
      <c r="I548" s="252" t="s">
        <v>317</v>
      </c>
      <c r="J548" s="174"/>
      <c r="K548" s="252" t="s">
        <v>881</v>
      </c>
      <c r="L548" s="252" t="s">
        <v>881</v>
      </c>
      <c r="M548" s="174"/>
      <c r="N548" s="174"/>
      <c r="O548" s="253" t="s">
        <v>881</v>
      </c>
    </row>
    <row r="549" spans="1:15" ht="16.149999999999999" customHeight="1" x14ac:dyDescent="0.25">
      <c r="A549" s="172">
        <v>42704</v>
      </c>
      <c r="B549" s="175" t="s">
        <v>49</v>
      </c>
      <c r="C549" s="254" t="s">
        <v>896</v>
      </c>
      <c r="D549" s="254" t="s">
        <v>876</v>
      </c>
      <c r="E549" s="254" t="s">
        <v>879</v>
      </c>
      <c r="F549" s="254" t="s">
        <v>873</v>
      </c>
      <c r="G549" s="254" t="s">
        <v>902</v>
      </c>
      <c r="H549" s="254" t="s">
        <v>876</v>
      </c>
      <c r="I549" s="254" t="s">
        <v>903</v>
      </c>
      <c r="J549" s="176"/>
      <c r="K549" s="254" t="s">
        <v>873</v>
      </c>
      <c r="L549" s="254" t="s">
        <v>892</v>
      </c>
      <c r="M549" s="176"/>
      <c r="N549" s="176"/>
      <c r="O549" s="255" t="s">
        <v>876</v>
      </c>
    </row>
    <row r="550" spans="1:15" ht="16.149999999999999" customHeight="1" x14ac:dyDescent="0.25">
      <c r="A550" s="172">
        <v>42703</v>
      </c>
      <c r="B550" s="173" t="s">
        <v>49</v>
      </c>
      <c r="C550" s="252" t="s">
        <v>897</v>
      </c>
      <c r="D550" s="252" t="s">
        <v>898</v>
      </c>
      <c r="E550" s="252" t="s">
        <v>876</v>
      </c>
      <c r="F550" s="252" t="s">
        <v>876</v>
      </c>
      <c r="G550" s="252" t="s">
        <v>874</v>
      </c>
      <c r="H550" s="252" t="s">
        <v>881</v>
      </c>
      <c r="I550" s="252" t="s">
        <v>879</v>
      </c>
      <c r="J550" s="174"/>
      <c r="K550" s="252" t="s">
        <v>881</v>
      </c>
      <c r="L550" s="252" t="s">
        <v>904</v>
      </c>
      <c r="M550" s="174"/>
      <c r="N550" s="174"/>
      <c r="O550" s="253" t="s">
        <v>876</v>
      </c>
    </row>
    <row r="551" spans="1:15" ht="16.149999999999999" customHeight="1" x14ac:dyDescent="0.25">
      <c r="A551" s="172">
        <v>42702</v>
      </c>
      <c r="B551" s="175" t="s">
        <v>49</v>
      </c>
      <c r="C551" s="254" t="s">
        <v>905</v>
      </c>
      <c r="D551" s="254" t="s">
        <v>876</v>
      </c>
      <c r="E551" s="254" t="s">
        <v>876</v>
      </c>
      <c r="F551" s="254" t="s">
        <v>906</v>
      </c>
      <c r="G551" s="254" t="s">
        <v>892</v>
      </c>
      <c r="H551" s="254" t="s">
        <v>876</v>
      </c>
      <c r="I551" s="254" t="s">
        <v>907</v>
      </c>
      <c r="J551" s="176"/>
      <c r="K551" s="254" t="s">
        <v>908</v>
      </c>
      <c r="L551" s="254" t="s">
        <v>873</v>
      </c>
      <c r="M551" s="176"/>
      <c r="N551" s="176"/>
      <c r="O551" s="255" t="s">
        <v>876</v>
      </c>
    </row>
    <row r="552" spans="1:15" ht="16.149999999999999" customHeight="1" x14ac:dyDescent="0.25">
      <c r="A552" s="172">
        <v>42699</v>
      </c>
      <c r="B552" s="173" t="s">
        <v>49</v>
      </c>
      <c r="C552" s="252" t="s">
        <v>909</v>
      </c>
      <c r="D552" s="252" t="s">
        <v>910</v>
      </c>
      <c r="E552" s="252" t="s">
        <v>911</v>
      </c>
      <c r="F552" s="252" t="s">
        <v>910</v>
      </c>
      <c r="G552" s="252" t="s">
        <v>910</v>
      </c>
      <c r="H552" s="252" t="s">
        <v>912</v>
      </c>
      <c r="I552" s="252" t="s">
        <v>911</v>
      </c>
      <c r="J552" s="174"/>
      <c r="K552" s="252" t="s">
        <v>911</v>
      </c>
      <c r="L552" s="252" t="s">
        <v>912</v>
      </c>
      <c r="M552" s="174"/>
      <c r="N552" s="174"/>
      <c r="O552" s="253" t="s">
        <v>913</v>
      </c>
    </row>
    <row r="553" spans="1:15" ht="16.149999999999999" customHeight="1" x14ac:dyDescent="0.25">
      <c r="A553" s="172">
        <v>42698</v>
      </c>
      <c r="B553" s="175" t="s">
        <v>49</v>
      </c>
      <c r="C553" s="254" t="s">
        <v>914</v>
      </c>
      <c r="D553" s="254" t="s">
        <v>915</v>
      </c>
      <c r="E553" s="254" t="s">
        <v>912</v>
      </c>
      <c r="F553" s="254" t="s">
        <v>916</v>
      </c>
      <c r="G553" s="254" t="s">
        <v>917</v>
      </c>
      <c r="H553" s="254" t="s">
        <v>918</v>
      </c>
      <c r="I553" s="254" t="s">
        <v>919</v>
      </c>
      <c r="J553" s="176"/>
      <c r="K553" s="254" t="s">
        <v>918</v>
      </c>
      <c r="L553" s="254" t="s">
        <v>918</v>
      </c>
      <c r="M553" s="176"/>
      <c r="N553" s="176"/>
      <c r="O553" s="255" t="s">
        <v>918</v>
      </c>
    </row>
    <row r="554" spans="1:15" ht="16.149999999999999" customHeight="1" x14ac:dyDescent="0.25">
      <c r="A554" s="172">
        <v>42697</v>
      </c>
      <c r="B554" s="173" t="s">
        <v>49</v>
      </c>
      <c r="C554" s="252" t="s">
        <v>920</v>
      </c>
      <c r="D554" s="252" t="s">
        <v>918</v>
      </c>
      <c r="E554" s="252" t="s">
        <v>912</v>
      </c>
      <c r="F554" s="252" t="s">
        <v>916</v>
      </c>
      <c r="G554" s="252" t="s">
        <v>918</v>
      </c>
      <c r="H554" s="252" t="s">
        <v>918</v>
      </c>
      <c r="I554" s="252" t="s">
        <v>921</v>
      </c>
      <c r="J554" s="174"/>
      <c r="K554" s="252" t="s">
        <v>918</v>
      </c>
      <c r="L554" s="252" t="s">
        <v>918</v>
      </c>
      <c r="M554" s="174"/>
      <c r="N554" s="174"/>
      <c r="O554" s="253" t="s">
        <v>916</v>
      </c>
    </row>
    <row r="555" spans="1:15" ht="16.149999999999999" customHeight="1" x14ac:dyDescent="0.25">
      <c r="A555" s="172">
        <v>42696</v>
      </c>
      <c r="B555" s="175" t="s">
        <v>49</v>
      </c>
      <c r="C555" s="254" t="s">
        <v>922</v>
      </c>
      <c r="D555" s="254" t="s">
        <v>916</v>
      </c>
      <c r="E555" s="254" t="s">
        <v>912</v>
      </c>
      <c r="F555" s="254" t="s">
        <v>923</v>
      </c>
      <c r="G555" s="254" t="s">
        <v>917</v>
      </c>
      <c r="H555" s="254" t="s">
        <v>916</v>
      </c>
      <c r="I555" s="254" t="s">
        <v>303</v>
      </c>
      <c r="J555" s="176"/>
      <c r="K555" s="254" t="s">
        <v>918</v>
      </c>
      <c r="L555" s="254" t="s">
        <v>918</v>
      </c>
      <c r="M555" s="176"/>
      <c r="N555" s="176"/>
      <c r="O555" s="255" t="s">
        <v>916</v>
      </c>
    </row>
    <row r="556" spans="1:15" ht="16.149999999999999" customHeight="1" x14ac:dyDescent="0.25">
      <c r="A556" s="172">
        <v>42695</v>
      </c>
      <c r="B556" s="173" t="s">
        <v>49</v>
      </c>
      <c r="C556" s="252" t="s">
        <v>922</v>
      </c>
      <c r="D556" s="252" t="s">
        <v>916</v>
      </c>
      <c r="E556" s="252" t="s">
        <v>912</v>
      </c>
      <c r="F556" s="252" t="s">
        <v>912</v>
      </c>
      <c r="G556" s="252" t="s">
        <v>910</v>
      </c>
      <c r="H556" s="252" t="s">
        <v>918</v>
      </c>
      <c r="I556" s="252" t="s">
        <v>921</v>
      </c>
      <c r="J556" s="174"/>
      <c r="K556" s="252" t="s">
        <v>918</v>
      </c>
      <c r="L556" s="252" t="s">
        <v>918</v>
      </c>
      <c r="M556" s="174"/>
      <c r="N556" s="174"/>
      <c r="O556" s="253" t="s">
        <v>912</v>
      </c>
    </row>
    <row r="557" spans="1:15" ht="16.149999999999999" customHeight="1" x14ac:dyDescent="0.25">
      <c r="A557" s="172">
        <v>42692</v>
      </c>
      <c r="B557" s="175" t="s">
        <v>49</v>
      </c>
      <c r="C557" s="254" t="s">
        <v>924</v>
      </c>
      <c r="D557" s="254" t="s">
        <v>912</v>
      </c>
      <c r="E557" s="254" t="s">
        <v>912</v>
      </c>
      <c r="F557" s="254" t="s">
        <v>912</v>
      </c>
      <c r="G557" s="254" t="s">
        <v>916</v>
      </c>
      <c r="H557" s="254" t="s">
        <v>916</v>
      </c>
      <c r="I557" s="254" t="s">
        <v>911</v>
      </c>
      <c r="J557" s="176"/>
      <c r="K557" s="254" t="s">
        <v>912</v>
      </c>
      <c r="L557" s="254" t="s">
        <v>918</v>
      </c>
      <c r="M557" s="176"/>
      <c r="N557" s="176"/>
      <c r="O557" s="255" t="s">
        <v>912</v>
      </c>
    </row>
    <row r="558" spans="1:15" ht="16.149999999999999" customHeight="1" x14ac:dyDescent="0.25">
      <c r="A558" s="172">
        <v>42691</v>
      </c>
      <c r="B558" s="173" t="s">
        <v>49</v>
      </c>
      <c r="C558" s="252" t="s">
        <v>925</v>
      </c>
      <c r="D558" s="252" t="s">
        <v>912</v>
      </c>
      <c r="E558" s="252" t="s">
        <v>912</v>
      </c>
      <c r="F558" s="252" t="s">
        <v>912</v>
      </c>
      <c r="G558" s="252" t="s">
        <v>912</v>
      </c>
      <c r="H558" s="252" t="s">
        <v>912</v>
      </c>
      <c r="I558" s="252" t="s">
        <v>926</v>
      </c>
      <c r="J558" s="174"/>
      <c r="K558" s="252" t="s">
        <v>911</v>
      </c>
      <c r="L558" s="252" t="s">
        <v>918</v>
      </c>
      <c r="M558" s="174"/>
      <c r="N558" s="174"/>
      <c r="O558" s="253" t="s">
        <v>912</v>
      </c>
    </row>
    <row r="559" spans="1:15" ht="16.149999999999999" customHeight="1" x14ac:dyDescent="0.25">
      <c r="A559" s="172">
        <v>42690</v>
      </c>
      <c r="B559" s="175" t="s">
        <v>49</v>
      </c>
      <c r="C559" s="254" t="s">
        <v>925</v>
      </c>
      <c r="D559" s="254" t="s">
        <v>912</v>
      </c>
      <c r="E559" s="254" t="s">
        <v>918</v>
      </c>
      <c r="F559" s="254" t="s">
        <v>927</v>
      </c>
      <c r="G559" s="254" t="s">
        <v>303</v>
      </c>
      <c r="H559" s="254" t="s">
        <v>912</v>
      </c>
      <c r="I559" s="254" t="s">
        <v>928</v>
      </c>
      <c r="J559" s="176"/>
      <c r="K559" s="254" t="s">
        <v>916</v>
      </c>
      <c r="L559" s="254" t="s">
        <v>929</v>
      </c>
      <c r="M559" s="176"/>
      <c r="N559" s="176"/>
      <c r="O559" s="255" t="s">
        <v>912</v>
      </c>
    </row>
    <row r="560" spans="1:15" ht="16.149999999999999" customHeight="1" x14ac:dyDescent="0.25">
      <c r="A560" s="172">
        <v>42689</v>
      </c>
      <c r="B560" s="173" t="s">
        <v>49</v>
      </c>
      <c r="C560" s="252" t="s">
        <v>930</v>
      </c>
      <c r="D560" s="252" t="s">
        <v>926</v>
      </c>
      <c r="E560" s="252" t="s">
        <v>931</v>
      </c>
      <c r="F560" s="252" t="s">
        <v>927</v>
      </c>
      <c r="G560" s="252" t="s">
        <v>932</v>
      </c>
      <c r="H560" s="252" t="s">
        <v>911</v>
      </c>
      <c r="I560" s="252" t="s">
        <v>933</v>
      </c>
      <c r="J560" s="174"/>
      <c r="K560" s="252" t="s">
        <v>931</v>
      </c>
      <c r="L560" s="252" t="s">
        <v>918</v>
      </c>
      <c r="M560" s="174"/>
      <c r="N560" s="174"/>
      <c r="O560" s="253" t="s">
        <v>912</v>
      </c>
    </row>
    <row r="561" spans="1:15" ht="16.149999999999999" customHeight="1" x14ac:dyDescent="0.25">
      <c r="A561" s="172">
        <v>42685</v>
      </c>
      <c r="B561" s="175" t="s">
        <v>49</v>
      </c>
      <c r="C561" s="254" t="s">
        <v>934</v>
      </c>
      <c r="D561" s="254" t="s">
        <v>916</v>
      </c>
      <c r="E561" s="254" t="s">
        <v>918</v>
      </c>
      <c r="F561" s="254" t="s">
        <v>912</v>
      </c>
      <c r="G561" s="254" t="s">
        <v>911</v>
      </c>
      <c r="H561" s="254" t="s">
        <v>918</v>
      </c>
      <c r="I561" s="254" t="s">
        <v>935</v>
      </c>
      <c r="J561" s="176"/>
      <c r="K561" s="254" t="s">
        <v>918</v>
      </c>
      <c r="L561" s="254" t="s">
        <v>929</v>
      </c>
      <c r="M561" s="176"/>
      <c r="N561" s="176"/>
      <c r="O561" s="255" t="s">
        <v>926</v>
      </c>
    </row>
    <row r="562" spans="1:15" ht="16.149999999999999" customHeight="1" x14ac:dyDescent="0.25">
      <c r="A562" s="172">
        <v>42684</v>
      </c>
      <c r="B562" s="173" t="s">
        <v>49</v>
      </c>
      <c r="C562" s="252" t="s">
        <v>936</v>
      </c>
      <c r="D562" s="252" t="s">
        <v>928</v>
      </c>
      <c r="E562" s="252" t="s">
        <v>931</v>
      </c>
      <c r="F562" s="252" t="s">
        <v>928</v>
      </c>
      <c r="G562" s="252" t="s">
        <v>937</v>
      </c>
      <c r="H562" s="252" t="s">
        <v>928</v>
      </c>
      <c r="I562" s="252" t="s">
        <v>297</v>
      </c>
      <c r="J562" s="174"/>
      <c r="K562" s="252" t="s">
        <v>938</v>
      </c>
      <c r="L562" s="252" t="s">
        <v>931</v>
      </c>
      <c r="M562" s="174"/>
      <c r="N562" s="174"/>
      <c r="O562" s="253" t="s">
        <v>892</v>
      </c>
    </row>
    <row r="563" spans="1:15" ht="16.149999999999999" customHeight="1" x14ac:dyDescent="0.25">
      <c r="A563" s="172">
        <v>42683</v>
      </c>
      <c r="B563" s="175" t="s">
        <v>49</v>
      </c>
      <c r="C563" s="254" t="s">
        <v>939</v>
      </c>
      <c r="D563" s="254" t="s">
        <v>892</v>
      </c>
      <c r="E563" s="254" t="s">
        <v>892</v>
      </c>
      <c r="F563" s="254" t="s">
        <v>940</v>
      </c>
      <c r="G563" s="254" t="s">
        <v>315</v>
      </c>
      <c r="H563" s="254" t="s">
        <v>881</v>
      </c>
      <c r="I563" s="254" t="s">
        <v>315</v>
      </c>
      <c r="J563" s="176"/>
      <c r="K563" s="254" t="s">
        <v>940</v>
      </c>
      <c r="L563" s="254" t="s">
        <v>904</v>
      </c>
      <c r="M563" s="176"/>
      <c r="N563" s="176"/>
      <c r="O563" s="255" t="s">
        <v>892</v>
      </c>
    </row>
    <row r="564" spans="1:15" ht="16.149999999999999" customHeight="1" x14ac:dyDescent="0.25">
      <c r="A564" s="172">
        <v>42682</v>
      </c>
      <c r="B564" s="173" t="s">
        <v>49</v>
      </c>
      <c r="C564" s="252" t="s">
        <v>939</v>
      </c>
      <c r="D564" s="252" t="s">
        <v>892</v>
      </c>
      <c r="E564" s="252" t="s">
        <v>892</v>
      </c>
      <c r="F564" s="252" t="s">
        <v>899</v>
      </c>
      <c r="G564" s="252" t="s">
        <v>908</v>
      </c>
      <c r="H564" s="252" t="s">
        <v>876</v>
      </c>
      <c r="I564" s="252" t="s">
        <v>892</v>
      </c>
      <c r="J564" s="174"/>
      <c r="K564" s="252" t="s">
        <v>881</v>
      </c>
      <c r="L564" s="252" t="s">
        <v>892</v>
      </c>
      <c r="M564" s="174"/>
      <c r="N564" s="174"/>
      <c r="O564" s="253" t="s">
        <v>928</v>
      </c>
    </row>
    <row r="565" spans="1:15" ht="16.149999999999999" customHeight="1" x14ac:dyDescent="0.25">
      <c r="A565" s="172">
        <v>42678</v>
      </c>
      <c r="B565" s="175" t="s">
        <v>49</v>
      </c>
      <c r="C565" s="254" t="s">
        <v>941</v>
      </c>
      <c r="D565" s="254" t="s">
        <v>942</v>
      </c>
      <c r="E565" s="254" t="s">
        <v>938</v>
      </c>
      <c r="F565" s="254" t="s">
        <v>938</v>
      </c>
      <c r="G565" s="254" t="s">
        <v>927</v>
      </c>
      <c r="H565" s="254" t="s">
        <v>928</v>
      </c>
      <c r="I565" s="254" t="s">
        <v>943</v>
      </c>
      <c r="J565" s="176"/>
      <c r="K565" s="254" t="s">
        <v>931</v>
      </c>
      <c r="L565" s="254" t="s">
        <v>911</v>
      </c>
      <c r="M565" s="176"/>
      <c r="N565" s="176"/>
      <c r="O565" s="255" t="s">
        <v>944</v>
      </c>
    </row>
    <row r="566" spans="1:15" ht="16.149999999999999" customHeight="1" x14ac:dyDescent="0.25">
      <c r="A566" s="172">
        <v>42677</v>
      </c>
      <c r="B566" s="173" t="s">
        <v>49</v>
      </c>
      <c r="C566" s="252" t="s">
        <v>945</v>
      </c>
      <c r="D566" s="252" t="s">
        <v>931</v>
      </c>
      <c r="E566" s="252" t="s">
        <v>931</v>
      </c>
      <c r="F566" s="252" t="s">
        <v>931</v>
      </c>
      <c r="G566" s="252" t="s">
        <v>910</v>
      </c>
      <c r="H566" s="252" t="s">
        <v>931</v>
      </c>
      <c r="I566" s="252" t="s">
        <v>946</v>
      </c>
      <c r="J566" s="174"/>
      <c r="K566" s="252" t="s">
        <v>938</v>
      </c>
      <c r="L566" s="252" t="s">
        <v>928</v>
      </c>
      <c r="M566" s="174"/>
      <c r="N566" s="174"/>
      <c r="O566" s="253" t="s">
        <v>944</v>
      </c>
    </row>
    <row r="567" spans="1:15" ht="16.149999999999999" customHeight="1" x14ac:dyDescent="0.25">
      <c r="A567" s="172">
        <v>42676</v>
      </c>
      <c r="B567" s="175" t="s">
        <v>49</v>
      </c>
      <c r="C567" s="254" t="s">
        <v>947</v>
      </c>
      <c r="D567" s="254" t="s">
        <v>303</v>
      </c>
      <c r="E567" s="254" t="s">
        <v>911</v>
      </c>
      <c r="F567" s="254" t="s">
        <v>948</v>
      </c>
      <c r="G567" s="254" t="s">
        <v>944</v>
      </c>
      <c r="H567" s="254" t="s">
        <v>911</v>
      </c>
      <c r="I567" s="254" t="s">
        <v>913</v>
      </c>
      <c r="J567" s="176"/>
      <c r="K567" s="254" t="s">
        <v>911</v>
      </c>
      <c r="L567" s="254" t="s">
        <v>912</v>
      </c>
      <c r="M567" s="176"/>
      <c r="N567" s="176"/>
      <c r="O567" s="255" t="s">
        <v>912</v>
      </c>
    </row>
    <row r="568" spans="1:15" ht="16.149999999999999" customHeight="1" x14ac:dyDescent="0.25">
      <c r="A568" s="172">
        <v>42675</v>
      </c>
      <c r="B568" s="173" t="s">
        <v>49</v>
      </c>
      <c r="C568" s="252" t="s">
        <v>925</v>
      </c>
      <c r="D568" s="252" t="s">
        <v>912</v>
      </c>
      <c r="E568" s="252" t="s">
        <v>912</v>
      </c>
      <c r="F568" s="252" t="s">
        <v>303</v>
      </c>
      <c r="G568" s="252" t="s">
        <v>918</v>
      </c>
      <c r="H568" s="252" t="s">
        <v>911</v>
      </c>
      <c r="I568" s="252" t="s">
        <v>921</v>
      </c>
      <c r="J568" s="174"/>
      <c r="K568" s="252" t="s">
        <v>912</v>
      </c>
      <c r="L568" s="252" t="s">
        <v>918</v>
      </c>
      <c r="M568" s="174"/>
      <c r="N568" s="174"/>
      <c r="O568" s="253" t="s">
        <v>912</v>
      </c>
    </row>
    <row r="569" spans="1:15" ht="16.149999999999999" customHeight="1" x14ac:dyDescent="0.25">
      <c r="A569" s="172">
        <v>42674</v>
      </c>
      <c r="B569" s="175" t="s">
        <v>49</v>
      </c>
      <c r="C569" s="254" t="s">
        <v>925</v>
      </c>
      <c r="D569" s="254" t="s">
        <v>912</v>
      </c>
      <c r="E569" s="254" t="s">
        <v>912</v>
      </c>
      <c r="F569" s="254" t="s">
        <v>303</v>
      </c>
      <c r="G569" s="254" t="s">
        <v>918</v>
      </c>
      <c r="H569" s="254" t="s">
        <v>912</v>
      </c>
      <c r="I569" s="254" t="s">
        <v>305</v>
      </c>
      <c r="J569" s="176"/>
      <c r="K569" s="254" t="s">
        <v>912</v>
      </c>
      <c r="L569" s="254" t="s">
        <v>918</v>
      </c>
      <c r="M569" s="176"/>
      <c r="N569" s="176"/>
      <c r="O569" s="255" t="s">
        <v>912</v>
      </c>
    </row>
    <row r="570" spans="1:15" ht="16.149999999999999" customHeight="1" x14ac:dyDescent="0.25">
      <c r="A570" s="172">
        <v>42671</v>
      </c>
      <c r="B570" s="173" t="s">
        <v>49</v>
      </c>
      <c r="C570" s="252" t="s">
        <v>924</v>
      </c>
      <c r="D570" s="252" t="s">
        <v>912</v>
      </c>
      <c r="E570" s="252" t="s">
        <v>912</v>
      </c>
      <c r="F570" s="252" t="s">
        <v>303</v>
      </c>
      <c r="G570" s="252" t="s">
        <v>916</v>
      </c>
      <c r="H570" s="252" t="s">
        <v>912</v>
      </c>
      <c r="I570" s="252" t="s">
        <v>916</v>
      </c>
      <c r="J570" s="174"/>
      <c r="K570" s="252" t="s">
        <v>927</v>
      </c>
      <c r="L570" s="252" t="s">
        <v>918</v>
      </c>
      <c r="M570" s="174"/>
      <c r="N570" s="174"/>
      <c r="O570" s="253" t="s">
        <v>944</v>
      </c>
    </row>
    <row r="571" spans="1:15" ht="16.149999999999999" customHeight="1" x14ac:dyDescent="0.25">
      <c r="A571" s="172">
        <v>42670</v>
      </c>
      <c r="B571" s="175" t="s">
        <v>49</v>
      </c>
      <c r="C571" s="254" t="s">
        <v>925</v>
      </c>
      <c r="D571" s="254" t="s">
        <v>912</v>
      </c>
      <c r="E571" s="254" t="s">
        <v>916</v>
      </c>
      <c r="F571" s="254" t="s">
        <v>949</v>
      </c>
      <c r="G571" s="254" t="s">
        <v>946</v>
      </c>
      <c r="H571" s="254" t="s">
        <v>911</v>
      </c>
      <c r="I571" s="254" t="s">
        <v>912</v>
      </c>
      <c r="J571" s="176"/>
      <c r="K571" s="254" t="s">
        <v>948</v>
      </c>
      <c r="L571" s="254" t="s">
        <v>912</v>
      </c>
      <c r="M571" s="176"/>
      <c r="N571" s="176"/>
      <c r="O571" s="255" t="s">
        <v>912</v>
      </c>
    </row>
    <row r="572" spans="1:15" ht="16.149999999999999" customHeight="1" x14ac:dyDescent="0.25">
      <c r="A572" s="172">
        <v>42669</v>
      </c>
      <c r="B572" s="173" t="s">
        <v>49</v>
      </c>
      <c r="C572" s="252" t="s">
        <v>950</v>
      </c>
      <c r="D572" s="252" t="s">
        <v>910</v>
      </c>
      <c r="E572" s="252" t="s">
        <v>912</v>
      </c>
      <c r="F572" s="252" t="s">
        <v>951</v>
      </c>
      <c r="G572" s="252" t="s">
        <v>910</v>
      </c>
      <c r="H572" s="252" t="s">
        <v>911</v>
      </c>
      <c r="I572" s="252" t="s">
        <v>952</v>
      </c>
      <c r="J572" s="174"/>
      <c r="K572" s="252" t="s">
        <v>911</v>
      </c>
      <c r="L572" s="252" t="s">
        <v>912</v>
      </c>
      <c r="M572" s="174"/>
      <c r="N572" s="174"/>
      <c r="O572" s="253" t="s">
        <v>910</v>
      </c>
    </row>
    <row r="573" spans="1:15" ht="16.149999999999999" customHeight="1" x14ac:dyDescent="0.25">
      <c r="A573" s="172">
        <v>42668</v>
      </c>
      <c r="B573" s="175" t="s">
        <v>49</v>
      </c>
      <c r="C573" s="254" t="s">
        <v>953</v>
      </c>
      <c r="D573" s="254" t="s">
        <v>948</v>
      </c>
      <c r="E573" s="254" t="s">
        <v>911</v>
      </c>
      <c r="F573" s="254" t="s">
        <v>954</v>
      </c>
      <c r="G573" s="254" t="s">
        <v>910</v>
      </c>
      <c r="H573" s="254" t="s">
        <v>931</v>
      </c>
      <c r="I573" s="254" t="s">
        <v>305</v>
      </c>
      <c r="J573" s="176"/>
      <c r="K573" s="254" t="s">
        <v>911</v>
      </c>
      <c r="L573" s="254" t="s">
        <v>912</v>
      </c>
      <c r="M573" s="176"/>
      <c r="N573" s="176"/>
      <c r="O573" s="255" t="s">
        <v>927</v>
      </c>
    </row>
    <row r="574" spans="1:15" ht="16.149999999999999" customHeight="1" x14ac:dyDescent="0.25">
      <c r="A574" s="172">
        <v>42667</v>
      </c>
      <c r="B574" s="173" t="s">
        <v>49</v>
      </c>
      <c r="C574" s="252" t="s">
        <v>945</v>
      </c>
      <c r="D574" s="252" t="s">
        <v>931</v>
      </c>
      <c r="E574" s="252" t="s">
        <v>911</v>
      </c>
      <c r="F574" s="252" t="s">
        <v>942</v>
      </c>
      <c r="G574" s="252" t="s">
        <v>926</v>
      </c>
      <c r="H574" s="252" t="s">
        <v>931</v>
      </c>
      <c r="I574" s="252" t="s">
        <v>305</v>
      </c>
      <c r="J574" s="174"/>
      <c r="K574" s="252" t="s">
        <v>931</v>
      </c>
      <c r="L574" s="252" t="s">
        <v>911</v>
      </c>
      <c r="M574" s="174"/>
      <c r="N574" s="174"/>
      <c r="O574" s="253" t="s">
        <v>931</v>
      </c>
    </row>
    <row r="575" spans="1:15" ht="16.149999999999999" customHeight="1" x14ac:dyDescent="0.25">
      <c r="A575" s="172">
        <v>42664</v>
      </c>
      <c r="B575" s="175" t="s">
        <v>49</v>
      </c>
      <c r="C575" s="254" t="s">
        <v>945</v>
      </c>
      <c r="D575" s="254" t="s">
        <v>955</v>
      </c>
      <c r="E575" s="254" t="s">
        <v>911</v>
      </c>
      <c r="F575" s="254" t="s">
        <v>956</v>
      </c>
      <c r="G575" s="254" t="s">
        <v>957</v>
      </c>
      <c r="H575" s="254" t="s">
        <v>931</v>
      </c>
      <c r="I575" s="254" t="s">
        <v>958</v>
      </c>
      <c r="J575" s="176"/>
      <c r="K575" s="254" t="s">
        <v>931</v>
      </c>
      <c r="L575" s="254" t="s">
        <v>911</v>
      </c>
      <c r="M575" s="176"/>
      <c r="N575" s="176"/>
      <c r="O575" s="255" t="s">
        <v>927</v>
      </c>
    </row>
    <row r="576" spans="1:15" ht="16.149999999999999" customHeight="1" x14ac:dyDescent="0.25">
      <c r="A576" s="172">
        <v>42663</v>
      </c>
      <c r="B576" s="173" t="s">
        <v>49</v>
      </c>
      <c r="C576" s="252" t="s">
        <v>959</v>
      </c>
      <c r="D576" s="252" t="s">
        <v>960</v>
      </c>
      <c r="E576" s="252" t="s">
        <v>911</v>
      </c>
      <c r="F576" s="252" t="s">
        <v>954</v>
      </c>
      <c r="G576" s="252" t="s">
        <v>927</v>
      </c>
      <c r="H576" s="252" t="s">
        <v>931</v>
      </c>
      <c r="I576" s="252" t="s">
        <v>919</v>
      </c>
      <c r="J576" s="174"/>
      <c r="K576" s="252" t="s">
        <v>931</v>
      </c>
      <c r="L576" s="252" t="s">
        <v>928</v>
      </c>
      <c r="M576" s="174"/>
      <c r="N576" s="174"/>
      <c r="O576" s="253" t="s">
        <v>927</v>
      </c>
    </row>
    <row r="577" spans="1:15" ht="16.149999999999999" customHeight="1" x14ac:dyDescent="0.25">
      <c r="A577" s="172">
        <v>42662</v>
      </c>
      <c r="B577" s="175" t="s">
        <v>49</v>
      </c>
      <c r="C577" s="254" t="s">
        <v>961</v>
      </c>
      <c r="D577" s="254" t="s">
        <v>927</v>
      </c>
      <c r="E577" s="254" t="s">
        <v>931</v>
      </c>
      <c r="F577" s="254" t="s">
        <v>942</v>
      </c>
      <c r="G577" s="254" t="s">
        <v>962</v>
      </c>
      <c r="H577" s="254" t="s">
        <v>927</v>
      </c>
      <c r="I577" s="254" t="s">
        <v>949</v>
      </c>
      <c r="J577" s="176"/>
      <c r="K577" s="254" t="s">
        <v>927</v>
      </c>
      <c r="L577" s="254" t="s">
        <v>911</v>
      </c>
      <c r="M577" s="176"/>
      <c r="N577" s="176"/>
      <c r="O577" s="255" t="s">
        <v>927</v>
      </c>
    </row>
    <row r="578" spans="1:15" ht="16.149999999999999" customHeight="1" x14ac:dyDescent="0.25">
      <c r="A578" s="172">
        <v>42661</v>
      </c>
      <c r="B578" s="173" t="s">
        <v>49</v>
      </c>
      <c r="C578" s="252" t="s">
        <v>945</v>
      </c>
      <c r="D578" s="252" t="s">
        <v>931</v>
      </c>
      <c r="E578" s="252" t="s">
        <v>931</v>
      </c>
      <c r="F578" s="252" t="s">
        <v>942</v>
      </c>
      <c r="G578" s="252" t="s">
        <v>960</v>
      </c>
      <c r="H578" s="252" t="s">
        <v>928</v>
      </c>
      <c r="I578" s="252" t="s">
        <v>958</v>
      </c>
      <c r="J578" s="174"/>
      <c r="K578" s="252" t="s">
        <v>931</v>
      </c>
      <c r="L578" s="252" t="s">
        <v>911</v>
      </c>
      <c r="M578" s="174"/>
      <c r="N578" s="174"/>
      <c r="O578" s="253" t="s">
        <v>911</v>
      </c>
    </row>
    <row r="579" spans="1:15" ht="16.149999999999999" customHeight="1" x14ac:dyDescent="0.25">
      <c r="A579" s="172">
        <v>42657</v>
      </c>
      <c r="B579" s="175" t="s">
        <v>49</v>
      </c>
      <c r="C579" s="254" t="s">
        <v>963</v>
      </c>
      <c r="D579" s="254" t="s">
        <v>960</v>
      </c>
      <c r="E579" s="254" t="s">
        <v>931</v>
      </c>
      <c r="F579" s="254" t="s">
        <v>962</v>
      </c>
      <c r="G579" s="254" t="s">
        <v>926</v>
      </c>
      <c r="H579" s="254" t="s">
        <v>928</v>
      </c>
      <c r="I579" s="254" t="s">
        <v>305</v>
      </c>
      <c r="J579" s="176"/>
      <c r="K579" s="254" t="s">
        <v>911</v>
      </c>
      <c r="L579" s="254" t="s">
        <v>911</v>
      </c>
      <c r="M579" s="176"/>
      <c r="N579" s="176"/>
      <c r="O579" s="255" t="s">
        <v>911</v>
      </c>
    </row>
    <row r="580" spans="1:15" ht="16.149999999999999" customHeight="1" x14ac:dyDescent="0.25">
      <c r="A580" s="172">
        <v>42656</v>
      </c>
      <c r="B580" s="173" t="s">
        <v>49</v>
      </c>
      <c r="C580" s="252" t="s">
        <v>959</v>
      </c>
      <c r="D580" s="252" t="s">
        <v>960</v>
      </c>
      <c r="E580" s="252" t="s">
        <v>911</v>
      </c>
      <c r="F580" s="252" t="s">
        <v>962</v>
      </c>
      <c r="G580" s="252" t="s">
        <v>927</v>
      </c>
      <c r="H580" s="252" t="s">
        <v>928</v>
      </c>
      <c r="I580" s="252" t="s">
        <v>305</v>
      </c>
      <c r="J580" s="174"/>
      <c r="K580" s="252" t="s">
        <v>931</v>
      </c>
      <c r="L580" s="252" t="s">
        <v>911</v>
      </c>
      <c r="M580" s="174"/>
      <c r="N580" s="174"/>
      <c r="O580" s="253" t="s">
        <v>911</v>
      </c>
    </row>
    <row r="581" spans="1:15" ht="16.149999999999999" customHeight="1" x14ac:dyDescent="0.25">
      <c r="A581" s="172">
        <v>42655</v>
      </c>
      <c r="B581" s="175" t="s">
        <v>49</v>
      </c>
      <c r="C581" s="254" t="s">
        <v>963</v>
      </c>
      <c r="D581" s="254" t="s">
        <v>951</v>
      </c>
      <c r="E581" s="254" t="s">
        <v>911</v>
      </c>
      <c r="F581" s="254" t="s">
        <v>962</v>
      </c>
      <c r="G581" s="254" t="s">
        <v>911</v>
      </c>
      <c r="H581" s="254" t="s">
        <v>931</v>
      </c>
      <c r="I581" s="254" t="s">
        <v>951</v>
      </c>
      <c r="J581" s="176"/>
      <c r="K581" s="254" t="s">
        <v>931</v>
      </c>
      <c r="L581" s="254" t="s">
        <v>931</v>
      </c>
      <c r="M581" s="176"/>
      <c r="N581" s="176"/>
      <c r="O581" s="255" t="s">
        <v>910</v>
      </c>
    </row>
    <row r="582" spans="1:15" ht="16.149999999999999" customHeight="1" x14ac:dyDescent="0.25">
      <c r="A582" s="172">
        <v>42654</v>
      </c>
      <c r="B582" s="173" t="s">
        <v>49</v>
      </c>
      <c r="C582" s="252" t="s">
        <v>964</v>
      </c>
      <c r="D582" s="252" t="s">
        <v>911</v>
      </c>
      <c r="E582" s="252" t="s">
        <v>911</v>
      </c>
      <c r="F582" s="252" t="s">
        <v>960</v>
      </c>
      <c r="G582" s="252" t="s">
        <v>965</v>
      </c>
      <c r="H582" s="252" t="s">
        <v>911</v>
      </c>
      <c r="I582" s="252" t="s">
        <v>966</v>
      </c>
      <c r="J582" s="174"/>
      <c r="K582" s="252" t="s">
        <v>911</v>
      </c>
      <c r="L582" s="252" t="s">
        <v>931</v>
      </c>
      <c r="M582" s="174"/>
      <c r="N582" s="174"/>
      <c r="O582" s="253" t="s">
        <v>912</v>
      </c>
    </row>
    <row r="583" spans="1:15" ht="16.149999999999999" customHeight="1" x14ac:dyDescent="0.25">
      <c r="A583" s="172">
        <v>42653</v>
      </c>
      <c r="B583" s="175" t="s">
        <v>49</v>
      </c>
      <c r="C583" s="254" t="s">
        <v>967</v>
      </c>
      <c r="D583" s="254" t="s">
        <v>917</v>
      </c>
      <c r="E583" s="254" t="s">
        <v>912</v>
      </c>
      <c r="F583" s="254" t="s">
        <v>923</v>
      </c>
      <c r="G583" s="254" t="s">
        <v>921</v>
      </c>
      <c r="H583" s="254" t="s">
        <v>912</v>
      </c>
      <c r="I583" s="254" t="s">
        <v>968</v>
      </c>
      <c r="J583" s="176"/>
      <c r="K583" s="254" t="s">
        <v>912</v>
      </c>
      <c r="L583" s="254" t="s">
        <v>931</v>
      </c>
      <c r="M583" s="176"/>
      <c r="N583" s="176"/>
      <c r="O583" s="255" t="s">
        <v>916</v>
      </c>
    </row>
    <row r="584" spans="1:15" ht="16.149999999999999" customHeight="1" x14ac:dyDescent="0.25">
      <c r="A584" s="172">
        <v>42650</v>
      </c>
      <c r="B584" s="173" t="s">
        <v>49</v>
      </c>
      <c r="C584" s="252" t="s">
        <v>969</v>
      </c>
      <c r="D584" s="252" t="s">
        <v>918</v>
      </c>
      <c r="E584" s="252" t="s">
        <v>918</v>
      </c>
      <c r="F584" s="252" t="s">
        <v>968</v>
      </c>
      <c r="G584" s="252" t="s">
        <v>970</v>
      </c>
      <c r="H584" s="252" t="s">
        <v>918</v>
      </c>
      <c r="I584" s="252" t="s">
        <v>923</v>
      </c>
      <c r="J584" s="174"/>
      <c r="K584" s="252" t="s">
        <v>918</v>
      </c>
      <c r="L584" s="252" t="s">
        <v>911</v>
      </c>
      <c r="M584" s="174"/>
      <c r="N584" s="174"/>
      <c r="O584" s="253" t="s">
        <v>971</v>
      </c>
    </row>
    <row r="585" spans="1:15" ht="16.149999999999999" customHeight="1" x14ac:dyDescent="0.25">
      <c r="A585" s="172">
        <v>42649</v>
      </c>
      <c r="B585" s="175" t="s">
        <v>49</v>
      </c>
      <c r="C585" s="254" t="s">
        <v>972</v>
      </c>
      <c r="D585" s="254" t="s">
        <v>973</v>
      </c>
      <c r="E585" s="254" t="s">
        <v>929</v>
      </c>
      <c r="F585" s="254" t="s">
        <v>974</v>
      </c>
      <c r="G585" s="254" t="s">
        <v>975</v>
      </c>
      <c r="H585" s="254" t="s">
        <v>918</v>
      </c>
      <c r="I585" s="254" t="s">
        <v>976</v>
      </c>
      <c r="J585" s="176"/>
      <c r="K585" s="254" t="s">
        <v>973</v>
      </c>
      <c r="L585" s="254" t="s">
        <v>918</v>
      </c>
      <c r="M585" s="176"/>
      <c r="N585" s="176"/>
      <c r="O585" s="255" t="s">
        <v>973</v>
      </c>
    </row>
    <row r="586" spans="1:15" ht="16.149999999999999" customHeight="1" x14ac:dyDescent="0.25">
      <c r="A586" s="172">
        <v>42648</v>
      </c>
      <c r="B586" s="173" t="s">
        <v>49</v>
      </c>
      <c r="C586" s="252" t="s">
        <v>977</v>
      </c>
      <c r="D586" s="252" t="s">
        <v>976</v>
      </c>
      <c r="E586" s="252" t="s">
        <v>978</v>
      </c>
      <c r="F586" s="252" t="s">
        <v>976</v>
      </c>
      <c r="G586" s="252" t="s">
        <v>975</v>
      </c>
      <c r="H586" s="252" t="s">
        <v>918</v>
      </c>
      <c r="I586" s="252" t="s">
        <v>303</v>
      </c>
      <c r="J586" s="174"/>
      <c r="K586" s="252" t="s">
        <v>978</v>
      </c>
      <c r="L586" s="252" t="s">
        <v>918</v>
      </c>
      <c r="M586" s="174"/>
      <c r="N586" s="174"/>
      <c r="O586" s="253" t="s">
        <v>929</v>
      </c>
    </row>
    <row r="587" spans="1:15" ht="16.149999999999999" customHeight="1" x14ac:dyDescent="0.25">
      <c r="A587" s="172">
        <v>42647</v>
      </c>
      <c r="B587" s="175" t="s">
        <v>49</v>
      </c>
      <c r="C587" s="254" t="s">
        <v>979</v>
      </c>
      <c r="D587" s="254" t="s">
        <v>975</v>
      </c>
      <c r="E587" s="254" t="s">
        <v>929</v>
      </c>
      <c r="F587" s="254" t="s">
        <v>980</v>
      </c>
      <c r="G587" s="254" t="s">
        <v>973</v>
      </c>
      <c r="H587" s="254" t="s">
        <v>918</v>
      </c>
      <c r="I587" s="254" t="s">
        <v>978</v>
      </c>
      <c r="J587" s="176"/>
      <c r="K587" s="254" t="s">
        <v>918</v>
      </c>
      <c r="L587" s="254" t="s">
        <v>918</v>
      </c>
      <c r="M587" s="176"/>
      <c r="N587" s="176"/>
      <c r="O587" s="255" t="s">
        <v>929</v>
      </c>
    </row>
    <row r="588" spans="1:15" ht="16.149999999999999" customHeight="1" x14ac:dyDescent="0.25">
      <c r="A588" s="172">
        <v>42646</v>
      </c>
      <c r="B588" s="173" t="s">
        <v>49</v>
      </c>
      <c r="C588" s="252" t="s">
        <v>981</v>
      </c>
      <c r="D588" s="252" t="s">
        <v>978</v>
      </c>
      <c r="E588" s="252" t="s">
        <v>978</v>
      </c>
      <c r="F588" s="252" t="s">
        <v>982</v>
      </c>
      <c r="G588" s="252" t="s">
        <v>982</v>
      </c>
      <c r="H588" s="252" t="s">
        <v>978</v>
      </c>
      <c r="I588" s="252" t="s">
        <v>983</v>
      </c>
      <c r="J588" s="174"/>
      <c r="K588" s="252" t="s">
        <v>978</v>
      </c>
      <c r="L588" s="252" t="s">
        <v>929</v>
      </c>
      <c r="M588" s="174"/>
      <c r="N588" s="174"/>
      <c r="O588" s="253" t="s">
        <v>978</v>
      </c>
    </row>
    <row r="589" spans="1:15" ht="16.149999999999999" customHeight="1" x14ac:dyDescent="0.25">
      <c r="A589" s="172">
        <v>42643</v>
      </c>
      <c r="B589" s="175" t="s">
        <v>49</v>
      </c>
      <c r="C589" s="254" t="s">
        <v>984</v>
      </c>
      <c r="D589" s="254" t="s">
        <v>982</v>
      </c>
      <c r="E589" s="254" t="s">
        <v>985</v>
      </c>
      <c r="F589" s="254" t="s">
        <v>970</v>
      </c>
      <c r="G589" s="254" t="s">
        <v>986</v>
      </c>
      <c r="H589" s="254" t="s">
        <v>978</v>
      </c>
      <c r="I589" s="254" t="s">
        <v>987</v>
      </c>
      <c r="J589" s="176"/>
      <c r="K589" s="254" t="s">
        <v>988</v>
      </c>
      <c r="L589" s="254" t="s">
        <v>978</v>
      </c>
      <c r="M589" s="176"/>
      <c r="N589" s="176"/>
      <c r="O589" s="255" t="s">
        <v>978</v>
      </c>
    </row>
    <row r="590" spans="1:15" ht="16.149999999999999" customHeight="1" x14ac:dyDescent="0.25">
      <c r="A590" s="172">
        <v>42642</v>
      </c>
      <c r="B590" s="173" t="s">
        <v>49</v>
      </c>
      <c r="C590" s="252" t="s">
        <v>989</v>
      </c>
      <c r="D590" s="252" t="s">
        <v>929</v>
      </c>
      <c r="E590" s="252" t="s">
        <v>929</v>
      </c>
      <c r="F590" s="252" t="s">
        <v>976</v>
      </c>
      <c r="G590" s="252" t="s">
        <v>976</v>
      </c>
      <c r="H590" s="252" t="s">
        <v>929</v>
      </c>
      <c r="I590" s="252" t="s">
        <v>988</v>
      </c>
      <c r="J590" s="174"/>
      <c r="K590" s="252" t="s">
        <v>929</v>
      </c>
      <c r="L590" s="252" t="s">
        <v>929</v>
      </c>
      <c r="M590" s="174"/>
      <c r="N590" s="174"/>
      <c r="O590" s="253" t="s">
        <v>988</v>
      </c>
    </row>
    <row r="591" spans="1:15" ht="16.149999999999999" customHeight="1" x14ac:dyDescent="0.25">
      <c r="A591" s="172">
        <v>42641</v>
      </c>
      <c r="B591" s="175" t="s">
        <v>49</v>
      </c>
      <c r="C591" s="254" t="s">
        <v>972</v>
      </c>
      <c r="D591" s="254" t="s">
        <v>990</v>
      </c>
      <c r="E591" s="254" t="s">
        <v>929</v>
      </c>
      <c r="F591" s="254" t="s">
        <v>970</v>
      </c>
      <c r="G591" s="254" t="s">
        <v>987</v>
      </c>
      <c r="H591" s="254" t="s">
        <v>918</v>
      </c>
      <c r="I591" s="254" t="s">
        <v>988</v>
      </c>
      <c r="J591" s="176"/>
      <c r="K591" s="254" t="s">
        <v>918</v>
      </c>
      <c r="L591" s="254" t="s">
        <v>929</v>
      </c>
      <c r="M591" s="176"/>
      <c r="N591" s="176"/>
      <c r="O591" s="255" t="s">
        <v>973</v>
      </c>
    </row>
    <row r="592" spans="1:15" ht="16.149999999999999" customHeight="1" x14ac:dyDescent="0.25">
      <c r="A592" s="172">
        <v>42640</v>
      </c>
      <c r="B592" s="173" t="s">
        <v>49</v>
      </c>
      <c r="C592" s="252" t="s">
        <v>972</v>
      </c>
      <c r="D592" s="252" t="s">
        <v>990</v>
      </c>
      <c r="E592" s="252" t="s">
        <v>918</v>
      </c>
      <c r="F592" s="252" t="s">
        <v>970</v>
      </c>
      <c r="G592" s="252" t="s">
        <v>987</v>
      </c>
      <c r="H592" s="252" t="s">
        <v>918</v>
      </c>
      <c r="I592" s="252" t="s">
        <v>929</v>
      </c>
      <c r="J592" s="174"/>
      <c r="K592" s="252" t="s">
        <v>988</v>
      </c>
      <c r="L592" s="252" t="s">
        <v>929</v>
      </c>
      <c r="M592" s="174"/>
      <c r="N592" s="174"/>
      <c r="O592" s="253" t="s">
        <v>973</v>
      </c>
    </row>
    <row r="593" spans="1:15" ht="16.149999999999999" customHeight="1" x14ac:dyDescent="0.25">
      <c r="A593" s="172">
        <v>42639</v>
      </c>
      <c r="B593" s="175" t="s">
        <v>49</v>
      </c>
      <c r="C593" s="254" t="s">
        <v>914</v>
      </c>
      <c r="D593" s="254" t="s">
        <v>913</v>
      </c>
      <c r="E593" s="254" t="s">
        <v>912</v>
      </c>
      <c r="F593" s="254" t="s">
        <v>974</v>
      </c>
      <c r="G593" s="254" t="s">
        <v>913</v>
      </c>
      <c r="H593" s="254" t="s">
        <v>912</v>
      </c>
      <c r="I593" s="254" t="s">
        <v>991</v>
      </c>
      <c r="J593" s="176"/>
      <c r="K593" s="254" t="s">
        <v>918</v>
      </c>
      <c r="L593" s="254" t="s">
        <v>929</v>
      </c>
      <c r="M593" s="176"/>
      <c r="N593" s="176"/>
      <c r="O593" s="255" t="s">
        <v>913</v>
      </c>
    </row>
    <row r="594" spans="1:15" ht="16.149999999999999" customHeight="1" x14ac:dyDescent="0.25">
      <c r="A594" s="172">
        <v>42636</v>
      </c>
      <c r="B594" s="173" t="s">
        <v>49</v>
      </c>
      <c r="C594" s="252" t="s">
        <v>992</v>
      </c>
      <c r="D594" s="252" t="s">
        <v>912</v>
      </c>
      <c r="E594" s="252" t="s">
        <v>911</v>
      </c>
      <c r="F594" s="252" t="s">
        <v>912</v>
      </c>
      <c r="G594" s="252" t="s">
        <v>917</v>
      </c>
      <c r="H594" s="252" t="s">
        <v>911</v>
      </c>
      <c r="I594" s="252" t="s">
        <v>907</v>
      </c>
      <c r="J594" s="174"/>
      <c r="K594" s="252" t="s">
        <v>912</v>
      </c>
      <c r="L594" s="252" t="s">
        <v>912</v>
      </c>
      <c r="M594" s="174"/>
      <c r="N594" s="174"/>
      <c r="O594" s="253" t="s">
        <v>913</v>
      </c>
    </row>
    <row r="595" spans="1:15" ht="16.149999999999999" customHeight="1" x14ac:dyDescent="0.25">
      <c r="A595" s="172">
        <v>42635</v>
      </c>
      <c r="B595" s="175" t="s">
        <v>49</v>
      </c>
      <c r="C595" s="254" t="s">
        <v>950</v>
      </c>
      <c r="D595" s="254" t="s">
        <v>303</v>
      </c>
      <c r="E595" s="254" t="s">
        <v>916</v>
      </c>
      <c r="F595" s="254" t="s">
        <v>949</v>
      </c>
      <c r="G595" s="254" t="s">
        <v>993</v>
      </c>
      <c r="H595" s="254" t="s">
        <v>931</v>
      </c>
      <c r="I595" s="254" t="s">
        <v>962</v>
      </c>
      <c r="J595" s="176"/>
      <c r="K595" s="254" t="s">
        <v>910</v>
      </c>
      <c r="L595" s="254" t="s">
        <v>912</v>
      </c>
      <c r="M595" s="176"/>
      <c r="N595" s="176"/>
      <c r="O595" s="255" t="s">
        <v>912</v>
      </c>
    </row>
    <row r="596" spans="1:15" ht="16.149999999999999" customHeight="1" x14ac:dyDescent="0.25">
      <c r="A596" s="172">
        <v>42634</v>
      </c>
      <c r="B596" s="173" t="s">
        <v>49</v>
      </c>
      <c r="C596" s="252" t="s">
        <v>992</v>
      </c>
      <c r="D596" s="252" t="s">
        <v>912</v>
      </c>
      <c r="E596" s="252" t="s">
        <v>911</v>
      </c>
      <c r="F596" s="252" t="s">
        <v>974</v>
      </c>
      <c r="G596" s="252" t="s">
        <v>923</v>
      </c>
      <c r="H596" s="252" t="s">
        <v>912</v>
      </c>
      <c r="I596" s="252" t="s">
        <v>974</v>
      </c>
      <c r="J596" s="174"/>
      <c r="K596" s="252" t="s">
        <v>912</v>
      </c>
      <c r="L596" s="252" t="s">
        <v>918</v>
      </c>
      <c r="M596" s="174"/>
      <c r="N596" s="174"/>
      <c r="O596" s="253" t="s">
        <v>918</v>
      </c>
    </row>
    <row r="597" spans="1:15" ht="16.149999999999999" customHeight="1" x14ac:dyDescent="0.25">
      <c r="A597" s="172">
        <v>42633</v>
      </c>
      <c r="B597" s="175" t="s">
        <v>49</v>
      </c>
      <c r="C597" s="254" t="s">
        <v>920</v>
      </c>
      <c r="D597" s="254" t="s">
        <v>921</v>
      </c>
      <c r="E597" s="254" t="s">
        <v>911</v>
      </c>
      <c r="F597" s="254" t="s">
        <v>915</v>
      </c>
      <c r="G597" s="254" t="s">
        <v>921</v>
      </c>
      <c r="H597" s="254" t="s">
        <v>912</v>
      </c>
      <c r="I597" s="254" t="s">
        <v>974</v>
      </c>
      <c r="J597" s="176"/>
      <c r="K597" s="254" t="s">
        <v>918</v>
      </c>
      <c r="L597" s="254" t="s">
        <v>918</v>
      </c>
      <c r="M597" s="176"/>
      <c r="N597" s="176"/>
      <c r="O597" s="255" t="s">
        <v>918</v>
      </c>
    </row>
    <row r="598" spans="1:15" ht="16.149999999999999" customHeight="1" x14ac:dyDescent="0.25">
      <c r="A598" s="172">
        <v>42632</v>
      </c>
      <c r="B598" s="173" t="s">
        <v>49</v>
      </c>
      <c r="C598" s="252" t="s">
        <v>994</v>
      </c>
      <c r="D598" s="252" t="s">
        <v>970</v>
      </c>
      <c r="E598" s="252" t="s">
        <v>929</v>
      </c>
      <c r="F598" s="252" t="s">
        <v>915</v>
      </c>
      <c r="G598" s="252" t="s">
        <v>918</v>
      </c>
      <c r="H598" s="252" t="s">
        <v>918</v>
      </c>
      <c r="I598" s="252" t="s">
        <v>923</v>
      </c>
      <c r="J598" s="174"/>
      <c r="K598" s="252" t="s">
        <v>973</v>
      </c>
      <c r="L598" s="252" t="s">
        <v>929</v>
      </c>
      <c r="M598" s="174"/>
      <c r="N598" s="174"/>
      <c r="O598" s="253" t="s">
        <v>982</v>
      </c>
    </row>
    <row r="599" spans="1:15" ht="16.149999999999999" customHeight="1" x14ac:dyDescent="0.25">
      <c r="A599" s="172">
        <v>42629</v>
      </c>
      <c r="B599" s="175" t="s">
        <v>49</v>
      </c>
      <c r="C599" s="254" t="s">
        <v>995</v>
      </c>
      <c r="D599" s="254" t="s">
        <v>973</v>
      </c>
      <c r="E599" s="254" t="s">
        <v>978</v>
      </c>
      <c r="F599" s="254" t="s">
        <v>915</v>
      </c>
      <c r="G599" s="254" t="s">
        <v>915</v>
      </c>
      <c r="H599" s="254" t="s">
        <v>918</v>
      </c>
      <c r="I599" s="254" t="s">
        <v>996</v>
      </c>
      <c r="J599" s="176"/>
      <c r="K599" s="254" t="s">
        <v>918</v>
      </c>
      <c r="L599" s="254" t="s">
        <v>929</v>
      </c>
      <c r="M599" s="176"/>
      <c r="N599" s="176"/>
      <c r="O599" s="255" t="s">
        <v>982</v>
      </c>
    </row>
    <row r="600" spans="1:15" ht="16.149999999999999" customHeight="1" x14ac:dyDescent="0.25">
      <c r="A600" s="172">
        <v>42628</v>
      </c>
      <c r="B600" s="173" t="s">
        <v>49</v>
      </c>
      <c r="C600" s="252" t="s">
        <v>981</v>
      </c>
      <c r="D600" s="252" t="s">
        <v>980</v>
      </c>
      <c r="E600" s="252" t="s">
        <v>978</v>
      </c>
      <c r="F600" s="252" t="s">
        <v>982</v>
      </c>
      <c r="G600" s="252" t="s">
        <v>997</v>
      </c>
      <c r="H600" s="252" t="s">
        <v>929</v>
      </c>
      <c r="I600" s="252" t="s">
        <v>998</v>
      </c>
      <c r="J600" s="174"/>
      <c r="K600" s="252" t="s">
        <v>978</v>
      </c>
      <c r="L600" s="252" t="s">
        <v>999</v>
      </c>
      <c r="M600" s="174"/>
      <c r="N600" s="174"/>
      <c r="O600" s="253" t="s">
        <v>983</v>
      </c>
    </row>
    <row r="601" spans="1:15" ht="16.149999999999999" customHeight="1" x14ac:dyDescent="0.25">
      <c r="A601" s="172">
        <v>42627</v>
      </c>
      <c r="B601" s="175" t="s">
        <v>49</v>
      </c>
      <c r="C601" s="254" t="s">
        <v>1000</v>
      </c>
      <c r="D601" s="254" t="s">
        <v>978</v>
      </c>
      <c r="E601" s="254" t="s">
        <v>978</v>
      </c>
      <c r="F601" s="254" t="s">
        <v>983</v>
      </c>
      <c r="G601" s="254" t="s">
        <v>1001</v>
      </c>
      <c r="H601" s="254" t="s">
        <v>929</v>
      </c>
      <c r="I601" s="254" t="s">
        <v>1002</v>
      </c>
      <c r="J601" s="176"/>
      <c r="K601" s="254" t="s">
        <v>978</v>
      </c>
      <c r="L601" s="254" t="s">
        <v>978</v>
      </c>
      <c r="M601" s="176"/>
      <c r="N601" s="176"/>
      <c r="O601" s="255" t="s">
        <v>999</v>
      </c>
    </row>
    <row r="602" spans="1:15" ht="16.149999999999999" customHeight="1" x14ac:dyDescent="0.25">
      <c r="A602" s="172">
        <v>42626</v>
      </c>
      <c r="B602" s="173" t="s">
        <v>49</v>
      </c>
      <c r="C602" s="252" t="s">
        <v>1000</v>
      </c>
      <c r="D602" s="252" t="s">
        <v>978</v>
      </c>
      <c r="E602" s="252" t="s">
        <v>978</v>
      </c>
      <c r="F602" s="252" t="s">
        <v>1003</v>
      </c>
      <c r="G602" s="252" t="s">
        <v>1004</v>
      </c>
      <c r="H602" s="252" t="s">
        <v>978</v>
      </c>
      <c r="I602" s="252" t="s">
        <v>921</v>
      </c>
      <c r="J602" s="174"/>
      <c r="K602" s="252" t="s">
        <v>988</v>
      </c>
      <c r="L602" s="252" t="s">
        <v>929</v>
      </c>
      <c r="M602" s="174"/>
      <c r="N602" s="174"/>
      <c r="O602" s="253" t="s">
        <v>999</v>
      </c>
    </row>
    <row r="603" spans="1:15" ht="16.149999999999999" customHeight="1" x14ac:dyDescent="0.25">
      <c r="A603" s="172">
        <v>42625</v>
      </c>
      <c r="B603" s="175" t="s">
        <v>49</v>
      </c>
      <c r="C603" s="254" t="s">
        <v>1005</v>
      </c>
      <c r="D603" s="254" t="s">
        <v>999</v>
      </c>
      <c r="E603" s="254" t="s">
        <v>999</v>
      </c>
      <c r="F603" s="254" t="s">
        <v>1003</v>
      </c>
      <c r="G603" s="254" t="s">
        <v>999</v>
      </c>
      <c r="H603" s="254" t="s">
        <v>999</v>
      </c>
      <c r="I603" s="254" t="s">
        <v>1006</v>
      </c>
      <c r="J603" s="176"/>
      <c r="K603" s="254" t="s">
        <v>999</v>
      </c>
      <c r="L603" s="254" t="s">
        <v>999</v>
      </c>
      <c r="M603" s="176"/>
      <c r="N603" s="176"/>
      <c r="O603" s="255" t="s">
        <v>999</v>
      </c>
    </row>
    <row r="604" spans="1:15" ht="16.149999999999999" customHeight="1" x14ac:dyDescent="0.25">
      <c r="A604" s="172">
        <v>42622</v>
      </c>
      <c r="B604" s="173" t="s">
        <v>49</v>
      </c>
      <c r="C604" s="252" t="s">
        <v>994</v>
      </c>
      <c r="D604" s="252" t="s">
        <v>970</v>
      </c>
      <c r="E604" s="252" t="s">
        <v>973</v>
      </c>
      <c r="F604" s="252" t="s">
        <v>912</v>
      </c>
      <c r="G604" s="252" t="s">
        <v>975</v>
      </c>
      <c r="H604" s="252" t="s">
        <v>918</v>
      </c>
      <c r="I604" s="252" t="s">
        <v>980</v>
      </c>
      <c r="J604" s="174"/>
      <c r="K604" s="252" t="s">
        <v>918</v>
      </c>
      <c r="L604" s="252" t="s">
        <v>929</v>
      </c>
      <c r="M604" s="174"/>
      <c r="N604" s="174"/>
      <c r="O604" s="253" t="s">
        <v>918</v>
      </c>
    </row>
    <row r="605" spans="1:15" ht="16.149999999999999" customHeight="1" x14ac:dyDescent="0.25">
      <c r="A605" s="172">
        <v>42621</v>
      </c>
      <c r="B605" s="175" t="s">
        <v>49</v>
      </c>
      <c r="C605" s="254" t="s">
        <v>925</v>
      </c>
      <c r="D605" s="254" t="s">
        <v>912</v>
      </c>
      <c r="E605" s="254" t="s">
        <v>911</v>
      </c>
      <c r="F605" s="254" t="s">
        <v>303</v>
      </c>
      <c r="G605" s="254" t="s">
        <v>923</v>
      </c>
      <c r="H605" s="254" t="s">
        <v>912</v>
      </c>
      <c r="I605" s="254" t="s">
        <v>912</v>
      </c>
      <c r="J605" s="176"/>
      <c r="K605" s="254" t="s">
        <v>911</v>
      </c>
      <c r="L605" s="254" t="s">
        <v>918</v>
      </c>
      <c r="M605" s="176"/>
      <c r="N605" s="176"/>
      <c r="O605" s="255" t="s">
        <v>916</v>
      </c>
    </row>
    <row r="606" spans="1:15" ht="16.149999999999999" customHeight="1" x14ac:dyDescent="0.25">
      <c r="A606" s="172">
        <v>42620</v>
      </c>
      <c r="B606" s="173" t="s">
        <v>49</v>
      </c>
      <c r="C606" s="252" t="s">
        <v>1007</v>
      </c>
      <c r="D606" s="252" t="s">
        <v>919</v>
      </c>
      <c r="E606" s="252" t="s">
        <v>931</v>
      </c>
      <c r="F606" s="252" t="s">
        <v>305</v>
      </c>
      <c r="G606" s="252" t="s">
        <v>931</v>
      </c>
      <c r="H606" s="252" t="s">
        <v>911</v>
      </c>
      <c r="I606" s="252" t="s">
        <v>919</v>
      </c>
      <c r="J606" s="174"/>
      <c r="K606" s="252" t="s">
        <v>912</v>
      </c>
      <c r="L606" s="252" t="s">
        <v>912</v>
      </c>
      <c r="M606" s="174"/>
      <c r="N606" s="174"/>
      <c r="O606" s="253" t="s">
        <v>912</v>
      </c>
    </row>
    <row r="607" spans="1:15" ht="16.149999999999999" customHeight="1" x14ac:dyDescent="0.25">
      <c r="A607" s="172">
        <v>42619</v>
      </c>
      <c r="B607" s="175" t="s">
        <v>49</v>
      </c>
      <c r="C607" s="254" t="s">
        <v>963</v>
      </c>
      <c r="D607" s="254" t="s">
        <v>931</v>
      </c>
      <c r="E607" s="254" t="s">
        <v>931</v>
      </c>
      <c r="F607" s="254" t="s">
        <v>938</v>
      </c>
      <c r="G607" s="254" t="s">
        <v>911</v>
      </c>
      <c r="H607" s="254" t="s">
        <v>931</v>
      </c>
      <c r="I607" s="254" t="s">
        <v>919</v>
      </c>
      <c r="J607" s="176"/>
      <c r="K607" s="254" t="s">
        <v>931</v>
      </c>
      <c r="L607" s="254" t="s">
        <v>928</v>
      </c>
      <c r="M607" s="176"/>
      <c r="N607" s="176"/>
      <c r="O607" s="255" t="s">
        <v>910</v>
      </c>
    </row>
    <row r="608" spans="1:15" ht="16.149999999999999" customHeight="1" x14ac:dyDescent="0.25">
      <c r="A608" s="172">
        <v>42618</v>
      </c>
      <c r="B608" s="173" t="s">
        <v>49</v>
      </c>
      <c r="C608" s="252" t="s">
        <v>1008</v>
      </c>
      <c r="D608" s="252" t="s">
        <v>983</v>
      </c>
      <c r="E608" s="252" t="s">
        <v>978</v>
      </c>
      <c r="F608" s="252" t="s">
        <v>975</v>
      </c>
      <c r="G608" s="252" t="s">
        <v>1001</v>
      </c>
      <c r="H608" s="252" t="s">
        <v>999</v>
      </c>
      <c r="I608" s="252" t="s">
        <v>996</v>
      </c>
      <c r="J608" s="174"/>
      <c r="K608" s="252" t="s">
        <v>988</v>
      </c>
      <c r="L608" s="252" t="s">
        <v>999</v>
      </c>
      <c r="M608" s="174"/>
      <c r="N608" s="174"/>
      <c r="O608" s="253" t="s">
        <v>999</v>
      </c>
    </row>
    <row r="609" spans="1:15" ht="16.149999999999999" customHeight="1" x14ac:dyDescent="0.25">
      <c r="A609" s="172">
        <v>42615</v>
      </c>
      <c r="B609" s="175" t="s">
        <v>49</v>
      </c>
      <c r="C609" s="254" t="s">
        <v>1005</v>
      </c>
      <c r="D609" s="254" t="s">
        <v>999</v>
      </c>
      <c r="E609" s="254" t="s">
        <v>999</v>
      </c>
      <c r="F609" s="254" t="s">
        <v>982</v>
      </c>
      <c r="G609" s="254" t="s">
        <v>1009</v>
      </c>
      <c r="H609" s="254" t="s">
        <v>999</v>
      </c>
      <c r="I609" s="254" t="s">
        <v>923</v>
      </c>
      <c r="J609" s="176"/>
      <c r="K609" s="254" t="s">
        <v>999</v>
      </c>
      <c r="L609" s="254" t="s">
        <v>999</v>
      </c>
      <c r="M609" s="176"/>
      <c r="N609" s="176"/>
      <c r="O609" s="255" t="s">
        <v>999</v>
      </c>
    </row>
    <row r="610" spans="1:15" ht="16.149999999999999" customHeight="1" x14ac:dyDescent="0.25">
      <c r="A610" s="172">
        <v>42614</v>
      </c>
      <c r="B610" s="173" t="s">
        <v>49</v>
      </c>
      <c r="C610" s="252" t="s">
        <v>1010</v>
      </c>
      <c r="D610" s="252" t="s">
        <v>1011</v>
      </c>
      <c r="E610" s="252" t="s">
        <v>1012</v>
      </c>
      <c r="F610" s="252" t="s">
        <v>1013</v>
      </c>
      <c r="G610" s="252" t="s">
        <v>1014</v>
      </c>
      <c r="H610" s="252" t="s">
        <v>1011</v>
      </c>
      <c r="I610" s="252" t="s">
        <v>1015</v>
      </c>
      <c r="J610" s="174"/>
      <c r="K610" s="252" t="s">
        <v>1012</v>
      </c>
      <c r="L610" s="252" t="s">
        <v>978</v>
      </c>
      <c r="M610" s="174"/>
      <c r="N610" s="174"/>
      <c r="O610" s="253" t="s">
        <v>1011</v>
      </c>
    </row>
    <row r="611" spans="1:15" ht="16.149999999999999" customHeight="1" x14ac:dyDescent="0.25">
      <c r="A611" s="172">
        <v>42613</v>
      </c>
      <c r="B611" s="175" t="s">
        <v>49</v>
      </c>
      <c r="C611" s="254" t="s">
        <v>1016</v>
      </c>
      <c r="D611" s="254" t="s">
        <v>1017</v>
      </c>
      <c r="E611" s="254" t="s">
        <v>1017</v>
      </c>
      <c r="F611" s="254" t="s">
        <v>1018</v>
      </c>
      <c r="G611" s="254" t="s">
        <v>1017</v>
      </c>
      <c r="H611" s="254" t="s">
        <v>1017</v>
      </c>
      <c r="I611" s="254" t="s">
        <v>1019</v>
      </c>
      <c r="J611" s="176"/>
      <c r="K611" s="254" t="s">
        <v>1020</v>
      </c>
      <c r="L611" s="254" t="s">
        <v>1021</v>
      </c>
      <c r="M611" s="176"/>
      <c r="N611" s="176"/>
      <c r="O611" s="255" t="s">
        <v>1022</v>
      </c>
    </row>
    <row r="612" spans="1:15" ht="16.149999999999999" customHeight="1" x14ac:dyDescent="0.25">
      <c r="A612" s="172">
        <v>42612</v>
      </c>
      <c r="B612" s="173" t="s">
        <v>49</v>
      </c>
      <c r="C612" s="252" t="s">
        <v>1023</v>
      </c>
      <c r="D612" s="252" t="s">
        <v>1017</v>
      </c>
      <c r="E612" s="252" t="s">
        <v>1017</v>
      </c>
      <c r="F612" s="252" t="s">
        <v>1024</v>
      </c>
      <c r="G612" s="252" t="s">
        <v>1017</v>
      </c>
      <c r="H612" s="252" t="s">
        <v>1017</v>
      </c>
      <c r="I612" s="252" t="s">
        <v>1025</v>
      </c>
      <c r="J612" s="174"/>
      <c r="K612" s="252" t="s">
        <v>1017</v>
      </c>
      <c r="L612" s="252" t="s">
        <v>1021</v>
      </c>
      <c r="M612" s="174"/>
      <c r="N612" s="174"/>
      <c r="O612" s="253" t="s">
        <v>1026</v>
      </c>
    </row>
    <row r="613" spans="1:15" ht="16.149999999999999" customHeight="1" x14ac:dyDescent="0.25">
      <c r="A613" s="172">
        <v>42611</v>
      </c>
      <c r="B613" s="175" t="s">
        <v>49</v>
      </c>
      <c r="C613" s="254" t="s">
        <v>1027</v>
      </c>
      <c r="D613" s="254" t="s">
        <v>1028</v>
      </c>
      <c r="E613" s="254" t="s">
        <v>1021</v>
      </c>
      <c r="F613" s="254" t="s">
        <v>1029</v>
      </c>
      <c r="G613" s="254" t="s">
        <v>1028</v>
      </c>
      <c r="H613" s="254" t="s">
        <v>1021</v>
      </c>
      <c r="I613" s="254" t="s">
        <v>1030</v>
      </c>
      <c r="J613" s="176"/>
      <c r="K613" s="254" t="s">
        <v>1031</v>
      </c>
      <c r="L613" s="254" t="s">
        <v>1031</v>
      </c>
      <c r="M613" s="176"/>
      <c r="N613" s="176"/>
      <c r="O613" s="255" t="s">
        <v>1032</v>
      </c>
    </row>
    <row r="614" spans="1:15" ht="16.149999999999999" customHeight="1" x14ac:dyDescent="0.25">
      <c r="A614" s="172">
        <v>42608</v>
      </c>
      <c r="B614" s="173" t="s">
        <v>49</v>
      </c>
      <c r="C614" s="252" t="s">
        <v>1033</v>
      </c>
      <c r="D614" s="252" t="s">
        <v>1021</v>
      </c>
      <c r="E614" s="252" t="s">
        <v>1021</v>
      </c>
      <c r="F614" s="252" t="s">
        <v>1026</v>
      </c>
      <c r="G614" s="252" t="s">
        <v>1034</v>
      </c>
      <c r="H614" s="252" t="s">
        <v>1021</v>
      </c>
      <c r="I614" s="252" t="s">
        <v>1017</v>
      </c>
      <c r="J614" s="174"/>
      <c r="K614" s="252" t="s">
        <v>1021</v>
      </c>
      <c r="L614" s="252" t="s">
        <v>1031</v>
      </c>
      <c r="M614" s="174"/>
      <c r="N614" s="174"/>
      <c r="O614" s="253" t="s">
        <v>1032</v>
      </c>
    </row>
    <row r="615" spans="1:15" ht="16.149999999999999" customHeight="1" x14ac:dyDescent="0.25">
      <c r="A615" s="172">
        <v>42607</v>
      </c>
      <c r="B615" s="175" t="s">
        <v>49</v>
      </c>
      <c r="C615" s="254" t="s">
        <v>1035</v>
      </c>
      <c r="D615" s="254" t="s">
        <v>1032</v>
      </c>
      <c r="E615" s="254" t="s">
        <v>1031</v>
      </c>
      <c r="F615" s="254" t="s">
        <v>1032</v>
      </c>
      <c r="G615" s="254" t="s">
        <v>1036</v>
      </c>
      <c r="H615" s="254" t="s">
        <v>1021</v>
      </c>
      <c r="I615" s="254" t="s">
        <v>1037</v>
      </c>
      <c r="J615" s="176"/>
      <c r="K615" s="254" t="s">
        <v>1021</v>
      </c>
      <c r="L615" s="254" t="s">
        <v>1031</v>
      </c>
      <c r="M615" s="176"/>
      <c r="N615" s="176"/>
      <c r="O615" s="255" t="s">
        <v>1032</v>
      </c>
    </row>
    <row r="616" spans="1:15" ht="16.149999999999999" customHeight="1" x14ac:dyDescent="0.25">
      <c r="A616" s="172">
        <v>42606</v>
      </c>
      <c r="B616" s="173" t="s">
        <v>49</v>
      </c>
      <c r="C616" s="252" t="s">
        <v>1027</v>
      </c>
      <c r="D616" s="252" t="s">
        <v>1028</v>
      </c>
      <c r="E616" s="252" t="s">
        <v>1038</v>
      </c>
      <c r="F616" s="252" t="s">
        <v>1020</v>
      </c>
      <c r="G616" s="252" t="s">
        <v>1039</v>
      </c>
      <c r="H616" s="252" t="s">
        <v>1021</v>
      </c>
      <c r="I616" s="252" t="s">
        <v>1025</v>
      </c>
      <c r="J616" s="174"/>
      <c r="K616" s="252" t="s">
        <v>1040</v>
      </c>
      <c r="L616" s="252" t="s">
        <v>1031</v>
      </c>
      <c r="M616" s="174"/>
      <c r="N616" s="174"/>
      <c r="O616" s="253" t="s">
        <v>1041</v>
      </c>
    </row>
    <row r="617" spans="1:15" ht="16.149999999999999" customHeight="1" x14ac:dyDescent="0.25">
      <c r="A617" s="172">
        <v>42605</v>
      </c>
      <c r="B617" s="175" t="s">
        <v>49</v>
      </c>
      <c r="C617" s="254" t="s">
        <v>1042</v>
      </c>
      <c r="D617" s="254" t="s">
        <v>1043</v>
      </c>
      <c r="E617" s="254" t="s">
        <v>1038</v>
      </c>
      <c r="F617" s="254" t="s">
        <v>1020</v>
      </c>
      <c r="G617" s="254" t="s">
        <v>1044</v>
      </c>
      <c r="H617" s="254" t="s">
        <v>1038</v>
      </c>
      <c r="I617" s="254" t="s">
        <v>1045</v>
      </c>
      <c r="J617" s="176"/>
      <c r="K617" s="254" t="s">
        <v>1017</v>
      </c>
      <c r="L617" s="254" t="s">
        <v>1021</v>
      </c>
      <c r="M617" s="176"/>
      <c r="N617" s="176"/>
      <c r="O617" s="255" t="s">
        <v>1038</v>
      </c>
    </row>
    <row r="618" spans="1:15" ht="16.149999999999999" customHeight="1" x14ac:dyDescent="0.25">
      <c r="A618" s="172">
        <v>42604</v>
      </c>
      <c r="B618" s="173" t="s">
        <v>49</v>
      </c>
      <c r="C618" s="252" t="s">
        <v>1046</v>
      </c>
      <c r="D618" s="252" t="s">
        <v>1047</v>
      </c>
      <c r="E618" s="252" t="s">
        <v>1038</v>
      </c>
      <c r="F618" s="252" t="s">
        <v>1020</v>
      </c>
      <c r="G618" s="252" t="s">
        <v>1034</v>
      </c>
      <c r="H618" s="252" t="s">
        <v>1021</v>
      </c>
      <c r="I618" s="252" t="s">
        <v>1048</v>
      </c>
      <c r="J618" s="174"/>
      <c r="K618" s="252" t="s">
        <v>1021</v>
      </c>
      <c r="L618" s="252" t="s">
        <v>1031</v>
      </c>
      <c r="M618" s="174"/>
      <c r="N618" s="174"/>
      <c r="O618" s="253" t="s">
        <v>1049</v>
      </c>
    </row>
    <row r="619" spans="1:15" ht="16.149999999999999" customHeight="1" x14ac:dyDescent="0.25">
      <c r="A619" s="172">
        <v>42601</v>
      </c>
      <c r="B619" s="175" t="s">
        <v>49</v>
      </c>
      <c r="C619" s="254" t="s">
        <v>1050</v>
      </c>
      <c r="D619" s="254" t="s">
        <v>1051</v>
      </c>
      <c r="E619" s="254" t="s">
        <v>1017</v>
      </c>
      <c r="F619" s="254" t="s">
        <v>1052</v>
      </c>
      <c r="G619" s="254" t="s">
        <v>1053</v>
      </c>
      <c r="H619" s="254" t="s">
        <v>1038</v>
      </c>
      <c r="I619" s="254" t="s">
        <v>1045</v>
      </c>
      <c r="J619" s="176"/>
      <c r="K619" s="254" t="s">
        <v>1032</v>
      </c>
      <c r="L619" s="254" t="s">
        <v>1021</v>
      </c>
      <c r="M619" s="176"/>
      <c r="N619" s="176"/>
      <c r="O619" s="255" t="s">
        <v>1052</v>
      </c>
    </row>
    <row r="620" spans="1:15" ht="16.149999999999999" customHeight="1" x14ac:dyDescent="0.25">
      <c r="A620" s="172">
        <v>42600</v>
      </c>
      <c r="B620" s="173" t="s">
        <v>49</v>
      </c>
      <c r="C620" s="252" t="s">
        <v>1054</v>
      </c>
      <c r="D620" s="252" t="s">
        <v>1055</v>
      </c>
      <c r="E620" s="252" t="s">
        <v>1038</v>
      </c>
      <c r="F620" s="252" t="s">
        <v>1052</v>
      </c>
      <c r="G620" s="252" t="s">
        <v>1044</v>
      </c>
      <c r="H620" s="252" t="s">
        <v>1055</v>
      </c>
      <c r="I620" s="252" t="s">
        <v>1015</v>
      </c>
      <c r="J620" s="174"/>
      <c r="K620" s="252" t="s">
        <v>1055</v>
      </c>
      <c r="L620" s="252" t="s">
        <v>1055</v>
      </c>
      <c r="M620" s="174"/>
      <c r="N620" s="174"/>
      <c r="O620" s="253" t="s">
        <v>1056</v>
      </c>
    </row>
    <row r="621" spans="1:15" ht="16.149999999999999" customHeight="1" x14ac:dyDescent="0.25">
      <c r="A621" s="172">
        <v>42599</v>
      </c>
      <c r="B621" s="175" t="s">
        <v>49</v>
      </c>
      <c r="C621" s="254" t="s">
        <v>1050</v>
      </c>
      <c r="D621" s="254" t="s">
        <v>1053</v>
      </c>
      <c r="E621" s="254" t="s">
        <v>1031</v>
      </c>
      <c r="F621" s="254" t="s">
        <v>1052</v>
      </c>
      <c r="G621" s="254" t="s">
        <v>1022</v>
      </c>
      <c r="H621" s="254" t="s">
        <v>1017</v>
      </c>
      <c r="I621" s="254" t="s">
        <v>1057</v>
      </c>
      <c r="J621" s="176"/>
      <c r="K621" s="254" t="s">
        <v>1021</v>
      </c>
      <c r="L621" s="254" t="s">
        <v>1038</v>
      </c>
      <c r="M621" s="176"/>
      <c r="N621" s="176"/>
      <c r="O621" s="255" t="s">
        <v>1025</v>
      </c>
    </row>
    <row r="622" spans="1:15" ht="16.149999999999999" customHeight="1" x14ac:dyDescent="0.25">
      <c r="A622" s="172">
        <v>42598</v>
      </c>
      <c r="B622" s="173" t="s">
        <v>49</v>
      </c>
      <c r="C622" s="252" t="s">
        <v>1058</v>
      </c>
      <c r="D622" s="252" t="s">
        <v>1056</v>
      </c>
      <c r="E622" s="252" t="s">
        <v>1055</v>
      </c>
      <c r="F622" s="252" t="s">
        <v>1059</v>
      </c>
      <c r="G622" s="252" t="s">
        <v>1055</v>
      </c>
      <c r="H622" s="252" t="s">
        <v>1057</v>
      </c>
      <c r="I622" s="252" t="s">
        <v>1060</v>
      </c>
      <c r="J622" s="174"/>
      <c r="K622" s="252" t="s">
        <v>1059</v>
      </c>
      <c r="L622" s="252" t="s">
        <v>1017</v>
      </c>
      <c r="M622" s="174"/>
      <c r="N622" s="174"/>
      <c r="O622" s="253" t="s">
        <v>1061</v>
      </c>
    </row>
    <row r="623" spans="1:15" ht="16.149999999999999" customHeight="1" x14ac:dyDescent="0.25">
      <c r="A623" s="172">
        <v>42594</v>
      </c>
      <c r="B623" s="175" t="s">
        <v>49</v>
      </c>
      <c r="C623" s="254" t="s">
        <v>1062</v>
      </c>
      <c r="D623" s="254" t="s">
        <v>1055</v>
      </c>
      <c r="E623" s="254" t="s">
        <v>1017</v>
      </c>
      <c r="F623" s="254" t="s">
        <v>1059</v>
      </c>
      <c r="G623" s="254" t="s">
        <v>1052</v>
      </c>
      <c r="H623" s="254" t="s">
        <v>1055</v>
      </c>
      <c r="I623" s="254" t="s">
        <v>1063</v>
      </c>
      <c r="J623" s="176"/>
      <c r="K623" s="254" t="s">
        <v>1059</v>
      </c>
      <c r="L623" s="254" t="s">
        <v>1055</v>
      </c>
      <c r="M623" s="176"/>
      <c r="N623" s="176"/>
      <c r="O623" s="255" t="s">
        <v>1017</v>
      </c>
    </row>
    <row r="624" spans="1:15" ht="16.149999999999999" customHeight="1" x14ac:dyDescent="0.25">
      <c r="A624" s="172">
        <v>42593</v>
      </c>
      <c r="B624" s="173" t="s">
        <v>49</v>
      </c>
      <c r="C624" s="252" t="s">
        <v>1064</v>
      </c>
      <c r="D624" s="252" t="s">
        <v>1052</v>
      </c>
      <c r="E624" s="252" t="s">
        <v>1017</v>
      </c>
      <c r="F624" s="252" t="s">
        <v>1056</v>
      </c>
      <c r="G624" s="252" t="s">
        <v>1044</v>
      </c>
      <c r="H624" s="252" t="s">
        <v>1057</v>
      </c>
      <c r="I624" s="252" t="s">
        <v>1065</v>
      </c>
      <c r="J624" s="174"/>
      <c r="K624" s="252" t="s">
        <v>1055</v>
      </c>
      <c r="L624" s="252" t="s">
        <v>1055</v>
      </c>
      <c r="M624" s="174"/>
      <c r="N624" s="174"/>
      <c r="O624" s="253" t="s">
        <v>1017</v>
      </c>
    </row>
    <row r="625" spans="1:15" ht="16.149999999999999" customHeight="1" x14ac:dyDescent="0.25">
      <c r="A625" s="172">
        <v>42592</v>
      </c>
      <c r="B625" s="175" t="s">
        <v>49</v>
      </c>
      <c r="C625" s="254" t="s">
        <v>1066</v>
      </c>
      <c r="D625" s="254" t="s">
        <v>1038</v>
      </c>
      <c r="E625" s="254" t="s">
        <v>1017</v>
      </c>
      <c r="F625" s="254" t="s">
        <v>1038</v>
      </c>
      <c r="G625" s="254" t="s">
        <v>1047</v>
      </c>
      <c r="H625" s="254" t="s">
        <v>1038</v>
      </c>
      <c r="I625" s="254" t="s">
        <v>1018</v>
      </c>
      <c r="J625" s="176"/>
      <c r="K625" s="254" t="s">
        <v>1017</v>
      </c>
      <c r="L625" s="254" t="s">
        <v>1038</v>
      </c>
      <c r="M625" s="176"/>
      <c r="N625" s="176"/>
      <c r="O625" s="255" t="s">
        <v>1038</v>
      </c>
    </row>
    <row r="626" spans="1:15" ht="16.149999999999999" customHeight="1" x14ac:dyDescent="0.25">
      <c r="A626" s="172">
        <v>42591</v>
      </c>
      <c r="B626" s="173" t="s">
        <v>49</v>
      </c>
      <c r="C626" s="252" t="s">
        <v>1066</v>
      </c>
      <c r="D626" s="252" t="s">
        <v>1038</v>
      </c>
      <c r="E626" s="252" t="s">
        <v>1038</v>
      </c>
      <c r="F626" s="252" t="s">
        <v>1038</v>
      </c>
      <c r="G626" s="252" t="s">
        <v>1047</v>
      </c>
      <c r="H626" s="252" t="s">
        <v>1021</v>
      </c>
      <c r="I626" s="252" t="s">
        <v>1019</v>
      </c>
      <c r="J626" s="174"/>
      <c r="K626" s="252" t="s">
        <v>1040</v>
      </c>
      <c r="L626" s="252" t="s">
        <v>1038</v>
      </c>
      <c r="M626" s="174"/>
      <c r="N626" s="174"/>
      <c r="O626" s="253" t="s">
        <v>1067</v>
      </c>
    </row>
    <row r="627" spans="1:15" ht="16.149999999999999" customHeight="1" x14ac:dyDescent="0.25">
      <c r="A627" s="172">
        <v>42590</v>
      </c>
      <c r="B627" s="175" t="s">
        <v>49</v>
      </c>
      <c r="C627" s="254" t="s">
        <v>1023</v>
      </c>
      <c r="D627" s="254" t="s">
        <v>1017</v>
      </c>
      <c r="E627" s="254" t="s">
        <v>1055</v>
      </c>
      <c r="F627" s="254" t="s">
        <v>1017</v>
      </c>
      <c r="G627" s="254" t="s">
        <v>1052</v>
      </c>
      <c r="H627" s="254" t="s">
        <v>1038</v>
      </c>
      <c r="I627" s="254" t="s">
        <v>1057</v>
      </c>
      <c r="J627" s="176"/>
      <c r="K627" s="254" t="s">
        <v>1020</v>
      </c>
      <c r="L627" s="254" t="s">
        <v>1017</v>
      </c>
      <c r="M627" s="176"/>
      <c r="N627" s="176"/>
      <c r="O627" s="255" t="s">
        <v>1067</v>
      </c>
    </row>
    <row r="628" spans="1:15" ht="16.149999999999999" customHeight="1" x14ac:dyDescent="0.25">
      <c r="A628" s="172">
        <v>42587</v>
      </c>
      <c r="B628" s="173" t="s">
        <v>49</v>
      </c>
      <c r="C628" s="252" t="s">
        <v>1068</v>
      </c>
      <c r="D628" s="252" t="s">
        <v>1069</v>
      </c>
      <c r="E628" s="252" t="s">
        <v>1069</v>
      </c>
      <c r="F628" s="252" t="s">
        <v>1070</v>
      </c>
      <c r="G628" s="252" t="s">
        <v>1071</v>
      </c>
      <c r="H628" s="252" t="s">
        <v>1069</v>
      </c>
      <c r="I628" s="252" t="s">
        <v>999</v>
      </c>
      <c r="J628" s="174"/>
      <c r="K628" s="252" t="s">
        <v>1072</v>
      </c>
      <c r="L628" s="252" t="s">
        <v>1069</v>
      </c>
      <c r="M628" s="174"/>
      <c r="N628" s="174"/>
      <c r="O628" s="253" t="s">
        <v>1073</v>
      </c>
    </row>
    <row r="629" spans="1:15" ht="16.149999999999999" customHeight="1" x14ac:dyDescent="0.25">
      <c r="A629" s="172">
        <v>42586</v>
      </c>
      <c r="B629" s="175" t="s">
        <v>49</v>
      </c>
      <c r="C629" s="254" t="s">
        <v>1074</v>
      </c>
      <c r="D629" s="254" t="s">
        <v>1073</v>
      </c>
      <c r="E629" s="254" t="s">
        <v>1073</v>
      </c>
      <c r="F629" s="254" t="s">
        <v>1070</v>
      </c>
      <c r="G629" s="254" t="s">
        <v>1075</v>
      </c>
      <c r="H629" s="254" t="s">
        <v>1073</v>
      </c>
      <c r="I629" s="254" t="s">
        <v>1076</v>
      </c>
      <c r="J629" s="176"/>
      <c r="K629" s="254" t="s">
        <v>1073</v>
      </c>
      <c r="L629" s="254" t="s">
        <v>1069</v>
      </c>
      <c r="M629" s="176"/>
      <c r="N629" s="176"/>
      <c r="O629" s="255" t="s">
        <v>996</v>
      </c>
    </row>
    <row r="630" spans="1:15" ht="16.149999999999999" customHeight="1" x14ac:dyDescent="0.25">
      <c r="A630" s="172">
        <v>42585</v>
      </c>
      <c r="B630" s="173" t="s">
        <v>49</v>
      </c>
      <c r="C630" s="252" t="s">
        <v>1077</v>
      </c>
      <c r="D630" s="252" t="s">
        <v>1078</v>
      </c>
      <c r="E630" s="252" t="s">
        <v>1073</v>
      </c>
      <c r="F630" s="252" t="s">
        <v>1012</v>
      </c>
      <c r="G630" s="252" t="s">
        <v>1079</v>
      </c>
      <c r="H630" s="252" t="s">
        <v>1073</v>
      </c>
      <c r="I630" s="252" t="s">
        <v>1015</v>
      </c>
      <c r="J630" s="174"/>
      <c r="K630" s="252" t="s">
        <v>999</v>
      </c>
      <c r="L630" s="252" t="s">
        <v>1073</v>
      </c>
      <c r="M630" s="174"/>
      <c r="N630" s="174"/>
      <c r="O630" s="253" t="s">
        <v>1002</v>
      </c>
    </row>
    <row r="631" spans="1:15" ht="16.149999999999999" customHeight="1" x14ac:dyDescent="0.25">
      <c r="A631" s="172">
        <v>42584</v>
      </c>
      <c r="B631" s="175" t="s">
        <v>49</v>
      </c>
      <c r="C631" s="254" t="s">
        <v>1080</v>
      </c>
      <c r="D631" s="254" t="s">
        <v>1081</v>
      </c>
      <c r="E631" s="254" t="s">
        <v>1012</v>
      </c>
      <c r="F631" s="254" t="s">
        <v>1070</v>
      </c>
      <c r="G631" s="254" t="s">
        <v>1079</v>
      </c>
      <c r="H631" s="254" t="s">
        <v>1069</v>
      </c>
      <c r="I631" s="254" t="s">
        <v>1082</v>
      </c>
      <c r="J631" s="176"/>
      <c r="K631" s="254" t="s">
        <v>1073</v>
      </c>
      <c r="L631" s="254" t="s">
        <v>1069</v>
      </c>
      <c r="M631" s="176"/>
      <c r="N631" s="176"/>
      <c r="O631" s="255" t="s">
        <v>1002</v>
      </c>
    </row>
    <row r="632" spans="1:15" ht="16.149999999999999" customHeight="1" x14ac:dyDescent="0.25">
      <c r="A632" s="172">
        <v>42583</v>
      </c>
      <c r="B632" s="173" t="s">
        <v>49</v>
      </c>
      <c r="C632" s="252" t="s">
        <v>1083</v>
      </c>
      <c r="D632" s="252" t="s">
        <v>1084</v>
      </c>
      <c r="E632" s="252" t="s">
        <v>999</v>
      </c>
      <c r="F632" s="252" t="s">
        <v>983</v>
      </c>
      <c r="G632" s="252" t="s">
        <v>1071</v>
      </c>
      <c r="H632" s="252" t="s">
        <v>1073</v>
      </c>
      <c r="I632" s="252" t="s">
        <v>1013</v>
      </c>
      <c r="J632" s="174"/>
      <c r="K632" s="252" t="s">
        <v>1073</v>
      </c>
      <c r="L632" s="252" t="s">
        <v>1069</v>
      </c>
      <c r="M632" s="174"/>
      <c r="N632" s="174"/>
      <c r="O632" s="253" t="s">
        <v>996</v>
      </c>
    </row>
    <row r="633" spans="1:15" ht="16.149999999999999" customHeight="1" x14ac:dyDescent="0.25">
      <c r="A633" s="172">
        <v>42580</v>
      </c>
      <c r="B633" s="175" t="s">
        <v>49</v>
      </c>
      <c r="C633" s="254" t="s">
        <v>1085</v>
      </c>
      <c r="D633" s="254" t="s">
        <v>948</v>
      </c>
      <c r="E633" s="254" t="s">
        <v>912</v>
      </c>
      <c r="F633" s="254" t="s">
        <v>927</v>
      </c>
      <c r="G633" s="254" t="s">
        <v>912</v>
      </c>
      <c r="H633" s="254" t="s">
        <v>931</v>
      </c>
      <c r="I633" s="254" t="s">
        <v>903</v>
      </c>
      <c r="J633" s="176"/>
      <c r="K633" s="254" t="s">
        <v>927</v>
      </c>
      <c r="L633" s="254" t="s">
        <v>911</v>
      </c>
      <c r="M633" s="176"/>
      <c r="N633" s="176"/>
      <c r="O633" s="255" t="s">
        <v>918</v>
      </c>
    </row>
    <row r="634" spans="1:15" ht="16.149999999999999" customHeight="1" x14ac:dyDescent="0.25">
      <c r="A634" s="172">
        <v>42579</v>
      </c>
      <c r="B634" s="173" t="s">
        <v>49</v>
      </c>
      <c r="C634" s="252" t="s">
        <v>964</v>
      </c>
      <c r="D634" s="252" t="s">
        <v>911</v>
      </c>
      <c r="E634" s="252" t="s">
        <v>911</v>
      </c>
      <c r="F634" s="252" t="s">
        <v>927</v>
      </c>
      <c r="G634" s="252" t="s">
        <v>913</v>
      </c>
      <c r="H634" s="252" t="s">
        <v>928</v>
      </c>
      <c r="I634" s="252" t="s">
        <v>916</v>
      </c>
      <c r="J634" s="174"/>
      <c r="K634" s="252" t="s">
        <v>931</v>
      </c>
      <c r="L634" s="252" t="s">
        <v>911</v>
      </c>
      <c r="M634" s="174"/>
      <c r="N634" s="174"/>
      <c r="O634" s="253" t="s">
        <v>911</v>
      </c>
    </row>
    <row r="635" spans="1:15" ht="16.149999999999999" customHeight="1" x14ac:dyDescent="0.25">
      <c r="A635" s="172">
        <v>42578</v>
      </c>
      <c r="B635" s="175" t="s">
        <v>49</v>
      </c>
      <c r="C635" s="254" t="s">
        <v>964</v>
      </c>
      <c r="D635" s="254" t="s">
        <v>911</v>
      </c>
      <c r="E635" s="254" t="s">
        <v>911</v>
      </c>
      <c r="F635" s="254" t="s">
        <v>911</v>
      </c>
      <c r="G635" s="254" t="s">
        <v>990</v>
      </c>
      <c r="H635" s="254" t="s">
        <v>928</v>
      </c>
      <c r="I635" s="254" t="s">
        <v>918</v>
      </c>
      <c r="J635" s="176"/>
      <c r="K635" s="254" t="s">
        <v>904</v>
      </c>
      <c r="L635" s="254" t="s">
        <v>911</v>
      </c>
      <c r="M635" s="176"/>
      <c r="N635" s="176"/>
      <c r="O635" s="255" t="s">
        <v>910</v>
      </c>
    </row>
    <row r="636" spans="1:15" ht="16.149999999999999" customHeight="1" x14ac:dyDescent="0.25">
      <c r="A636" s="172">
        <v>42577</v>
      </c>
      <c r="B636" s="173" t="s">
        <v>49</v>
      </c>
      <c r="C636" s="252" t="s">
        <v>922</v>
      </c>
      <c r="D636" s="252" t="s">
        <v>916</v>
      </c>
      <c r="E636" s="252" t="s">
        <v>918</v>
      </c>
      <c r="F636" s="252" t="s">
        <v>912</v>
      </c>
      <c r="G636" s="252" t="s">
        <v>916</v>
      </c>
      <c r="H636" s="252" t="s">
        <v>911</v>
      </c>
      <c r="I636" s="252" t="s">
        <v>973</v>
      </c>
      <c r="J636" s="174"/>
      <c r="K636" s="252" t="s">
        <v>929</v>
      </c>
      <c r="L636" s="252" t="s">
        <v>912</v>
      </c>
      <c r="M636" s="174"/>
      <c r="N636" s="174"/>
      <c r="O636" s="253" t="s">
        <v>916</v>
      </c>
    </row>
    <row r="637" spans="1:15" ht="16.149999999999999" customHeight="1" x14ac:dyDescent="0.25">
      <c r="A637" s="172">
        <v>42576</v>
      </c>
      <c r="B637" s="175" t="s">
        <v>49</v>
      </c>
      <c r="C637" s="254" t="s">
        <v>964</v>
      </c>
      <c r="D637" s="254" t="s">
        <v>911</v>
      </c>
      <c r="E637" s="254" t="s">
        <v>911</v>
      </c>
      <c r="F637" s="254" t="s">
        <v>904</v>
      </c>
      <c r="G637" s="254" t="s">
        <v>974</v>
      </c>
      <c r="H637" s="254" t="s">
        <v>904</v>
      </c>
      <c r="I637" s="254" t="s">
        <v>929</v>
      </c>
      <c r="J637" s="176"/>
      <c r="K637" s="254" t="s">
        <v>928</v>
      </c>
      <c r="L637" s="254" t="s">
        <v>911</v>
      </c>
      <c r="M637" s="176"/>
      <c r="N637" s="176"/>
      <c r="O637" s="255" t="s">
        <v>912</v>
      </c>
    </row>
    <row r="638" spans="1:15" ht="16.149999999999999" customHeight="1" x14ac:dyDescent="0.25">
      <c r="A638" s="172">
        <v>42573</v>
      </c>
      <c r="B638" s="173" t="s">
        <v>49</v>
      </c>
      <c r="C638" s="252" t="s">
        <v>1086</v>
      </c>
      <c r="D638" s="252" t="s">
        <v>938</v>
      </c>
      <c r="E638" s="252" t="s">
        <v>911</v>
      </c>
      <c r="F638" s="252" t="s">
        <v>931</v>
      </c>
      <c r="G638" s="252" t="s">
        <v>1087</v>
      </c>
      <c r="H638" s="252" t="s">
        <v>892</v>
      </c>
      <c r="I638" s="252" t="s">
        <v>929</v>
      </c>
      <c r="J638" s="174"/>
      <c r="K638" s="252" t="s">
        <v>904</v>
      </c>
      <c r="L638" s="252" t="s">
        <v>928</v>
      </c>
      <c r="M638" s="174"/>
      <c r="N638" s="174"/>
      <c r="O638" s="253" t="s">
        <v>923</v>
      </c>
    </row>
    <row r="639" spans="1:15" ht="16.149999999999999" customHeight="1" x14ac:dyDescent="0.25">
      <c r="A639" s="172">
        <v>42572</v>
      </c>
      <c r="B639" s="175" t="s">
        <v>49</v>
      </c>
      <c r="C639" s="254" t="s">
        <v>925</v>
      </c>
      <c r="D639" s="254" t="s">
        <v>912</v>
      </c>
      <c r="E639" s="254" t="s">
        <v>978</v>
      </c>
      <c r="F639" s="254" t="s">
        <v>912</v>
      </c>
      <c r="G639" s="254" t="s">
        <v>912</v>
      </c>
      <c r="H639" s="254" t="s">
        <v>931</v>
      </c>
      <c r="I639" s="254" t="s">
        <v>983</v>
      </c>
      <c r="J639" s="176"/>
      <c r="K639" s="254" t="s">
        <v>910</v>
      </c>
      <c r="L639" s="254" t="s">
        <v>911</v>
      </c>
      <c r="M639" s="176"/>
      <c r="N639" s="176"/>
      <c r="O639" s="255" t="s">
        <v>923</v>
      </c>
    </row>
    <row r="640" spans="1:15" ht="16.149999999999999" customHeight="1" x14ac:dyDescent="0.25">
      <c r="A640" s="172">
        <v>42570</v>
      </c>
      <c r="B640" s="173" t="s">
        <v>49</v>
      </c>
      <c r="C640" s="252" t="s">
        <v>979</v>
      </c>
      <c r="D640" s="252" t="s">
        <v>975</v>
      </c>
      <c r="E640" s="252" t="s">
        <v>978</v>
      </c>
      <c r="F640" s="252" t="s">
        <v>918</v>
      </c>
      <c r="G640" s="252" t="s">
        <v>1088</v>
      </c>
      <c r="H640" s="252" t="s">
        <v>912</v>
      </c>
      <c r="I640" s="252" t="s">
        <v>996</v>
      </c>
      <c r="J640" s="174"/>
      <c r="K640" s="252" t="s">
        <v>929</v>
      </c>
      <c r="L640" s="252" t="s">
        <v>912</v>
      </c>
      <c r="M640" s="174"/>
      <c r="N640" s="174"/>
      <c r="O640" s="253" t="s">
        <v>973</v>
      </c>
    </row>
    <row r="641" spans="1:15" ht="16.149999999999999" customHeight="1" x14ac:dyDescent="0.25">
      <c r="A641" s="172">
        <v>42569</v>
      </c>
      <c r="B641" s="175" t="s">
        <v>49</v>
      </c>
      <c r="C641" s="254" t="s">
        <v>989</v>
      </c>
      <c r="D641" s="254" t="s">
        <v>929</v>
      </c>
      <c r="E641" s="254" t="s">
        <v>978</v>
      </c>
      <c r="F641" s="254" t="s">
        <v>973</v>
      </c>
      <c r="G641" s="254" t="s">
        <v>1011</v>
      </c>
      <c r="H641" s="254" t="s">
        <v>929</v>
      </c>
      <c r="I641" s="254" t="s">
        <v>1089</v>
      </c>
      <c r="J641" s="176"/>
      <c r="K641" s="254" t="s">
        <v>973</v>
      </c>
      <c r="L641" s="254" t="s">
        <v>929</v>
      </c>
      <c r="M641" s="176"/>
      <c r="N641" s="176"/>
      <c r="O641" s="255" t="s">
        <v>973</v>
      </c>
    </row>
    <row r="642" spans="1:15" ht="16.149999999999999" customHeight="1" x14ac:dyDescent="0.25">
      <c r="A642" s="172">
        <v>42566</v>
      </c>
      <c r="B642" s="173" t="s">
        <v>49</v>
      </c>
      <c r="C642" s="252" t="s">
        <v>1090</v>
      </c>
      <c r="D642" s="252" t="s">
        <v>978</v>
      </c>
      <c r="E642" s="252" t="s">
        <v>929</v>
      </c>
      <c r="F642" s="252" t="s">
        <v>988</v>
      </c>
      <c r="G642" s="252" t="s">
        <v>999</v>
      </c>
      <c r="H642" s="252" t="s">
        <v>978</v>
      </c>
      <c r="I642" s="252" t="s">
        <v>1091</v>
      </c>
      <c r="J642" s="174"/>
      <c r="K642" s="252" t="s">
        <v>983</v>
      </c>
      <c r="L642" s="252" t="s">
        <v>978</v>
      </c>
      <c r="M642" s="174"/>
      <c r="N642" s="174"/>
      <c r="O642" s="253" t="s">
        <v>929</v>
      </c>
    </row>
    <row r="643" spans="1:15" ht="16.149999999999999" customHeight="1" x14ac:dyDescent="0.25">
      <c r="A643" s="172">
        <v>42565</v>
      </c>
      <c r="B643" s="175" t="s">
        <v>49</v>
      </c>
      <c r="C643" s="254" t="s">
        <v>1092</v>
      </c>
      <c r="D643" s="254" t="s">
        <v>1006</v>
      </c>
      <c r="E643" s="254" t="s">
        <v>918</v>
      </c>
      <c r="F643" s="254" t="s">
        <v>983</v>
      </c>
      <c r="G643" s="254" t="s">
        <v>970</v>
      </c>
      <c r="H643" s="254" t="s">
        <v>929</v>
      </c>
      <c r="I643" s="254" t="s">
        <v>1093</v>
      </c>
      <c r="J643" s="176"/>
      <c r="K643" s="254" t="s">
        <v>999</v>
      </c>
      <c r="L643" s="254" t="s">
        <v>978</v>
      </c>
      <c r="M643" s="176"/>
      <c r="N643" s="176"/>
      <c r="O643" s="255" t="s">
        <v>973</v>
      </c>
    </row>
    <row r="644" spans="1:15" ht="16.149999999999999" customHeight="1" x14ac:dyDescent="0.25">
      <c r="A644" s="172">
        <v>42564</v>
      </c>
      <c r="B644" s="173" t="s">
        <v>49</v>
      </c>
      <c r="C644" s="252" t="s">
        <v>914</v>
      </c>
      <c r="D644" s="252" t="s">
        <v>915</v>
      </c>
      <c r="E644" s="252" t="s">
        <v>918</v>
      </c>
      <c r="F644" s="252" t="s">
        <v>916</v>
      </c>
      <c r="G644" s="252" t="s">
        <v>952</v>
      </c>
      <c r="H644" s="252" t="s">
        <v>918</v>
      </c>
      <c r="I644" s="252" t="s">
        <v>965</v>
      </c>
      <c r="J644" s="174"/>
      <c r="K644" s="252" t="s">
        <v>918</v>
      </c>
      <c r="L644" s="252" t="s">
        <v>978</v>
      </c>
      <c r="M644" s="174"/>
      <c r="N644" s="174"/>
      <c r="O644" s="253" t="s">
        <v>910</v>
      </c>
    </row>
    <row r="645" spans="1:15" ht="16.149999999999999" customHeight="1" x14ac:dyDescent="0.25">
      <c r="A645" s="172">
        <v>42563</v>
      </c>
      <c r="B645" s="175" t="s">
        <v>49</v>
      </c>
      <c r="C645" s="254" t="s">
        <v>964</v>
      </c>
      <c r="D645" s="254" t="s">
        <v>911</v>
      </c>
      <c r="E645" s="254" t="s">
        <v>911</v>
      </c>
      <c r="F645" s="254" t="s">
        <v>911</v>
      </c>
      <c r="G645" s="254" t="s">
        <v>912</v>
      </c>
      <c r="H645" s="254" t="s">
        <v>931</v>
      </c>
      <c r="I645" s="254" t="s">
        <v>974</v>
      </c>
      <c r="J645" s="176"/>
      <c r="K645" s="254" t="s">
        <v>927</v>
      </c>
      <c r="L645" s="254" t="s">
        <v>911</v>
      </c>
      <c r="M645" s="176"/>
      <c r="N645" s="176"/>
      <c r="O645" s="255" t="s">
        <v>910</v>
      </c>
    </row>
    <row r="646" spans="1:15" ht="16.149999999999999" customHeight="1" x14ac:dyDescent="0.25">
      <c r="A646" s="172">
        <v>42562</v>
      </c>
      <c r="B646" s="173" t="s">
        <v>49</v>
      </c>
      <c r="C646" s="252" t="s">
        <v>1007</v>
      </c>
      <c r="D646" s="252" t="s">
        <v>919</v>
      </c>
      <c r="E646" s="252" t="s">
        <v>912</v>
      </c>
      <c r="F646" s="252" t="s">
        <v>910</v>
      </c>
      <c r="G646" s="252" t="s">
        <v>968</v>
      </c>
      <c r="H646" s="252" t="s">
        <v>931</v>
      </c>
      <c r="I646" s="252" t="s">
        <v>932</v>
      </c>
      <c r="J646" s="174"/>
      <c r="K646" s="252" t="s">
        <v>1087</v>
      </c>
      <c r="L646" s="252" t="s">
        <v>931</v>
      </c>
      <c r="M646" s="174"/>
      <c r="N646" s="174"/>
      <c r="O646" s="253" t="s">
        <v>910</v>
      </c>
    </row>
    <row r="647" spans="1:15" ht="16.149999999999999" customHeight="1" x14ac:dyDescent="0.25">
      <c r="A647" s="172">
        <v>42559</v>
      </c>
      <c r="B647" s="175" t="s">
        <v>49</v>
      </c>
      <c r="C647" s="254" t="s">
        <v>1007</v>
      </c>
      <c r="D647" s="254" t="s">
        <v>1094</v>
      </c>
      <c r="E647" s="254" t="s">
        <v>912</v>
      </c>
      <c r="F647" s="254" t="s">
        <v>974</v>
      </c>
      <c r="G647" s="254" t="s">
        <v>931</v>
      </c>
      <c r="H647" s="254" t="s">
        <v>911</v>
      </c>
      <c r="I647" s="254" t="s">
        <v>926</v>
      </c>
      <c r="J647" s="176"/>
      <c r="K647" s="254" t="s">
        <v>911</v>
      </c>
      <c r="L647" s="254" t="s">
        <v>912</v>
      </c>
      <c r="M647" s="176"/>
      <c r="N647" s="176"/>
      <c r="O647" s="255" t="s">
        <v>910</v>
      </c>
    </row>
    <row r="648" spans="1:15" ht="16.149999999999999" customHeight="1" x14ac:dyDescent="0.25">
      <c r="A648" s="172">
        <v>42558</v>
      </c>
      <c r="B648" s="173" t="s">
        <v>49</v>
      </c>
      <c r="C648" s="252" t="s">
        <v>936</v>
      </c>
      <c r="D648" s="252" t="s">
        <v>928</v>
      </c>
      <c r="E648" s="252" t="s">
        <v>928</v>
      </c>
      <c r="F648" s="252" t="s">
        <v>940</v>
      </c>
      <c r="G648" s="252" t="s">
        <v>1095</v>
      </c>
      <c r="H648" s="252" t="s">
        <v>928</v>
      </c>
      <c r="I648" s="252" t="s">
        <v>1096</v>
      </c>
      <c r="J648" s="174"/>
      <c r="K648" s="252" t="s">
        <v>931</v>
      </c>
      <c r="L648" s="252" t="s">
        <v>911</v>
      </c>
      <c r="M648" s="174"/>
      <c r="N648" s="174"/>
      <c r="O648" s="253" t="s">
        <v>904</v>
      </c>
    </row>
    <row r="649" spans="1:15" ht="16.149999999999999" customHeight="1" x14ac:dyDescent="0.25">
      <c r="A649" s="172">
        <v>42557</v>
      </c>
      <c r="B649" s="175" t="s">
        <v>49</v>
      </c>
      <c r="C649" s="254" t="s">
        <v>1097</v>
      </c>
      <c r="D649" s="254" t="s">
        <v>1098</v>
      </c>
      <c r="E649" s="254" t="s">
        <v>904</v>
      </c>
      <c r="F649" s="254" t="s">
        <v>881</v>
      </c>
      <c r="G649" s="254" t="s">
        <v>904</v>
      </c>
      <c r="H649" s="254" t="s">
        <v>881</v>
      </c>
      <c r="I649" s="254" t="s">
        <v>305</v>
      </c>
      <c r="J649" s="176"/>
      <c r="K649" s="254" t="s">
        <v>899</v>
      </c>
      <c r="L649" s="254" t="s">
        <v>881</v>
      </c>
      <c r="M649" s="176"/>
      <c r="N649" s="176"/>
      <c r="O649" s="255" t="s">
        <v>904</v>
      </c>
    </row>
    <row r="650" spans="1:15" ht="16.149999999999999" customHeight="1" x14ac:dyDescent="0.25">
      <c r="A650" s="172">
        <v>42556</v>
      </c>
      <c r="B650" s="173" t="s">
        <v>49</v>
      </c>
      <c r="C650" s="252" t="s">
        <v>1099</v>
      </c>
      <c r="D650" s="252" t="s">
        <v>1100</v>
      </c>
      <c r="E650" s="252" t="s">
        <v>1100</v>
      </c>
      <c r="F650" s="252" t="s">
        <v>1101</v>
      </c>
      <c r="G650" s="252" t="s">
        <v>1100</v>
      </c>
      <c r="H650" s="252" t="s">
        <v>1102</v>
      </c>
      <c r="I650" s="252" t="s">
        <v>1103</v>
      </c>
      <c r="J650" s="174"/>
      <c r="K650" s="252" t="s">
        <v>1102</v>
      </c>
      <c r="L650" s="252" t="s">
        <v>887</v>
      </c>
      <c r="M650" s="174"/>
      <c r="N650" s="174"/>
      <c r="O650" s="253" t="s">
        <v>1104</v>
      </c>
    </row>
    <row r="651" spans="1:15" ht="16.149999999999999" customHeight="1" x14ac:dyDescent="0.25">
      <c r="A651" s="172">
        <v>42552</v>
      </c>
      <c r="B651" s="175" t="s">
        <v>49</v>
      </c>
      <c r="C651" s="254" t="s">
        <v>1105</v>
      </c>
      <c r="D651" s="254" t="s">
        <v>1106</v>
      </c>
      <c r="E651" s="254" t="s">
        <v>1107</v>
      </c>
      <c r="F651" s="254" t="s">
        <v>1107</v>
      </c>
      <c r="G651" s="254" t="s">
        <v>291</v>
      </c>
      <c r="H651" s="254" t="s">
        <v>1108</v>
      </c>
      <c r="I651" s="254" t="s">
        <v>1109</v>
      </c>
      <c r="J651" s="176"/>
      <c r="K651" s="254" t="s">
        <v>1100</v>
      </c>
      <c r="L651" s="254" t="s">
        <v>1100</v>
      </c>
      <c r="M651" s="176"/>
      <c r="N651" s="176"/>
      <c r="O651" s="255" t="s">
        <v>1110</v>
      </c>
    </row>
    <row r="652" spans="1:15" ht="16.149999999999999" customHeight="1" x14ac:dyDescent="0.25">
      <c r="A652" s="172">
        <v>42551</v>
      </c>
      <c r="B652" s="173" t="s">
        <v>49</v>
      </c>
      <c r="C652" s="252" t="s">
        <v>1037</v>
      </c>
      <c r="D652" s="252" t="s">
        <v>1111</v>
      </c>
      <c r="E652" s="252" t="s">
        <v>1108</v>
      </c>
      <c r="F652" s="252" t="s">
        <v>1107</v>
      </c>
      <c r="G652" s="252" t="s">
        <v>1111</v>
      </c>
      <c r="H652" s="252" t="s">
        <v>1108</v>
      </c>
      <c r="I652" s="252" t="s">
        <v>1112</v>
      </c>
      <c r="J652" s="174"/>
      <c r="K652" s="252" t="s">
        <v>1111</v>
      </c>
      <c r="L652" s="252" t="s">
        <v>1100</v>
      </c>
      <c r="M652" s="174"/>
      <c r="N652" s="174"/>
      <c r="O652" s="253" t="s">
        <v>1113</v>
      </c>
    </row>
    <row r="653" spans="1:15" ht="16.149999999999999" customHeight="1" x14ac:dyDescent="0.25">
      <c r="A653" s="172">
        <v>42550</v>
      </c>
      <c r="B653" s="175" t="s">
        <v>49</v>
      </c>
      <c r="C653" s="254" t="s">
        <v>1114</v>
      </c>
      <c r="D653" s="254" t="s">
        <v>1101</v>
      </c>
      <c r="E653" s="254" t="s">
        <v>1107</v>
      </c>
      <c r="F653" s="254" t="s">
        <v>1107</v>
      </c>
      <c r="G653" s="254" t="s">
        <v>1108</v>
      </c>
      <c r="H653" s="254" t="s">
        <v>1100</v>
      </c>
      <c r="I653" s="254" t="s">
        <v>291</v>
      </c>
      <c r="J653" s="176"/>
      <c r="K653" s="254" t="s">
        <v>1101</v>
      </c>
      <c r="L653" s="254" t="s">
        <v>1101</v>
      </c>
      <c r="M653" s="176"/>
      <c r="N653" s="176"/>
      <c r="O653" s="255" t="s">
        <v>1115</v>
      </c>
    </row>
    <row r="654" spans="1:15" ht="16.149999999999999" customHeight="1" x14ac:dyDescent="0.25">
      <c r="A654" s="172">
        <v>42549</v>
      </c>
      <c r="B654" s="173" t="s">
        <v>49</v>
      </c>
      <c r="C654" s="252" t="s">
        <v>1116</v>
      </c>
      <c r="D654" s="252" t="s">
        <v>1117</v>
      </c>
      <c r="E654" s="252" t="s">
        <v>1102</v>
      </c>
      <c r="F654" s="252" t="s">
        <v>1101</v>
      </c>
      <c r="G654" s="252" t="s">
        <v>1100</v>
      </c>
      <c r="H654" s="252" t="s">
        <v>1102</v>
      </c>
      <c r="I654" s="252" t="s">
        <v>1103</v>
      </c>
      <c r="J654" s="174"/>
      <c r="K654" s="252" t="s">
        <v>1102</v>
      </c>
      <c r="L654" s="252" t="s">
        <v>887</v>
      </c>
      <c r="M654" s="174"/>
      <c r="N654" s="174"/>
      <c r="O654" s="253" t="s">
        <v>1115</v>
      </c>
    </row>
    <row r="655" spans="1:15" ht="16.149999999999999" customHeight="1" x14ac:dyDescent="0.25">
      <c r="A655" s="172">
        <v>42548</v>
      </c>
      <c r="B655" s="175" t="s">
        <v>49</v>
      </c>
      <c r="C655" s="254" t="s">
        <v>1118</v>
      </c>
      <c r="D655" s="254" t="s">
        <v>1110</v>
      </c>
      <c r="E655" s="254" t="s">
        <v>1100</v>
      </c>
      <c r="F655" s="254" t="s">
        <v>1101</v>
      </c>
      <c r="G655" s="254" t="s">
        <v>1115</v>
      </c>
      <c r="H655" s="254" t="s">
        <v>1101</v>
      </c>
      <c r="I655" s="254" t="s">
        <v>1119</v>
      </c>
      <c r="J655" s="176"/>
      <c r="K655" s="254" t="s">
        <v>1108</v>
      </c>
      <c r="L655" s="254" t="s">
        <v>1120</v>
      </c>
      <c r="M655" s="176"/>
      <c r="N655" s="176"/>
      <c r="O655" s="255" t="s">
        <v>1121</v>
      </c>
    </row>
    <row r="656" spans="1:15" ht="16.149999999999999" customHeight="1" x14ac:dyDescent="0.25">
      <c r="A656" s="172">
        <v>42545</v>
      </c>
      <c r="B656" s="173" t="s">
        <v>49</v>
      </c>
      <c r="C656" s="252" t="s">
        <v>1122</v>
      </c>
      <c r="D656" s="252" t="s">
        <v>1100</v>
      </c>
      <c r="E656" s="252" t="s">
        <v>1108</v>
      </c>
      <c r="F656" s="252" t="s">
        <v>1108</v>
      </c>
      <c r="G656" s="252" t="s">
        <v>1117</v>
      </c>
      <c r="H656" s="252" t="s">
        <v>1100</v>
      </c>
      <c r="I656" s="252" t="s">
        <v>1123</v>
      </c>
      <c r="J656" s="174"/>
      <c r="K656" s="252" t="s">
        <v>1100</v>
      </c>
      <c r="L656" s="252" t="s">
        <v>1100</v>
      </c>
      <c r="M656" s="174"/>
      <c r="N656" s="174"/>
      <c r="O656" s="253" t="s">
        <v>1104</v>
      </c>
    </row>
    <row r="657" spans="1:15" ht="16.149999999999999" customHeight="1" x14ac:dyDescent="0.25">
      <c r="A657" s="172">
        <v>42544</v>
      </c>
      <c r="B657" s="175" t="s">
        <v>49</v>
      </c>
      <c r="C657" s="254" t="s">
        <v>1124</v>
      </c>
      <c r="D657" s="254" t="s">
        <v>1125</v>
      </c>
      <c r="E657" s="254" t="s">
        <v>291</v>
      </c>
      <c r="F657" s="254" t="s">
        <v>1101</v>
      </c>
      <c r="G657" s="254" t="s">
        <v>1126</v>
      </c>
      <c r="H657" s="254" t="s">
        <v>1108</v>
      </c>
      <c r="I657" s="254" t="s">
        <v>1127</v>
      </c>
      <c r="J657" s="176"/>
      <c r="K657" s="254" t="s">
        <v>1100</v>
      </c>
      <c r="L657" s="254" t="s">
        <v>1101</v>
      </c>
      <c r="M657" s="176"/>
      <c r="N657" s="176"/>
      <c r="O657" s="255" t="s">
        <v>1128</v>
      </c>
    </row>
    <row r="658" spans="1:15" ht="16.149999999999999" customHeight="1" x14ac:dyDescent="0.25">
      <c r="A658" s="172">
        <v>42543</v>
      </c>
      <c r="B658" s="173" t="s">
        <v>49</v>
      </c>
      <c r="C658" s="252" t="s">
        <v>1039</v>
      </c>
      <c r="D658" s="252" t="s">
        <v>1129</v>
      </c>
      <c r="E658" s="252" t="s">
        <v>1130</v>
      </c>
      <c r="F658" s="252" t="s">
        <v>1129</v>
      </c>
      <c r="G658" s="252" t="s">
        <v>1131</v>
      </c>
      <c r="H658" s="252" t="s">
        <v>1129</v>
      </c>
      <c r="I658" s="252" t="s">
        <v>1132</v>
      </c>
      <c r="J658" s="174"/>
      <c r="K658" s="252" t="s">
        <v>1129</v>
      </c>
      <c r="L658" s="252" t="s">
        <v>1101</v>
      </c>
      <c r="M658" s="174"/>
      <c r="N658" s="174"/>
      <c r="O658" s="253" t="s">
        <v>1133</v>
      </c>
    </row>
    <row r="659" spans="1:15" ht="16.149999999999999" customHeight="1" x14ac:dyDescent="0.25">
      <c r="A659" s="172">
        <v>42542</v>
      </c>
      <c r="B659" s="175" t="s">
        <v>49</v>
      </c>
      <c r="C659" s="254" t="s">
        <v>1038</v>
      </c>
      <c r="D659" s="254" t="s">
        <v>1134</v>
      </c>
      <c r="E659" s="254" t="s">
        <v>1135</v>
      </c>
      <c r="F659" s="254" t="s">
        <v>1120</v>
      </c>
      <c r="G659" s="254" t="s">
        <v>1136</v>
      </c>
      <c r="H659" s="254" t="s">
        <v>1120</v>
      </c>
      <c r="I659" s="254" t="s">
        <v>1137</v>
      </c>
      <c r="J659" s="176"/>
      <c r="K659" s="254" t="s">
        <v>1129</v>
      </c>
      <c r="L659" s="254" t="s">
        <v>1138</v>
      </c>
      <c r="M659" s="176"/>
      <c r="N659" s="176"/>
      <c r="O659" s="255" t="s">
        <v>1139</v>
      </c>
    </row>
    <row r="660" spans="1:15" ht="16.149999999999999" customHeight="1" x14ac:dyDescent="0.25">
      <c r="A660" s="172">
        <v>42541</v>
      </c>
      <c r="B660" s="173" t="s">
        <v>49</v>
      </c>
      <c r="C660" s="252" t="s">
        <v>1140</v>
      </c>
      <c r="D660" s="252" t="s">
        <v>1139</v>
      </c>
      <c r="E660" s="252" t="s">
        <v>1135</v>
      </c>
      <c r="F660" s="252" t="s">
        <v>1141</v>
      </c>
      <c r="G660" s="252" t="s">
        <v>1136</v>
      </c>
      <c r="H660" s="252" t="s">
        <v>1135</v>
      </c>
      <c r="I660" s="252" t="s">
        <v>1142</v>
      </c>
      <c r="J660" s="174"/>
      <c r="K660" s="252" t="s">
        <v>1143</v>
      </c>
      <c r="L660" s="252" t="s">
        <v>1141</v>
      </c>
      <c r="M660" s="174"/>
      <c r="N660" s="174"/>
      <c r="O660" s="253" t="s">
        <v>1144</v>
      </c>
    </row>
    <row r="661" spans="1:15" ht="16.149999999999999" customHeight="1" x14ac:dyDescent="0.25">
      <c r="A661" s="172">
        <v>42538</v>
      </c>
      <c r="B661" s="175" t="s">
        <v>49</v>
      </c>
      <c r="C661" s="254" t="s">
        <v>1145</v>
      </c>
      <c r="D661" s="254" t="s">
        <v>1146</v>
      </c>
      <c r="E661" s="254" t="s">
        <v>1146</v>
      </c>
      <c r="F661" s="254" t="s">
        <v>1143</v>
      </c>
      <c r="G661" s="254" t="s">
        <v>1147</v>
      </c>
      <c r="H661" s="254" t="s">
        <v>1143</v>
      </c>
      <c r="I661" s="254" t="s">
        <v>1148</v>
      </c>
      <c r="J661" s="176"/>
      <c r="K661" s="254" t="s">
        <v>1146</v>
      </c>
      <c r="L661" s="254" t="s">
        <v>1135</v>
      </c>
      <c r="M661" s="176"/>
      <c r="N661" s="176"/>
      <c r="O661" s="255" t="s">
        <v>1139</v>
      </c>
    </row>
    <row r="662" spans="1:15" ht="16.149999999999999" customHeight="1" x14ac:dyDescent="0.25">
      <c r="A662" s="172">
        <v>42537</v>
      </c>
      <c r="B662" s="173" t="s">
        <v>49</v>
      </c>
      <c r="C662" s="252" t="s">
        <v>1149</v>
      </c>
      <c r="D662" s="252" t="s">
        <v>1150</v>
      </c>
      <c r="E662" s="252" t="s">
        <v>1146</v>
      </c>
      <c r="F662" s="252" t="s">
        <v>1151</v>
      </c>
      <c r="G662" s="252" t="s">
        <v>1147</v>
      </c>
      <c r="H662" s="252" t="s">
        <v>1143</v>
      </c>
      <c r="I662" s="252" t="s">
        <v>1152</v>
      </c>
      <c r="J662" s="174"/>
      <c r="K662" s="252" t="s">
        <v>1143</v>
      </c>
      <c r="L662" s="252" t="s">
        <v>1146</v>
      </c>
      <c r="M662" s="174"/>
      <c r="N662" s="174"/>
      <c r="O662" s="253" t="s">
        <v>1153</v>
      </c>
    </row>
    <row r="663" spans="1:15" ht="16.149999999999999" customHeight="1" x14ac:dyDescent="0.25">
      <c r="A663" s="172">
        <v>42536</v>
      </c>
      <c r="B663" s="175" t="s">
        <v>49</v>
      </c>
      <c r="C663" s="254" t="s">
        <v>1057</v>
      </c>
      <c r="D663" s="254" t="s">
        <v>1143</v>
      </c>
      <c r="E663" s="254" t="s">
        <v>1143</v>
      </c>
      <c r="F663" s="254" t="s">
        <v>1154</v>
      </c>
      <c r="G663" s="254" t="s">
        <v>1147</v>
      </c>
      <c r="H663" s="254" t="s">
        <v>1151</v>
      </c>
      <c r="I663" s="254" t="s">
        <v>1155</v>
      </c>
      <c r="J663" s="176"/>
      <c r="K663" s="254" t="s">
        <v>1143</v>
      </c>
      <c r="L663" s="254" t="s">
        <v>1151</v>
      </c>
      <c r="M663" s="176"/>
      <c r="N663" s="176"/>
      <c r="O663" s="255" t="s">
        <v>1143</v>
      </c>
    </row>
    <row r="664" spans="1:15" ht="16.149999999999999" customHeight="1" x14ac:dyDescent="0.25">
      <c r="A664" s="172">
        <v>42535</v>
      </c>
      <c r="B664" s="173" t="s">
        <v>49</v>
      </c>
      <c r="C664" s="252" t="s">
        <v>1072</v>
      </c>
      <c r="D664" s="252" t="s">
        <v>1151</v>
      </c>
      <c r="E664" s="252" t="s">
        <v>1143</v>
      </c>
      <c r="F664" s="252" t="s">
        <v>1154</v>
      </c>
      <c r="G664" s="252" t="s">
        <v>1156</v>
      </c>
      <c r="H664" s="252" t="s">
        <v>1151</v>
      </c>
      <c r="I664" s="252" t="s">
        <v>1157</v>
      </c>
      <c r="J664" s="174"/>
      <c r="K664" s="252" t="s">
        <v>1151</v>
      </c>
      <c r="L664" s="252" t="s">
        <v>1151</v>
      </c>
      <c r="M664" s="174"/>
      <c r="N664" s="174"/>
      <c r="O664" s="253" t="s">
        <v>1158</v>
      </c>
    </row>
    <row r="665" spans="1:15" ht="16.149999999999999" customHeight="1" x14ac:dyDescent="0.25">
      <c r="A665" s="172">
        <v>42534</v>
      </c>
      <c r="B665" s="175" t="s">
        <v>49</v>
      </c>
      <c r="C665" s="254" t="s">
        <v>1159</v>
      </c>
      <c r="D665" s="254" t="s">
        <v>1160</v>
      </c>
      <c r="E665" s="254" t="s">
        <v>1151</v>
      </c>
      <c r="F665" s="254" t="s">
        <v>1154</v>
      </c>
      <c r="G665" s="254" t="s">
        <v>1161</v>
      </c>
      <c r="H665" s="254" t="s">
        <v>1154</v>
      </c>
      <c r="I665" s="254" t="s">
        <v>348</v>
      </c>
      <c r="J665" s="176"/>
      <c r="K665" s="254" t="s">
        <v>1154</v>
      </c>
      <c r="L665" s="254" t="s">
        <v>1143</v>
      </c>
      <c r="M665" s="176"/>
      <c r="N665" s="176"/>
      <c r="O665" s="255" t="s">
        <v>1161</v>
      </c>
    </row>
    <row r="666" spans="1:15" ht="16.149999999999999" customHeight="1" x14ac:dyDescent="0.25">
      <c r="A666" s="172">
        <v>42531</v>
      </c>
      <c r="B666" s="173" t="s">
        <v>49</v>
      </c>
      <c r="C666" s="252" t="s">
        <v>1060</v>
      </c>
      <c r="D666" s="252" t="s">
        <v>1162</v>
      </c>
      <c r="E666" s="252" t="s">
        <v>1151</v>
      </c>
      <c r="F666" s="252" t="s">
        <v>1163</v>
      </c>
      <c r="G666" s="252" t="s">
        <v>1164</v>
      </c>
      <c r="H666" s="252" t="s">
        <v>1165</v>
      </c>
      <c r="I666" s="252" t="s">
        <v>1166</v>
      </c>
      <c r="J666" s="174"/>
      <c r="K666" s="252" t="s">
        <v>1167</v>
      </c>
      <c r="L666" s="252" t="s">
        <v>1154</v>
      </c>
      <c r="M666" s="174"/>
      <c r="N666" s="174"/>
      <c r="O666" s="253" t="s">
        <v>1168</v>
      </c>
    </row>
    <row r="667" spans="1:15" ht="16.149999999999999" customHeight="1" x14ac:dyDescent="0.25">
      <c r="A667" s="172">
        <v>42530</v>
      </c>
      <c r="B667" s="175" t="s">
        <v>49</v>
      </c>
      <c r="C667" s="254" t="s">
        <v>999</v>
      </c>
      <c r="D667" s="254" t="s">
        <v>1169</v>
      </c>
      <c r="E667" s="254" t="s">
        <v>1165</v>
      </c>
      <c r="F667" s="254" t="s">
        <v>1166</v>
      </c>
      <c r="G667" s="254" t="s">
        <v>1170</v>
      </c>
      <c r="H667" s="254" t="s">
        <v>1171</v>
      </c>
      <c r="I667" s="254" t="s">
        <v>1172</v>
      </c>
      <c r="J667" s="176"/>
      <c r="K667" s="254" t="s">
        <v>1173</v>
      </c>
      <c r="L667" s="254" t="s">
        <v>1166</v>
      </c>
      <c r="M667" s="176"/>
      <c r="N667" s="176"/>
      <c r="O667" s="255" t="s">
        <v>1174</v>
      </c>
    </row>
    <row r="668" spans="1:15" ht="16.149999999999999" customHeight="1" x14ac:dyDescent="0.25">
      <c r="A668" s="172">
        <v>42529</v>
      </c>
      <c r="B668" s="173" t="s">
        <v>49</v>
      </c>
      <c r="C668" s="252" t="s">
        <v>978</v>
      </c>
      <c r="D668" s="252" t="s">
        <v>339</v>
      </c>
      <c r="E668" s="252" t="s">
        <v>1171</v>
      </c>
      <c r="F668" s="252" t="s">
        <v>1166</v>
      </c>
      <c r="G668" s="252" t="s">
        <v>1175</v>
      </c>
      <c r="H668" s="252" t="s">
        <v>1176</v>
      </c>
      <c r="I668" s="252" t="s">
        <v>1177</v>
      </c>
      <c r="J668" s="174"/>
      <c r="K668" s="252" t="s">
        <v>1178</v>
      </c>
      <c r="L668" s="252" t="s">
        <v>1179</v>
      </c>
      <c r="M668" s="174"/>
      <c r="N668" s="174"/>
      <c r="O668" s="253" t="s">
        <v>1174</v>
      </c>
    </row>
    <row r="669" spans="1:15" ht="16.149999999999999" customHeight="1" x14ac:dyDescent="0.25">
      <c r="A669" s="172">
        <v>42528</v>
      </c>
      <c r="B669" s="175" t="s">
        <v>49</v>
      </c>
      <c r="C669" s="254" t="s">
        <v>986</v>
      </c>
      <c r="D669" s="254" t="s">
        <v>1179</v>
      </c>
      <c r="E669" s="254" t="s">
        <v>1171</v>
      </c>
      <c r="F669" s="254" t="s">
        <v>1178</v>
      </c>
      <c r="G669" s="254" t="s">
        <v>1163</v>
      </c>
      <c r="H669" s="254" t="s">
        <v>1166</v>
      </c>
      <c r="I669" s="254" t="s">
        <v>1180</v>
      </c>
      <c r="J669" s="176"/>
      <c r="K669" s="254" t="s">
        <v>1176</v>
      </c>
      <c r="L669" s="254" t="s">
        <v>1176</v>
      </c>
      <c r="M669" s="176"/>
      <c r="N669" s="176"/>
      <c r="O669" s="255" t="s">
        <v>1176</v>
      </c>
    </row>
    <row r="670" spans="1:15" ht="16.149999999999999" customHeight="1" x14ac:dyDescent="0.25">
      <c r="A670" s="172">
        <v>42524</v>
      </c>
      <c r="B670" s="173" t="s">
        <v>49</v>
      </c>
      <c r="C670" s="252" t="s">
        <v>904</v>
      </c>
      <c r="D670" s="252" t="s">
        <v>781</v>
      </c>
      <c r="E670" s="252" t="s">
        <v>306</v>
      </c>
      <c r="F670" s="252" t="s">
        <v>316</v>
      </c>
      <c r="G670" s="252" t="s">
        <v>306</v>
      </c>
      <c r="H670" s="252" t="s">
        <v>781</v>
      </c>
      <c r="I670" s="252" t="s">
        <v>789</v>
      </c>
      <c r="J670" s="174"/>
      <c r="K670" s="252" t="s">
        <v>1181</v>
      </c>
      <c r="L670" s="252" t="s">
        <v>781</v>
      </c>
      <c r="M670" s="174"/>
      <c r="N670" s="174"/>
      <c r="O670" s="253" t="s">
        <v>782</v>
      </c>
    </row>
    <row r="671" spans="1:15" ht="16.149999999999999" customHeight="1" x14ac:dyDescent="0.25">
      <c r="A671" s="172">
        <v>42523</v>
      </c>
      <c r="B671" s="175" t="s">
        <v>49</v>
      </c>
      <c r="C671" s="254" t="s">
        <v>956</v>
      </c>
      <c r="D671" s="254" t="s">
        <v>1182</v>
      </c>
      <c r="E671" s="254" t="s">
        <v>787</v>
      </c>
      <c r="F671" s="254" t="s">
        <v>306</v>
      </c>
      <c r="G671" s="254" t="s">
        <v>1183</v>
      </c>
      <c r="H671" s="254" t="s">
        <v>781</v>
      </c>
      <c r="I671" s="254" t="s">
        <v>1184</v>
      </c>
      <c r="J671" s="176"/>
      <c r="K671" s="254" t="s">
        <v>784</v>
      </c>
      <c r="L671" s="254" t="s">
        <v>1185</v>
      </c>
      <c r="M671" s="176"/>
      <c r="N671" s="176"/>
      <c r="O671" s="255" t="s">
        <v>777</v>
      </c>
    </row>
    <row r="672" spans="1:15" ht="16.149999999999999" customHeight="1" x14ac:dyDescent="0.25">
      <c r="A672" s="172">
        <v>42522</v>
      </c>
      <c r="B672" s="173" t="s">
        <v>49</v>
      </c>
      <c r="C672" s="252" t="s">
        <v>1186</v>
      </c>
      <c r="D672" s="252" t="s">
        <v>306</v>
      </c>
      <c r="E672" s="252" t="s">
        <v>787</v>
      </c>
      <c r="F672" s="252" t="s">
        <v>781</v>
      </c>
      <c r="G672" s="252" t="s">
        <v>306</v>
      </c>
      <c r="H672" s="252" t="s">
        <v>781</v>
      </c>
      <c r="I672" s="252" t="s">
        <v>1187</v>
      </c>
      <c r="J672" s="174"/>
      <c r="K672" s="252" t="s">
        <v>306</v>
      </c>
      <c r="L672" s="252" t="s">
        <v>1185</v>
      </c>
      <c r="M672" s="174"/>
      <c r="N672" s="174"/>
      <c r="O672" s="253" t="s">
        <v>1188</v>
      </c>
    </row>
    <row r="673" spans="1:15" ht="16.149999999999999" customHeight="1" x14ac:dyDescent="0.25">
      <c r="A673" s="172">
        <v>42521</v>
      </c>
      <c r="B673" s="175" t="s">
        <v>49</v>
      </c>
      <c r="C673" s="254" t="s">
        <v>949</v>
      </c>
      <c r="D673" s="254" t="s">
        <v>784</v>
      </c>
      <c r="E673" s="254" t="s">
        <v>787</v>
      </c>
      <c r="F673" s="254" t="s">
        <v>1189</v>
      </c>
      <c r="G673" s="254" t="s">
        <v>783</v>
      </c>
      <c r="H673" s="254" t="s">
        <v>787</v>
      </c>
      <c r="I673" s="254" t="s">
        <v>1190</v>
      </c>
      <c r="J673" s="176"/>
      <c r="K673" s="254" t="s">
        <v>787</v>
      </c>
      <c r="L673" s="254" t="s">
        <v>783</v>
      </c>
      <c r="M673" s="176"/>
      <c r="N673" s="176"/>
      <c r="O673" s="255" t="s">
        <v>1187</v>
      </c>
    </row>
    <row r="674" spans="1:15" ht="16.149999999999999" customHeight="1" x14ac:dyDescent="0.25">
      <c r="A674" s="172">
        <v>42517</v>
      </c>
      <c r="B674" s="173" t="s">
        <v>49</v>
      </c>
      <c r="C674" s="252" t="s">
        <v>971</v>
      </c>
      <c r="D674" s="252" t="s">
        <v>1191</v>
      </c>
      <c r="E674" s="252" t="s">
        <v>1178</v>
      </c>
      <c r="F674" s="252" t="s">
        <v>1189</v>
      </c>
      <c r="G674" s="252" t="s">
        <v>1192</v>
      </c>
      <c r="H674" s="252" t="s">
        <v>345</v>
      </c>
      <c r="I674" s="252" t="s">
        <v>1193</v>
      </c>
      <c r="J674" s="174"/>
      <c r="K674" s="252" t="s">
        <v>1178</v>
      </c>
      <c r="L674" s="252" t="s">
        <v>341</v>
      </c>
      <c r="M674" s="174"/>
      <c r="N674" s="174"/>
      <c r="O674" s="253" t="s">
        <v>1194</v>
      </c>
    </row>
    <row r="675" spans="1:15" ht="16.149999999999999" customHeight="1" x14ac:dyDescent="0.25">
      <c r="A675" s="172">
        <v>42516</v>
      </c>
      <c r="B675" s="175" t="s">
        <v>49</v>
      </c>
      <c r="C675" s="254" t="s">
        <v>968</v>
      </c>
      <c r="D675" s="254" t="s">
        <v>1195</v>
      </c>
      <c r="E675" s="254" t="s">
        <v>345</v>
      </c>
      <c r="F675" s="254" t="s">
        <v>783</v>
      </c>
      <c r="G675" s="254" t="s">
        <v>1192</v>
      </c>
      <c r="H675" s="254" t="s">
        <v>783</v>
      </c>
      <c r="I675" s="254" t="s">
        <v>346</v>
      </c>
      <c r="J675" s="176"/>
      <c r="K675" s="254" t="s">
        <v>1196</v>
      </c>
      <c r="L675" s="254" t="s">
        <v>345</v>
      </c>
      <c r="M675" s="176"/>
      <c r="N675" s="176"/>
      <c r="O675" s="255" t="s">
        <v>783</v>
      </c>
    </row>
    <row r="676" spans="1:15" ht="16.149999999999999" customHeight="1" x14ac:dyDescent="0.25">
      <c r="A676" s="172">
        <v>42515</v>
      </c>
      <c r="B676" s="173" t="s">
        <v>49</v>
      </c>
      <c r="C676" s="252" t="s">
        <v>949</v>
      </c>
      <c r="D676" s="252" t="s">
        <v>784</v>
      </c>
      <c r="E676" s="252" t="s">
        <v>783</v>
      </c>
      <c r="F676" s="252" t="s">
        <v>306</v>
      </c>
      <c r="G676" s="252" t="s">
        <v>1197</v>
      </c>
      <c r="H676" s="252" t="s">
        <v>784</v>
      </c>
      <c r="I676" s="252" t="s">
        <v>1187</v>
      </c>
      <c r="J676" s="174"/>
      <c r="K676" s="252" t="s">
        <v>784</v>
      </c>
      <c r="L676" s="252" t="s">
        <v>783</v>
      </c>
      <c r="M676" s="174"/>
      <c r="N676" s="174"/>
      <c r="O676" s="253" t="s">
        <v>784</v>
      </c>
    </row>
    <row r="677" spans="1:15" ht="16.149999999999999" customHeight="1" x14ac:dyDescent="0.25">
      <c r="A677" s="172">
        <v>42514</v>
      </c>
      <c r="B677" s="175" t="s">
        <v>49</v>
      </c>
      <c r="C677" s="254" t="s">
        <v>993</v>
      </c>
      <c r="D677" s="254" t="s">
        <v>304</v>
      </c>
      <c r="E677" s="254" t="s">
        <v>787</v>
      </c>
      <c r="F677" s="254" t="s">
        <v>306</v>
      </c>
      <c r="G677" s="254" t="s">
        <v>1197</v>
      </c>
      <c r="H677" s="254" t="s">
        <v>787</v>
      </c>
      <c r="I677" s="254" t="s">
        <v>1189</v>
      </c>
      <c r="J677" s="176"/>
      <c r="K677" s="254" t="s">
        <v>784</v>
      </c>
      <c r="L677" s="254" t="s">
        <v>1196</v>
      </c>
      <c r="M677" s="176"/>
      <c r="N677" s="176"/>
      <c r="O677" s="255" t="s">
        <v>783</v>
      </c>
    </row>
    <row r="678" spans="1:15" ht="16.149999999999999" customHeight="1" x14ac:dyDescent="0.25">
      <c r="A678" s="172">
        <v>42513</v>
      </c>
      <c r="B678" s="173" t="s">
        <v>49</v>
      </c>
      <c r="C678" s="252" t="s">
        <v>942</v>
      </c>
      <c r="D678" s="252" t="s">
        <v>1185</v>
      </c>
      <c r="E678" s="252" t="s">
        <v>783</v>
      </c>
      <c r="F678" s="252" t="s">
        <v>306</v>
      </c>
      <c r="G678" s="252" t="s">
        <v>781</v>
      </c>
      <c r="H678" s="252" t="s">
        <v>306</v>
      </c>
      <c r="I678" s="252" t="s">
        <v>1198</v>
      </c>
      <c r="J678" s="174"/>
      <c r="K678" s="252" t="s">
        <v>787</v>
      </c>
      <c r="L678" s="252" t="s">
        <v>784</v>
      </c>
      <c r="M678" s="174"/>
      <c r="N678" s="174"/>
      <c r="O678" s="253" t="s">
        <v>777</v>
      </c>
    </row>
    <row r="679" spans="1:15" ht="16.149999999999999" customHeight="1" x14ac:dyDescent="0.25">
      <c r="A679" s="172">
        <v>42510</v>
      </c>
      <c r="B679" s="175" t="s">
        <v>49</v>
      </c>
      <c r="C679" s="254" t="s">
        <v>892</v>
      </c>
      <c r="D679" s="254" t="s">
        <v>316</v>
      </c>
      <c r="E679" s="254" t="s">
        <v>316</v>
      </c>
      <c r="F679" s="254" t="s">
        <v>316</v>
      </c>
      <c r="G679" s="254" t="s">
        <v>1183</v>
      </c>
      <c r="H679" s="254" t="s">
        <v>316</v>
      </c>
      <c r="I679" s="254" t="s">
        <v>1199</v>
      </c>
      <c r="J679" s="176"/>
      <c r="K679" s="254" t="s">
        <v>316</v>
      </c>
      <c r="L679" s="254" t="s">
        <v>781</v>
      </c>
      <c r="M679" s="176"/>
      <c r="N679" s="176"/>
      <c r="O679" s="255" t="s">
        <v>777</v>
      </c>
    </row>
    <row r="680" spans="1:15" ht="16.149999999999999" customHeight="1" x14ac:dyDescent="0.25">
      <c r="A680" s="172">
        <v>42509</v>
      </c>
      <c r="B680" s="173" t="s">
        <v>49</v>
      </c>
      <c r="C680" s="252" t="s">
        <v>1200</v>
      </c>
      <c r="D680" s="252" t="s">
        <v>780</v>
      </c>
      <c r="E680" s="252" t="s">
        <v>312</v>
      </c>
      <c r="F680" s="252" t="s">
        <v>778</v>
      </c>
      <c r="G680" s="252" t="s">
        <v>300</v>
      </c>
      <c r="H680" s="252" t="s">
        <v>287</v>
      </c>
      <c r="I680" s="252" t="s">
        <v>797</v>
      </c>
      <c r="J680" s="174"/>
      <c r="K680" s="252" t="s">
        <v>300</v>
      </c>
      <c r="L680" s="252" t="s">
        <v>316</v>
      </c>
      <c r="M680" s="174"/>
      <c r="N680" s="174"/>
      <c r="O680" s="253" t="s">
        <v>296</v>
      </c>
    </row>
    <row r="681" spans="1:15" ht="16.149999999999999" customHeight="1" x14ac:dyDescent="0.25">
      <c r="A681" s="172">
        <v>42508</v>
      </c>
      <c r="B681" s="175" t="s">
        <v>49</v>
      </c>
      <c r="C681" s="254" t="s">
        <v>891</v>
      </c>
      <c r="D681" s="254" t="s">
        <v>312</v>
      </c>
      <c r="E681" s="254" t="s">
        <v>792</v>
      </c>
      <c r="F681" s="254" t="s">
        <v>312</v>
      </c>
      <c r="G681" s="254" t="s">
        <v>300</v>
      </c>
      <c r="H681" s="254" t="s">
        <v>312</v>
      </c>
      <c r="I681" s="254" t="s">
        <v>801</v>
      </c>
      <c r="J681" s="176"/>
      <c r="K681" s="254" t="s">
        <v>296</v>
      </c>
      <c r="L681" s="254" t="s">
        <v>287</v>
      </c>
      <c r="M681" s="176"/>
      <c r="N681" s="176"/>
      <c r="O681" s="255" t="s">
        <v>318</v>
      </c>
    </row>
    <row r="682" spans="1:15" ht="16.149999999999999" customHeight="1" x14ac:dyDescent="0.25">
      <c r="A682" s="172">
        <v>42507</v>
      </c>
      <c r="B682" s="173" t="s">
        <v>49</v>
      </c>
      <c r="C682" s="252" t="s">
        <v>1201</v>
      </c>
      <c r="D682" s="252" t="s">
        <v>795</v>
      </c>
      <c r="E682" s="252" t="s">
        <v>802</v>
      </c>
      <c r="F682" s="252" t="s">
        <v>792</v>
      </c>
      <c r="G682" s="252" t="s">
        <v>802</v>
      </c>
      <c r="H682" s="252" t="s">
        <v>804</v>
      </c>
      <c r="I682" s="252" t="s">
        <v>1202</v>
      </c>
      <c r="J682" s="174"/>
      <c r="K682" s="252" t="s">
        <v>314</v>
      </c>
      <c r="L682" s="252" t="s">
        <v>792</v>
      </c>
      <c r="M682" s="174"/>
      <c r="N682" s="174"/>
      <c r="O682" s="253" t="s">
        <v>320</v>
      </c>
    </row>
    <row r="683" spans="1:15" ht="16.149999999999999" customHeight="1" x14ac:dyDescent="0.25">
      <c r="A683" s="172">
        <v>42506</v>
      </c>
      <c r="B683" s="175" t="s">
        <v>49</v>
      </c>
      <c r="C683" s="254" t="s">
        <v>1119</v>
      </c>
      <c r="D683" s="254" t="s">
        <v>802</v>
      </c>
      <c r="E683" s="254" t="s">
        <v>802</v>
      </c>
      <c r="F683" s="254" t="s">
        <v>853</v>
      </c>
      <c r="G683" s="254" t="s">
        <v>855</v>
      </c>
      <c r="H683" s="254" t="s">
        <v>804</v>
      </c>
      <c r="I683" s="254" t="s">
        <v>1203</v>
      </c>
      <c r="J683" s="176"/>
      <c r="K683" s="254" t="s">
        <v>792</v>
      </c>
      <c r="L683" s="254" t="s">
        <v>802</v>
      </c>
      <c r="M683" s="176"/>
      <c r="N683" s="176"/>
      <c r="O683" s="255" t="s">
        <v>802</v>
      </c>
    </row>
    <row r="684" spans="1:15" ht="16.149999999999999" customHeight="1" x14ac:dyDescent="0.25">
      <c r="A684" s="172">
        <v>42503</v>
      </c>
      <c r="B684" s="173" t="s">
        <v>49</v>
      </c>
      <c r="C684" s="252" t="s">
        <v>1204</v>
      </c>
      <c r="D684" s="252" t="s">
        <v>772</v>
      </c>
      <c r="E684" s="252" t="s">
        <v>848</v>
      </c>
      <c r="F684" s="252" t="s">
        <v>848</v>
      </c>
      <c r="G684" s="252" t="s">
        <v>772</v>
      </c>
      <c r="H684" s="252" t="s">
        <v>771</v>
      </c>
      <c r="I684" s="252" t="s">
        <v>855</v>
      </c>
      <c r="J684" s="174"/>
      <c r="K684" s="252" t="s">
        <v>772</v>
      </c>
      <c r="L684" s="252" t="s">
        <v>294</v>
      </c>
      <c r="M684" s="174"/>
      <c r="N684" s="174"/>
      <c r="O684" s="253" t="s">
        <v>771</v>
      </c>
    </row>
    <row r="685" spans="1:15" ht="16.149999999999999" customHeight="1" x14ac:dyDescent="0.25">
      <c r="A685" s="172">
        <v>42502</v>
      </c>
      <c r="B685" s="175" t="s">
        <v>49</v>
      </c>
      <c r="C685" s="254" t="s">
        <v>291</v>
      </c>
      <c r="D685" s="254" t="s">
        <v>771</v>
      </c>
      <c r="E685" s="254" t="s">
        <v>771</v>
      </c>
      <c r="F685" s="254" t="s">
        <v>769</v>
      </c>
      <c r="G685" s="254" t="s">
        <v>853</v>
      </c>
      <c r="H685" s="254" t="s">
        <v>768</v>
      </c>
      <c r="I685" s="254" t="s">
        <v>852</v>
      </c>
      <c r="J685" s="176"/>
      <c r="K685" s="254" t="s">
        <v>853</v>
      </c>
      <c r="L685" s="254" t="s">
        <v>771</v>
      </c>
      <c r="M685" s="176"/>
      <c r="N685" s="176"/>
      <c r="O685" s="255" t="s">
        <v>1203</v>
      </c>
    </row>
    <row r="686" spans="1:15" ht="16.149999999999999" customHeight="1" x14ac:dyDescent="0.25">
      <c r="A686" s="172">
        <v>42501</v>
      </c>
      <c r="B686" s="173" t="s">
        <v>49</v>
      </c>
      <c r="C686" s="252" t="s">
        <v>1205</v>
      </c>
      <c r="D686" s="252" t="s">
        <v>294</v>
      </c>
      <c r="E686" s="252" t="s">
        <v>294</v>
      </c>
      <c r="F686" s="252" t="s">
        <v>294</v>
      </c>
      <c r="G686" s="252" t="s">
        <v>1206</v>
      </c>
      <c r="H686" s="252" t="s">
        <v>294</v>
      </c>
      <c r="I686" s="252" t="s">
        <v>773</v>
      </c>
      <c r="J686" s="174"/>
      <c r="K686" s="252" t="s">
        <v>771</v>
      </c>
      <c r="L686" s="252" t="s">
        <v>294</v>
      </c>
      <c r="M686" s="174"/>
      <c r="N686" s="174"/>
      <c r="O686" s="253" t="s">
        <v>1207</v>
      </c>
    </row>
    <row r="687" spans="1:15" ht="16.149999999999999" customHeight="1" x14ac:dyDescent="0.25">
      <c r="A687" s="172">
        <v>42500</v>
      </c>
      <c r="B687" s="175" t="s">
        <v>49</v>
      </c>
      <c r="C687" s="254" t="s">
        <v>1208</v>
      </c>
      <c r="D687" s="254" t="s">
        <v>1207</v>
      </c>
      <c r="E687" s="254" t="s">
        <v>355</v>
      </c>
      <c r="F687" s="254" t="s">
        <v>355</v>
      </c>
      <c r="G687" s="254" t="s">
        <v>1209</v>
      </c>
      <c r="H687" s="254" t="s">
        <v>355</v>
      </c>
      <c r="I687" s="254" t="s">
        <v>841</v>
      </c>
      <c r="J687" s="176"/>
      <c r="K687" s="254" t="s">
        <v>771</v>
      </c>
      <c r="L687" s="254" t="s">
        <v>355</v>
      </c>
      <c r="M687" s="176"/>
      <c r="N687" s="176"/>
      <c r="O687" s="255" t="s">
        <v>771</v>
      </c>
    </row>
    <row r="688" spans="1:15" ht="16.149999999999999" customHeight="1" x14ac:dyDescent="0.25">
      <c r="A688" s="172">
        <v>42496</v>
      </c>
      <c r="B688" s="173" t="s">
        <v>49</v>
      </c>
      <c r="C688" s="252" t="s">
        <v>1112</v>
      </c>
      <c r="D688" s="252" t="s">
        <v>292</v>
      </c>
      <c r="E688" s="252" t="s">
        <v>771</v>
      </c>
      <c r="F688" s="252" t="s">
        <v>772</v>
      </c>
      <c r="G688" s="252" t="s">
        <v>774</v>
      </c>
      <c r="H688" s="252" t="s">
        <v>771</v>
      </c>
      <c r="I688" s="252" t="s">
        <v>864</v>
      </c>
      <c r="J688" s="174"/>
      <c r="K688" s="252" t="s">
        <v>771</v>
      </c>
      <c r="L688" s="252" t="s">
        <v>294</v>
      </c>
      <c r="M688" s="174"/>
      <c r="N688" s="174"/>
      <c r="O688" s="253" t="s">
        <v>1210</v>
      </c>
    </row>
    <row r="689" spans="1:15" ht="16.149999999999999" customHeight="1" x14ac:dyDescent="0.25">
      <c r="A689" s="172">
        <v>42495</v>
      </c>
      <c r="B689" s="175" t="s">
        <v>49</v>
      </c>
      <c r="C689" s="254" t="s">
        <v>1119</v>
      </c>
      <c r="D689" s="254" t="s">
        <v>802</v>
      </c>
      <c r="E689" s="254" t="s">
        <v>802</v>
      </c>
      <c r="F689" s="254" t="s">
        <v>860</v>
      </c>
      <c r="G689" s="254" t="s">
        <v>768</v>
      </c>
      <c r="H689" s="254" t="s">
        <v>860</v>
      </c>
      <c r="I689" s="254" t="s">
        <v>801</v>
      </c>
      <c r="J689" s="176"/>
      <c r="K689" s="254" t="s">
        <v>792</v>
      </c>
      <c r="L689" s="254" t="s">
        <v>792</v>
      </c>
      <c r="M689" s="176"/>
      <c r="N689" s="176"/>
      <c r="O689" s="255" t="s">
        <v>802</v>
      </c>
    </row>
    <row r="690" spans="1:15" ht="16.149999999999999" customHeight="1" x14ac:dyDescent="0.25">
      <c r="A690" s="172">
        <v>42494</v>
      </c>
      <c r="B690" s="173" t="s">
        <v>49</v>
      </c>
      <c r="C690" s="252" t="s">
        <v>1211</v>
      </c>
      <c r="D690" s="252" t="s">
        <v>292</v>
      </c>
      <c r="E690" s="252" t="s">
        <v>772</v>
      </c>
      <c r="F690" s="252" t="s">
        <v>294</v>
      </c>
      <c r="G690" s="252" t="s">
        <v>843</v>
      </c>
      <c r="H690" s="252" t="s">
        <v>771</v>
      </c>
      <c r="I690" s="252" t="s">
        <v>864</v>
      </c>
      <c r="J690" s="174"/>
      <c r="K690" s="252" t="s">
        <v>768</v>
      </c>
      <c r="L690" s="252" t="s">
        <v>771</v>
      </c>
      <c r="M690" s="174"/>
      <c r="N690" s="174"/>
      <c r="O690" s="253" t="s">
        <v>1212</v>
      </c>
    </row>
    <row r="691" spans="1:15" ht="16.149999999999999" customHeight="1" x14ac:dyDescent="0.25">
      <c r="A691" s="172">
        <v>42493</v>
      </c>
      <c r="B691" s="175" t="s">
        <v>49</v>
      </c>
      <c r="C691" s="254" t="s">
        <v>1213</v>
      </c>
      <c r="D691" s="254" t="s">
        <v>847</v>
      </c>
      <c r="E691" s="254" t="s">
        <v>294</v>
      </c>
      <c r="F691" s="254" t="s">
        <v>842</v>
      </c>
      <c r="G691" s="254" t="s">
        <v>1214</v>
      </c>
      <c r="H691" s="254" t="s">
        <v>769</v>
      </c>
      <c r="I691" s="254" t="s">
        <v>865</v>
      </c>
      <c r="J691" s="176"/>
      <c r="K691" s="254" t="s">
        <v>853</v>
      </c>
      <c r="L691" s="254" t="s">
        <v>769</v>
      </c>
      <c r="M691" s="176"/>
      <c r="N691" s="176"/>
      <c r="O691" s="255" t="s">
        <v>848</v>
      </c>
    </row>
    <row r="692" spans="1:15" ht="16.149999999999999" customHeight="1" x14ac:dyDescent="0.25">
      <c r="A692" s="172">
        <v>42492</v>
      </c>
      <c r="B692" s="173" t="s">
        <v>49</v>
      </c>
      <c r="C692" s="252" t="s">
        <v>1147</v>
      </c>
      <c r="D692" s="252" t="s">
        <v>839</v>
      </c>
      <c r="E692" s="252" t="s">
        <v>862</v>
      </c>
      <c r="F692" s="252" t="s">
        <v>833</v>
      </c>
      <c r="G692" s="252" t="s">
        <v>774</v>
      </c>
      <c r="H692" s="252" t="s">
        <v>842</v>
      </c>
      <c r="I692" s="252" t="s">
        <v>862</v>
      </c>
      <c r="J692" s="174"/>
      <c r="K692" s="252" t="s">
        <v>294</v>
      </c>
      <c r="L692" s="252" t="s">
        <v>294</v>
      </c>
      <c r="M692" s="174"/>
      <c r="N692" s="174"/>
      <c r="O692" s="253" t="s">
        <v>862</v>
      </c>
    </row>
    <row r="693" spans="1:15" ht="16.149999999999999" customHeight="1" x14ac:dyDescent="0.25">
      <c r="A693" s="172">
        <v>42489</v>
      </c>
      <c r="B693" s="175" t="s">
        <v>49</v>
      </c>
      <c r="C693" s="254" t="s">
        <v>1215</v>
      </c>
      <c r="D693" s="254" t="s">
        <v>1216</v>
      </c>
      <c r="E693" s="254" t="s">
        <v>748</v>
      </c>
      <c r="F693" s="254" t="s">
        <v>1217</v>
      </c>
      <c r="G693" s="254" t="s">
        <v>1218</v>
      </c>
      <c r="H693" s="254" t="s">
        <v>748</v>
      </c>
      <c r="I693" s="254" t="s">
        <v>1219</v>
      </c>
      <c r="J693" s="176"/>
      <c r="K693" s="254" t="s">
        <v>286</v>
      </c>
      <c r="L693" s="254" t="s">
        <v>1217</v>
      </c>
      <c r="M693" s="176"/>
      <c r="N693" s="176"/>
      <c r="O693" s="255" t="s">
        <v>282</v>
      </c>
    </row>
    <row r="694" spans="1:15" ht="16.149999999999999" customHeight="1" x14ac:dyDescent="0.25">
      <c r="A694" s="172">
        <v>42488</v>
      </c>
      <c r="B694" s="173" t="s">
        <v>49</v>
      </c>
      <c r="C694" s="252" t="s">
        <v>1220</v>
      </c>
      <c r="D694" s="252" t="s">
        <v>1217</v>
      </c>
      <c r="E694" s="252" t="s">
        <v>1217</v>
      </c>
      <c r="F694" s="252" t="s">
        <v>255</v>
      </c>
      <c r="G694" s="252" t="s">
        <v>1221</v>
      </c>
      <c r="H694" s="252" t="s">
        <v>1217</v>
      </c>
      <c r="I694" s="252" t="s">
        <v>1222</v>
      </c>
      <c r="J694" s="174"/>
      <c r="K694" s="252" t="s">
        <v>1217</v>
      </c>
      <c r="L694" s="252" t="s">
        <v>1217</v>
      </c>
      <c r="M694" s="174"/>
      <c r="N694" s="174"/>
      <c r="O694" s="253" t="s">
        <v>1223</v>
      </c>
    </row>
    <row r="695" spans="1:15" ht="16.149999999999999" customHeight="1" x14ac:dyDescent="0.25">
      <c r="A695" s="172">
        <v>42487</v>
      </c>
      <c r="B695" s="175" t="s">
        <v>49</v>
      </c>
      <c r="C695" s="254" t="s">
        <v>1224</v>
      </c>
      <c r="D695" s="254" t="s">
        <v>1225</v>
      </c>
      <c r="E695" s="254" t="s">
        <v>1226</v>
      </c>
      <c r="F695" s="254" t="s">
        <v>744</v>
      </c>
      <c r="G695" s="254" t="s">
        <v>1222</v>
      </c>
      <c r="H695" s="254" t="s">
        <v>753</v>
      </c>
      <c r="I695" s="254" t="s">
        <v>1227</v>
      </c>
      <c r="J695" s="176"/>
      <c r="K695" s="254" t="s">
        <v>1228</v>
      </c>
      <c r="L695" s="254" t="s">
        <v>753</v>
      </c>
      <c r="M695" s="176"/>
      <c r="N695" s="176"/>
      <c r="O695" s="255" t="s">
        <v>1229</v>
      </c>
    </row>
    <row r="696" spans="1:15" ht="16.149999999999999" customHeight="1" x14ac:dyDescent="0.25">
      <c r="A696" s="172">
        <v>42486</v>
      </c>
      <c r="B696" s="173" t="s">
        <v>49</v>
      </c>
      <c r="C696" s="252" t="s">
        <v>841</v>
      </c>
      <c r="D696" s="252" t="s">
        <v>255</v>
      </c>
      <c r="E696" s="252" t="s">
        <v>744</v>
      </c>
      <c r="F696" s="252" t="s">
        <v>744</v>
      </c>
      <c r="G696" s="252" t="s">
        <v>279</v>
      </c>
      <c r="H696" s="252" t="s">
        <v>1226</v>
      </c>
      <c r="I696" s="252" t="s">
        <v>1230</v>
      </c>
      <c r="J696" s="174"/>
      <c r="K696" s="252" t="s">
        <v>1229</v>
      </c>
      <c r="L696" s="252" t="s">
        <v>1231</v>
      </c>
      <c r="M696" s="174"/>
      <c r="N696" s="174"/>
      <c r="O696" s="253" t="s">
        <v>1232</v>
      </c>
    </row>
    <row r="697" spans="1:15" ht="16.149999999999999" customHeight="1" x14ac:dyDescent="0.25">
      <c r="A697" s="172">
        <v>42485</v>
      </c>
      <c r="B697" s="175" t="s">
        <v>49</v>
      </c>
      <c r="C697" s="254" t="s">
        <v>849</v>
      </c>
      <c r="D697" s="254" t="s">
        <v>746</v>
      </c>
      <c r="E697" s="254" t="s">
        <v>279</v>
      </c>
      <c r="F697" s="254" t="s">
        <v>253</v>
      </c>
      <c r="G697" s="254" t="s">
        <v>1233</v>
      </c>
      <c r="H697" s="254" t="s">
        <v>744</v>
      </c>
      <c r="I697" s="254" t="s">
        <v>1234</v>
      </c>
      <c r="J697" s="176"/>
      <c r="K697" s="254" t="s">
        <v>255</v>
      </c>
      <c r="L697" s="254" t="s">
        <v>744</v>
      </c>
      <c r="M697" s="176"/>
      <c r="N697" s="176"/>
      <c r="O697" s="255" t="s">
        <v>1232</v>
      </c>
    </row>
    <row r="698" spans="1:15" ht="16.149999999999999" customHeight="1" x14ac:dyDescent="0.25">
      <c r="A698" s="172">
        <v>42482</v>
      </c>
      <c r="B698" s="173" t="s">
        <v>49</v>
      </c>
      <c r="C698" s="252" t="s">
        <v>1207</v>
      </c>
      <c r="D698" s="252" t="s">
        <v>1235</v>
      </c>
      <c r="E698" s="252" t="s">
        <v>255</v>
      </c>
      <c r="F698" s="252" t="s">
        <v>744</v>
      </c>
      <c r="G698" s="252" t="s">
        <v>253</v>
      </c>
      <c r="H698" s="252" t="s">
        <v>744</v>
      </c>
      <c r="I698" s="252" t="s">
        <v>746</v>
      </c>
      <c r="J698" s="174"/>
      <c r="K698" s="252" t="s">
        <v>255</v>
      </c>
      <c r="L698" s="252" t="s">
        <v>1226</v>
      </c>
      <c r="M698" s="174"/>
      <c r="N698" s="174"/>
      <c r="O698" s="253" t="s">
        <v>1232</v>
      </c>
    </row>
    <row r="699" spans="1:15" ht="16.149999999999999" customHeight="1" x14ac:dyDescent="0.25">
      <c r="A699" s="172">
        <v>42481</v>
      </c>
      <c r="B699" s="175" t="s">
        <v>49</v>
      </c>
      <c r="C699" s="254" t="s">
        <v>841</v>
      </c>
      <c r="D699" s="254" t="s">
        <v>255</v>
      </c>
      <c r="E699" s="254" t="s">
        <v>255</v>
      </c>
      <c r="F699" s="254" t="s">
        <v>255</v>
      </c>
      <c r="G699" s="254" t="s">
        <v>253</v>
      </c>
      <c r="H699" s="254" t="s">
        <v>255</v>
      </c>
      <c r="I699" s="254" t="s">
        <v>1236</v>
      </c>
      <c r="J699" s="176"/>
      <c r="K699" s="254" t="s">
        <v>255</v>
      </c>
      <c r="L699" s="254" t="s">
        <v>255</v>
      </c>
      <c r="M699" s="176"/>
      <c r="N699" s="176"/>
      <c r="O699" s="255" t="s">
        <v>1232</v>
      </c>
    </row>
    <row r="700" spans="1:15" ht="16.149999999999999" customHeight="1" x14ac:dyDescent="0.25">
      <c r="A700" s="172">
        <v>42480</v>
      </c>
      <c r="B700" s="173" t="s">
        <v>49</v>
      </c>
      <c r="C700" s="252" t="s">
        <v>1207</v>
      </c>
      <c r="D700" s="252" t="s">
        <v>1235</v>
      </c>
      <c r="E700" s="252" t="s">
        <v>1226</v>
      </c>
      <c r="F700" s="252" t="s">
        <v>1237</v>
      </c>
      <c r="G700" s="252" t="s">
        <v>1238</v>
      </c>
      <c r="H700" s="252" t="s">
        <v>744</v>
      </c>
      <c r="I700" s="252" t="s">
        <v>1239</v>
      </c>
      <c r="J700" s="174"/>
      <c r="K700" s="252" t="s">
        <v>249</v>
      </c>
      <c r="L700" s="252" t="s">
        <v>744</v>
      </c>
      <c r="M700" s="174"/>
      <c r="N700" s="174"/>
      <c r="O700" s="253" t="s">
        <v>1232</v>
      </c>
    </row>
    <row r="701" spans="1:15" ht="16.149999999999999" customHeight="1" x14ac:dyDescent="0.25">
      <c r="A701" s="172">
        <v>42479</v>
      </c>
      <c r="B701" s="175" t="s">
        <v>49</v>
      </c>
      <c r="C701" s="254" t="s">
        <v>1240</v>
      </c>
      <c r="D701" s="254" t="s">
        <v>1226</v>
      </c>
      <c r="E701" s="254" t="s">
        <v>1226</v>
      </c>
      <c r="F701" s="254" t="s">
        <v>253</v>
      </c>
      <c r="G701" s="254" t="s">
        <v>744</v>
      </c>
      <c r="H701" s="254" t="s">
        <v>1226</v>
      </c>
      <c r="I701" s="254" t="s">
        <v>1241</v>
      </c>
      <c r="J701" s="176"/>
      <c r="K701" s="254" t="s">
        <v>1226</v>
      </c>
      <c r="L701" s="254" t="s">
        <v>1226</v>
      </c>
      <c r="M701" s="176"/>
      <c r="N701" s="176"/>
      <c r="O701" s="255" t="s">
        <v>1232</v>
      </c>
    </row>
    <row r="702" spans="1:15" ht="16.149999999999999" customHeight="1" x14ac:dyDescent="0.25">
      <c r="A702" s="172">
        <v>42478</v>
      </c>
      <c r="B702" s="173" t="s">
        <v>49</v>
      </c>
      <c r="C702" s="252" t="s">
        <v>845</v>
      </c>
      <c r="D702" s="252" t="s">
        <v>743</v>
      </c>
      <c r="E702" s="252" t="s">
        <v>1226</v>
      </c>
      <c r="F702" s="252" t="s">
        <v>253</v>
      </c>
      <c r="G702" s="252" t="s">
        <v>744</v>
      </c>
      <c r="H702" s="252" t="s">
        <v>1229</v>
      </c>
      <c r="I702" s="252" t="s">
        <v>1233</v>
      </c>
      <c r="J702" s="174"/>
      <c r="K702" s="252" t="s">
        <v>1231</v>
      </c>
      <c r="L702" s="252" t="s">
        <v>744</v>
      </c>
      <c r="M702" s="174"/>
      <c r="N702" s="174"/>
      <c r="O702" s="253" t="s">
        <v>1226</v>
      </c>
    </row>
    <row r="703" spans="1:15" ht="16.149999999999999" customHeight="1" x14ac:dyDescent="0.25">
      <c r="A703" s="172">
        <v>42475</v>
      </c>
      <c r="B703" s="175" t="s">
        <v>49</v>
      </c>
      <c r="C703" s="254" t="s">
        <v>841</v>
      </c>
      <c r="D703" s="254" t="s">
        <v>255</v>
      </c>
      <c r="E703" s="254" t="s">
        <v>744</v>
      </c>
      <c r="F703" s="254" t="s">
        <v>255</v>
      </c>
      <c r="G703" s="254" t="s">
        <v>1238</v>
      </c>
      <c r="H703" s="254" t="s">
        <v>255</v>
      </c>
      <c r="I703" s="254" t="s">
        <v>1242</v>
      </c>
      <c r="J703" s="176"/>
      <c r="K703" s="254" t="s">
        <v>1226</v>
      </c>
      <c r="L703" s="254" t="s">
        <v>255</v>
      </c>
      <c r="M703" s="176"/>
      <c r="N703" s="176"/>
      <c r="O703" s="255" t="s">
        <v>1242</v>
      </c>
    </row>
    <row r="704" spans="1:15" ht="16.149999999999999" customHeight="1" x14ac:dyDescent="0.25">
      <c r="A704" s="172">
        <v>42474</v>
      </c>
      <c r="B704" s="173" t="s">
        <v>49</v>
      </c>
      <c r="C704" s="252" t="s">
        <v>280</v>
      </c>
      <c r="D704" s="252" t="s">
        <v>747</v>
      </c>
      <c r="E704" s="252" t="s">
        <v>744</v>
      </c>
      <c r="F704" s="252" t="s">
        <v>249</v>
      </c>
      <c r="G704" s="252" t="s">
        <v>274</v>
      </c>
      <c r="H704" s="252" t="s">
        <v>249</v>
      </c>
      <c r="I704" s="252" t="s">
        <v>1243</v>
      </c>
      <c r="J704" s="174"/>
      <c r="K704" s="252" t="s">
        <v>255</v>
      </c>
      <c r="L704" s="252" t="s">
        <v>255</v>
      </c>
      <c r="M704" s="174"/>
      <c r="N704" s="174"/>
      <c r="O704" s="253" t="s">
        <v>1244</v>
      </c>
    </row>
    <row r="705" spans="1:15" ht="16.149999999999999" customHeight="1" x14ac:dyDescent="0.25">
      <c r="A705" s="172">
        <v>42473</v>
      </c>
      <c r="B705" s="175" t="s">
        <v>49</v>
      </c>
      <c r="C705" s="254" t="s">
        <v>278</v>
      </c>
      <c r="D705" s="254" t="s">
        <v>279</v>
      </c>
      <c r="E705" s="254" t="s">
        <v>744</v>
      </c>
      <c r="F705" s="254" t="s">
        <v>277</v>
      </c>
      <c r="G705" s="254" t="s">
        <v>1245</v>
      </c>
      <c r="H705" s="254" t="s">
        <v>279</v>
      </c>
      <c r="I705" s="254" t="s">
        <v>1246</v>
      </c>
      <c r="J705" s="176"/>
      <c r="K705" s="254" t="s">
        <v>255</v>
      </c>
      <c r="L705" s="254" t="s">
        <v>279</v>
      </c>
      <c r="M705" s="176"/>
      <c r="N705" s="176"/>
      <c r="O705" s="255" t="s">
        <v>279</v>
      </c>
    </row>
    <row r="706" spans="1:15" ht="16.149999999999999" customHeight="1" x14ac:dyDescent="0.25">
      <c r="A706" s="172">
        <v>42472</v>
      </c>
      <c r="B706" s="173" t="s">
        <v>49</v>
      </c>
      <c r="C706" s="252" t="s">
        <v>1247</v>
      </c>
      <c r="D706" s="252" t="s">
        <v>277</v>
      </c>
      <c r="E706" s="252" t="s">
        <v>277</v>
      </c>
      <c r="F706" s="252" t="s">
        <v>731</v>
      </c>
      <c r="G706" s="252" t="s">
        <v>1248</v>
      </c>
      <c r="H706" s="252" t="s">
        <v>279</v>
      </c>
      <c r="I706" s="252" t="s">
        <v>1249</v>
      </c>
      <c r="J706" s="174"/>
      <c r="K706" s="252" t="s">
        <v>249</v>
      </c>
      <c r="L706" s="252" t="s">
        <v>279</v>
      </c>
      <c r="M706" s="174"/>
      <c r="N706" s="174"/>
      <c r="O706" s="253" t="s">
        <v>277</v>
      </c>
    </row>
    <row r="707" spans="1:15" ht="16.149999999999999" customHeight="1" x14ac:dyDescent="0.25">
      <c r="A707" s="172">
        <v>42471</v>
      </c>
      <c r="B707" s="175" t="s">
        <v>49</v>
      </c>
      <c r="C707" s="254" t="s">
        <v>273</v>
      </c>
      <c r="D707" s="254" t="s">
        <v>736</v>
      </c>
      <c r="E707" s="254" t="s">
        <v>740</v>
      </c>
      <c r="F707" s="254" t="s">
        <v>731</v>
      </c>
      <c r="G707" s="254" t="s">
        <v>272</v>
      </c>
      <c r="H707" s="254" t="s">
        <v>733</v>
      </c>
      <c r="I707" s="254" t="s">
        <v>1250</v>
      </c>
      <c r="J707" s="176"/>
      <c r="K707" s="254" t="s">
        <v>739</v>
      </c>
      <c r="L707" s="254" t="s">
        <v>733</v>
      </c>
      <c r="M707" s="176"/>
      <c r="N707" s="176"/>
      <c r="O707" s="255" t="s">
        <v>739</v>
      </c>
    </row>
    <row r="708" spans="1:15" ht="16.149999999999999" customHeight="1" x14ac:dyDescent="0.25">
      <c r="A708" s="172">
        <v>42468</v>
      </c>
      <c r="B708" s="173" t="s">
        <v>49</v>
      </c>
      <c r="C708" s="252" t="s">
        <v>1251</v>
      </c>
      <c r="D708" s="252" t="s">
        <v>1249</v>
      </c>
      <c r="E708" s="252" t="s">
        <v>733</v>
      </c>
      <c r="F708" s="252" t="s">
        <v>739</v>
      </c>
      <c r="G708" s="252" t="s">
        <v>732</v>
      </c>
      <c r="H708" s="252" t="s">
        <v>733</v>
      </c>
      <c r="I708" s="252" t="s">
        <v>738</v>
      </c>
      <c r="J708" s="174"/>
      <c r="K708" s="252" t="s">
        <v>731</v>
      </c>
      <c r="L708" s="252" t="s">
        <v>733</v>
      </c>
      <c r="M708" s="174"/>
      <c r="N708" s="174"/>
      <c r="O708" s="253" t="s">
        <v>739</v>
      </c>
    </row>
    <row r="709" spans="1:15" ht="16.149999999999999" customHeight="1" x14ac:dyDescent="0.25">
      <c r="A709" s="172">
        <v>42467</v>
      </c>
      <c r="B709" s="175" t="s">
        <v>49</v>
      </c>
      <c r="C709" s="254" t="s">
        <v>1252</v>
      </c>
      <c r="D709" s="254" t="s">
        <v>732</v>
      </c>
      <c r="E709" s="254" t="s">
        <v>728</v>
      </c>
      <c r="F709" s="254" t="s">
        <v>1253</v>
      </c>
      <c r="G709" s="254" t="s">
        <v>1254</v>
      </c>
      <c r="H709" s="254" t="s">
        <v>736</v>
      </c>
      <c r="I709" s="254" t="s">
        <v>1255</v>
      </c>
      <c r="J709" s="176"/>
      <c r="K709" s="254" t="s">
        <v>1253</v>
      </c>
      <c r="L709" s="254" t="s">
        <v>733</v>
      </c>
      <c r="M709" s="176"/>
      <c r="N709" s="176"/>
      <c r="O709" s="255" t="s">
        <v>1256</v>
      </c>
    </row>
    <row r="710" spans="1:15" ht="16.149999999999999" customHeight="1" x14ac:dyDescent="0.25">
      <c r="A710" s="172">
        <v>42466</v>
      </c>
      <c r="B710" s="173" t="s">
        <v>49</v>
      </c>
      <c r="C710" s="252" t="s">
        <v>344</v>
      </c>
      <c r="D710" s="252" t="s">
        <v>1257</v>
      </c>
      <c r="E710" s="252" t="s">
        <v>1258</v>
      </c>
      <c r="F710" s="252" t="s">
        <v>1259</v>
      </c>
      <c r="G710" s="252" t="s">
        <v>727</v>
      </c>
      <c r="H710" s="252" t="s">
        <v>731</v>
      </c>
      <c r="I710" s="252" t="s">
        <v>1260</v>
      </c>
      <c r="J710" s="174"/>
      <c r="K710" s="252" t="s">
        <v>731</v>
      </c>
      <c r="L710" s="252" t="s">
        <v>728</v>
      </c>
      <c r="M710" s="174"/>
      <c r="N710" s="174"/>
      <c r="O710" s="253" t="s">
        <v>1258</v>
      </c>
    </row>
    <row r="711" spans="1:15" ht="16.149999999999999" customHeight="1" x14ac:dyDescent="0.25">
      <c r="A711" s="172">
        <v>42465</v>
      </c>
      <c r="B711" s="175" t="s">
        <v>49</v>
      </c>
      <c r="C711" s="254" t="s">
        <v>288</v>
      </c>
      <c r="D711" s="254" t="s">
        <v>1261</v>
      </c>
      <c r="E711" s="254" t="s">
        <v>1262</v>
      </c>
      <c r="F711" s="254" t="s">
        <v>1259</v>
      </c>
      <c r="G711" s="254" t="s">
        <v>726</v>
      </c>
      <c r="H711" s="254" t="s">
        <v>726</v>
      </c>
      <c r="I711" s="254" t="s">
        <v>1263</v>
      </c>
      <c r="J711" s="176"/>
      <c r="K711" s="254" t="s">
        <v>1264</v>
      </c>
      <c r="L711" s="254" t="s">
        <v>1259</v>
      </c>
      <c r="M711" s="176"/>
      <c r="N711" s="176"/>
      <c r="O711" s="255" t="s">
        <v>723</v>
      </c>
    </row>
    <row r="712" spans="1:15" ht="16.149999999999999" customHeight="1" x14ac:dyDescent="0.25">
      <c r="A712" s="172">
        <v>42464</v>
      </c>
      <c r="B712" s="173" t="s">
        <v>49</v>
      </c>
      <c r="C712" s="252" t="s">
        <v>1265</v>
      </c>
      <c r="D712" s="252" t="s">
        <v>726</v>
      </c>
      <c r="E712" s="252" t="s">
        <v>726</v>
      </c>
      <c r="F712" s="252" t="s">
        <v>1266</v>
      </c>
      <c r="G712" s="252" t="s">
        <v>1267</v>
      </c>
      <c r="H712" s="252" t="s">
        <v>1262</v>
      </c>
      <c r="I712" s="252" t="s">
        <v>1268</v>
      </c>
      <c r="J712" s="174"/>
      <c r="K712" s="252" t="s">
        <v>1269</v>
      </c>
      <c r="L712" s="252" t="s">
        <v>726</v>
      </c>
      <c r="M712" s="174"/>
      <c r="N712" s="174"/>
      <c r="O712" s="253" t="s">
        <v>1264</v>
      </c>
    </row>
    <row r="713" spans="1:15" ht="16.149999999999999" customHeight="1" x14ac:dyDescent="0.25">
      <c r="A713" s="172">
        <v>42461</v>
      </c>
      <c r="B713" s="175" t="s">
        <v>49</v>
      </c>
      <c r="C713" s="254" t="s">
        <v>1270</v>
      </c>
      <c r="D713" s="254" t="s">
        <v>1271</v>
      </c>
      <c r="E713" s="254" t="s">
        <v>1266</v>
      </c>
      <c r="F713" s="254" t="s">
        <v>722</v>
      </c>
      <c r="G713" s="254" t="s">
        <v>1272</v>
      </c>
      <c r="H713" s="254" t="s">
        <v>1266</v>
      </c>
      <c r="I713" s="254" t="s">
        <v>1273</v>
      </c>
      <c r="J713" s="176"/>
      <c r="K713" s="254" t="s">
        <v>229</v>
      </c>
      <c r="L713" s="254" t="s">
        <v>267</v>
      </c>
      <c r="M713" s="176"/>
      <c r="N713" s="176"/>
      <c r="O713" s="255" t="s">
        <v>726</v>
      </c>
    </row>
    <row r="714" spans="1:15" ht="16.149999999999999" customHeight="1" x14ac:dyDescent="0.25">
      <c r="A714" s="172">
        <v>42460</v>
      </c>
      <c r="B714" s="173" t="s">
        <v>49</v>
      </c>
      <c r="C714" s="252" t="s">
        <v>763</v>
      </c>
      <c r="D714" s="252" t="s">
        <v>1266</v>
      </c>
      <c r="E714" s="252" t="s">
        <v>1266</v>
      </c>
      <c r="F714" s="252" t="s">
        <v>722</v>
      </c>
      <c r="G714" s="252" t="s">
        <v>1272</v>
      </c>
      <c r="H714" s="252" t="s">
        <v>1266</v>
      </c>
      <c r="I714" s="252" t="s">
        <v>1274</v>
      </c>
      <c r="J714" s="174"/>
      <c r="K714" s="252" t="s">
        <v>267</v>
      </c>
      <c r="L714" s="252" t="s">
        <v>1266</v>
      </c>
      <c r="M714" s="174"/>
      <c r="N714" s="174"/>
      <c r="O714" s="253" t="s">
        <v>726</v>
      </c>
    </row>
    <row r="715" spans="1:15" ht="16.149999999999999" customHeight="1" x14ac:dyDescent="0.25">
      <c r="A715" s="172">
        <v>42459</v>
      </c>
      <c r="B715" s="175" t="s">
        <v>49</v>
      </c>
      <c r="C715" s="254" t="s">
        <v>763</v>
      </c>
      <c r="D715" s="254" t="s">
        <v>1266</v>
      </c>
      <c r="E715" s="254" t="s">
        <v>716</v>
      </c>
      <c r="F715" s="254" t="s">
        <v>722</v>
      </c>
      <c r="G715" s="254" t="s">
        <v>1272</v>
      </c>
      <c r="H715" s="254" t="s">
        <v>1266</v>
      </c>
      <c r="I715" s="254" t="s">
        <v>1273</v>
      </c>
      <c r="J715" s="176"/>
      <c r="K715" s="254" t="s">
        <v>267</v>
      </c>
      <c r="L715" s="254" t="s">
        <v>1266</v>
      </c>
      <c r="M715" s="176"/>
      <c r="N715" s="176"/>
      <c r="O715" s="255" t="s">
        <v>726</v>
      </c>
    </row>
    <row r="716" spans="1:15" ht="16.149999999999999" customHeight="1" x14ac:dyDescent="0.25">
      <c r="A716" s="172">
        <v>42458</v>
      </c>
      <c r="B716" s="173" t="s">
        <v>49</v>
      </c>
      <c r="C716" s="252" t="s">
        <v>763</v>
      </c>
      <c r="D716" s="252" t="s">
        <v>1266</v>
      </c>
      <c r="E716" s="252" t="s">
        <v>267</v>
      </c>
      <c r="F716" s="252" t="s">
        <v>718</v>
      </c>
      <c r="G716" s="252" t="s">
        <v>1266</v>
      </c>
      <c r="H716" s="252" t="s">
        <v>1266</v>
      </c>
      <c r="I716" s="252" t="s">
        <v>1275</v>
      </c>
      <c r="J716" s="174"/>
      <c r="K716" s="252" t="s">
        <v>267</v>
      </c>
      <c r="L716" s="252" t="s">
        <v>1266</v>
      </c>
      <c r="M716" s="174"/>
      <c r="N716" s="174"/>
      <c r="O716" s="253" t="s">
        <v>726</v>
      </c>
    </row>
    <row r="717" spans="1:15" ht="16.149999999999999" customHeight="1" x14ac:dyDescent="0.25">
      <c r="A717" s="172">
        <v>42457</v>
      </c>
      <c r="B717" s="175" t="s">
        <v>49</v>
      </c>
      <c r="C717" s="254" t="s">
        <v>1276</v>
      </c>
      <c r="D717" s="254" t="s">
        <v>1277</v>
      </c>
      <c r="E717" s="254" t="s">
        <v>1271</v>
      </c>
      <c r="F717" s="254" t="s">
        <v>248</v>
      </c>
      <c r="G717" s="254" t="s">
        <v>1266</v>
      </c>
      <c r="H717" s="254" t="s">
        <v>267</v>
      </c>
      <c r="I717" s="254" t="s">
        <v>1278</v>
      </c>
      <c r="J717" s="176"/>
      <c r="K717" s="254" t="s">
        <v>1264</v>
      </c>
      <c r="L717" s="254" t="s">
        <v>267</v>
      </c>
      <c r="M717" s="176"/>
      <c r="N717" s="176"/>
      <c r="O717" s="255" t="s">
        <v>1279</v>
      </c>
    </row>
    <row r="718" spans="1:15" ht="16.149999999999999" customHeight="1" x14ac:dyDescent="0.25">
      <c r="A718" s="172">
        <v>42452</v>
      </c>
      <c r="B718" s="173" t="s">
        <v>49</v>
      </c>
      <c r="C718" s="252" t="s">
        <v>1280</v>
      </c>
      <c r="D718" s="252" t="s">
        <v>1281</v>
      </c>
      <c r="E718" s="252" t="s">
        <v>707</v>
      </c>
      <c r="F718" s="252" t="s">
        <v>248</v>
      </c>
      <c r="G718" s="252" t="s">
        <v>261</v>
      </c>
      <c r="H718" s="252" t="s">
        <v>265</v>
      </c>
      <c r="I718" s="252" t="s">
        <v>227</v>
      </c>
      <c r="J718" s="174"/>
      <c r="K718" s="252" t="s">
        <v>722</v>
      </c>
      <c r="L718" s="252" t="s">
        <v>718</v>
      </c>
      <c r="M718" s="174"/>
      <c r="N718" s="174"/>
      <c r="O718" s="253" t="s">
        <v>1282</v>
      </c>
    </row>
    <row r="719" spans="1:15" ht="16.149999999999999" customHeight="1" x14ac:dyDescent="0.25">
      <c r="A719" s="172">
        <v>42451</v>
      </c>
      <c r="B719" s="175" t="s">
        <v>49</v>
      </c>
      <c r="C719" s="254" t="s">
        <v>747</v>
      </c>
      <c r="D719" s="254" t="s">
        <v>696</v>
      </c>
      <c r="E719" s="254" t="s">
        <v>689</v>
      </c>
      <c r="F719" s="254" t="s">
        <v>696</v>
      </c>
      <c r="G719" s="254" t="s">
        <v>248</v>
      </c>
      <c r="H719" s="254" t="s">
        <v>689</v>
      </c>
      <c r="I719" s="254" t="s">
        <v>261</v>
      </c>
      <c r="J719" s="176"/>
      <c r="K719" s="254" t="s">
        <v>700</v>
      </c>
      <c r="L719" s="254" t="s">
        <v>700</v>
      </c>
      <c r="M719" s="176"/>
      <c r="N719" s="176"/>
      <c r="O719" s="255" t="s">
        <v>706</v>
      </c>
    </row>
    <row r="720" spans="1:15" ht="16.149999999999999" customHeight="1" x14ac:dyDescent="0.25">
      <c r="A720" s="172">
        <v>42447</v>
      </c>
      <c r="B720" s="173" t="s">
        <v>49</v>
      </c>
      <c r="C720" s="252" t="s">
        <v>243</v>
      </c>
      <c r="D720" s="252" t="s">
        <v>1283</v>
      </c>
      <c r="E720" s="252" t="s">
        <v>238</v>
      </c>
      <c r="F720" s="252" t="s">
        <v>685</v>
      </c>
      <c r="G720" s="252" t="s">
        <v>1283</v>
      </c>
      <c r="H720" s="252" t="s">
        <v>244</v>
      </c>
      <c r="I720" s="252" t="s">
        <v>1284</v>
      </c>
      <c r="J720" s="174"/>
      <c r="K720" s="252" t="s">
        <v>686</v>
      </c>
      <c r="L720" s="252" t="s">
        <v>679</v>
      </c>
      <c r="M720" s="174"/>
      <c r="N720" s="174"/>
      <c r="O720" s="253" t="s">
        <v>248</v>
      </c>
    </row>
    <row r="721" spans="1:15" ht="16.149999999999999" customHeight="1" x14ac:dyDescent="0.25">
      <c r="A721" s="172">
        <v>42446</v>
      </c>
      <c r="B721" s="175" t="s">
        <v>49</v>
      </c>
      <c r="C721" s="254" t="s">
        <v>730</v>
      </c>
      <c r="D721" s="254" t="s">
        <v>686</v>
      </c>
      <c r="E721" s="254" t="s">
        <v>246</v>
      </c>
      <c r="F721" s="254" t="s">
        <v>238</v>
      </c>
      <c r="G721" s="254" t="s">
        <v>686</v>
      </c>
      <c r="H721" s="254" t="s">
        <v>686</v>
      </c>
      <c r="I721" s="254" t="s">
        <v>701</v>
      </c>
      <c r="J721" s="176"/>
      <c r="K721" s="254" t="s">
        <v>686</v>
      </c>
      <c r="L721" s="254" t="s">
        <v>679</v>
      </c>
      <c r="M721" s="176"/>
      <c r="N721" s="176"/>
      <c r="O721" s="255" t="s">
        <v>248</v>
      </c>
    </row>
    <row r="722" spans="1:15" ht="16.149999999999999" customHeight="1" x14ac:dyDescent="0.25">
      <c r="A722" s="172">
        <v>42445</v>
      </c>
      <c r="B722" s="173" t="s">
        <v>49</v>
      </c>
      <c r="C722" s="252" t="s">
        <v>1250</v>
      </c>
      <c r="D722" s="252" t="s">
        <v>692</v>
      </c>
      <c r="E722" s="252" t="s">
        <v>685</v>
      </c>
      <c r="F722" s="252" t="s">
        <v>696</v>
      </c>
      <c r="G722" s="252" t="s">
        <v>692</v>
      </c>
      <c r="H722" s="252" t="s">
        <v>244</v>
      </c>
      <c r="I722" s="252" t="s">
        <v>1285</v>
      </c>
      <c r="J722" s="174"/>
      <c r="K722" s="252" t="s">
        <v>692</v>
      </c>
      <c r="L722" s="252" t="s">
        <v>685</v>
      </c>
      <c r="M722" s="174"/>
      <c r="N722" s="174"/>
      <c r="O722" s="253" t="s">
        <v>692</v>
      </c>
    </row>
    <row r="723" spans="1:15" ht="16.149999999999999" customHeight="1" x14ac:dyDescent="0.25">
      <c r="A723" s="172">
        <v>42444</v>
      </c>
      <c r="B723" s="175" t="s">
        <v>49</v>
      </c>
      <c r="C723" s="254" t="s">
        <v>1248</v>
      </c>
      <c r="D723" s="254" t="s">
        <v>685</v>
      </c>
      <c r="E723" s="254" t="s">
        <v>689</v>
      </c>
      <c r="F723" s="254" t="s">
        <v>234</v>
      </c>
      <c r="G723" s="254" t="s">
        <v>223</v>
      </c>
      <c r="H723" s="254" t="s">
        <v>685</v>
      </c>
      <c r="I723" s="254" t="s">
        <v>683</v>
      </c>
      <c r="J723" s="176"/>
      <c r="K723" s="254" t="s">
        <v>248</v>
      </c>
      <c r="L723" s="254" t="s">
        <v>685</v>
      </c>
      <c r="M723" s="176"/>
      <c r="N723" s="176"/>
      <c r="O723" s="255" t="s">
        <v>685</v>
      </c>
    </row>
    <row r="724" spans="1:15" ht="16.149999999999999" customHeight="1" x14ac:dyDescent="0.25">
      <c r="A724" s="172">
        <v>42443</v>
      </c>
      <c r="B724" s="173" t="s">
        <v>49</v>
      </c>
      <c r="C724" s="252" t="s">
        <v>1286</v>
      </c>
      <c r="D724" s="252" t="s">
        <v>1287</v>
      </c>
      <c r="E724" s="252" t="s">
        <v>238</v>
      </c>
      <c r="F724" s="252" t="s">
        <v>672</v>
      </c>
      <c r="G724" s="252" t="s">
        <v>1288</v>
      </c>
      <c r="H724" s="252" t="s">
        <v>676</v>
      </c>
      <c r="I724" s="252" t="s">
        <v>1289</v>
      </c>
      <c r="J724" s="174"/>
      <c r="K724" s="252" t="s">
        <v>686</v>
      </c>
      <c r="L724" s="252" t="s">
        <v>679</v>
      </c>
      <c r="M724" s="174"/>
      <c r="N724" s="174"/>
      <c r="O724" s="253" t="s">
        <v>238</v>
      </c>
    </row>
    <row r="725" spans="1:15" ht="16.149999999999999" customHeight="1" x14ac:dyDescent="0.25">
      <c r="A725" s="172">
        <v>42440</v>
      </c>
      <c r="B725" s="175" t="s">
        <v>49</v>
      </c>
      <c r="C725" s="254" t="s">
        <v>1290</v>
      </c>
      <c r="D725" s="254" t="s">
        <v>234</v>
      </c>
      <c r="E725" s="254" t="s">
        <v>234</v>
      </c>
      <c r="F725" s="254" t="s">
        <v>672</v>
      </c>
      <c r="G725" s="254" t="s">
        <v>673</v>
      </c>
      <c r="H725" s="254" t="s">
        <v>238</v>
      </c>
      <c r="I725" s="254" t="s">
        <v>1291</v>
      </c>
      <c r="J725" s="176"/>
      <c r="K725" s="254" t="s">
        <v>234</v>
      </c>
      <c r="L725" s="254" t="s">
        <v>668</v>
      </c>
      <c r="M725" s="176"/>
      <c r="N725" s="176"/>
      <c r="O725" s="255" t="s">
        <v>1292</v>
      </c>
    </row>
    <row r="726" spans="1:15" ht="16.149999999999999" customHeight="1" x14ac:dyDescent="0.25">
      <c r="A726" s="172">
        <v>42439</v>
      </c>
      <c r="B726" s="173" t="s">
        <v>49</v>
      </c>
      <c r="C726" s="252" t="s">
        <v>1293</v>
      </c>
      <c r="D726" s="252" t="s">
        <v>234</v>
      </c>
      <c r="E726" s="252" t="s">
        <v>234</v>
      </c>
      <c r="F726" s="252" t="s">
        <v>219</v>
      </c>
      <c r="G726" s="252" t="s">
        <v>234</v>
      </c>
      <c r="H726" s="252" t="s">
        <v>238</v>
      </c>
      <c r="I726" s="252" t="s">
        <v>1294</v>
      </c>
      <c r="J726" s="174"/>
      <c r="K726" s="252" t="s">
        <v>234</v>
      </c>
      <c r="L726" s="252" t="s">
        <v>668</v>
      </c>
      <c r="M726" s="174"/>
      <c r="N726" s="174"/>
      <c r="O726" s="253" t="s">
        <v>1292</v>
      </c>
    </row>
    <row r="727" spans="1:15" ht="16.149999999999999" customHeight="1" x14ac:dyDescent="0.25">
      <c r="A727" s="172">
        <v>42438</v>
      </c>
      <c r="B727" s="175" t="s">
        <v>49</v>
      </c>
      <c r="C727" s="254" t="s">
        <v>1295</v>
      </c>
      <c r="D727" s="254" t="s">
        <v>668</v>
      </c>
      <c r="E727" s="254" t="s">
        <v>668</v>
      </c>
      <c r="F727" s="254" t="s">
        <v>668</v>
      </c>
      <c r="G727" s="254" t="s">
        <v>670</v>
      </c>
      <c r="H727" s="254" t="s">
        <v>238</v>
      </c>
      <c r="I727" s="254" t="s">
        <v>1296</v>
      </c>
      <c r="J727" s="176"/>
      <c r="K727" s="254" t="s">
        <v>258</v>
      </c>
      <c r="L727" s="254" t="s">
        <v>668</v>
      </c>
      <c r="M727" s="176"/>
      <c r="N727" s="176"/>
      <c r="O727" s="255" t="s">
        <v>1292</v>
      </c>
    </row>
    <row r="728" spans="1:15" ht="16.149999999999999" customHeight="1" x14ac:dyDescent="0.25">
      <c r="A728" s="172">
        <v>42437</v>
      </c>
      <c r="B728" s="173" t="s">
        <v>49</v>
      </c>
      <c r="C728" s="252" t="s">
        <v>1297</v>
      </c>
      <c r="D728" s="252" t="s">
        <v>672</v>
      </c>
      <c r="E728" s="252" t="s">
        <v>672</v>
      </c>
      <c r="F728" s="252" t="s">
        <v>1298</v>
      </c>
      <c r="G728" s="252" t="s">
        <v>221</v>
      </c>
      <c r="H728" s="252" t="s">
        <v>258</v>
      </c>
      <c r="I728" s="252" t="s">
        <v>1289</v>
      </c>
      <c r="J728" s="174"/>
      <c r="K728" s="252" t="s">
        <v>234</v>
      </c>
      <c r="L728" s="252" t="s">
        <v>668</v>
      </c>
      <c r="M728" s="174"/>
      <c r="N728" s="174"/>
      <c r="O728" s="253" t="s">
        <v>1299</v>
      </c>
    </row>
    <row r="729" spans="1:15" ht="16.149999999999999" customHeight="1" x14ac:dyDescent="0.25">
      <c r="A729" s="172">
        <v>42436</v>
      </c>
      <c r="B729" s="175" t="s">
        <v>49</v>
      </c>
      <c r="C729" s="254" t="s">
        <v>231</v>
      </c>
      <c r="D729" s="254" t="s">
        <v>232</v>
      </c>
      <c r="E729" s="254" t="s">
        <v>668</v>
      </c>
      <c r="F729" s="254" t="s">
        <v>238</v>
      </c>
      <c r="G729" s="254" t="s">
        <v>668</v>
      </c>
      <c r="H729" s="254" t="s">
        <v>668</v>
      </c>
      <c r="I729" s="254" t="s">
        <v>684</v>
      </c>
      <c r="J729" s="176"/>
      <c r="K729" s="254" t="s">
        <v>238</v>
      </c>
      <c r="L729" s="254" t="s">
        <v>668</v>
      </c>
      <c r="M729" s="176"/>
      <c r="N729" s="176"/>
      <c r="O729" s="255" t="s">
        <v>1299</v>
      </c>
    </row>
    <row r="730" spans="1:15" ht="16.149999999999999" customHeight="1" x14ac:dyDescent="0.25">
      <c r="A730" s="172">
        <v>42433</v>
      </c>
      <c r="B730" s="173" t="s">
        <v>49</v>
      </c>
      <c r="C730" s="252" t="s">
        <v>237</v>
      </c>
      <c r="D730" s="252" t="s">
        <v>709</v>
      </c>
      <c r="E730" s="252" t="s">
        <v>234</v>
      </c>
      <c r="F730" s="252" t="s">
        <v>238</v>
      </c>
      <c r="G730" s="252" t="s">
        <v>1287</v>
      </c>
      <c r="H730" s="252" t="s">
        <v>685</v>
      </c>
      <c r="I730" s="252" t="s">
        <v>677</v>
      </c>
      <c r="J730" s="174"/>
      <c r="K730" s="252" t="s">
        <v>676</v>
      </c>
      <c r="L730" s="252" t="s">
        <v>668</v>
      </c>
      <c r="M730" s="174"/>
      <c r="N730" s="174"/>
      <c r="O730" s="253" t="s">
        <v>1299</v>
      </c>
    </row>
    <row r="731" spans="1:15" ht="16.149999999999999" customHeight="1" x14ac:dyDescent="0.25">
      <c r="A731" s="172">
        <v>42432</v>
      </c>
      <c r="B731" s="175" t="s">
        <v>49</v>
      </c>
      <c r="C731" s="254" t="s">
        <v>1254</v>
      </c>
      <c r="D731" s="254" t="s">
        <v>1299</v>
      </c>
      <c r="E731" s="254" t="s">
        <v>238</v>
      </c>
      <c r="F731" s="254" t="s">
        <v>242</v>
      </c>
      <c r="G731" s="254" t="s">
        <v>1287</v>
      </c>
      <c r="H731" s="254" t="s">
        <v>1300</v>
      </c>
      <c r="I731" s="254" t="s">
        <v>1301</v>
      </c>
      <c r="J731" s="176"/>
      <c r="K731" s="254" t="s">
        <v>242</v>
      </c>
      <c r="L731" s="254" t="s">
        <v>672</v>
      </c>
      <c r="M731" s="176"/>
      <c r="N731" s="176"/>
      <c r="O731" s="255" t="s">
        <v>242</v>
      </c>
    </row>
    <row r="732" spans="1:15" ht="16.149999999999999" customHeight="1" x14ac:dyDescent="0.25">
      <c r="A732" s="172">
        <v>42431</v>
      </c>
      <c r="B732" s="173" t="s">
        <v>49</v>
      </c>
      <c r="C732" s="252" t="s">
        <v>241</v>
      </c>
      <c r="D732" s="252" t="s">
        <v>259</v>
      </c>
      <c r="E732" s="252" t="s">
        <v>679</v>
      </c>
      <c r="F732" s="252" t="s">
        <v>238</v>
      </c>
      <c r="G732" s="252" t="s">
        <v>676</v>
      </c>
      <c r="H732" s="252" t="s">
        <v>1302</v>
      </c>
      <c r="I732" s="252" t="s">
        <v>259</v>
      </c>
      <c r="J732" s="174"/>
      <c r="K732" s="252" t="s">
        <v>679</v>
      </c>
      <c r="L732" s="252" t="s">
        <v>242</v>
      </c>
      <c r="M732" s="174"/>
      <c r="N732" s="174"/>
      <c r="O732" s="253" t="s">
        <v>242</v>
      </c>
    </row>
    <row r="733" spans="1:15" ht="16.149999999999999" customHeight="1" x14ac:dyDescent="0.25">
      <c r="A733" s="172">
        <v>42430</v>
      </c>
      <c r="B733" s="175" t="s">
        <v>49</v>
      </c>
      <c r="C733" s="254" t="s">
        <v>731</v>
      </c>
      <c r="D733" s="254" t="s">
        <v>223</v>
      </c>
      <c r="E733" s="254" t="s">
        <v>679</v>
      </c>
      <c r="F733" s="254" t="s">
        <v>258</v>
      </c>
      <c r="G733" s="254" t="s">
        <v>238</v>
      </c>
      <c r="H733" s="254" t="s">
        <v>1302</v>
      </c>
      <c r="I733" s="254" t="s">
        <v>1302</v>
      </c>
      <c r="J733" s="176"/>
      <c r="K733" s="254" t="s">
        <v>685</v>
      </c>
      <c r="L733" s="254" t="s">
        <v>242</v>
      </c>
      <c r="M733" s="176"/>
      <c r="N733" s="176"/>
      <c r="O733" s="255" t="s">
        <v>242</v>
      </c>
    </row>
    <row r="734" spans="1:15" ht="16.149999999999999" customHeight="1" x14ac:dyDescent="0.25">
      <c r="A734" s="172">
        <v>42429</v>
      </c>
      <c r="B734" s="173" t="s">
        <v>49</v>
      </c>
      <c r="C734" s="252" t="s">
        <v>1303</v>
      </c>
      <c r="D734" s="252" t="s">
        <v>676</v>
      </c>
      <c r="E734" s="252" t="s">
        <v>238</v>
      </c>
      <c r="F734" s="252" t="s">
        <v>672</v>
      </c>
      <c r="G734" s="252" t="s">
        <v>258</v>
      </c>
      <c r="H734" s="252" t="s">
        <v>679</v>
      </c>
      <c r="I734" s="252" t="s">
        <v>1304</v>
      </c>
      <c r="J734" s="174"/>
      <c r="K734" s="252" t="s">
        <v>242</v>
      </c>
      <c r="L734" s="252" t="s">
        <v>679</v>
      </c>
      <c r="M734" s="174"/>
      <c r="N734" s="174"/>
      <c r="O734" s="253" t="s">
        <v>242</v>
      </c>
    </row>
    <row r="735" spans="1:15" ht="16.149999999999999" customHeight="1" x14ac:dyDescent="0.25">
      <c r="A735" s="172">
        <v>42426</v>
      </c>
      <c r="B735" s="175" t="s">
        <v>49</v>
      </c>
      <c r="C735" s="254" t="s">
        <v>1305</v>
      </c>
      <c r="D735" s="254" t="s">
        <v>258</v>
      </c>
      <c r="E735" s="254" t="s">
        <v>668</v>
      </c>
      <c r="F735" s="254" t="s">
        <v>668</v>
      </c>
      <c r="G735" s="254" t="s">
        <v>1306</v>
      </c>
      <c r="H735" s="254" t="s">
        <v>238</v>
      </c>
      <c r="I735" s="254" t="s">
        <v>677</v>
      </c>
      <c r="J735" s="176"/>
      <c r="K735" s="254" t="s">
        <v>238</v>
      </c>
      <c r="L735" s="254" t="s">
        <v>238</v>
      </c>
      <c r="M735" s="176"/>
      <c r="N735" s="176"/>
      <c r="O735" s="255" t="s">
        <v>234</v>
      </c>
    </row>
    <row r="736" spans="1:15" ht="16.149999999999999" customHeight="1" x14ac:dyDescent="0.25">
      <c r="A736" s="172">
        <v>42425</v>
      </c>
      <c r="B736" s="173" t="s">
        <v>49</v>
      </c>
      <c r="C736" s="252" t="s">
        <v>725</v>
      </c>
      <c r="D736" s="252" t="s">
        <v>1304</v>
      </c>
      <c r="E736" s="252" t="s">
        <v>668</v>
      </c>
      <c r="F736" s="252" t="s">
        <v>234</v>
      </c>
      <c r="G736" s="252" t="s">
        <v>234</v>
      </c>
      <c r="H736" s="252" t="s">
        <v>238</v>
      </c>
      <c r="I736" s="252" t="s">
        <v>708</v>
      </c>
      <c r="J736" s="174"/>
      <c r="K736" s="252" t="s">
        <v>238</v>
      </c>
      <c r="L736" s="252" t="s">
        <v>668</v>
      </c>
      <c r="M736" s="174"/>
      <c r="N736" s="174"/>
      <c r="O736" s="253" t="s">
        <v>672</v>
      </c>
    </row>
    <row r="737" spans="1:15" ht="16.149999999999999" customHeight="1" x14ac:dyDescent="0.25">
      <c r="A737" s="172">
        <v>42424</v>
      </c>
      <c r="B737" s="175" t="s">
        <v>49</v>
      </c>
      <c r="C737" s="254" t="s">
        <v>1307</v>
      </c>
      <c r="D737" s="254" t="s">
        <v>1287</v>
      </c>
      <c r="E737" s="254" t="s">
        <v>238</v>
      </c>
      <c r="F737" s="254" t="s">
        <v>676</v>
      </c>
      <c r="G737" s="254" t="s">
        <v>668</v>
      </c>
      <c r="H737" s="254" t="s">
        <v>679</v>
      </c>
      <c r="I737" s="254" t="s">
        <v>1289</v>
      </c>
      <c r="J737" s="176"/>
      <c r="K737" s="254" t="s">
        <v>668</v>
      </c>
      <c r="L737" s="254" t="s">
        <v>242</v>
      </c>
      <c r="M737" s="176"/>
      <c r="N737" s="176"/>
      <c r="O737" s="255" t="s">
        <v>242</v>
      </c>
    </row>
    <row r="738" spans="1:15" ht="16.149999999999999" customHeight="1" x14ac:dyDescent="0.25">
      <c r="A738" s="172">
        <v>42423</v>
      </c>
      <c r="B738" s="173" t="s">
        <v>49</v>
      </c>
      <c r="C738" s="252" t="s">
        <v>1308</v>
      </c>
      <c r="D738" s="252" t="s">
        <v>1309</v>
      </c>
      <c r="E738" s="252" t="s">
        <v>238</v>
      </c>
      <c r="F738" s="252" t="s">
        <v>668</v>
      </c>
      <c r="G738" s="252" t="s">
        <v>1310</v>
      </c>
      <c r="H738" s="252" t="s">
        <v>242</v>
      </c>
      <c r="I738" s="252" t="s">
        <v>1311</v>
      </c>
      <c r="J738" s="174"/>
      <c r="K738" s="252" t="s">
        <v>258</v>
      </c>
      <c r="L738" s="252" t="s">
        <v>238</v>
      </c>
      <c r="M738" s="174"/>
      <c r="N738" s="174"/>
      <c r="O738" s="253" t="s">
        <v>242</v>
      </c>
    </row>
    <row r="739" spans="1:15" ht="16.149999999999999" customHeight="1" x14ac:dyDescent="0.25">
      <c r="A739" s="172">
        <v>42422</v>
      </c>
      <c r="B739" s="175" t="s">
        <v>49</v>
      </c>
      <c r="C739" s="254" t="s">
        <v>1305</v>
      </c>
      <c r="D739" s="254" t="s">
        <v>258</v>
      </c>
      <c r="E739" s="254" t="s">
        <v>242</v>
      </c>
      <c r="F739" s="254" t="s">
        <v>672</v>
      </c>
      <c r="G739" s="254" t="s">
        <v>1312</v>
      </c>
      <c r="H739" s="254" t="s">
        <v>679</v>
      </c>
      <c r="I739" s="254" t="s">
        <v>707</v>
      </c>
      <c r="J739" s="176"/>
      <c r="K739" s="254" t="s">
        <v>223</v>
      </c>
      <c r="L739" s="254" t="s">
        <v>1298</v>
      </c>
      <c r="M739" s="176"/>
      <c r="N739" s="176"/>
      <c r="O739" s="255" t="s">
        <v>669</v>
      </c>
    </row>
    <row r="740" spans="1:15" ht="16.149999999999999" customHeight="1" x14ac:dyDescent="0.25">
      <c r="A740" s="172">
        <v>42419</v>
      </c>
      <c r="B740" s="173" t="s">
        <v>49</v>
      </c>
      <c r="C740" s="252" t="s">
        <v>1235</v>
      </c>
      <c r="D740" s="252" t="s">
        <v>1313</v>
      </c>
      <c r="E740" s="252" t="s">
        <v>265</v>
      </c>
      <c r="F740" s="252" t="s">
        <v>685</v>
      </c>
      <c r="G740" s="252" t="s">
        <v>1314</v>
      </c>
      <c r="H740" s="252" t="s">
        <v>722</v>
      </c>
      <c r="I740" s="252" t="s">
        <v>1315</v>
      </c>
      <c r="J740" s="174"/>
      <c r="K740" s="252" t="s">
        <v>1271</v>
      </c>
      <c r="L740" s="252" t="s">
        <v>696</v>
      </c>
      <c r="M740" s="174"/>
      <c r="N740" s="174"/>
      <c r="O740" s="253" t="s">
        <v>702</v>
      </c>
    </row>
    <row r="741" spans="1:15" ht="16.149999999999999" customHeight="1" x14ac:dyDescent="0.25">
      <c r="A741" s="172">
        <v>42418</v>
      </c>
      <c r="B741" s="175" t="s">
        <v>49</v>
      </c>
      <c r="C741" s="254" t="s">
        <v>1316</v>
      </c>
      <c r="D741" s="254" t="s">
        <v>689</v>
      </c>
      <c r="E741" s="254" t="s">
        <v>686</v>
      </c>
      <c r="F741" s="254" t="s">
        <v>685</v>
      </c>
      <c r="G741" s="254" t="s">
        <v>1317</v>
      </c>
      <c r="H741" s="254" t="s">
        <v>689</v>
      </c>
      <c r="I741" s="254" t="s">
        <v>1318</v>
      </c>
      <c r="J741" s="176"/>
      <c r="K741" s="254" t="s">
        <v>689</v>
      </c>
      <c r="L741" s="254" t="s">
        <v>679</v>
      </c>
      <c r="M741" s="176"/>
      <c r="N741" s="176"/>
      <c r="O741" s="255" t="s">
        <v>693</v>
      </c>
    </row>
    <row r="742" spans="1:15" ht="16.149999999999999" customHeight="1" x14ac:dyDescent="0.25">
      <c r="A742" s="172">
        <v>42417</v>
      </c>
      <c r="B742" s="173" t="s">
        <v>49</v>
      </c>
      <c r="C742" s="252" t="s">
        <v>1319</v>
      </c>
      <c r="D742" s="252" t="s">
        <v>710</v>
      </c>
      <c r="E742" s="252" t="s">
        <v>689</v>
      </c>
      <c r="F742" s="252" t="s">
        <v>685</v>
      </c>
      <c r="G742" s="252" t="s">
        <v>692</v>
      </c>
      <c r="H742" s="252" t="s">
        <v>700</v>
      </c>
      <c r="I742" s="252" t="s">
        <v>712</v>
      </c>
      <c r="J742" s="174"/>
      <c r="K742" s="252" t="s">
        <v>706</v>
      </c>
      <c r="L742" s="252" t="s">
        <v>679</v>
      </c>
      <c r="M742" s="174"/>
      <c r="N742" s="174"/>
      <c r="O742" s="253" t="s">
        <v>693</v>
      </c>
    </row>
    <row r="743" spans="1:15" ht="16.149999999999999" customHeight="1" x14ac:dyDescent="0.25">
      <c r="A743" s="172">
        <v>42416</v>
      </c>
      <c r="B743" s="175" t="s">
        <v>49</v>
      </c>
      <c r="C743" s="254" t="s">
        <v>251</v>
      </c>
      <c r="D743" s="254" t="s">
        <v>696</v>
      </c>
      <c r="E743" s="254" t="s">
        <v>679</v>
      </c>
      <c r="F743" s="254" t="s">
        <v>685</v>
      </c>
      <c r="G743" s="254" t="s">
        <v>223</v>
      </c>
      <c r="H743" s="254" t="s">
        <v>706</v>
      </c>
      <c r="I743" s="254" t="s">
        <v>1320</v>
      </c>
      <c r="J743" s="176"/>
      <c r="K743" s="254" t="s">
        <v>693</v>
      </c>
      <c r="L743" s="254" t="s">
        <v>696</v>
      </c>
      <c r="M743" s="176"/>
      <c r="N743" s="176"/>
      <c r="O743" s="255" t="s">
        <v>696</v>
      </c>
    </row>
    <row r="744" spans="1:15" ht="16.149999999999999" customHeight="1" x14ac:dyDescent="0.25">
      <c r="A744" s="172">
        <v>42415</v>
      </c>
      <c r="B744" s="173" t="s">
        <v>49</v>
      </c>
      <c r="C744" s="252" t="s">
        <v>1321</v>
      </c>
      <c r="D744" s="252" t="s">
        <v>686</v>
      </c>
      <c r="E744" s="252" t="s">
        <v>686</v>
      </c>
      <c r="F744" s="252" t="s">
        <v>686</v>
      </c>
      <c r="G744" s="252" t="s">
        <v>223</v>
      </c>
      <c r="H744" s="252" t="s">
        <v>248</v>
      </c>
      <c r="I744" s="252" t="s">
        <v>1302</v>
      </c>
      <c r="J744" s="174"/>
      <c r="K744" s="252" t="s">
        <v>702</v>
      </c>
      <c r="L744" s="252" t="s">
        <v>686</v>
      </c>
      <c r="M744" s="174"/>
      <c r="N744" s="174"/>
      <c r="O744" s="253" t="s">
        <v>700</v>
      </c>
    </row>
    <row r="745" spans="1:15" ht="16.149999999999999" customHeight="1" x14ac:dyDescent="0.25">
      <c r="A745" s="172">
        <v>42412</v>
      </c>
      <c r="B745" s="175" t="s">
        <v>49</v>
      </c>
      <c r="C745" s="254" t="s">
        <v>1316</v>
      </c>
      <c r="D745" s="254" t="s">
        <v>689</v>
      </c>
      <c r="E745" s="254" t="s">
        <v>689</v>
      </c>
      <c r="F745" s="254" t="s">
        <v>689</v>
      </c>
      <c r="G745" s="254" t="s">
        <v>223</v>
      </c>
      <c r="H745" s="254" t="s">
        <v>689</v>
      </c>
      <c r="I745" s="254" t="s">
        <v>1322</v>
      </c>
      <c r="J745" s="176"/>
      <c r="K745" s="254" t="s">
        <v>248</v>
      </c>
      <c r="L745" s="254" t="s">
        <v>686</v>
      </c>
      <c r="M745" s="176"/>
      <c r="N745" s="176"/>
      <c r="O745" s="255" t="s">
        <v>700</v>
      </c>
    </row>
    <row r="746" spans="1:15" ht="16.149999999999999" customHeight="1" x14ac:dyDescent="0.25">
      <c r="A746" s="172">
        <v>42411</v>
      </c>
      <c r="B746" s="173" t="s">
        <v>49</v>
      </c>
      <c r="C746" s="252" t="s">
        <v>1241</v>
      </c>
      <c r="D746" s="252" t="s">
        <v>707</v>
      </c>
      <c r="E746" s="252" t="s">
        <v>707</v>
      </c>
      <c r="F746" s="252" t="s">
        <v>679</v>
      </c>
      <c r="G746" s="252" t="s">
        <v>710</v>
      </c>
      <c r="H746" s="252" t="s">
        <v>707</v>
      </c>
      <c r="I746" s="252" t="s">
        <v>1323</v>
      </c>
      <c r="J746" s="174"/>
      <c r="K746" s="252" t="s">
        <v>265</v>
      </c>
      <c r="L746" s="252" t="s">
        <v>706</v>
      </c>
      <c r="M746" s="174"/>
      <c r="N746" s="174"/>
      <c r="O746" s="253" t="s">
        <v>265</v>
      </c>
    </row>
    <row r="747" spans="1:15" ht="16.149999999999999" customHeight="1" x14ac:dyDescent="0.25">
      <c r="A747" s="172">
        <v>42410</v>
      </c>
      <c r="B747" s="175" t="s">
        <v>49</v>
      </c>
      <c r="C747" s="254" t="s">
        <v>255</v>
      </c>
      <c r="D747" s="254" t="s">
        <v>700</v>
      </c>
      <c r="E747" s="254" t="s">
        <v>234</v>
      </c>
      <c r="F747" s="254" t="s">
        <v>669</v>
      </c>
      <c r="G747" s="254" t="s">
        <v>248</v>
      </c>
      <c r="H747" s="254" t="s">
        <v>707</v>
      </c>
      <c r="I747" s="254" t="s">
        <v>1324</v>
      </c>
      <c r="J747" s="176"/>
      <c r="K747" s="254" t="s">
        <v>1325</v>
      </c>
      <c r="L747" s="254" t="s">
        <v>707</v>
      </c>
      <c r="M747" s="176"/>
      <c r="N747" s="176"/>
      <c r="O747" s="255" t="s">
        <v>718</v>
      </c>
    </row>
    <row r="748" spans="1:15" ht="16.149999999999999" customHeight="1" x14ac:dyDescent="0.25">
      <c r="A748" s="172">
        <v>42409</v>
      </c>
      <c r="B748" s="173" t="s">
        <v>49</v>
      </c>
      <c r="C748" s="252" t="s">
        <v>235</v>
      </c>
      <c r="D748" s="252" t="s">
        <v>236</v>
      </c>
      <c r="E748" s="252" t="s">
        <v>668</v>
      </c>
      <c r="F748" s="252" t="s">
        <v>1326</v>
      </c>
      <c r="G748" s="252" t="s">
        <v>668</v>
      </c>
      <c r="H748" s="252" t="s">
        <v>242</v>
      </c>
      <c r="I748" s="252" t="s">
        <v>1327</v>
      </c>
      <c r="J748" s="174"/>
      <c r="K748" s="252" t="s">
        <v>689</v>
      </c>
      <c r="L748" s="252" t="s">
        <v>689</v>
      </c>
      <c r="M748" s="174"/>
      <c r="N748" s="174"/>
      <c r="O748" s="253" t="s">
        <v>258</v>
      </c>
    </row>
    <row r="749" spans="1:15" ht="16.149999999999999" customHeight="1" x14ac:dyDescent="0.25">
      <c r="A749" s="172">
        <v>42408</v>
      </c>
      <c r="B749" s="175" t="s">
        <v>49</v>
      </c>
      <c r="C749" s="254" t="s">
        <v>1297</v>
      </c>
      <c r="D749" s="254" t="s">
        <v>672</v>
      </c>
      <c r="E749" s="254" t="s">
        <v>238</v>
      </c>
      <c r="F749" s="254" t="s">
        <v>672</v>
      </c>
      <c r="G749" s="254" t="s">
        <v>1328</v>
      </c>
      <c r="H749" s="254" t="s">
        <v>234</v>
      </c>
      <c r="I749" s="254" t="s">
        <v>1329</v>
      </c>
      <c r="J749" s="176"/>
      <c r="K749" s="254" t="s">
        <v>238</v>
      </c>
      <c r="L749" s="254" t="s">
        <v>672</v>
      </c>
      <c r="M749" s="176"/>
      <c r="N749" s="176"/>
      <c r="O749" s="255" t="s">
        <v>1330</v>
      </c>
    </row>
    <row r="750" spans="1:15" ht="16.149999999999999" customHeight="1" x14ac:dyDescent="0.25">
      <c r="A750" s="172">
        <v>42405</v>
      </c>
      <c r="B750" s="173" t="s">
        <v>49</v>
      </c>
      <c r="C750" s="252" t="s">
        <v>1331</v>
      </c>
      <c r="D750" s="252" t="s">
        <v>654</v>
      </c>
      <c r="E750" s="252" t="s">
        <v>654</v>
      </c>
      <c r="F750" s="252" t="s">
        <v>653</v>
      </c>
      <c r="G750" s="252" t="s">
        <v>1332</v>
      </c>
      <c r="H750" s="252" t="s">
        <v>654</v>
      </c>
      <c r="I750" s="252" t="s">
        <v>658</v>
      </c>
      <c r="J750" s="174"/>
      <c r="K750" s="252" t="s">
        <v>654</v>
      </c>
      <c r="L750" s="252" t="s">
        <v>654</v>
      </c>
      <c r="M750" s="174"/>
      <c r="N750" s="174"/>
      <c r="O750" s="253" t="s">
        <v>1333</v>
      </c>
    </row>
    <row r="751" spans="1:15" ht="16.149999999999999" customHeight="1" x14ac:dyDescent="0.25">
      <c r="A751" s="172">
        <v>42404</v>
      </c>
      <c r="B751" s="175" t="s">
        <v>49</v>
      </c>
      <c r="C751" s="254" t="s">
        <v>1301</v>
      </c>
      <c r="D751" s="254" t="s">
        <v>1334</v>
      </c>
      <c r="E751" s="254" t="s">
        <v>1335</v>
      </c>
      <c r="F751" s="254" t="s">
        <v>644</v>
      </c>
      <c r="G751" s="254" t="s">
        <v>654</v>
      </c>
      <c r="H751" s="254" t="s">
        <v>644</v>
      </c>
      <c r="I751" s="254" t="s">
        <v>1334</v>
      </c>
      <c r="J751" s="176"/>
      <c r="K751" s="254" t="s">
        <v>644</v>
      </c>
      <c r="L751" s="254" t="s">
        <v>644</v>
      </c>
      <c r="M751" s="176"/>
      <c r="N751" s="176"/>
      <c r="O751" s="255" t="s">
        <v>653</v>
      </c>
    </row>
    <row r="752" spans="1:15" ht="16.149999999999999" customHeight="1" x14ac:dyDescent="0.25">
      <c r="A752" s="172">
        <v>42403</v>
      </c>
      <c r="B752" s="173" t="s">
        <v>49</v>
      </c>
      <c r="C752" s="252" t="s">
        <v>684</v>
      </c>
      <c r="D752" s="252" t="s">
        <v>660</v>
      </c>
      <c r="E752" s="252" t="s">
        <v>652</v>
      </c>
      <c r="F752" s="252" t="s">
        <v>644</v>
      </c>
      <c r="G752" s="252" t="s">
        <v>656</v>
      </c>
      <c r="H752" s="252" t="s">
        <v>644</v>
      </c>
      <c r="I752" s="252" t="s">
        <v>1336</v>
      </c>
      <c r="J752" s="174"/>
      <c r="K752" s="252" t="s">
        <v>656</v>
      </c>
      <c r="L752" s="252" t="s">
        <v>653</v>
      </c>
      <c r="M752" s="174"/>
      <c r="N752" s="174"/>
      <c r="O752" s="253" t="s">
        <v>1335</v>
      </c>
    </row>
    <row r="753" spans="1:15" ht="16.149999999999999" customHeight="1" x14ac:dyDescent="0.25">
      <c r="A753" s="172">
        <v>42402</v>
      </c>
      <c r="B753" s="175" t="s">
        <v>49</v>
      </c>
      <c r="C753" s="254" t="s">
        <v>259</v>
      </c>
      <c r="D753" s="254" t="s">
        <v>653</v>
      </c>
      <c r="E753" s="254" t="s">
        <v>653</v>
      </c>
      <c r="F753" s="254" t="s">
        <v>644</v>
      </c>
      <c r="G753" s="254" t="s">
        <v>1337</v>
      </c>
      <c r="H753" s="254" t="s">
        <v>653</v>
      </c>
      <c r="I753" s="254" t="s">
        <v>1334</v>
      </c>
      <c r="J753" s="176"/>
      <c r="K753" s="254" t="s">
        <v>1338</v>
      </c>
      <c r="L753" s="254" t="s">
        <v>656</v>
      </c>
      <c r="M753" s="176"/>
      <c r="N753" s="176"/>
      <c r="O753" s="255" t="s">
        <v>1339</v>
      </c>
    </row>
    <row r="754" spans="1:15" ht="16.149999999999999" customHeight="1" x14ac:dyDescent="0.25">
      <c r="A754" s="172">
        <v>42401</v>
      </c>
      <c r="B754" s="173" t="s">
        <v>49</v>
      </c>
      <c r="C754" s="252" t="s">
        <v>238</v>
      </c>
      <c r="D754" s="252" t="s">
        <v>644</v>
      </c>
      <c r="E754" s="252" t="s">
        <v>642</v>
      </c>
      <c r="F754" s="252" t="s">
        <v>1340</v>
      </c>
      <c r="G754" s="252" t="s">
        <v>1338</v>
      </c>
      <c r="H754" s="252" t="s">
        <v>642</v>
      </c>
      <c r="I754" s="252" t="s">
        <v>1341</v>
      </c>
      <c r="J754" s="174"/>
      <c r="K754" s="252" t="s">
        <v>653</v>
      </c>
      <c r="L754" s="252" t="s">
        <v>644</v>
      </c>
      <c r="M754" s="174"/>
      <c r="N754" s="174"/>
      <c r="O754" s="253" t="s">
        <v>644</v>
      </c>
    </row>
    <row r="755" spans="1:15" ht="16.149999999999999" customHeight="1" x14ac:dyDescent="0.25">
      <c r="A755" s="172">
        <v>42398</v>
      </c>
      <c r="B755" s="175" t="s">
        <v>49</v>
      </c>
      <c r="C755" s="254" t="s">
        <v>1342</v>
      </c>
      <c r="D755" s="254" t="s">
        <v>648</v>
      </c>
      <c r="E755" s="254" t="s">
        <v>644</v>
      </c>
      <c r="F755" s="254" t="s">
        <v>640</v>
      </c>
      <c r="G755" s="254" t="s">
        <v>656</v>
      </c>
      <c r="H755" s="254" t="s">
        <v>642</v>
      </c>
      <c r="I755" s="254" t="s">
        <v>658</v>
      </c>
      <c r="J755" s="176"/>
      <c r="K755" s="254" t="s">
        <v>216</v>
      </c>
      <c r="L755" s="254" t="s">
        <v>642</v>
      </c>
      <c r="M755" s="176"/>
      <c r="N755" s="176"/>
      <c r="O755" s="255" t="s">
        <v>1335</v>
      </c>
    </row>
    <row r="756" spans="1:15" ht="16.149999999999999" customHeight="1" x14ac:dyDescent="0.25">
      <c r="A756" s="172">
        <v>42397</v>
      </c>
      <c r="B756" s="173" t="s">
        <v>49</v>
      </c>
      <c r="C756" s="252" t="s">
        <v>1343</v>
      </c>
      <c r="D756" s="252" t="s">
        <v>1333</v>
      </c>
      <c r="E756" s="252" t="s">
        <v>653</v>
      </c>
      <c r="F756" s="252" t="s">
        <v>653</v>
      </c>
      <c r="G756" s="252" t="s">
        <v>660</v>
      </c>
      <c r="H756" s="252" t="s">
        <v>653</v>
      </c>
      <c r="I756" s="252" t="s">
        <v>1344</v>
      </c>
      <c r="J756" s="174"/>
      <c r="K756" s="252" t="s">
        <v>224</v>
      </c>
      <c r="L756" s="252" t="s">
        <v>654</v>
      </c>
      <c r="M756" s="174"/>
      <c r="N756" s="174"/>
      <c r="O756" s="253" t="s">
        <v>656</v>
      </c>
    </row>
    <row r="757" spans="1:15" ht="16.149999999999999" customHeight="1" x14ac:dyDescent="0.25">
      <c r="A757" s="172">
        <v>42396</v>
      </c>
      <c r="B757" s="175" t="s">
        <v>49</v>
      </c>
      <c r="C757" s="254" t="s">
        <v>1345</v>
      </c>
      <c r="D757" s="254" t="s">
        <v>1346</v>
      </c>
      <c r="E757" s="254" t="s">
        <v>656</v>
      </c>
      <c r="F757" s="254" t="s">
        <v>656</v>
      </c>
      <c r="G757" s="254" t="s">
        <v>1347</v>
      </c>
      <c r="H757" s="254" t="s">
        <v>1346</v>
      </c>
      <c r="I757" s="254" t="s">
        <v>1348</v>
      </c>
      <c r="J757" s="176"/>
      <c r="K757" s="254" t="s">
        <v>1349</v>
      </c>
      <c r="L757" s="254" t="s">
        <v>1346</v>
      </c>
      <c r="M757" s="176"/>
      <c r="N757" s="176"/>
      <c r="O757" s="255" t="s">
        <v>1350</v>
      </c>
    </row>
    <row r="758" spans="1:15" ht="16.149999999999999" customHeight="1" x14ac:dyDescent="0.25">
      <c r="A758" s="172">
        <v>42395</v>
      </c>
      <c r="B758" s="173" t="s">
        <v>49</v>
      </c>
      <c r="C758" s="252" t="s">
        <v>685</v>
      </c>
      <c r="D758" s="252" t="s">
        <v>1351</v>
      </c>
      <c r="E758" s="252" t="s">
        <v>654</v>
      </c>
      <c r="F758" s="252" t="s">
        <v>654</v>
      </c>
      <c r="G758" s="252" t="s">
        <v>644</v>
      </c>
      <c r="H758" s="252" t="s">
        <v>1346</v>
      </c>
      <c r="I758" s="252" t="s">
        <v>1352</v>
      </c>
      <c r="J758" s="174"/>
      <c r="K758" s="252" t="s">
        <v>1338</v>
      </c>
      <c r="L758" s="252" t="s">
        <v>1346</v>
      </c>
      <c r="M758" s="174"/>
      <c r="N758" s="174"/>
      <c r="O758" s="253" t="s">
        <v>1350</v>
      </c>
    </row>
    <row r="759" spans="1:15" ht="16.149999999999999" customHeight="1" x14ac:dyDescent="0.25">
      <c r="A759" s="172">
        <v>42394</v>
      </c>
      <c r="B759" s="175" t="s">
        <v>49</v>
      </c>
      <c r="C759" s="254" t="s">
        <v>1353</v>
      </c>
      <c r="D759" s="254" t="s">
        <v>652</v>
      </c>
      <c r="E759" s="254" t="s">
        <v>640</v>
      </c>
      <c r="F759" s="254" t="s">
        <v>642</v>
      </c>
      <c r="G759" s="254" t="s">
        <v>657</v>
      </c>
      <c r="H759" s="254" t="s">
        <v>222</v>
      </c>
      <c r="I759" s="254" t="s">
        <v>1354</v>
      </c>
      <c r="J759" s="176"/>
      <c r="K759" s="254" t="s">
        <v>657</v>
      </c>
      <c r="L759" s="254" t="s">
        <v>657</v>
      </c>
      <c r="M759" s="176"/>
      <c r="N759" s="176"/>
      <c r="O759" s="255" t="s">
        <v>657</v>
      </c>
    </row>
    <row r="760" spans="1:15" ht="16.149999999999999" customHeight="1" x14ac:dyDescent="0.25">
      <c r="A760" s="172">
        <v>42391</v>
      </c>
      <c r="B760" s="173" t="s">
        <v>49</v>
      </c>
      <c r="C760" s="252" t="s">
        <v>1355</v>
      </c>
      <c r="D760" s="252" t="s">
        <v>1356</v>
      </c>
      <c r="E760" s="252" t="s">
        <v>1357</v>
      </c>
      <c r="F760" s="252" t="s">
        <v>633</v>
      </c>
      <c r="G760" s="252" t="s">
        <v>642</v>
      </c>
      <c r="H760" s="252" t="s">
        <v>637</v>
      </c>
      <c r="I760" s="252" t="s">
        <v>1358</v>
      </c>
      <c r="J760" s="174"/>
      <c r="K760" s="252" t="s">
        <v>1359</v>
      </c>
      <c r="L760" s="252" t="s">
        <v>637</v>
      </c>
      <c r="M760" s="174"/>
      <c r="N760" s="174"/>
      <c r="O760" s="253" t="s">
        <v>657</v>
      </c>
    </row>
    <row r="761" spans="1:15" ht="16.149999999999999" customHeight="1" x14ac:dyDescent="0.25">
      <c r="A761" s="172">
        <v>42390</v>
      </c>
      <c r="B761" s="175" t="s">
        <v>49</v>
      </c>
      <c r="C761" s="254" t="s">
        <v>221</v>
      </c>
      <c r="D761" s="254" t="s">
        <v>222</v>
      </c>
      <c r="E761" s="254" t="s">
        <v>1359</v>
      </c>
      <c r="F761" s="254" t="s">
        <v>640</v>
      </c>
      <c r="G761" s="254" t="s">
        <v>1360</v>
      </c>
      <c r="H761" s="254" t="s">
        <v>222</v>
      </c>
      <c r="I761" s="254" t="s">
        <v>1358</v>
      </c>
      <c r="J761" s="176"/>
      <c r="K761" s="254" t="s">
        <v>652</v>
      </c>
      <c r="L761" s="254" t="s">
        <v>222</v>
      </c>
      <c r="M761" s="176"/>
      <c r="N761" s="176"/>
      <c r="O761" s="255" t="s">
        <v>644</v>
      </c>
    </row>
    <row r="762" spans="1:15" ht="16.149999999999999" customHeight="1" x14ac:dyDescent="0.25">
      <c r="A762" s="172">
        <v>42389</v>
      </c>
      <c r="B762" s="173" t="s">
        <v>49</v>
      </c>
      <c r="C762" s="252" t="s">
        <v>670</v>
      </c>
      <c r="D762" s="252" t="s">
        <v>647</v>
      </c>
      <c r="E762" s="252" t="s">
        <v>209</v>
      </c>
      <c r="F762" s="252" t="s">
        <v>640</v>
      </c>
      <c r="G762" s="252" t="s">
        <v>1359</v>
      </c>
      <c r="H762" s="252" t="s">
        <v>218</v>
      </c>
      <c r="I762" s="252" t="s">
        <v>646</v>
      </c>
      <c r="J762" s="174"/>
      <c r="K762" s="252" t="s">
        <v>1361</v>
      </c>
      <c r="L762" s="252" t="s">
        <v>218</v>
      </c>
      <c r="M762" s="174"/>
      <c r="N762" s="174"/>
      <c r="O762" s="253" t="s">
        <v>637</v>
      </c>
    </row>
    <row r="763" spans="1:15" ht="16.149999999999999" customHeight="1" x14ac:dyDescent="0.25">
      <c r="A763" s="172">
        <v>42388</v>
      </c>
      <c r="B763" s="175" t="s">
        <v>49</v>
      </c>
      <c r="C763" s="254" t="s">
        <v>1362</v>
      </c>
      <c r="D763" s="254" t="s">
        <v>1363</v>
      </c>
      <c r="E763" s="254" t="s">
        <v>633</v>
      </c>
      <c r="F763" s="254" t="s">
        <v>640</v>
      </c>
      <c r="G763" s="254" t="s">
        <v>1357</v>
      </c>
      <c r="H763" s="254" t="s">
        <v>640</v>
      </c>
      <c r="I763" s="254" t="s">
        <v>1364</v>
      </c>
      <c r="J763" s="176"/>
      <c r="K763" s="254" t="s">
        <v>640</v>
      </c>
      <c r="L763" s="254" t="s">
        <v>637</v>
      </c>
      <c r="M763" s="176"/>
      <c r="N763" s="176"/>
      <c r="O763" s="255" t="s">
        <v>1365</v>
      </c>
    </row>
    <row r="764" spans="1:15" ht="16.149999999999999" customHeight="1" x14ac:dyDescent="0.25">
      <c r="A764" s="172">
        <v>42387</v>
      </c>
      <c r="B764" s="173" t="s">
        <v>49</v>
      </c>
      <c r="C764" s="252" t="s">
        <v>1366</v>
      </c>
      <c r="D764" s="252" t="s">
        <v>1367</v>
      </c>
      <c r="E764" s="252" t="s">
        <v>632</v>
      </c>
      <c r="F764" s="252" t="s">
        <v>633</v>
      </c>
      <c r="G764" s="252" t="s">
        <v>1357</v>
      </c>
      <c r="H764" s="252" t="s">
        <v>1367</v>
      </c>
      <c r="I764" s="252" t="s">
        <v>1368</v>
      </c>
      <c r="J764" s="174"/>
      <c r="K764" s="252" t="s">
        <v>1367</v>
      </c>
      <c r="L764" s="252" t="s">
        <v>633</v>
      </c>
      <c r="M764" s="174"/>
      <c r="N764" s="174"/>
      <c r="O764" s="253" t="s">
        <v>1365</v>
      </c>
    </row>
    <row r="765" spans="1:15" ht="16.149999999999999" customHeight="1" x14ac:dyDescent="0.25">
      <c r="A765" s="172">
        <v>42384</v>
      </c>
      <c r="B765" s="175" t="s">
        <v>49</v>
      </c>
      <c r="C765" s="254" t="s">
        <v>1369</v>
      </c>
      <c r="D765" s="254" t="s">
        <v>633</v>
      </c>
      <c r="E765" s="254" t="s">
        <v>632</v>
      </c>
      <c r="F765" s="254" t="s">
        <v>633</v>
      </c>
      <c r="G765" s="254" t="s">
        <v>203</v>
      </c>
      <c r="H765" s="254" t="s">
        <v>633</v>
      </c>
      <c r="I765" s="254" t="s">
        <v>205</v>
      </c>
      <c r="J765" s="176"/>
      <c r="K765" s="254" t="s">
        <v>1367</v>
      </c>
      <c r="L765" s="254" t="s">
        <v>633</v>
      </c>
      <c r="M765" s="176"/>
      <c r="N765" s="176"/>
      <c r="O765" s="255" t="s">
        <v>1365</v>
      </c>
    </row>
    <row r="766" spans="1:15" ht="16.149999999999999" customHeight="1" x14ac:dyDescent="0.25">
      <c r="A766" s="172">
        <v>42383</v>
      </c>
      <c r="B766" s="173" t="s">
        <v>49</v>
      </c>
      <c r="C766" s="252" t="s">
        <v>1370</v>
      </c>
      <c r="D766" s="252" t="s">
        <v>203</v>
      </c>
      <c r="E766" s="252" t="s">
        <v>632</v>
      </c>
      <c r="F766" s="252" t="s">
        <v>1371</v>
      </c>
      <c r="G766" s="252" t="s">
        <v>203</v>
      </c>
      <c r="H766" s="252" t="s">
        <v>633</v>
      </c>
      <c r="I766" s="252" t="s">
        <v>1371</v>
      </c>
      <c r="J766" s="174"/>
      <c r="K766" s="252" t="s">
        <v>633</v>
      </c>
      <c r="L766" s="252" t="s">
        <v>633</v>
      </c>
      <c r="M766" s="174"/>
      <c r="N766" s="174"/>
      <c r="O766" s="253" t="s">
        <v>203</v>
      </c>
    </row>
    <row r="767" spans="1:15" ht="16.149999999999999" customHeight="1" x14ac:dyDescent="0.25">
      <c r="A767" s="172">
        <v>42382</v>
      </c>
      <c r="B767" s="175" t="s">
        <v>49</v>
      </c>
      <c r="C767" s="254" t="s">
        <v>1369</v>
      </c>
      <c r="D767" s="254" t="s">
        <v>633</v>
      </c>
      <c r="E767" s="254" t="s">
        <v>203</v>
      </c>
      <c r="F767" s="254" t="s">
        <v>636</v>
      </c>
      <c r="G767" s="254" t="s">
        <v>1372</v>
      </c>
      <c r="H767" s="254" t="s">
        <v>633</v>
      </c>
      <c r="I767" s="254" t="s">
        <v>1373</v>
      </c>
      <c r="J767" s="176"/>
      <c r="K767" s="254" t="s">
        <v>633</v>
      </c>
      <c r="L767" s="254" t="s">
        <v>633</v>
      </c>
      <c r="M767" s="176"/>
      <c r="N767" s="176"/>
      <c r="O767" s="255" t="s">
        <v>633</v>
      </c>
    </row>
    <row r="768" spans="1:15" ht="16.149999999999999" customHeight="1" x14ac:dyDescent="0.25">
      <c r="A768" s="172">
        <v>42381</v>
      </c>
      <c r="B768" s="173" t="s">
        <v>49</v>
      </c>
      <c r="C768" s="252" t="s">
        <v>1369</v>
      </c>
      <c r="D768" s="252" t="s">
        <v>633</v>
      </c>
      <c r="E768" s="252" t="s">
        <v>632</v>
      </c>
      <c r="F768" s="252" t="s">
        <v>633</v>
      </c>
      <c r="G768" s="252" t="s">
        <v>1374</v>
      </c>
      <c r="H768" s="252" t="s">
        <v>633</v>
      </c>
      <c r="I768" s="252" t="s">
        <v>1375</v>
      </c>
      <c r="J768" s="174"/>
      <c r="K768" s="252" t="s">
        <v>633</v>
      </c>
      <c r="L768" s="252" t="s">
        <v>632</v>
      </c>
      <c r="M768" s="174"/>
      <c r="N768" s="174"/>
      <c r="O768" s="253" t="s">
        <v>633</v>
      </c>
    </row>
    <row r="769" spans="1:15" ht="16.149999999999999" customHeight="1" x14ac:dyDescent="0.25">
      <c r="A769" s="172">
        <v>42377</v>
      </c>
      <c r="B769" s="175" t="s">
        <v>49</v>
      </c>
      <c r="C769" s="254" t="s">
        <v>1369</v>
      </c>
      <c r="D769" s="254" t="s">
        <v>633</v>
      </c>
      <c r="E769" s="254" t="s">
        <v>636</v>
      </c>
      <c r="F769" s="254" t="s">
        <v>632</v>
      </c>
      <c r="G769" s="254" t="s">
        <v>203</v>
      </c>
      <c r="H769" s="254" t="s">
        <v>633</v>
      </c>
      <c r="I769" s="254" t="s">
        <v>633</v>
      </c>
      <c r="J769" s="176"/>
      <c r="K769" s="254" t="s">
        <v>640</v>
      </c>
      <c r="L769" s="254" t="s">
        <v>1367</v>
      </c>
      <c r="M769" s="176"/>
      <c r="N769" s="176"/>
      <c r="O769" s="255" t="s">
        <v>1376</v>
      </c>
    </row>
    <row r="770" spans="1:15" ht="16.149999999999999" customHeight="1" x14ac:dyDescent="0.25">
      <c r="A770" s="172">
        <v>42376</v>
      </c>
      <c r="B770" s="173" t="s">
        <v>49</v>
      </c>
      <c r="C770" s="252" t="s">
        <v>1377</v>
      </c>
      <c r="D770" s="252" t="s">
        <v>1378</v>
      </c>
      <c r="E770" s="252" t="s">
        <v>632</v>
      </c>
      <c r="F770" s="252" t="s">
        <v>209</v>
      </c>
      <c r="G770" s="252" t="s">
        <v>632</v>
      </c>
      <c r="H770" s="252" t="s">
        <v>209</v>
      </c>
      <c r="I770" s="252" t="s">
        <v>205</v>
      </c>
      <c r="J770" s="174"/>
      <c r="K770" s="252" t="s">
        <v>1361</v>
      </c>
      <c r="L770" s="252" t="s">
        <v>637</v>
      </c>
      <c r="M770" s="174"/>
      <c r="N770" s="174"/>
      <c r="O770" s="253" t="s">
        <v>1376</v>
      </c>
    </row>
    <row r="771" spans="1:15" ht="16.149999999999999" customHeight="1" x14ac:dyDescent="0.25">
      <c r="A771" s="172">
        <v>42375</v>
      </c>
      <c r="B771" s="175" t="s">
        <v>49</v>
      </c>
      <c r="C771" s="254" t="s">
        <v>1379</v>
      </c>
      <c r="D771" s="254" t="s">
        <v>199</v>
      </c>
      <c r="E771" s="254" t="s">
        <v>1380</v>
      </c>
      <c r="F771" s="254" t="s">
        <v>1381</v>
      </c>
      <c r="G771" s="254" t="s">
        <v>631</v>
      </c>
      <c r="H771" s="254" t="s">
        <v>635</v>
      </c>
      <c r="I771" s="254" t="s">
        <v>1382</v>
      </c>
      <c r="J771" s="176"/>
      <c r="K771" s="254" t="s">
        <v>1381</v>
      </c>
      <c r="L771" s="254" t="s">
        <v>212</v>
      </c>
      <c r="M771" s="176"/>
      <c r="N771" s="176"/>
      <c r="O771" s="255" t="s">
        <v>1383</v>
      </c>
    </row>
    <row r="772" spans="1:15" ht="16.149999999999999" customHeight="1" x14ac:dyDescent="0.25">
      <c r="A772" s="172">
        <v>42374</v>
      </c>
      <c r="B772" s="173" t="s">
        <v>49</v>
      </c>
      <c r="C772" s="252" t="s">
        <v>1330</v>
      </c>
      <c r="D772" s="252" t="s">
        <v>1384</v>
      </c>
      <c r="E772" s="252" t="s">
        <v>1385</v>
      </c>
      <c r="F772" s="252" t="s">
        <v>634</v>
      </c>
      <c r="G772" s="252" t="s">
        <v>1386</v>
      </c>
      <c r="H772" s="252" t="s">
        <v>1387</v>
      </c>
      <c r="I772" s="252" t="s">
        <v>1388</v>
      </c>
      <c r="J772" s="174"/>
      <c r="K772" s="252" t="s">
        <v>634</v>
      </c>
      <c r="L772" s="252" t="s">
        <v>635</v>
      </c>
      <c r="M772" s="174"/>
      <c r="N772" s="174"/>
      <c r="O772" s="253" t="s">
        <v>1389</v>
      </c>
    </row>
    <row r="773" spans="1:15" ht="16.149999999999999" customHeight="1" x14ac:dyDescent="0.25">
      <c r="A773" s="172">
        <v>42373</v>
      </c>
      <c r="B773" s="175" t="s">
        <v>49</v>
      </c>
      <c r="C773" s="254" t="s">
        <v>653</v>
      </c>
      <c r="D773" s="254" t="s">
        <v>1390</v>
      </c>
      <c r="E773" s="254" t="s">
        <v>1391</v>
      </c>
      <c r="F773" s="254" t="s">
        <v>177</v>
      </c>
      <c r="G773" s="254" t="s">
        <v>1392</v>
      </c>
      <c r="H773" s="254" t="s">
        <v>1393</v>
      </c>
      <c r="I773" s="254" t="s">
        <v>1394</v>
      </c>
      <c r="J773" s="176"/>
      <c r="K773" s="254" t="s">
        <v>1395</v>
      </c>
      <c r="L773" s="254" t="s">
        <v>1387</v>
      </c>
      <c r="M773" s="176"/>
      <c r="N773" s="176"/>
      <c r="O773" s="255" t="s">
        <v>1396</v>
      </c>
    </row>
    <row r="774" spans="1:15" ht="16.149999999999999" customHeight="1" x14ac:dyDescent="0.25">
      <c r="A774" s="172">
        <v>42368</v>
      </c>
      <c r="B774" s="173" t="s">
        <v>49</v>
      </c>
      <c r="C774" s="252" t="s">
        <v>1397</v>
      </c>
      <c r="D774" s="252" t="s">
        <v>1398</v>
      </c>
      <c r="E774" s="252" t="s">
        <v>626</v>
      </c>
      <c r="F774" s="252" t="s">
        <v>626</v>
      </c>
      <c r="G774" s="252" t="s">
        <v>1399</v>
      </c>
      <c r="H774" s="252" t="s">
        <v>1391</v>
      </c>
      <c r="I774" s="252" t="s">
        <v>1400</v>
      </c>
      <c r="J774" s="174"/>
      <c r="K774" s="252" t="s">
        <v>1401</v>
      </c>
      <c r="L774" s="252" t="s">
        <v>177</v>
      </c>
      <c r="M774" s="174"/>
      <c r="N774" s="174"/>
      <c r="O774" s="253" t="s">
        <v>171</v>
      </c>
    </row>
    <row r="775" spans="1:15" ht="16.149999999999999" customHeight="1" x14ac:dyDescent="0.25">
      <c r="A775" s="172">
        <v>42367</v>
      </c>
      <c r="B775" s="175" t="s">
        <v>49</v>
      </c>
      <c r="C775" s="254" t="s">
        <v>637</v>
      </c>
      <c r="D775" s="254" t="s">
        <v>1402</v>
      </c>
      <c r="E775" s="254" t="s">
        <v>626</v>
      </c>
      <c r="F775" s="254" t="s">
        <v>626</v>
      </c>
      <c r="G775" s="254" t="s">
        <v>1403</v>
      </c>
      <c r="H775" s="254" t="s">
        <v>1391</v>
      </c>
      <c r="I775" s="254" t="s">
        <v>208</v>
      </c>
      <c r="J775" s="176"/>
      <c r="K775" s="254" t="s">
        <v>1404</v>
      </c>
      <c r="L775" s="254" t="s">
        <v>177</v>
      </c>
      <c r="M775" s="176"/>
      <c r="N775" s="176"/>
      <c r="O775" s="255" t="s">
        <v>1405</v>
      </c>
    </row>
    <row r="776" spans="1:15" ht="16.149999999999999" customHeight="1" x14ac:dyDescent="0.25">
      <c r="A776" s="172">
        <v>42366</v>
      </c>
      <c r="B776" s="173" t="s">
        <v>49</v>
      </c>
      <c r="C776" s="252" t="s">
        <v>1406</v>
      </c>
      <c r="D776" s="252" t="s">
        <v>1405</v>
      </c>
      <c r="E776" s="252" t="s">
        <v>1407</v>
      </c>
      <c r="F776" s="252" t="s">
        <v>208</v>
      </c>
      <c r="G776" s="252" t="s">
        <v>628</v>
      </c>
      <c r="H776" s="252" t="s">
        <v>1391</v>
      </c>
      <c r="I776" s="252" t="s">
        <v>1408</v>
      </c>
      <c r="J776" s="174"/>
      <c r="K776" s="252" t="s">
        <v>1401</v>
      </c>
      <c r="L776" s="252" t="s">
        <v>628</v>
      </c>
      <c r="M776" s="174"/>
      <c r="N776" s="174"/>
      <c r="O776" s="253" t="s">
        <v>605</v>
      </c>
    </row>
    <row r="777" spans="1:15" ht="16.149999999999999" customHeight="1" x14ac:dyDescent="0.25">
      <c r="A777" s="172">
        <v>42362</v>
      </c>
      <c r="B777" s="175" t="s">
        <v>49</v>
      </c>
      <c r="C777" s="254" t="s">
        <v>1409</v>
      </c>
      <c r="D777" s="254" t="s">
        <v>1410</v>
      </c>
      <c r="E777" s="254" t="s">
        <v>1411</v>
      </c>
      <c r="F777" s="254" t="s">
        <v>608</v>
      </c>
      <c r="G777" s="254" t="s">
        <v>608</v>
      </c>
      <c r="H777" s="254" t="s">
        <v>626</v>
      </c>
      <c r="I777" s="254" t="s">
        <v>1412</v>
      </c>
      <c r="J777" s="176"/>
      <c r="K777" s="254" t="s">
        <v>628</v>
      </c>
      <c r="L777" s="254" t="s">
        <v>628</v>
      </c>
      <c r="M777" s="176"/>
      <c r="N777" s="176"/>
      <c r="O777" s="255" t="s">
        <v>618</v>
      </c>
    </row>
    <row r="778" spans="1:15" ht="16.149999999999999" customHeight="1" x14ac:dyDescent="0.25">
      <c r="A778" s="172">
        <v>42361</v>
      </c>
      <c r="B778" s="173" t="s">
        <v>49</v>
      </c>
      <c r="C778" s="252" t="s">
        <v>651</v>
      </c>
      <c r="D778" s="252" t="s">
        <v>1413</v>
      </c>
      <c r="E778" s="252" t="s">
        <v>1414</v>
      </c>
      <c r="F778" s="252" t="s">
        <v>628</v>
      </c>
      <c r="G778" s="252" t="s">
        <v>608</v>
      </c>
      <c r="H778" s="252" t="s">
        <v>628</v>
      </c>
      <c r="I778" s="252" t="s">
        <v>1405</v>
      </c>
      <c r="J778" s="174"/>
      <c r="K778" s="252" t="s">
        <v>626</v>
      </c>
      <c r="L778" s="252" t="s">
        <v>608</v>
      </c>
      <c r="M778" s="174"/>
      <c r="N778" s="174"/>
      <c r="O778" s="253" t="s">
        <v>1415</v>
      </c>
    </row>
    <row r="779" spans="1:15" ht="16.149999999999999" customHeight="1" x14ac:dyDescent="0.25">
      <c r="A779" s="172">
        <v>42360</v>
      </c>
      <c r="B779" s="175" t="s">
        <v>49</v>
      </c>
      <c r="C779" s="254" t="s">
        <v>638</v>
      </c>
      <c r="D779" s="254" t="s">
        <v>1416</v>
      </c>
      <c r="E779" s="254" t="s">
        <v>1404</v>
      </c>
      <c r="F779" s="254" t="s">
        <v>1405</v>
      </c>
      <c r="G779" s="254" t="s">
        <v>608</v>
      </c>
      <c r="H779" s="254" t="s">
        <v>1417</v>
      </c>
      <c r="I779" s="254" t="s">
        <v>1418</v>
      </c>
      <c r="J779" s="176"/>
      <c r="K779" s="254" t="s">
        <v>1405</v>
      </c>
      <c r="L779" s="254" t="s">
        <v>628</v>
      </c>
      <c r="M779" s="176"/>
      <c r="N779" s="176"/>
      <c r="O779" s="255" t="s">
        <v>204</v>
      </c>
    </row>
    <row r="780" spans="1:15" ht="16.149999999999999" customHeight="1" x14ac:dyDescent="0.25">
      <c r="A780" s="172">
        <v>42359</v>
      </c>
      <c r="B780" s="173" t="s">
        <v>49</v>
      </c>
      <c r="C780" s="252" t="s">
        <v>641</v>
      </c>
      <c r="D780" s="252" t="s">
        <v>1414</v>
      </c>
      <c r="E780" s="252" t="s">
        <v>1419</v>
      </c>
      <c r="F780" s="252" t="s">
        <v>1385</v>
      </c>
      <c r="G780" s="252" t="s">
        <v>608</v>
      </c>
      <c r="H780" s="252" t="s">
        <v>1391</v>
      </c>
      <c r="I780" s="252" t="s">
        <v>1420</v>
      </c>
      <c r="J780" s="174"/>
      <c r="K780" s="252" t="s">
        <v>1417</v>
      </c>
      <c r="L780" s="252" t="s">
        <v>1417</v>
      </c>
      <c r="M780" s="174"/>
      <c r="N780" s="174"/>
      <c r="O780" s="253" t="s">
        <v>605</v>
      </c>
    </row>
    <row r="781" spans="1:15" ht="16.149999999999999" customHeight="1" x14ac:dyDescent="0.25">
      <c r="A781" s="172">
        <v>42356</v>
      </c>
      <c r="B781" s="175" t="s">
        <v>49</v>
      </c>
      <c r="C781" s="254" t="s">
        <v>1421</v>
      </c>
      <c r="D781" s="254" t="s">
        <v>1422</v>
      </c>
      <c r="E781" s="254" t="s">
        <v>1387</v>
      </c>
      <c r="F781" s="254" t="s">
        <v>1385</v>
      </c>
      <c r="G781" s="254" t="s">
        <v>1423</v>
      </c>
      <c r="H781" s="254" t="s">
        <v>634</v>
      </c>
      <c r="I781" s="254" t="s">
        <v>1424</v>
      </c>
      <c r="J781" s="176"/>
      <c r="K781" s="254" t="s">
        <v>635</v>
      </c>
      <c r="L781" s="254" t="s">
        <v>636</v>
      </c>
      <c r="M781" s="176"/>
      <c r="N781" s="176"/>
      <c r="O781" s="255" t="s">
        <v>1387</v>
      </c>
    </row>
    <row r="782" spans="1:15" ht="16.149999999999999" customHeight="1" x14ac:dyDescent="0.25">
      <c r="A782" s="172">
        <v>42355</v>
      </c>
      <c r="B782" s="173" t="s">
        <v>49</v>
      </c>
      <c r="C782" s="252" t="s">
        <v>665</v>
      </c>
      <c r="D782" s="252" t="s">
        <v>631</v>
      </c>
      <c r="E782" s="252" t="s">
        <v>634</v>
      </c>
      <c r="F782" s="252" t="s">
        <v>1425</v>
      </c>
      <c r="G782" s="252" t="s">
        <v>631</v>
      </c>
      <c r="H782" s="252" t="s">
        <v>631</v>
      </c>
      <c r="I782" s="252" t="s">
        <v>1426</v>
      </c>
      <c r="J782" s="174"/>
      <c r="K782" s="252" t="s">
        <v>631</v>
      </c>
      <c r="L782" s="252" t="s">
        <v>1380</v>
      </c>
      <c r="M782" s="174"/>
      <c r="N782" s="174"/>
      <c r="O782" s="253" t="s">
        <v>171</v>
      </c>
    </row>
    <row r="783" spans="1:15" ht="16.149999999999999" customHeight="1" x14ac:dyDescent="0.25">
      <c r="A783" s="172">
        <v>42354</v>
      </c>
      <c r="B783" s="175" t="s">
        <v>49</v>
      </c>
      <c r="C783" s="254" t="s">
        <v>664</v>
      </c>
      <c r="D783" s="254" t="s">
        <v>634</v>
      </c>
      <c r="E783" s="254" t="s">
        <v>634</v>
      </c>
      <c r="F783" s="254" t="s">
        <v>1385</v>
      </c>
      <c r="G783" s="254" t="s">
        <v>1427</v>
      </c>
      <c r="H783" s="254" t="s">
        <v>634</v>
      </c>
      <c r="I783" s="254" t="s">
        <v>1426</v>
      </c>
      <c r="J783" s="176"/>
      <c r="K783" s="254" t="s">
        <v>1381</v>
      </c>
      <c r="L783" s="254" t="s">
        <v>1381</v>
      </c>
      <c r="M783" s="176"/>
      <c r="N783" s="176"/>
      <c r="O783" s="255" t="s">
        <v>1393</v>
      </c>
    </row>
    <row r="784" spans="1:15" ht="16.149999999999999" customHeight="1" x14ac:dyDescent="0.25">
      <c r="A784" s="172">
        <v>42353</v>
      </c>
      <c r="B784" s="173" t="s">
        <v>49</v>
      </c>
      <c r="C784" s="252" t="s">
        <v>1428</v>
      </c>
      <c r="D784" s="252" t="s">
        <v>1429</v>
      </c>
      <c r="E784" s="252" t="s">
        <v>633</v>
      </c>
      <c r="F784" s="252" t="s">
        <v>1385</v>
      </c>
      <c r="G784" s="252" t="s">
        <v>631</v>
      </c>
      <c r="H784" s="252" t="s">
        <v>1380</v>
      </c>
      <c r="I784" s="252" t="s">
        <v>1426</v>
      </c>
      <c r="J784" s="174"/>
      <c r="K784" s="252" t="s">
        <v>634</v>
      </c>
      <c r="L784" s="252" t="s">
        <v>634</v>
      </c>
      <c r="M784" s="174"/>
      <c r="N784" s="174"/>
      <c r="O784" s="253" t="s">
        <v>1425</v>
      </c>
    </row>
    <row r="785" spans="1:15" ht="16.149999999999999" customHeight="1" x14ac:dyDescent="0.25">
      <c r="A785" s="172">
        <v>42352</v>
      </c>
      <c r="B785" s="175" t="s">
        <v>49</v>
      </c>
      <c r="C785" s="254" t="s">
        <v>1430</v>
      </c>
      <c r="D785" s="254" t="s">
        <v>1381</v>
      </c>
      <c r="E785" s="254" t="s">
        <v>636</v>
      </c>
      <c r="F785" s="254" t="s">
        <v>1381</v>
      </c>
      <c r="G785" s="254" t="s">
        <v>1431</v>
      </c>
      <c r="H785" s="254" t="s">
        <v>1381</v>
      </c>
      <c r="I785" s="254" t="s">
        <v>1432</v>
      </c>
      <c r="J785" s="176"/>
      <c r="K785" s="254" t="s">
        <v>636</v>
      </c>
      <c r="L785" s="254" t="s">
        <v>635</v>
      </c>
      <c r="M785" s="176"/>
      <c r="N785" s="176"/>
      <c r="O785" s="255" t="s">
        <v>634</v>
      </c>
    </row>
    <row r="786" spans="1:15" ht="16.149999999999999" customHeight="1" x14ac:dyDescent="0.25">
      <c r="A786" s="172">
        <v>42349</v>
      </c>
      <c r="B786" s="173" t="s">
        <v>49</v>
      </c>
      <c r="C786" s="252" t="s">
        <v>1433</v>
      </c>
      <c r="D786" s="252" t="s">
        <v>1418</v>
      </c>
      <c r="E786" s="252" t="s">
        <v>1417</v>
      </c>
      <c r="F786" s="252" t="s">
        <v>177</v>
      </c>
      <c r="G786" s="252" t="s">
        <v>1434</v>
      </c>
      <c r="H786" s="252" t="s">
        <v>1391</v>
      </c>
      <c r="I786" s="252" t="s">
        <v>1418</v>
      </c>
      <c r="J786" s="174"/>
      <c r="K786" s="252" t="s">
        <v>1419</v>
      </c>
      <c r="L786" s="252" t="s">
        <v>1385</v>
      </c>
      <c r="M786" s="174"/>
      <c r="N786" s="174"/>
      <c r="O786" s="253" t="s">
        <v>626</v>
      </c>
    </row>
    <row r="787" spans="1:15" ht="16.149999999999999" customHeight="1" x14ac:dyDescent="0.25">
      <c r="A787" s="172">
        <v>42348</v>
      </c>
      <c r="B787" s="175" t="s">
        <v>49</v>
      </c>
      <c r="C787" s="254" t="s">
        <v>1435</v>
      </c>
      <c r="D787" s="254" t="s">
        <v>1417</v>
      </c>
      <c r="E787" s="254" t="s">
        <v>1385</v>
      </c>
      <c r="F787" s="254" t="s">
        <v>1417</v>
      </c>
      <c r="G787" s="254" t="s">
        <v>1434</v>
      </c>
      <c r="H787" s="254" t="s">
        <v>1417</v>
      </c>
      <c r="I787" s="254" t="s">
        <v>1436</v>
      </c>
      <c r="J787" s="176"/>
      <c r="K787" s="254" t="s">
        <v>1391</v>
      </c>
      <c r="L787" s="254" t="s">
        <v>1417</v>
      </c>
      <c r="M787" s="176"/>
      <c r="N787" s="176"/>
      <c r="O787" s="255" t="s">
        <v>208</v>
      </c>
    </row>
    <row r="788" spans="1:15" ht="16.149999999999999" customHeight="1" x14ac:dyDescent="0.25">
      <c r="A788" s="172">
        <v>42347</v>
      </c>
      <c r="B788" s="173" t="s">
        <v>49</v>
      </c>
      <c r="C788" s="252" t="s">
        <v>1437</v>
      </c>
      <c r="D788" s="252" t="s">
        <v>1385</v>
      </c>
      <c r="E788" s="252" t="s">
        <v>1425</v>
      </c>
      <c r="F788" s="252" t="s">
        <v>1385</v>
      </c>
      <c r="G788" s="252" t="s">
        <v>608</v>
      </c>
      <c r="H788" s="252" t="s">
        <v>1393</v>
      </c>
      <c r="I788" s="252" t="s">
        <v>1438</v>
      </c>
      <c r="J788" s="174"/>
      <c r="K788" s="252" t="s">
        <v>1389</v>
      </c>
      <c r="L788" s="252" t="s">
        <v>1380</v>
      </c>
      <c r="M788" s="174"/>
      <c r="N788" s="174"/>
      <c r="O788" s="253" t="s">
        <v>1419</v>
      </c>
    </row>
    <row r="789" spans="1:15" ht="16.149999999999999" customHeight="1" x14ac:dyDescent="0.25">
      <c r="A789" s="172">
        <v>42345</v>
      </c>
      <c r="B789" s="175" t="s">
        <v>49</v>
      </c>
      <c r="C789" s="254" t="s">
        <v>1439</v>
      </c>
      <c r="D789" s="254" t="s">
        <v>177</v>
      </c>
      <c r="E789" s="254" t="s">
        <v>1417</v>
      </c>
      <c r="F789" s="254" t="s">
        <v>1385</v>
      </c>
      <c r="G789" s="254" t="s">
        <v>600</v>
      </c>
      <c r="H789" s="254" t="s">
        <v>1419</v>
      </c>
      <c r="I789" s="254" t="s">
        <v>599</v>
      </c>
      <c r="J789" s="176"/>
      <c r="K789" s="254" t="s">
        <v>631</v>
      </c>
      <c r="L789" s="254" t="s">
        <v>1385</v>
      </c>
      <c r="M789" s="176"/>
      <c r="N789" s="176"/>
      <c r="O789" s="255" t="s">
        <v>1391</v>
      </c>
    </row>
    <row r="790" spans="1:15" ht="16.149999999999999" customHeight="1" x14ac:dyDescent="0.25">
      <c r="A790" s="172">
        <v>42342</v>
      </c>
      <c r="B790" s="173" t="s">
        <v>49</v>
      </c>
      <c r="C790" s="252" t="s">
        <v>1440</v>
      </c>
      <c r="D790" s="252" t="s">
        <v>1441</v>
      </c>
      <c r="E790" s="252" t="s">
        <v>600</v>
      </c>
      <c r="F790" s="252" t="s">
        <v>614</v>
      </c>
      <c r="G790" s="252" t="s">
        <v>584</v>
      </c>
      <c r="H790" s="252" t="s">
        <v>575</v>
      </c>
      <c r="I790" s="252" t="s">
        <v>1442</v>
      </c>
      <c r="J790" s="174"/>
      <c r="K790" s="252" t="s">
        <v>598</v>
      </c>
      <c r="L790" s="252" t="s">
        <v>575</v>
      </c>
      <c r="M790" s="174"/>
      <c r="N790" s="174"/>
      <c r="O790" s="253" t="s">
        <v>583</v>
      </c>
    </row>
    <row r="791" spans="1:15" ht="16.149999999999999" customHeight="1" x14ac:dyDescent="0.25">
      <c r="A791" s="172">
        <v>42341</v>
      </c>
      <c r="B791" s="175" t="s">
        <v>49</v>
      </c>
      <c r="C791" s="254" t="s">
        <v>1443</v>
      </c>
      <c r="D791" s="254" t="s">
        <v>597</v>
      </c>
      <c r="E791" s="254" t="s">
        <v>186</v>
      </c>
      <c r="F791" s="254" t="s">
        <v>174</v>
      </c>
      <c r="G791" s="254" t="s">
        <v>1444</v>
      </c>
      <c r="H791" s="254" t="s">
        <v>614</v>
      </c>
      <c r="I791" s="254" t="s">
        <v>1445</v>
      </c>
      <c r="J791" s="176"/>
      <c r="K791" s="254" t="s">
        <v>575</v>
      </c>
      <c r="L791" s="254" t="s">
        <v>575</v>
      </c>
      <c r="M791" s="176"/>
      <c r="N791" s="176"/>
      <c r="O791" s="255" t="s">
        <v>594</v>
      </c>
    </row>
    <row r="792" spans="1:15" ht="16.149999999999999" customHeight="1" x14ac:dyDescent="0.25">
      <c r="A792" s="172">
        <v>42340</v>
      </c>
      <c r="B792" s="173" t="s">
        <v>49</v>
      </c>
      <c r="C792" s="252" t="s">
        <v>1403</v>
      </c>
      <c r="D792" s="252" t="s">
        <v>572</v>
      </c>
      <c r="E792" s="252" t="s">
        <v>150</v>
      </c>
      <c r="F792" s="252" t="s">
        <v>174</v>
      </c>
      <c r="G792" s="252" t="s">
        <v>556</v>
      </c>
      <c r="H792" s="252" t="s">
        <v>571</v>
      </c>
      <c r="I792" s="252" t="s">
        <v>1446</v>
      </c>
      <c r="J792" s="174"/>
      <c r="K792" s="252" t="s">
        <v>1447</v>
      </c>
      <c r="L792" s="252" t="s">
        <v>156</v>
      </c>
      <c r="M792" s="174"/>
      <c r="N792" s="174"/>
      <c r="O792" s="253" t="s">
        <v>150</v>
      </c>
    </row>
    <row r="793" spans="1:15" ht="16.149999999999999" customHeight="1" x14ac:dyDescent="0.25">
      <c r="A793" s="172">
        <v>42339</v>
      </c>
      <c r="B793" s="175" t="s">
        <v>49</v>
      </c>
      <c r="C793" s="254" t="s">
        <v>1448</v>
      </c>
      <c r="D793" s="254" t="s">
        <v>154</v>
      </c>
      <c r="E793" s="254" t="s">
        <v>150</v>
      </c>
      <c r="F793" s="254" t="s">
        <v>1449</v>
      </c>
      <c r="G793" s="254" t="s">
        <v>1450</v>
      </c>
      <c r="H793" s="254" t="s">
        <v>573</v>
      </c>
      <c r="I793" s="254" t="s">
        <v>1451</v>
      </c>
      <c r="J793" s="176"/>
      <c r="K793" s="254" t="s">
        <v>174</v>
      </c>
      <c r="L793" s="254" t="s">
        <v>571</v>
      </c>
      <c r="M793" s="176"/>
      <c r="N793" s="176"/>
      <c r="O793" s="255" t="s">
        <v>1452</v>
      </c>
    </row>
    <row r="794" spans="1:15" ht="16.149999999999999" customHeight="1" x14ac:dyDescent="0.25">
      <c r="A794" s="172">
        <v>42338</v>
      </c>
      <c r="B794" s="173" t="s">
        <v>49</v>
      </c>
      <c r="C794" s="252" t="s">
        <v>1399</v>
      </c>
      <c r="D794" s="252" t="s">
        <v>156</v>
      </c>
      <c r="E794" s="252" t="s">
        <v>156</v>
      </c>
      <c r="F794" s="252" t="s">
        <v>573</v>
      </c>
      <c r="G794" s="252" t="s">
        <v>583</v>
      </c>
      <c r="H794" s="252" t="s">
        <v>594</v>
      </c>
      <c r="I794" s="252" t="s">
        <v>1399</v>
      </c>
      <c r="J794" s="174"/>
      <c r="K794" s="252" t="s">
        <v>156</v>
      </c>
      <c r="L794" s="252" t="s">
        <v>156</v>
      </c>
      <c r="M794" s="174"/>
      <c r="N794" s="174"/>
      <c r="O794" s="253" t="s">
        <v>1452</v>
      </c>
    </row>
    <row r="795" spans="1:15" ht="16.149999999999999" customHeight="1" x14ac:dyDescent="0.25">
      <c r="A795" s="172">
        <v>42335</v>
      </c>
      <c r="B795" s="175" t="s">
        <v>49</v>
      </c>
      <c r="C795" s="254" t="s">
        <v>1453</v>
      </c>
      <c r="D795" s="254" t="s">
        <v>575</v>
      </c>
      <c r="E795" s="254" t="s">
        <v>575</v>
      </c>
      <c r="F795" s="254" t="s">
        <v>1441</v>
      </c>
      <c r="G795" s="254" t="s">
        <v>603</v>
      </c>
      <c r="H795" s="254" t="s">
        <v>575</v>
      </c>
      <c r="I795" s="254" t="s">
        <v>610</v>
      </c>
      <c r="J795" s="176"/>
      <c r="K795" s="254" t="s">
        <v>188</v>
      </c>
      <c r="L795" s="254" t="s">
        <v>614</v>
      </c>
      <c r="M795" s="176"/>
      <c r="N795" s="176"/>
      <c r="O795" s="255" t="s">
        <v>1454</v>
      </c>
    </row>
    <row r="796" spans="1:15" ht="16.149999999999999" customHeight="1" x14ac:dyDescent="0.25">
      <c r="A796" s="172">
        <v>42334</v>
      </c>
      <c r="B796" s="173" t="s">
        <v>49</v>
      </c>
      <c r="C796" s="252" t="s">
        <v>1455</v>
      </c>
      <c r="D796" s="252" t="s">
        <v>1454</v>
      </c>
      <c r="E796" s="252" t="s">
        <v>598</v>
      </c>
      <c r="F796" s="252" t="s">
        <v>1441</v>
      </c>
      <c r="G796" s="252" t="s">
        <v>598</v>
      </c>
      <c r="H796" s="252" t="s">
        <v>615</v>
      </c>
      <c r="I796" s="252" t="s">
        <v>1456</v>
      </c>
      <c r="J796" s="174"/>
      <c r="K796" s="252" t="s">
        <v>615</v>
      </c>
      <c r="L796" s="252" t="s">
        <v>614</v>
      </c>
      <c r="M796" s="174"/>
      <c r="N796" s="174"/>
      <c r="O796" s="253" t="s">
        <v>583</v>
      </c>
    </row>
    <row r="797" spans="1:15" ht="16.149999999999999" customHeight="1" x14ac:dyDescent="0.25">
      <c r="A797" s="172">
        <v>42333</v>
      </c>
      <c r="B797" s="175" t="s">
        <v>49</v>
      </c>
      <c r="C797" s="254" t="s">
        <v>1455</v>
      </c>
      <c r="D797" s="254" t="s">
        <v>1454</v>
      </c>
      <c r="E797" s="254" t="s">
        <v>615</v>
      </c>
      <c r="F797" s="254" t="s">
        <v>615</v>
      </c>
      <c r="G797" s="254" t="s">
        <v>204</v>
      </c>
      <c r="H797" s="254" t="s">
        <v>615</v>
      </c>
      <c r="I797" s="254" t="s">
        <v>1457</v>
      </c>
      <c r="J797" s="176"/>
      <c r="K797" s="254" t="s">
        <v>1441</v>
      </c>
      <c r="L797" s="254" t="s">
        <v>614</v>
      </c>
      <c r="M797" s="176"/>
      <c r="N797" s="176"/>
      <c r="O797" s="255" t="s">
        <v>583</v>
      </c>
    </row>
    <row r="798" spans="1:15" ht="16.149999999999999" customHeight="1" x14ac:dyDescent="0.25">
      <c r="A798" s="172">
        <v>42332</v>
      </c>
      <c r="B798" s="173" t="s">
        <v>49</v>
      </c>
      <c r="C798" s="252" t="s">
        <v>1458</v>
      </c>
      <c r="D798" s="252" t="s">
        <v>1459</v>
      </c>
      <c r="E798" s="252" t="s">
        <v>584</v>
      </c>
      <c r="F798" s="252" t="s">
        <v>614</v>
      </c>
      <c r="G798" s="252" t="s">
        <v>615</v>
      </c>
      <c r="H798" s="252" t="s">
        <v>186</v>
      </c>
      <c r="I798" s="252" t="s">
        <v>1460</v>
      </c>
      <c r="J798" s="174"/>
      <c r="K798" s="252" t="s">
        <v>166</v>
      </c>
      <c r="L798" s="252" t="s">
        <v>583</v>
      </c>
      <c r="M798" s="174"/>
      <c r="N798" s="174"/>
      <c r="O798" s="253" t="s">
        <v>583</v>
      </c>
    </row>
    <row r="799" spans="1:15" ht="16.149999999999999" customHeight="1" x14ac:dyDescent="0.25">
      <c r="A799" s="172">
        <v>42331</v>
      </c>
      <c r="B799" s="175" t="s">
        <v>49</v>
      </c>
      <c r="C799" s="254" t="s">
        <v>1461</v>
      </c>
      <c r="D799" s="254" t="s">
        <v>1462</v>
      </c>
      <c r="E799" s="254" t="s">
        <v>581</v>
      </c>
      <c r="F799" s="254" t="s">
        <v>568</v>
      </c>
      <c r="G799" s="254" t="s">
        <v>1459</v>
      </c>
      <c r="H799" s="254" t="s">
        <v>584</v>
      </c>
      <c r="I799" s="254" t="s">
        <v>162</v>
      </c>
      <c r="J799" s="176"/>
      <c r="K799" s="254" t="s">
        <v>615</v>
      </c>
      <c r="L799" s="254" t="s">
        <v>583</v>
      </c>
      <c r="M799" s="176"/>
      <c r="N799" s="176"/>
      <c r="O799" s="255" t="s">
        <v>1463</v>
      </c>
    </row>
    <row r="800" spans="1:15" ht="16.149999999999999" customHeight="1" x14ac:dyDescent="0.25">
      <c r="A800" s="172">
        <v>42328</v>
      </c>
      <c r="B800" s="173" t="s">
        <v>49</v>
      </c>
      <c r="C800" s="252" t="s">
        <v>1464</v>
      </c>
      <c r="D800" s="252" t="s">
        <v>589</v>
      </c>
      <c r="E800" s="252" t="s">
        <v>594</v>
      </c>
      <c r="F800" s="252" t="s">
        <v>568</v>
      </c>
      <c r="G800" s="252" t="s">
        <v>571</v>
      </c>
      <c r="H800" s="252" t="s">
        <v>583</v>
      </c>
      <c r="I800" s="252" t="s">
        <v>146</v>
      </c>
      <c r="J800" s="174"/>
      <c r="K800" s="252" t="s">
        <v>584</v>
      </c>
      <c r="L800" s="252" t="s">
        <v>594</v>
      </c>
      <c r="M800" s="174"/>
      <c r="N800" s="174"/>
      <c r="O800" s="253" t="s">
        <v>579</v>
      </c>
    </row>
    <row r="801" spans="1:15" ht="16.149999999999999" customHeight="1" x14ac:dyDescent="0.25">
      <c r="A801" s="172">
        <v>42327</v>
      </c>
      <c r="B801" s="175" t="s">
        <v>49</v>
      </c>
      <c r="C801" s="254" t="s">
        <v>1465</v>
      </c>
      <c r="D801" s="254" t="s">
        <v>148</v>
      </c>
      <c r="E801" s="254" t="s">
        <v>566</v>
      </c>
      <c r="F801" s="254" t="s">
        <v>568</v>
      </c>
      <c r="G801" s="254" t="s">
        <v>566</v>
      </c>
      <c r="H801" s="254" t="s">
        <v>581</v>
      </c>
      <c r="I801" s="254" t="s">
        <v>154</v>
      </c>
      <c r="J801" s="176"/>
      <c r="K801" s="254" t="s">
        <v>1459</v>
      </c>
      <c r="L801" s="254" t="s">
        <v>584</v>
      </c>
      <c r="M801" s="176"/>
      <c r="N801" s="176"/>
      <c r="O801" s="255" t="s">
        <v>1466</v>
      </c>
    </row>
    <row r="802" spans="1:15" ht="16.149999999999999" customHeight="1" x14ac:dyDescent="0.25">
      <c r="A802" s="172">
        <v>42326</v>
      </c>
      <c r="B802" s="173" t="s">
        <v>49</v>
      </c>
      <c r="C802" s="252" t="s">
        <v>1467</v>
      </c>
      <c r="D802" s="252" t="s">
        <v>1468</v>
      </c>
      <c r="E802" s="252" t="s">
        <v>566</v>
      </c>
      <c r="F802" s="252" t="s">
        <v>568</v>
      </c>
      <c r="G802" s="252" t="s">
        <v>568</v>
      </c>
      <c r="H802" s="252" t="s">
        <v>1466</v>
      </c>
      <c r="I802" s="252" t="s">
        <v>1468</v>
      </c>
      <c r="J802" s="174"/>
      <c r="K802" s="252" t="s">
        <v>573</v>
      </c>
      <c r="L802" s="252" t="s">
        <v>573</v>
      </c>
      <c r="M802" s="174"/>
      <c r="N802" s="174"/>
      <c r="O802" s="253" t="s">
        <v>1469</v>
      </c>
    </row>
    <row r="803" spans="1:15" ht="16.149999999999999" customHeight="1" x14ac:dyDescent="0.25">
      <c r="A803" s="172">
        <v>42325</v>
      </c>
      <c r="B803" s="175" t="s">
        <v>49</v>
      </c>
      <c r="C803" s="254" t="s">
        <v>1470</v>
      </c>
      <c r="D803" s="254" t="s">
        <v>1452</v>
      </c>
      <c r="E803" s="254" t="s">
        <v>566</v>
      </c>
      <c r="F803" s="254" t="s">
        <v>566</v>
      </c>
      <c r="G803" s="254" t="s">
        <v>161</v>
      </c>
      <c r="H803" s="254" t="s">
        <v>1466</v>
      </c>
      <c r="I803" s="254" t="s">
        <v>158</v>
      </c>
      <c r="J803" s="176"/>
      <c r="K803" s="254" t="s">
        <v>1452</v>
      </c>
      <c r="L803" s="254" t="s">
        <v>1452</v>
      </c>
      <c r="M803" s="176"/>
      <c r="N803" s="176"/>
      <c r="O803" s="255" t="s">
        <v>1471</v>
      </c>
    </row>
    <row r="804" spans="1:15" ht="16.149999999999999" customHeight="1" x14ac:dyDescent="0.25">
      <c r="A804" s="172">
        <v>42321</v>
      </c>
      <c r="B804" s="173" t="s">
        <v>49</v>
      </c>
      <c r="C804" s="252" t="s">
        <v>620</v>
      </c>
      <c r="D804" s="252" t="s">
        <v>1472</v>
      </c>
      <c r="E804" s="252" t="s">
        <v>566</v>
      </c>
      <c r="F804" s="252" t="s">
        <v>1452</v>
      </c>
      <c r="G804" s="252" t="s">
        <v>161</v>
      </c>
      <c r="H804" s="252" t="s">
        <v>1466</v>
      </c>
      <c r="I804" s="252" t="s">
        <v>1473</v>
      </c>
      <c r="J804" s="174"/>
      <c r="K804" s="252" t="s">
        <v>573</v>
      </c>
      <c r="L804" s="252" t="s">
        <v>150</v>
      </c>
      <c r="M804" s="174"/>
      <c r="N804" s="174"/>
      <c r="O804" s="253" t="s">
        <v>1444</v>
      </c>
    </row>
    <row r="805" spans="1:15" ht="16.149999999999999" customHeight="1" x14ac:dyDescent="0.25">
      <c r="A805" s="172">
        <v>42320</v>
      </c>
      <c r="B805" s="175" t="s">
        <v>49</v>
      </c>
      <c r="C805" s="254" t="s">
        <v>607</v>
      </c>
      <c r="D805" s="254" t="s">
        <v>566</v>
      </c>
      <c r="E805" s="254" t="s">
        <v>568</v>
      </c>
      <c r="F805" s="254" t="s">
        <v>156</v>
      </c>
      <c r="G805" s="254" t="s">
        <v>537</v>
      </c>
      <c r="H805" s="254" t="s">
        <v>1452</v>
      </c>
      <c r="I805" s="254" t="s">
        <v>1474</v>
      </c>
      <c r="J805" s="176"/>
      <c r="K805" s="254" t="s">
        <v>573</v>
      </c>
      <c r="L805" s="254" t="s">
        <v>573</v>
      </c>
      <c r="M805" s="176"/>
      <c r="N805" s="176"/>
      <c r="O805" s="255" t="s">
        <v>1475</v>
      </c>
    </row>
    <row r="806" spans="1:15" ht="16.149999999999999" customHeight="1" x14ac:dyDescent="0.25">
      <c r="A806" s="172">
        <v>42319</v>
      </c>
      <c r="B806" s="173" t="s">
        <v>49</v>
      </c>
      <c r="C806" s="252" t="s">
        <v>610</v>
      </c>
      <c r="D806" s="252" t="s">
        <v>556</v>
      </c>
      <c r="E806" s="252" t="s">
        <v>561</v>
      </c>
      <c r="F806" s="252" t="s">
        <v>566</v>
      </c>
      <c r="G806" s="252" t="s">
        <v>546</v>
      </c>
      <c r="H806" s="252" t="s">
        <v>1476</v>
      </c>
      <c r="I806" s="252" t="s">
        <v>146</v>
      </c>
      <c r="J806" s="174"/>
      <c r="K806" s="252" t="s">
        <v>561</v>
      </c>
      <c r="L806" s="252" t="s">
        <v>143</v>
      </c>
      <c r="M806" s="174"/>
      <c r="N806" s="174"/>
      <c r="O806" s="253" t="s">
        <v>1477</v>
      </c>
    </row>
    <row r="807" spans="1:15" ht="16.149999999999999" customHeight="1" x14ac:dyDescent="0.25">
      <c r="A807" s="172">
        <v>42318</v>
      </c>
      <c r="B807" s="175" t="s">
        <v>49</v>
      </c>
      <c r="C807" s="254" t="s">
        <v>1478</v>
      </c>
      <c r="D807" s="254" t="s">
        <v>565</v>
      </c>
      <c r="E807" s="254" t="s">
        <v>143</v>
      </c>
      <c r="F807" s="254" t="s">
        <v>565</v>
      </c>
      <c r="G807" s="254" t="s">
        <v>546</v>
      </c>
      <c r="H807" s="254" t="s">
        <v>1479</v>
      </c>
      <c r="I807" s="254" t="s">
        <v>1480</v>
      </c>
      <c r="J807" s="176"/>
      <c r="K807" s="254" t="s">
        <v>565</v>
      </c>
      <c r="L807" s="254" t="s">
        <v>565</v>
      </c>
      <c r="M807" s="176"/>
      <c r="N807" s="176"/>
      <c r="O807" s="255" t="s">
        <v>564</v>
      </c>
    </row>
    <row r="808" spans="1:15" ht="16.149999999999999" customHeight="1" x14ac:dyDescent="0.25">
      <c r="A808" s="172">
        <v>42317</v>
      </c>
      <c r="B808" s="173" t="s">
        <v>49</v>
      </c>
      <c r="C808" s="252" t="s">
        <v>1481</v>
      </c>
      <c r="D808" s="252" t="s">
        <v>571</v>
      </c>
      <c r="E808" s="252" t="s">
        <v>571</v>
      </c>
      <c r="F808" s="252" t="s">
        <v>184</v>
      </c>
      <c r="G808" s="252" t="s">
        <v>546</v>
      </c>
      <c r="H808" s="252" t="s">
        <v>571</v>
      </c>
      <c r="I808" s="252" t="s">
        <v>1482</v>
      </c>
      <c r="J808" s="174"/>
      <c r="K808" s="252" t="s">
        <v>150</v>
      </c>
      <c r="L808" s="252" t="s">
        <v>571</v>
      </c>
      <c r="M808" s="174"/>
      <c r="N808" s="174"/>
      <c r="O808" s="253" t="s">
        <v>184</v>
      </c>
    </row>
    <row r="809" spans="1:15" ht="16.149999999999999" customHeight="1" x14ac:dyDescent="0.25">
      <c r="A809" s="172">
        <v>42314</v>
      </c>
      <c r="B809" s="175" t="s">
        <v>49</v>
      </c>
      <c r="C809" s="254" t="s">
        <v>1483</v>
      </c>
      <c r="D809" s="254" t="s">
        <v>578</v>
      </c>
      <c r="E809" s="254" t="s">
        <v>156</v>
      </c>
      <c r="F809" s="254" t="s">
        <v>584</v>
      </c>
      <c r="G809" s="254" t="s">
        <v>530</v>
      </c>
      <c r="H809" s="254" t="s">
        <v>581</v>
      </c>
      <c r="I809" s="254" t="s">
        <v>1484</v>
      </c>
      <c r="J809" s="176"/>
      <c r="K809" s="254" t="s">
        <v>581</v>
      </c>
      <c r="L809" s="254" t="s">
        <v>583</v>
      </c>
      <c r="M809" s="176"/>
      <c r="N809" s="176"/>
      <c r="O809" s="255" t="s">
        <v>184</v>
      </c>
    </row>
    <row r="810" spans="1:15" ht="16.149999999999999" customHeight="1" x14ac:dyDescent="0.25">
      <c r="A810" s="172">
        <v>42313</v>
      </c>
      <c r="B810" s="173" t="s">
        <v>49</v>
      </c>
      <c r="C810" s="252" t="s">
        <v>166</v>
      </c>
      <c r="D810" s="252" t="s">
        <v>167</v>
      </c>
      <c r="E810" s="252" t="s">
        <v>1485</v>
      </c>
      <c r="F810" s="252" t="s">
        <v>548</v>
      </c>
      <c r="G810" s="252" t="s">
        <v>530</v>
      </c>
      <c r="H810" s="252" t="s">
        <v>1452</v>
      </c>
      <c r="I810" s="252" t="s">
        <v>1486</v>
      </c>
      <c r="J810" s="174"/>
      <c r="K810" s="252" t="s">
        <v>566</v>
      </c>
      <c r="L810" s="252" t="s">
        <v>1466</v>
      </c>
      <c r="M810" s="174"/>
      <c r="N810" s="174"/>
      <c r="O810" s="253" t="s">
        <v>565</v>
      </c>
    </row>
    <row r="811" spans="1:15" ht="16.149999999999999" customHeight="1" x14ac:dyDescent="0.25">
      <c r="A811" s="172">
        <v>42312</v>
      </c>
      <c r="B811" s="175" t="s">
        <v>49</v>
      </c>
      <c r="C811" s="254" t="s">
        <v>592</v>
      </c>
      <c r="D811" s="254" t="s">
        <v>545</v>
      </c>
      <c r="E811" s="254" t="s">
        <v>151</v>
      </c>
      <c r="F811" s="254" t="s">
        <v>548</v>
      </c>
      <c r="G811" s="254" t="s">
        <v>528</v>
      </c>
      <c r="H811" s="254" t="s">
        <v>549</v>
      </c>
      <c r="I811" s="254" t="s">
        <v>163</v>
      </c>
      <c r="J811" s="176"/>
      <c r="K811" s="254" t="s">
        <v>161</v>
      </c>
      <c r="L811" s="254" t="s">
        <v>555</v>
      </c>
      <c r="M811" s="176"/>
      <c r="N811" s="176"/>
      <c r="O811" s="255" t="s">
        <v>1487</v>
      </c>
    </row>
    <row r="812" spans="1:15" ht="16.149999999999999" customHeight="1" x14ac:dyDescent="0.25">
      <c r="A812" s="172">
        <v>42311</v>
      </c>
      <c r="B812" s="173" t="s">
        <v>49</v>
      </c>
      <c r="C812" s="252" t="s">
        <v>1488</v>
      </c>
      <c r="D812" s="252" t="s">
        <v>549</v>
      </c>
      <c r="E812" s="252" t="s">
        <v>537</v>
      </c>
      <c r="F812" s="252" t="s">
        <v>1485</v>
      </c>
      <c r="G812" s="252" t="s">
        <v>530</v>
      </c>
      <c r="H812" s="252" t="s">
        <v>549</v>
      </c>
      <c r="I812" s="252" t="s">
        <v>1487</v>
      </c>
      <c r="J812" s="174"/>
      <c r="K812" s="252" t="s">
        <v>549</v>
      </c>
      <c r="L812" s="252" t="s">
        <v>546</v>
      </c>
      <c r="M812" s="174"/>
      <c r="N812" s="174"/>
      <c r="O812" s="253" t="s">
        <v>1489</v>
      </c>
    </row>
    <row r="813" spans="1:15" ht="16.149999999999999" customHeight="1" x14ac:dyDescent="0.25">
      <c r="A813" s="172">
        <v>42307</v>
      </c>
      <c r="B813" s="175" t="s">
        <v>49</v>
      </c>
      <c r="C813" s="254" t="s">
        <v>1490</v>
      </c>
      <c r="D813" s="254" t="s">
        <v>1491</v>
      </c>
      <c r="E813" s="254" t="s">
        <v>59</v>
      </c>
      <c r="F813" s="254" t="s">
        <v>1492</v>
      </c>
      <c r="G813" s="254" t="s">
        <v>1493</v>
      </c>
      <c r="H813" s="254" t="s">
        <v>484</v>
      </c>
      <c r="I813" s="254" t="s">
        <v>1491</v>
      </c>
      <c r="J813" s="176"/>
      <c r="K813" s="254" t="s">
        <v>102</v>
      </c>
      <c r="L813" s="254" t="s">
        <v>50</v>
      </c>
      <c r="M813" s="176"/>
      <c r="N813" s="176"/>
      <c r="O813" s="255" t="s">
        <v>88</v>
      </c>
    </row>
    <row r="814" spans="1:15" ht="16.149999999999999" customHeight="1" x14ac:dyDescent="0.25">
      <c r="A814" s="172">
        <v>42306</v>
      </c>
      <c r="B814" s="173" t="s">
        <v>49</v>
      </c>
      <c r="C814" s="252" t="s">
        <v>129</v>
      </c>
      <c r="D814" s="252" t="s">
        <v>130</v>
      </c>
      <c r="E814" s="252" t="s">
        <v>497</v>
      </c>
      <c r="F814" s="252" t="s">
        <v>59</v>
      </c>
      <c r="G814" s="252" t="s">
        <v>473</v>
      </c>
      <c r="H814" s="252" t="s">
        <v>484</v>
      </c>
      <c r="I814" s="252" t="s">
        <v>485</v>
      </c>
      <c r="J814" s="174"/>
      <c r="K814" s="252" t="s">
        <v>52</v>
      </c>
      <c r="L814" s="252" t="s">
        <v>50</v>
      </c>
      <c r="M814" s="174"/>
      <c r="N814" s="174"/>
      <c r="O814" s="253" t="s">
        <v>88</v>
      </c>
    </row>
    <row r="815" spans="1:15" ht="16.149999999999999" customHeight="1" x14ac:dyDescent="0.25">
      <c r="A815" s="172">
        <v>42305</v>
      </c>
      <c r="B815" s="175" t="s">
        <v>49</v>
      </c>
      <c r="C815" s="254" t="s">
        <v>144</v>
      </c>
      <c r="D815" s="254" t="s">
        <v>1494</v>
      </c>
      <c r="E815" s="254" t="s">
        <v>497</v>
      </c>
      <c r="F815" s="254" t="s">
        <v>500</v>
      </c>
      <c r="G815" s="254" t="s">
        <v>473</v>
      </c>
      <c r="H815" s="254" t="s">
        <v>484</v>
      </c>
      <c r="I815" s="254" t="s">
        <v>482</v>
      </c>
      <c r="J815" s="176"/>
      <c r="K815" s="254" t="s">
        <v>1495</v>
      </c>
      <c r="L815" s="254" t="s">
        <v>50</v>
      </c>
      <c r="M815" s="176"/>
      <c r="N815" s="176"/>
      <c r="O815" s="255" t="s">
        <v>88</v>
      </c>
    </row>
    <row r="816" spans="1:15" ht="16.149999999999999" customHeight="1" x14ac:dyDescent="0.25">
      <c r="A816" s="172">
        <v>42304</v>
      </c>
      <c r="B816" s="173" t="s">
        <v>49</v>
      </c>
      <c r="C816" s="252" t="s">
        <v>524</v>
      </c>
      <c r="D816" s="252" t="s">
        <v>54</v>
      </c>
      <c r="E816" s="252" t="s">
        <v>1495</v>
      </c>
      <c r="F816" s="252" t="s">
        <v>50</v>
      </c>
      <c r="G816" s="252" t="s">
        <v>473</v>
      </c>
      <c r="H816" s="252" t="s">
        <v>484</v>
      </c>
      <c r="I816" s="252" t="s">
        <v>56</v>
      </c>
      <c r="J816" s="174"/>
      <c r="K816" s="252" t="s">
        <v>50</v>
      </c>
      <c r="L816" s="252" t="s">
        <v>50</v>
      </c>
      <c r="M816" s="174"/>
      <c r="N816" s="174"/>
      <c r="O816" s="253" t="s">
        <v>88</v>
      </c>
    </row>
    <row r="817" spans="1:15" ht="16.149999999999999" customHeight="1" x14ac:dyDescent="0.25">
      <c r="A817" s="172">
        <v>42303</v>
      </c>
      <c r="B817" s="175" t="s">
        <v>49</v>
      </c>
      <c r="C817" s="254" t="s">
        <v>1496</v>
      </c>
      <c r="D817" s="254" t="s">
        <v>485</v>
      </c>
      <c r="E817" s="254" t="s">
        <v>484</v>
      </c>
      <c r="F817" s="254" t="s">
        <v>497</v>
      </c>
      <c r="G817" s="254" t="s">
        <v>473</v>
      </c>
      <c r="H817" s="254" t="s">
        <v>484</v>
      </c>
      <c r="I817" s="254" t="s">
        <v>75</v>
      </c>
      <c r="J817" s="176"/>
      <c r="K817" s="254" t="s">
        <v>1495</v>
      </c>
      <c r="L817" s="254" t="s">
        <v>50</v>
      </c>
      <c r="M817" s="176"/>
      <c r="N817" s="176"/>
      <c r="O817" s="255" t="s">
        <v>1495</v>
      </c>
    </row>
    <row r="818" spans="1:15" ht="16.149999999999999" customHeight="1" x14ac:dyDescent="0.25">
      <c r="A818" s="172">
        <v>42300</v>
      </c>
      <c r="B818" s="173" t="s">
        <v>49</v>
      </c>
      <c r="C818" s="252" t="s">
        <v>115</v>
      </c>
      <c r="D818" s="252" t="s">
        <v>116</v>
      </c>
      <c r="E818" s="252" t="s">
        <v>81</v>
      </c>
      <c r="F818" s="252" t="s">
        <v>497</v>
      </c>
      <c r="G818" s="252" t="s">
        <v>473</v>
      </c>
      <c r="H818" s="252" t="s">
        <v>125</v>
      </c>
      <c r="I818" s="252" t="s">
        <v>127</v>
      </c>
      <c r="J818" s="174"/>
      <c r="K818" s="252" t="s">
        <v>484</v>
      </c>
      <c r="L818" s="252" t="s">
        <v>484</v>
      </c>
      <c r="M818" s="174"/>
      <c r="N818" s="174"/>
      <c r="O818" s="253" t="s">
        <v>1495</v>
      </c>
    </row>
    <row r="819" spans="1:15" ht="16.149999999999999" customHeight="1" x14ac:dyDescent="0.25">
      <c r="A819" s="172">
        <v>42299</v>
      </c>
      <c r="B819" s="175" t="s">
        <v>49</v>
      </c>
      <c r="C819" s="254" t="s">
        <v>126</v>
      </c>
      <c r="D819" s="254" t="s">
        <v>127</v>
      </c>
      <c r="E819" s="254" t="s">
        <v>112</v>
      </c>
      <c r="F819" s="254" t="s">
        <v>52</v>
      </c>
      <c r="G819" s="254" t="s">
        <v>1495</v>
      </c>
      <c r="H819" s="254" t="s">
        <v>114</v>
      </c>
      <c r="I819" s="254" t="s">
        <v>1497</v>
      </c>
      <c r="J819" s="176"/>
      <c r="K819" s="254" t="s">
        <v>484</v>
      </c>
      <c r="L819" s="254" t="s">
        <v>114</v>
      </c>
      <c r="M819" s="176"/>
      <c r="N819" s="176"/>
      <c r="O819" s="255" t="s">
        <v>1495</v>
      </c>
    </row>
    <row r="820" spans="1:15" ht="16.149999999999999" customHeight="1" x14ac:dyDescent="0.25">
      <c r="A820" s="172">
        <v>42298</v>
      </c>
      <c r="B820" s="173" t="s">
        <v>49</v>
      </c>
      <c r="C820" s="252" t="s">
        <v>1498</v>
      </c>
      <c r="D820" s="252" t="s">
        <v>123</v>
      </c>
      <c r="E820" s="252" t="s">
        <v>86</v>
      </c>
      <c r="F820" s="252" t="s">
        <v>1492</v>
      </c>
      <c r="G820" s="252" t="s">
        <v>492</v>
      </c>
      <c r="H820" s="252" t="s">
        <v>484</v>
      </c>
      <c r="I820" s="252" t="s">
        <v>1499</v>
      </c>
      <c r="J820" s="174"/>
      <c r="K820" s="252" t="s">
        <v>125</v>
      </c>
      <c r="L820" s="252" t="s">
        <v>497</v>
      </c>
      <c r="M820" s="174"/>
      <c r="N820" s="174"/>
      <c r="O820" s="253" t="s">
        <v>50</v>
      </c>
    </row>
    <row r="821" spans="1:15" ht="16.149999999999999" customHeight="1" x14ac:dyDescent="0.25">
      <c r="A821" s="172">
        <v>42297</v>
      </c>
      <c r="B821" s="175" t="s">
        <v>49</v>
      </c>
      <c r="C821" s="254" t="s">
        <v>111</v>
      </c>
      <c r="D821" s="254" t="s">
        <v>112</v>
      </c>
      <c r="E821" s="254" t="s">
        <v>1500</v>
      </c>
      <c r="F821" s="254" t="s">
        <v>1500</v>
      </c>
      <c r="G821" s="254" t="s">
        <v>1501</v>
      </c>
      <c r="H821" s="254" t="s">
        <v>102</v>
      </c>
      <c r="I821" s="254" t="s">
        <v>444</v>
      </c>
      <c r="J821" s="176"/>
      <c r="K821" s="254" t="s">
        <v>1502</v>
      </c>
      <c r="L821" s="254" t="s">
        <v>1502</v>
      </c>
      <c r="M821" s="176"/>
      <c r="N821" s="176"/>
      <c r="O821" s="255" t="s">
        <v>50</v>
      </c>
    </row>
    <row r="822" spans="1:15" ht="16.149999999999999" customHeight="1" x14ac:dyDescent="0.25">
      <c r="A822" s="172">
        <v>42296</v>
      </c>
      <c r="B822" s="173" t="s">
        <v>49</v>
      </c>
      <c r="C822" s="252" t="s">
        <v>102</v>
      </c>
      <c r="D822" s="252" t="s">
        <v>97</v>
      </c>
      <c r="E822" s="252" t="s">
        <v>62</v>
      </c>
      <c r="F822" s="252" t="s">
        <v>460</v>
      </c>
      <c r="G822" s="252" t="s">
        <v>87</v>
      </c>
      <c r="H822" s="252" t="s">
        <v>101</v>
      </c>
      <c r="I822" s="252" t="s">
        <v>396</v>
      </c>
      <c r="J822" s="174"/>
      <c r="K822" s="252" t="s">
        <v>478</v>
      </c>
      <c r="L822" s="252" t="s">
        <v>1500</v>
      </c>
      <c r="M822" s="174"/>
      <c r="N822" s="174"/>
      <c r="O822" s="253" t="s">
        <v>1503</v>
      </c>
    </row>
    <row r="823" spans="1:15" ht="16.149999999999999" customHeight="1" x14ac:dyDescent="0.25">
      <c r="A823" s="172">
        <v>42293</v>
      </c>
      <c r="B823" s="175" t="s">
        <v>49</v>
      </c>
      <c r="C823" s="254" t="s">
        <v>118</v>
      </c>
      <c r="D823" s="254" t="s">
        <v>80</v>
      </c>
      <c r="E823" s="254" t="s">
        <v>80</v>
      </c>
      <c r="F823" s="254" t="s">
        <v>80</v>
      </c>
      <c r="G823" s="254" t="s">
        <v>1504</v>
      </c>
      <c r="H823" s="254" t="s">
        <v>80</v>
      </c>
      <c r="I823" s="254" t="s">
        <v>1505</v>
      </c>
      <c r="J823" s="176"/>
      <c r="K823" s="254" t="s">
        <v>423</v>
      </c>
      <c r="L823" s="254" t="s">
        <v>401</v>
      </c>
      <c r="M823" s="176"/>
      <c r="N823" s="176"/>
      <c r="O823" s="255" t="s">
        <v>408</v>
      </c>
    </row>
    <row r="824" spans="1:15" ht="16.149999999999999" customHeight="1" x14ac:dyDescent="0.25">
      <c r="A824" s="172">
        <v>42292</v>
      </c>
      <c r="B824" s="173" t="s">
        <v>49</v>
      </c>
      <c r="C824" s="252" t="s">
        <v>475</v>
      </c>
      <c r="D824" s="252" t="s">
        <v>406</v>
      </c>
      <c r="E824" s="252" t="s">
        <v>80</v>
      </c>
      <c r="F824" s="252" t="s">
        <v>408</v>
      </c>
      <c r="G824" s="252" t="s">
        <v>1506</v>
      </c>
      <c r="H824" s="252" t="s">
        <v>83</v>
      </c>
      <c r="I824" s="252" t="s">
        <v>1507</v>
      </c>
      <c r="J824" s="174"/>
      <c r="K824" s="252" t="s">
        <v>80</v>
      </c>
      <c r="L824" s="252" t="s">
        <v>83</v>
      </c>
      <c r="M824" s="174"/>
      <c r="N824" s="174"/>
      <c r="O824" s="253" t="s">
        <v>1508</v>
      </c>
    </row>
    <row r="825" spans="1:15" ht="16.149999999999999" customHeight="1" x14ac:dyDescent="0.25">
      <c r="A825" s="172">
        <v>42291</v>
      </c>
      <c r="B825" s="175" t="s">
        <v>49</v>
      </c>
      <c r="C825" s="254" t="s">
        <v>1509</v>
      </c>
      <c r="D825" s="254" t="s">
        <v>1510</v>
      </c>
      <c r="E825" s="254" t="s">
        <v>1511</v>
      </c>
      <c r="F825" s="254" t="s">
        <v>1511</v>
      </c>
      <c r="G825" s="254" t="s">
        <v>448</v>
      </c>
      <c r="H825" s="254" t="s">
        <v>1512</v>
      </c>
      <c r="I825" s="254" t="s">
        <v>1513</v>
      </c>
      <c r="J825" s="176"/>
      <c r="K825" s="254" t="s">
        <v>87</v>
      </c>
      <c r="L825" s="254" t="s">
        <v>406</v>
      </c>
      <c r="M825" s="176"/>
      <c r="N825" s="176"/>
      <c r="O825" s="255" t="s">
        <v>1514</v>
      </c>
    </row>
    <row r="826" spans="1:15" ht="16.149999999999999" customHeight="1" x14ac:dyDescent="0.25">
      <c r="A826" s="172">
        <v>42290</v>
      </c>
      <c r="B826" s="173" t="s">
        <v>49</v>
      </c>
      <c r="C826" s="252" t="s">
        <v>470</v>
      </c>
      <c r="D826" s="252" t="s">
        <v>1512</v>
      </c>
      <c r="E826" s="252" t="s">
        <v>1506</v>
      </c>
      <c r="F826" s="252" t="s">
        <v>1512</v>
      </c>
      <c r="G826" s="252" t="s">
        <v>1515</v>
      </c>
      <c r="H826" s="252" t="s">
        <v>1516</v>
      </c>
      <c r="I826" s="252" t="s">
        <v>1512</v>
      </c>
      <c r="J826" s="174"/>
      <c r="K826" s="252" t="s">
        <v>408</v>
      </c>
      <c r="L826" s="252" t="s">
        <v>408</v>
      </c>
      <c r="M826" s="174"/>
      <c r="N826" s="174"/>
      <c r="O826" s="253" t="s">
        <v>1517</v>
      </c>
    </row>
    <row r="827" spans="1:15" ht="16.149999999999999" customHeight="1" x14ac:dyDescent="0.25">
      <c r="A827" s="172">
        <v>42286</v>
      </c>
      <c r="B827" s="175" t="s">
        <v>49</v>
      </c>
      <c r="C827" s="254" t="s">
        <v>1518</v>
      </c>
      <c r="D827" s="254" t="s">
        <v>1512</v>
      </c>
      <c r="E827" s="254" t="s">
        <v>1519</v>
      </c>
      <c r="F827" s="254" t="s">
        <v>1512</v>
      </c>
      <c r="G827" s="254" t="s">
        <v>1515</v>
      </c>
      <c r="H827" s="254" t="s">
        <v>448</v>
      </c>
      <c r="I827" s="254" t="s">
        <v>1520</v>
      </c>
      <c r="J827" s="176"/>
      <c r="K827" s="254" t="s">
        <v>1512</v>
      </c>
      <c r="L827" s="254" t="s">
        <v>1512</v>
      </c>
      <c r="M827" s="176"/>
      <c r="N827" s="176"/>
      <c r="O827" s="255" t="s">
        <v>1521</v>
      </c>
    </row>
    <row r="828" spans="1:15" ht="16.149999999999999" customHeight="1" x14ac:dyDescent="0.25">
      <c r="A828" s="172">
        <v>42285</v>
      </c>
      <c r="B828" s="173" t="s">
        <v>49</v>
      </c>
      <c r="C828" s="252" t="s">
        <v>1522</v>
      </c>
      <c r="D828" s="252" t="s">
        <v>1516</v>
      </c>
      <c r="E828" s="252" t="s">
        <v>1523</v>
      </c>
      <c r="F828" s="252" t="s">
        <v>1512</v>
      </c>
      <c r="G828" s="252" t="s">
        <v>439</v>
      </c>
      <c r="H828" s="252" t="s">
        <v>1524</v>
      </c>
      <c r="I828" s="252" t="s">
        <v>1525</v>
      </c>
      <c r="J828" s="174"/>
      <c r="K828" s="252" t="s">
        <v>1512</v>
      </c>
      <c r="L828" s="252" t="s">
        <v>1526</v>
      </c>
      <c r="M828" s="174"/>
      <c r="N828" s="174"/>
      <c r="O828" s="253" t="s">
        <v>1527</v>
      </c>
    </row>
    <row r="829" spans="1:15" ht="16.149999999999999" customHeight="1" x14ac:dyDescent="0.25">
      <c r="A829" s="172">
        <v>42284</v>
      </c>
      <c r="B829" s="175" t="s">
        <v>49</v>
      </c>
      <c r="C829" s="254" t="s">
        <v>1522</v>
      </c>
      <c r="D829" s="254" t="s">
        <v>1516</v>
      </c>
      <c r="E829" s="254" t="s">
        <v>1516</v>
      </c>
      <c r="F829" s="254" t="s">
        <v>448</v>
      </c>
      <c r="G829" s="254" t="s">
        <v>439</v>
      </c>
      <c r="H829" s="254" t="s">
        <v>1516</v>
      </c>
      <c r="I829" s="254" t="s">
        <v>1528</v>
      </c>
      <c r="J829" s="176"/>
      <c r="K829" s="254" t="s">
        <v>1506</v>
      </c>
      <c r="L829" s="254" t="s">
        <v>1529</v>
      </c>
      <c r="M829" s="176"/>
      <c r="N829" s="176"/>
      <c r="O829" s="255" t="s">
        <v>1530</v>
      </c>
    </row>
    <row r="830" spans="1:15" ht="16.149999999999999" customHeight="1" x14ac:dyDescent="0.25">
      <c r="A830" s="172">
        <v>42283</v>
      </c>
      <c r="B830" s="173" t="s">
        <v>49</v>
      </c>
      <c r="C830" s="252" t="s">
        <v>1531</v>
      </c>
      <c r="D830" s="252" t="s">
        <v>1532</v>
      </c>
      <c r="E830" s="252" t="s">
        <v>1526</v>
      </c>
      <c r="F830" s="252" t="s">
        <v>1506</v>
      </c>
      <c r="G830" s="252" t="s">
        <v>1533</v>
      </c>
      <c r="H830" s="252" t="s">
        <v>1516</v>
      </c>
      <c r="I830" s="252" t="s">
        <v>1534</v>
      </c>
      <c r="J830" s="174"/>
      <c r="K830" s="252" t="s">
        <v>1512</v>
      </c>
      <c r="L830" s="252" t="s">
        <v>1524</v>
      </c>
      <c r="M830" s="174"/>
      <c r="N830" s="174"/>
      <c r="O830" s="253" t="s">
        <v>1530</v>
      </c>
    </row>
    <row r="831" spans="1:15" ht="16.149999999999999" customHeight="1" x14ac:dyDescent="0.25">
      <c r="A831" s="172">
        <v>42282</v>
      </c>
      <c r="B831" s="175" t="s">
        <v>49</v>
      </c>
      <c r="C831" s="254" t="s">
        <v>68</v>
      </c>
      <c r="D831" s="254" t="s">
        <v>1535</v>
      </c>
      <c r="E831" s="254" t="s">
        <v>1536</v>
      </c>
      <c r="F831" s="254" t="s">
        <v>1537</v>
      </c>
      <c r="G831" s="254" t="s">
        <v>1538</v>
      </c>
      <c r="H831" s="254" t="s">
        <v>1539</v>
      </c>
      <c r="I831" s="254" t="s">
        <v>1540</v>
      </c>
      <c r="J831" s="176"/>
      <c r="K831" s="254" t="s">
        <v>1536</v>
      </c>
      <c r="L831" s="254" t="s">
        <v>1541</v>
      </c>
      <c r="M831" s="176"/>
      <c r="N831" s="176"/>
      <c r="O831" s="255" t="s">
        <v>1542</v>
      </c>
    </row>
    <row r="832" spans="1:15" ht="16.149999999999999" customHeight="1" x14ac:dyDescent="0.25">
      <c r="A832" s="172">
        <v>42279</v>
      </c>
      <c r="B832" s="173" t="s">
        <v>49</v>
      </c>
      <c r="C832" s="252" t="s">
        <v>433</v>
      </c>
      <c r="D832" s="252" t="s">
        <v>1538</v>
      </c>
      <c r="E832" s="252" t="s">
        <v>1536</v>
      </c>
      <c r="F832" s="252" t="s">
        <v>1543</v>
      </c>
      <c r="G832" s="252" t="s">
        <v>1536</v>
      </c>
      <c r="H832" s="252" t="s">
        <v>1544</v>
      </c>
      <c r="I832" s="252" t="s">
        <v>1545</v>
      </c>
      <c r="J832" s="174"/>
      <c r="K832" s="252" t="s">
        <v>1539</v>
      </c>
      <c r="L832" s="252" t="s">
        <v>1543</v>
      </c>
      <c r="M832" s="174"/>
      <c r="N832" s="174"/>
      <c r="O832" s="253" t="s">
        <v>1542</v>
      </c>
    </row>
    <row r="833" spans="1:15" ht="16.149999999999999" customHeight="1" x14ac:dyDescent="0.25">
      <c r="A833" s="172">
        <v>42278</v>
      </c>
      <c r="B833" s="175" t="s">
        <v>49</v>
      </c>
      <c r="C833" s="254" t="s">
        <v>1546</v>
      </c>
      <c r="D833" s="254" t="s">
        <v>1543</v>
      </c>
      <c r="E833" s="254" t="s">
        <v>1542</v>
      </c>
      <c r="F833" s="254" t="s">
        <v>1547</v>
      </c>
      <c r="G833" s="254" t="s">
        <v>1543</v>
      </c>
      <c r="H833" s="254" t="s">
        <v>1544</v>
      </c>
      <c r="I833" s="254" t="s">
        <v>1548</v>
      </c>
      <c r="J833" s="176"/>
      <c r="K833" s="254" t="s">
        <v>1536</v>
      </c>
      <c r="L833" s="254" t="s">
        <v>1543</v>
      </c>
      <c r="M833" s="176"/>
      <c r="N833" s="176"/>
      <c r="O833" s="255" t="s">
        <v>1539</v>
      </c>
    </row>
    <row r="834" spans="1:15" ht="16.149999999999999" customHeight="1" x14ac:dyDescent="0.25">
      <c r="A834" s="172">
        <v>42277</v>
      </c>
      <c r="B834" s="173" t="s">
        <v>49</v>
      </c>
      <c r="C834" s="252" t="s">
        <v>1549</v>
      </c>
      <c r="D834" s="252" t="s">
        <v>1542</v>
      </c>
      <c r="E834" s="252" t="s">
        <v>1542</v>
      </c>
      <c r="F834" s="252" t="s">
        <v>1542</v>
      </c>
      <c r="G834" s="252" t="s">
        <v>1550</v>
      </c>
      <c r="H834" s="252" t="s">
        <v>1542</v>
      </c>
      <c r="I834" s="252" t="s">
        <v>1551</v>
      </c>
      <c r="J834" s="174"/>
      <c r="K834" s="252" t="s">
        <v>1542</v>
      </c>
      <c r="L834" s="252" t="s">
        <v>1529</v>
      </c>
      <c r="M834" s="174"/>
      <c r="N834" s="174"/>
      <c r="O834" s="253" t="s">
        <v>1552</v>
      </c>
    </row>
    <row r="835" spans="1:15" ht="16.149999999999999" customHeight="1" x14ac:dyDescent="0.25">
      <c r="A835" s="172">
        <v>42276</v>
      </c>
      <c r="B835" s="175" t="s">
        <v>49</v>
      </c>
      <c r="C835" s="254" t="s">
        <v>447</v>
      </c>
      <c r="D835" s="254" t="s">
        <v>1544</v>
      </c>
      <c r="E835" s="254" t="s">
        <v>1544</v>
      </c>
      <c r="F835" s="254" t="s">
        <v>1544</v>
      </c>
      <c r="G835" s="254" t="s">
        <v>1553</v>
      </c>
      <c r="H835" s="254" t="s">
        <v>1536</v>
      </c>
      <c r="I835" s="254" t="s">
        <v>1554</v>
      </c>
      <c r="J835" s="176"/>
      <c r="K835" s="254" t="s">
        <v>1555</v>
      </c>
      <c r="L835" s="254" t="s">
        <v>1536</v>
      </c>
      <c r="M835" s="176"/>
      <c r="N835" s="176"/>
      <c r="O835" s="255" t="s">
        <v>1556</v>
      </c>
    </row>
    <row r="836" spans="1:15" ht="16.149999999999999" customHeight="1" x14ac:dyDescent="0.25">
      <c r="A836" s="172">
        <v>42275</v>
      </c>
      <c r="B836" s="173" t="s">
        <v>49</v>
      </c>
      <c r="C836" s="252" t="s">
        <v>1505</v>
      </c>
      <c r="D836" s="252" t="s">
        <v>1557</v>
      </c>
      <c r="E836" s="252" t="s">
        <v>1558</v>
      </c>
      <c r="F836" s="252" t="s">
        <v>1529</v>
      </c>
      <c r="G836" s="252" t="s">
        <v>1553</v>
      </c>
      <c r="H836" s="252" t="s">
        <v>1559</v>
      </c>
      <c r="I836" s="252" t="s">
        <v>1560</v>
      </c>
      <c r="J836" s="174"/>
      <c r="K836" s="252" t="s">
        <v>1544</v>
      </c>
      <c r="L836" s="252" t="s">
        <v>1542</v>
      </c>
      <c r="M836" s="174"/>
      <c r="N836" s="174"/>
      <c r="O836" s="253" t="s">
        <v>1561</v>
      </c>
    </row>
    <row r="837" spans="1:15" ht="16.149999999999999" customHeight="1" x14ac:dyDescent="0.25">
      <c r="A837" s="172">
        <v>42272</v>
      </c>
      <c r="B837" s="175" t="s">
        <v>49</v>
      </c>
      <c r="C837" s="254" t="s">
        <v>1562</v>
      </c>
      <c r="D837" s="254" t="s">
        <v>1563</v>
      </c>
      <c r="E837" s="254" t="s">
        <v>1563</v>
      </c>
      <c r="F837" s="254" t="s">
        <v>1564</v>
      </c>
      <c r="G837" s="254" t="s">
        <v>1565</v>
      </c>
      <c r="H837" s="254" t="s">
        <v>1566</v>
      </c>
      <c r="I837" s="254" t="s">
        <v>1567</v>
      </c>
      <c r="J837" s="176"/>
      <c r="K837" s="254" t="s">
        <v>1563</v>
      </c>
      <c r="L837" s="254" t="s">
        <v>1568</v>
      </c>
      <c r="M837" s="176"/>
      <c r="N837" s="176"/>
      <c r="O837" s="255" t="s">
        <v>1569</v>
      </c>
    </row>
    <row r="838" spans="1:15" ht="16.149999999999999" customHeight="1" x14ac:dyDescent="0.25">
      <c r="A838" s="172">
        <v>42271</v>
      </c>
      <c r="B838" s="173" t="s">
        <v>49</v>
      </c>
      <c r="C838" s="252" t="s">
        <v>1570</v>
      </c>
      <c r="D838" s="252" t="s">
        <v>1571</v>
      </c>
      <c r="E838" s="252" t="s">
        <v>1569</v>
      </c>
      <c r="F838" s="252" t="s">
        <v>1564</v>
      </c>
      <c r="G838" s="252" t="s">
        <v>1572</v>
      </c>
      <c r="H838" s="252" t="s">
        <v>1569</v>
      </c>
      <c r="I838" s="252" t="s">
        <v>1573</v>
      </c>
      <c r="J838" s="174"/>
      <c r="K838" s="252" t="s">
        <v>1563</v>
      </c>
      <c r="L838" s="252" t="s">
        <v>1574</v>
      </c>
      <c r="M838" s="174"/>
      <c r="N838" s="174"/>
      <c r="O838" s="253" t="s">
        <v>1566</v>
      </c>
    </row>
    <row r="839" spans="1:15" ht="16.149999999999999" customHeight="1" x14ac:dyDescent="0.25">
      <c r="A839" s="172">
        <v>42270</v>
      </c>
      <c r="B839" s="175" t="s">
        <v>49</v>
      </c>
      <c r="C839" s="254" t="s">
        <v>1575</v>
      </c>
      <c r="D839" s="254" t="s">
        <v>1576</v>
      </c>
      <c r="E839" s="254" t="s">
        <v>1577</v>
      </c>
      <c r="F839" s="254" t="s">
        <v>1578</v>
      </c>
      <c r="G839" s="254" t="s">
        <v>1572</v>
      </c>
      <c r="H839" s="254" t="s">
        <v>1579</v>
      </c>
      <c r="I839" s="254" t="s">
        <v>1565</v>
      </c>
      <c r="J839" s="176"/>
      <c r="K839" s="254" t="s">
        <v>1566</v>
      </c>
      <c r="L839" s="254" t="s">
        <v>1579</v>
      </c>
      <c r="M839" s="176"/>
      <c r="N839" s="176"/>
      <c r="O839" s="255" t="s">
        <v>1580</v>
      </c>
    </row>
    <row r="840" spans="1:15" ht="16.149999999999999" customHeight="1" x14ac:dyDescent="0.25">
      <c r="A840" s="172">
        <v>42269</v>
      </c>
      <c r="B840" s="173" t="s">
        <v>49</v>
      </c>
      <c r="C840" s="252" t="s">
        <v>1581</v>
      </c>
      <c r="D840" s="252" t="s">
        <v>1582</v>
      </c>
      <c r="E840" s="252" t="s">
        <v>1583</v>
      </c>
      <c r="F840" s="252" t="s">
        <v>1584</v>
      </c>
      <c r="G840" s="252" t="s">
        <v>1572</v>
      </c>
      <c r="H840" s="252" t="s">
        <v>1564</v>
      </c>
      <c r="I840" s="252" t="s">
        <v>1585</v>
      </c>
      <c r="J840" s="174"/>
      <c r="K840" s="252" t="s">
        <v>1564</v>
      </c>
      <c r="L840" s="252" t="s">
        <v>1579</v>
      </c>
      <c r="M840" s="174"/>
      <c r="N840" s="174"/>
      <c r="O840" s="253" t="s">
        <v>1586</v>
      </c>
    </row>
    <row r="841" spans="1:15" ht="16.149999999999999" customHeight="1" x14ac:dyDescent="0.25">
      <c r="A841" s="172">
        <v>42268</v>
      </c>
      <c r="B841" s="175" t="s">
        <v>49</v>
      </c>
      <c r="C841" s="254" t="s">
        <v>1587</v>
      </c>
      <c r="D841" s="254" t="s">
        <v>1583</v>
      </c>
      <c r="E841" s="254" t="s">
        <v>1563</v>
      </c>
      <c r="F841" s="254" t="s">
        <v>1584</v>
      </c>
      <c r="G841" s="254" t="s">
        <v>1564</v>
      </c>
      <c r="H841" s="254" t="s">
        <v>1568</v>
      </c>
      <c r="I841" s="254" t="s">
        <v>1588</v>
      </c>
      <c r="J841" s="176"/>
      <c r="K841" s="254" t="s">
        <v>1564</v>
      </c>
      <c r="L841" s="254" t="s">
        <v>1589</v>
      </c>
      <c r="M841" s="176"/>
      <c r="N841" s="176"/>
      <c r="O841" s="255" t="s">
        <v>1590</v>
      </c>
    </row>
    <row r="842" spans="1:15" ht="16.149999999999999" customHeight="1" x14ac:dyDescent="0.25">
      <c r="A842" s="172">
        <v>42265</v>
      </c>
      <c r="B842" s="173" t="s">
        <v>49</v>
      </c>
      <c r="C842" s="252" t="s">
        <v>1591</v>
      </c>
      <c r="D842" s="252" t="s">
        <v>1592</v>
      </c>
      <c r="E842" s="252" t="s">
        <v>1593</v>
      </c>
      <c r="F842" s="252" t="s">
        <v>1579</v>
      </c>
      <c r="G842" s="252" t="s">
        <v>1594</v>
      </c>
      <c r="H842" s="252" t="s">
        <v>1564</v>
      </c>
      <c r="I842" s="252" t="s">
        <v>1595</v>
      </c>
      <c r="J842" s="174"/>
      <c r="K842" s="252" t="s">
        <v>1564</v>
      </c>
      <c r="L842" s="252" t="s">
        <v>1589</v>
      </c>
      <c r="M842" s="174"/>
      <c r="N842" s="174"/>
      <c r="O842" s="253" t="s">
        <v>1596</v>
      </c>
    </row>
    <row r="843" spans="1:15" ht="16.149999999999999" customHeight="1" x14ac:dyDescent="0.25">
      <c r="A843" s="172">
        <v>42264</v>
      </c>
      <c r="B843" s="175" t="s">
        <v>49</v>
      </c>
      <c r="C843" s="254" t="s">
        <v>1597</v>
      </c>
      <c r="D843" s="254" t="s">
        <v>1598</v>
      </c>
      <c r="E843" s="254" t="s">
        <v>1593</v>
      </c>
      <c r="F843" s="254" t="s">
        <v>1596</v>
      </c>
      <c r="G843" s="254" t="s">
        <v>1599</v>
      </c>
      <c r="H843" s="254" t="s">
        <v>1600</v>
      </c>
      <c r="I843" s="254" t="s">
        <v>1601</v>
      </c>
      <c r="J843" s="176"/>
      <c r="K843" s="254" t="s">
        <v>1602</v>
      </c>
      <c r="L843" s="254" t="s">
        <v>1603</v>
      </c>
      <c r="M843" s="176"/>
      <c r="N843" s="176"/>
      <c r="O843" s="255" t="s">
        <v>1604</v>
      </c>
    </row>
    <row r="844" spans="1:15" ht="16.149999999999999" customHeight="1" x14ac:dyDescent="0.25">
      <c r="A844" s="172">
        <v>42263</v>
      </c>
      <c r="B844" s="173" t="s">
        <v>49</v>
      </c>
      <c r="C844" s="252" t="s">
        <v>1605</v>
      </c>
      <c r="D844" s="252" t="s">
        <v>1606</v>
      </c>
      <c r="E844" s="252" t="s">
        <v>1607</v>
      </c>
      <c r="F844" s="252" t="s">
        <v>1607</v>
      </c>
      <c r="G844" s="252" t="s">
        <v>1560</v>
      </c>
      <c r="H844" s="252" t="s">
        <v>1593</v>
      </c>
      <c r="I844" s="252" t="s">
        <v>1594</v>
      </c>
      <c r="J844" s="174"/>
      <c r="K844" s="252" t="s">
        <v>1603</v>
      </c>
      <c r="L844" s="252" t="s">
        <v>1603</v>
      </c>
      <c r="M844" s="174"/>
      <c r="N844" s="174"/>
      <c r="O844" s="253" t="s">
        <v>1604</v>
      </c>
    </row>
    <row r="845" spans="1:15" ht="16.149999999999999" customHeight="1" x14ac:dyDescent="0.25">
      <c r="A845" s="172">
        <v>42262</v>
      </c>
      <c r="B845" s="175" t="s">
        <v>49</v>
      </c>
      <c r="C845" s="254" t="s">
        <v>1608</v>
      </c>
      <c r="D845" s="254" t="s">
        <v>1607</v>
      </c>
      <c r="E845" s="254" t="s">
        <v>1594</v>
      </c>
      <c r="F845" s="254" t="s">
        <v>1609</v>
      </c>
      <c r="G845" s="254" t="s">
        <v>1610</v>
      </c>
      <c r="H845" s="254" t="s">
        <v>1611</v>
      </c>
      <c r="I845" s="254" t="s">
        <v>1612</v>
      </c>
      <c r="J845" s="176"/>
      <c r="K845" s="254" t="s">
        <v>1611</v>
      </c>
      <c r="L845" s="254" t="s">
        <v>1593</v>
      </c>
      <c r="M845" s="176"/>
      <c r="N845" s="176"/>
      <c r="O845" s="255" t="s">
        <v>1596</v>
      </c>
    </row>
    <row r="846" spans="1:15" ht="16.149999999999999" customHeight="1" x14ac:dyDescent="0.25">
      <c r="A846" s="172">
        <v>42261</v>
      </c>
      <c r="B846" s="173" t="s">
        <v>49</v>
      </c>
      <c r="C846" s="252" t="s">
        <v>1613</v>
      </c>
      <c r="D846" s="252" t="s">
        <v>1614</v>
      </c>
      <c r="E846" s="252" t="s">
        <v>1596</v>
      </c>
      <c r="F846" s="252" t="s">
        <v>1609</v>
      </c>
      <c r="G846" s="252" t="s">
        <v>1563</v>
      </c>
      <c r="H846" s="252" t="s">
        <v>1574</v>
      </c>
      <c r="I846" s="252" t="s">
        <v>1615</v>
      </c>
      <c r="J846" s="174"/>
      <c r="K846" s="252" t="s">
        <v>1574</v>
      </c>
      <c r="L846" s="252" t="s">
        <v>1590</v>
      </c>
      <c r="M846" s="174"/>
      <c r="N846" s="174"/>
      <c r="O846" s="253" t="s">
        <v>1596</v>
      </c>
    </row>
    <row r="847" spans="1:15" ht="16.149999999999999" customHeight="1" x14ac:dyDescent="0.25">
      <c r="A847" s="172">
        <v>42258</v>
      </c>
      <c r="B847" s="175" t="s">
        <v>49</v>
      </c>
      <c r="C847" s="254" t="s">
        <v>1613</v>
      </c>
      <c r="D847" s="254" t="s">
        <v>1614</v>
      </c>
      <c r="E847" s="254" t="s">
        <v>1574</v>
      </c>
      <c r="F847" s="254" t="s">
        <v>1609</v>
      </c>
      <c r="G847" s="254" t="s">
        <v>1563</v>
      </c>
      <c r="H847" s="254" t="s">
        <v>1609</v>
      </c>
      <c r="I847" s="254" t="s">
        <v>1616</v>
      </c>
      <c r="J847" s="176"/>
      <c r="K847" s="254" t="s">
        <v>1596</v>
      </c>
      <c r="L847" s="254" t="s">
        <v>1590</v>
      </c>
      <c r="M847" s="176"/>
      <c r="N847" s="176"/>
      <c r="O847" s="255" t="s">
        <v>1560</v>
      </c>
    </row>
    <row r="848" spans="1:15" ht="16.149999999999999" customHeight="1" x14ac:dyDescent="0.25">
      <c r="A848" s="172">
        <v>42257</v>
      </c>
      <c r="B848" s="173" t="s">
        <v>49</v>
      </c>
      <c r="C848" s="252" t="s">
        <v>1617</v>
      </c>
      <c r="D848" s="252" t="s">
        <v>1574</v>
      </c>
      <c r="E848" s="252" t="s">
        <v>1574</v>
      </c>
      <c r="F848" s="252" t="s">
        <v>1563</v>
      </c>
      <c r="G848" s="252" t="s">
        <v>1618</v>
      </c>
      <c r="H848" s="252" t="s">
        <v>1619</v>
      </c>
      <c r="I848" s="252" t="s">
        <v>1620</v>
      </c>
      <c r="J848" s="174"/>
      <c r="K848" s="252" t="s">
        <v>1574</v>
      </c>
      <c r="L848" s="252" t="s">
        <v>1590</v>
      </c>
      <c r="M848" s="174"/>
      <c r="N848" s="174"/>
      <c r="O848" s="253" t="s">
        <v>1607</v>
      </c>
    </row>
    <row r="849" spans="1:15" ht="16.149999999999999" customHeight="1" x14ac:dyDescent="0.25">
      <c r="A849" s="172">
        <v>42256</v>
      </c>
      <c r="B849" s="175" t="s">
        <v>49</v>
      </c>
      <c r="C849" s="254" t="s">
        <v>1621</v>
      </c>
      <c r="D849" s="254" t="s">
        <v>1622</v>
      </c>
      <c r="E849" s="254" t="s">
        <v>1593</v>
      </c>
      <c r="F849" s="254" t="s">
        <v>1574</v>
      </c>
      <c r="G849" s="254" t="s">
        <v>1623</v>
      </c>
      <c r="H849" s="254" t="s">
        <v>1622</v>
      </c>
      <c r="I849" s="254" t="s">
        <v>1601</v>
      </c>
      <c r="J849" s="176"/>
      <c r="K849" s="254" t="s">
        <v>1603</v>
      </c>
      <c r="L849" s="254" t="s">
        <v>1590</v>
      </c>
      <c r="M849" s="176"/>
      <c r="N849" s="176"/>
      <c r="O849" s="255" t="s">
        <v>1622</v>
      </c>
    </row>
    <row r="850" spans="1:15" ht="16.149999999999999" customHeight="1" x14ac:dyDescent="0.25">
      <c r="A850" s="172">
        <v>42255</v>
      </c>
      <c r="B850" s="173" t="s">
        <v>49</v>
      </c>
      <c r="C850" s="252" t="s">
        <v>1624</v>
      </c>
      <c r="D850" s="252" t="s">
        <v>1625</v>
      </c>
      <c r="E850" s="252" t="s">
        <v>1596</v>
      </c>
      <c r="F850" s="252" t="s">
        <v>1590</v>
      </c>
      <c r="G850" s="252" t="s">
        <v>1626</v>
      </c>
      <c r="H850" s="252" t="s">
        <v>1627</v>
      </c>
      <c r="I850" s="252" t="s">
        <v>1596</v>
      </c>
      <c r="J850" s="174"/>
      <c r="K850" s="252" t="s">
        <v>1603</v>
      </c>
      <c r="L850" s="252" t="s">
        <v>1603</v>
      </c>
      <c r="M850" s="174"/>
      <c r="N850" s="174"/>
      <c r="O850" s="253" t="s">
        <v>1596</v>
      </c>
    </row>
    <row r="851" spans="1:15" ht="16.149999999999999" customHeight="1" x14ac:dyDescent="0.25">
      <c r="A851" s="172">
        <v>42254</v>
      </c>
      <c r="B851" s="175" t="s">
        <v>49</v>
      </c>
      <c r="C851" s="254" t="s">
        <v>1608</v>
      </c>
      <c r="D851" s="254" t="s">
        <v>1607</v>
      </c>
      <c r="E851" s="254" t="s">
        <v>1590</v>
      </c>
      <c r="F851" s="254" t="s">
        <v>1590</v>
      </c>
      <c r="G851" s="254" t="s">
        <v>1576</v>
      </c>
      <c r="H851" s="254" t="s">
        <v>1627</v>
      </c>
      <c r="I851" s="254" t="s">
        <v>1628</v>
      </c>
      <c r="J851" s="176"/>
      <c r="K851" s="254" t="s">
        <v>1603</v>
      </c>
      <c r="L851" s="254" t="s">
        <v>1574</v>
      </c>
      <c r="M851" s="176"/>
      <c r="N851" s="176"/>
      <c r="O851" s="255" t="s">
        <v>1603</v>
      </c>
    </row>
    <row r="852" spans="1:15" ht="16.149999999999999" customHeight="1" x14ac:dyDescent="0.25">
      <c r="A852" s="172">
        <v>42251</v>
      </c>
      <c r="B852" s="173" t="s">
        <v>49</v>
      </c>
      <c r="C852" s="252" t="s">
        <v>1629</v>
      </c>
      <c r="D852" s="252" t="s">
        <v>1630</v>
      </c>
      <c r="E852" s="252" t="s">
        <v>1630</v>
      </c>
      <c r="F852" s="252" t="s">
        <v>1631</v>
      </c>
      <c r="G852" s="252" t="s">
        <v>1580</v>
      </c>
      <c r="H852" s="252" t="s">
        <v>1630</v>
      </c>
      <c r="I852" s="252" t="s">
        <v>1632</v>
      </c>
      <c r="J852" s="174"/>
      <c r="K852" s="252" t="s">
        <v>1586</v>
      </c>
      <c r="L852" s="252" t="s">
        <v>1568</v>
      </c>
      <c r="M852" s="174"/>
      <c r="N852" s="174"/>
      <c r="O852" s="253" t="s">
        <v>1586</v>
      </c>
    </row>
    <row r="853" spans="1:15" ht="16.149999999999999" customHeight="1" x14ac:dyDescent="0.25">
      <c r="A853" s="172">
        <v>42250</v>
      </c>
      <c r="B853" s="175" t="s">
        <v>49</v>
      </c>
      <c r="C853" s="254" t="s">
        <v>1633</v>
      </c>
      <c r="D853" s="254" t="s">
        <v>1634</v>
      </c>
      <c r="E853" s="254" t="s">
        <v>1576</v>
      </c>
      <c r="F853" s="254" t="s">
        <v>1579</v>
      </c>
      <c r="G853" s="254" t="s">
        <v>1580</v>
      </c>
      <c r="H853" s="254" t="s">
        <v>1630</v>
      </c>
      <c r="I853" s="254" t="s">
        <v>1635</v>
      </c>
      <c r="J853" s="176"/>
      <c r="K853" s="254" t="s">
        <v>1569</v>
      </c>
      <c r="L853" s="254" t="s">
        <v>1636</v>
      </c>
      <c r="M853" s="176"/>
      <c r="N853" s="176"/>
      <c r="O853" s="255" t="s">
        <v>1637</v>
      </c>
    </row>
    <row r="854" spans="1:15" ht="16.149999999999999" customHeight="1" x14ac:dyDescent="0.25">
      <c r="A854" s="172">
        <v>42249</v>
      </c>
      <c r="B854" s="173" t="s">
        <v>49</v>
      </c>
      <c r="C854" s="252" t="s">
        <v>1575</v>
      </c>
      <c r="D854" s="252" t="s">
        <v>1576</v>
      </c>
      <c r="E854" s="252" t="s">
        <v>1586</v>
      </c>
      <c r="F854" s="252" t="s">
        <v>1584</v>
      </c>
      <c r="G854" s="252" t="s">
        <v>1638</v>
      </c>
      <c r="H854" s="252" t="s">
        <v>1637</v>
      </c>
      <c r="I854" s="252" t="s">
        <v>1639</v>
      </c>
      <c r="J854" s="174"/>
      <c r="K854" s="252" t="s">
        <v>1590</v>
      </c>
      <c r="L854" s="252" t="s">
        <v>1589</v>
      </c>
      <c r="M854" s="174"/>
      <c r="N854" s="174"/>
      <c r="O854" s="253" t="s">
        <v>1577</v>
      </c>
    </row>
    <row r="855" spans="1:15" ht="16.149999999999999" customHeight="1" x14ac:dyDescent="0.25">
      <c r="A855" s="172">
        <v>42248</v>
      </c>
      <c r="B855" s="175" t="s">
        <v>49</v>
      </c>
      <c r="C855" s="254" t="s">
        <v>1640</v>
      </c>
      <c r="D855" s="254" t="s">
        <v>1637</v>
      </c>
      <c r="E855" s="254" t="s">
        <v>1586</v>
      </c>
      <c r="F855" s="254" t="s">
        <v>1578</v>
      </c>
      <c r="G855" s="254" t="s">
        <v>1641</v>
      </c>
      <c r="H855" s="254" t="s">
        <v>1642</v>
      </c>
      <c r="I855" s="254" t="s">
        <v>1643</v>
      </c>
      <c r="J855" s="176"/>
      <c r="K855" s="254" t="s">
        <v>1563</v>
      </c>
      <c r="L855" s="254" t="s">
        <v>1636</v>
      </c>
      <c r="M855" s="176"/>
      <c r="N855" s="176"/>
      <c r="O855" s="255" t="s">
        <v>1564</v>
      </c>
    </row>
    <row r="856" spans="1:15" ht="16.149999999999999" customHeight="1" x14ac:dyDescent="0.25">
      <c r="A856" s="172">
        <v>42247</v>
      </c>
      <c r="B856" s="173" t="s">
        <v>49</v>
      </c>
      <c r="C856" s="252" t="s">
        <v>1644</v>
      </c>
      <c r="D856" s="252" t="s">
        <v>1566</v>
      </c>
      <c r="E856" s="252" t="s">
        <v>1566</v>
      </c>
      <c r="F856" s="252" t="s">
        <v>1578</v>
      </c>
      <c r="G856" s="252" t="s">
        <v>1641</v>
      </c>
      <c r="H856" s="252" t="s">
        <v>1645</v>
      </c>
      <c r="I856" s="252" t="s">
        <v>1645</v>
      </c>
      <c r="J856" s="174"/>
      <c r="K856" s="252" t="s">
        <v>1566</v>
      </c>
      <c r="L856" s="252" t="s">
        <v>1636</v>
      </c>
      <c r="M856" s="174"/>
      <c r="N856" s="174"/>
      <c r="O856" s="253" t="s">
        <v>1563</v>
      </c>
    </row>
    <row r="857" spans="1:15" ht="16.149999999999999" customHeight="1" x14ac:dyDescent="0.25">
      <c r="A857" s="172">
        <v>42244</v>
      </c>
      <c r="B857" s="175" t="s">
        <v>49</v>
      </c>
      <c r="C857" s="254" t="s">
        <v>1646</v>
      </c>
      <c r="D857" s="254" t="s">
        <v>1647</v>
      </c>
      <c r="E857" s="254" t="s">
        <v>1586</v>
      </c>
      <c r="F857" s="254" t="s">
        <v>1648</v>
      </c>
      <c r="G857" s="254" t="s">
        <v>1649</v>
      </c>
      <c r="H857" s="254" t="s">
        <v>1649</v>
      </c>
      <c r="I857" s="254" t="s">
        <v>1650</v>
      </c>
      <c r="J857" s="176"/>
      <c r="K857" s="254" t="s">
        <v>1578</v>
      </c>
      <c r="L857" s="254" t="s">
        <v>1651</v>
      </c>
      <c r="M857" s="176"/>
      <c r="N857" s="176"/>
      <c r="O857" s="255" t="s">
        <v>1571</v>
      </c>
    </row>
    <row r="858" spans="1:15" ht="16.149999999999999" customHeight="1" x14ac:dyDescent="0.25">
      <c r="A858" s="172">
        <v>42243</v>
      </c>
      <c r="B858" s="173" t="s">
        <v>49</v>
      </c>
      <c r="C858" s="252" t="s">
        <v>1652</v>
      </c>
      <c r="D858" s="252" t="s">
        <v>1653</v>
      </c>
      <c r="E858" s="252" t="s">
        <v>1569</v>
      </c>
      <c r="F858" s="252" t="s">
        <v>1648</v>
      </c>
      <c r="G858" s="252" t="s">
        <v>1649</v>
      </c>
      <c r="H858" s="252" t="s">
        <v>1569</v>
      </c>
      <c r="I858" s="252" t="s">
        <v>1567</v>
      </c>
      <c r="J858" s="174"/>
      <c r="K858" s="252" t="s">
        <v>1577</v>
      </c>
      <c r="L858" s="252" t="s">
        <v>1651</v>
      </c>
      <c r="M858" s="174"/>
      <c r="N858" s="174"/>
      <c r="O858" s="253" t="s">
        <v>1569</v>
      </c>
    </row>
    <row r="859" spans="1:15" ht="16.149999999999999" customHeight="1" x14ac:dyDescent="0.25">
      <c r="A859" s="172">
        <v>42242</v>
      </c>
      <c r="B859" s="175" t="s">
        <v>49</v>
      </c>
      <c r="C859" s="254" t="s">
        <v>1654</v>
      </c>
      <c r="D859" s="254" t="s">
        <v>1569</v>
      </c>
      <c r="E859" s="254" t="s">
        <v>1569</v>
      </c>
      <c r="F859" s="254" t="s">
        <v>1648</v>
      </c>
      <c r="G859" s="254" t="s">
        <v>1655</v>
      </c>
      <c r="H859" s="254" t="s">
        <v>1569</v>
      </c>
      <c r="I859" s="254" t="s">
        <v>1615</v>
      </c>
      <c r="J859" s="176"/>
      <c r="K859" s="254" t="s">
        <v>1590</v>
      </c>
      <c r="L859" s="254" t="s">
        <v>1566</v>
      </c>
      <c r="M859" s="176"/>
      <c r="N859" s="176"/>
      <c r="O859" s="255" t="s">
        <v>1569</v>
      </c>
    </row>
    <row r="860" spans="1:15" ht="16.149999999999999" customHeight="1" x14ac:dyDescent="0.25">
      <c r="A860" s="172">
        <v>42241</v>
      </c>
      <c r="B860" s="173" t="s">
        <v>49</v>
      </c>
      <c r="C860" s="252" t="s">
        <v>1652</v>
      </c>
      <c r="D860" s="252" t="s">
        <v>1653</v>
      </c>
      <c r="E860" s="252" t="s">
        <v>1590</v>
      </c>
      <c r="F860" s="252" t="s">
        <v>1648</v>
      </c>
      <c r="G860" s="252" t="s">
        <v>1648</v>
      </c>
      <c r="H860" s="252" t="s">
        <v>1647</v>
      </c>
      <c r="I860" s="252" t="s">
        <v>1653</v>
      </c>
      <c r="J860" s="174"/>
      <c r="K860" s="252" t="s">
        <v>1590</v>
      </c>
      <c r="L860" s="252" t="s">
        <v>1569</v>
      </c>
      <c r="M860" s="174"/>
      <c r="N860" s="174"/>
      <c r="O860" s="253" t="s">
        <v>1571</v>
      </c>
    </row>
    <row r="861" spans="1:15" ht="16.149999999999999" customHeight="1" x14ac:dyDescent="0.25">
      <c r="A861" s="172">
        <v>42240</v>
      </c>
      <c r="B861" s="175" t="s">
        <v>49</v>
      </c>
      <c r="C861" s="254" t="s">
        <v>1656</v>
      </c>
      <c r="D861" s="254" t="s">
        <v>1592</v>
      </c>
      <c r="E861" s="254" t="s">
        <v>1563</v>
      </c>
      <c r="F861" s="254" t="s">
        <v>1590</v>
      </c>
      <c r="G861" s="254" t="s">
        <v>1571</v>
      </c>
      <c r="H861" s="254" t="s">
        <v>1563</v>
      </c>
      <c r="I861" s="254" t="s">
        <v>1633</v>
      </c>
      <c r="J861" s="176"/>
      <c r="K861" s="254" t="s">
        <v>1657</v>
      </c>
      <c r="L861" s="254" t="s">
        <v>1563</v>
      </c>
      <c r="M861" s="176"/>
      <c r="N861" s="176"/>
      <c r="O861" s="255" t="s">
        <v>1569</v>
      </c>
    </row>
    <row r="862" spans="1:15" ht="16.149999999999999" customHeight="1" x14ac:dyDescent="0.25">
      <c r="A862" s="172">
        <v>42237</v>
      </c>
      <c r="B862" s="173" t="s">
        <v>49</v>
      </c>
      <c r="C862" s="252" t="s">
        <v>1658</v>
      </c>
      <c r="D862" s="252" t="s">
        <v>1596</v>
      </c>
      <c r="E862" s="252" t="s">
        <v>1596</v>
      </c>
      <c r="F862" s="252" t="s">
        <v>1590</v>
      </c>
      <c r="G862" s="252" t="s">
        <v>1650</v>
      </c>
      <c r="H862" s="252" t="s">
        <v>1593</v>
      </c>
      <c r="I862" s="252" t="s">
        <v>1618</v>
      </c>
      <c r="J862" s="174"/>
      <c r="K862" s="252" t="s">
        <v>1659</v>
      </c>
      <c r="L862" s="252" t="s">
        <v>1563</v>
      </c>
      <c r="M862" s="174"/>
      <c r="N862" s="174"/>
      <c r="O862" s="253" t="s">
        <v>1596</v>
      </c>
    </row>
    <row r="863" spans="1:15" ht="16.149999999999999" customHeight="1" x14ac:dyDescent="0.25">
      <c r="A863" s="172">
        <v>42236</v>
      </c>
      <c r="B863" s="175" t="s">
        <v>49</v>
      </c>
      <c r="C863" s="254" t="s">
        <v>1660</v>
      </c>
      <c r="D863" s="254" t="s">
        <v>1661</v>
      </c>
      <c r="E863" s="254" t="s">
        <v>1574</v>
      </c>
      <c r="F863" s="254" t="s">
        <v>1563</v>
      </c>
      <c r="G863" s="254" t="s">
        <v>1648</v>
      </c>
      <c r="H863" s="254" t="s">
        <v>1609</v>
      </c>
      <c r="I863" s="254" t="s">
        <v>1622</v>
      </c>
      <c r="J863" s="176"/>
      <c r="K863" s="254" t="s">
        <v>1593</v>
      </c>
      <c r="L863" s="254" t="s">
        <v>1566</v>
      </c>
      <c r="M863" s="176"/>
      <c r="N863" s="176"/>
      <c r="O863" s="255" t="s">
        <v>1619</v>
      </c>
    </row>
    <row r="864" spans="1:15" ht="16.149999999999999" customHeight="1" x14ac:dyDescent="0.25">
      <c r="A864" s="172">
        <v>42235</v>
      </c>
      <c r="B864" s="173" t="s">
        <v>49</v>
      </c>
      <c r="C864" s="252" t="s">
        <v>1662</v>
      </c>
      <c r="D864" s="252" t="s">
        <v>1590</v>
      </c>
      <c r="E864" s="252" t="s">
        <v>1590</v>
      </c>
      <c r="F864" s="252" t="s">
        <v>1563</v>
      </c>
      <c r="G864" s="252" t="s">
        <v>1630</v>
      </c>
      <c r="H864" s="252" t="s">
        <v>1609</v>
      </c>
      <c r="I864" s="252" t="s">
        <v>1650</v>
      </c>
      <c r="J864" s="174"/>
      <c r="K864" s="252" t="s">
        <v>1593</v>
      </c>
      <c r="L864" s="252" t="s">
        <v>1586</v>
      </c>
      <c r="M864" s="174"/>
      <c r="N864" s="174"/>
      <c r="O864" s="253" t="s">
        <v>1614</v>
      </c>
    </row>
    <row r="865" spans="1:15" ht="16.149999999999999" customHeight="1" x14ac:dyDescent="0.25">
      <c r="A865" s="172">
        <v>42234</v>
      </c>
      <c r="B865" s="175" t="s">
        <v>49</v>
      </c>
      <c r="C865" s="254" t="s">
        <v>1663</v>
      </c>
      <c r="D865" s="254" t="s">
        <v>1648</v>
      </c>
      <c r="E865" s="254" t="s">
        <v>1563</v>
      </c>
      <c r="F865" s="254" t="s">
        <v>1563</v>
      </c>
      <c r="G865" s="254" t="s">
        <v>1664</v>
      </c>
      <c r="H865" s="254" t="s">
        <v>1566</v>
      </c>
      <c r="I865" s="254" t="s">
        <v>1665</v>
      </c>
      <c r="J865" s="176"/>
      <c r="K865" s="254" t="s">
        <v>1574</v>
      </c>
      <c r="L865" s="254" t="s">
        <v>1564</v>
      </c>
      <c r="M865" s="176"/>
      <c r="N865" s="176"/>
      <c r="O865" s="255" t="s">
        <v>1571</v>
      </c>
    </row>
    <row r="866" spans="1:15" ht="16.149999999999999" customHeight="1" x14ac:dyDescent="0.25">
      <c r="A866" s="172">
        <v>42230</v>
      </c>
      <c r="B866" s="173" t="s">
        <v>49</v>
      </c>
      <c r="C866" s="252" t="s">
        <v>1561</v>
      </c>
      <c r="D866" s="252" t="s">
        <v>1634</v>
      </c>
      <c r="E866" s="252" t="s">
        <v>1586</v>
      </c>
      <c r="F866" s="252" t="s">
        <v>1568</v>
      </c>
      <c r="G866" s="252" t="s">
        <v>1666</v>
      </c>
      <c r="H866" s="252" t="s">
        <v>1564</v>
      </c>
      <c r="I866" s="252" t="s">
        <v>1667</v>
      </c>
      <c r="J866" s="174"/>
      <c r="K866" s="252" t="s">
        <v>1563</v>
      </c>
      <c r="L866" s="252" t="s">
        <v>1568</v>
      </c>
      <c r="M866" s="174"/>
      <c r="N866" s="174"/>
      <c r="O866" s="253" t="s">
        <v>1571</v>
      </c>
    </row>
    <row r="867" spans="1:15" ht="16.149999999999999" customHeight="1" x14ac:dyDescent="0.25">
      <c r="A867" s="172">
        <v>42229</v>
      </c>
      <c r="B867" s="175" t="s">
        <v>49</v>
      </c>
      <c r="C867" s="254" t="s">
        <v>1668</v>
      </c>
      <c r="D867" s="254" t="s">
        <v>1669</v>
      </c>
      <c r="E867" s="254" t="s">
        <v>1609</v>
      </c>
      <c r="F867" s="254" t="s">
        <v>1670</v>
      </c>
      <c r="G867" s="254" t="s">
        <v>1586</v>
      </c>
      <c r="H867" s="254" t="s">
        <v>1583</v>
      </c>
      <c r="I867" s="254" t="s">
        <v>1671</v>
      </c>
      <c r="J867" s="176"/>
      <c r="K867" s="254" t="s">
        <v>1571</v>
      </c>
      <c r="L867" s="254" t="s">
        <v>1579</v>
      </c>
      <c r="M867" s="176"/>
      <c r="N867" s="176"/>
      <c r="O867" s="255" t="s">
        <v>1569</v>
      </c>
    </row>
    <row r="868" spans="1:15" ht="16.149999999999999" customHeight="1" x14ac:dyDescent="0.25">
      <c r="A868" s="172">
        <v>42228</v>
      </c>
      <c r="B868" s="173" t="s">
        <v>49</v>
      </c>
      <c r="C868" s="252" t="s">
        <v>1663</v>
      </c>
      <c r="D868" s="252" t="s">
        <v>1648</v>
      </c>
      <c r="E868" s="252" t="s">
        <v>1603</v>
      </c>
      <c r="F868" s="252" t="s">
        <v>1568</v>
      </c>
      <c r="G868" s="252" t="s">
        <v>1569</v>
      </c>
      <c r="H868" s="252" t="s">
        <v>1564</v>
      </c>
      <c r="I868" s="252" t="s">
        <v>1672</v>
      </c>
      <c r="J868" s="174"/>
      <c r="K868" s="252" t="s">
        <v>1586</v>
      </c>
      <c r="L868" s="252" t="s">
        <v>1579</v>
      </c>
      <c r="M868" s="174"/>
      <c r="N868" s="174"/>
      <c r="O868" s="253" t="s">
        <v>1590</v>
      </c>
    </row>
    <row r="869" spans="1:15" ht="16.149999999999999" customHeight="1" x14ac:dyDescent="0.25">
      <c r="A869" s="172">
        <v>42227</v>
      </c>
      <c r="B869" s="175" t="s">
        <v>49</v>
      </c>
      <c r="C869" s="254" t="s">
        <v>1673</v>
      </c>
      <c r="D869" s="254" t="s">
        <v>1674</v>
      </c>
      <c r="E869" s="254" t="s">
        <v>1659</v>
      </c>
      <c r="F869" s="254" t="s">
        <v>1569</v>
      </c>
      <c r="G869" s="254" t="s">
        <v>1675</v>
      </c>
      <c r="H869" s="254" t="s">
        <v>1563</v>
      </c>
      <c r="I869" s="254" t="s">
        <v>1676</v>
      </c>
      <c r="J869" s="176"/>
      <c r="K869" s="254" t="s">
        <v>1619</v>
      </c>
      <c r="L869" s="254" t="s">
        <v>1569</v>
      </c>
      <c r="M869" s="176"/>
      <c r="N869" s="176"/>
      <c r="O869" s="255" t="s">
        <v>1677</v>
      </c>
    </row>
    <row r="870" spans="1:15" ht="16.149999999999999" customHeight="1" x14ac:dyDescent="0.25">
      <c r="A870" s="172">
        <v>42226</v>
      </c>
      <c r="B870" s="173" t="s">
        <v>49</v>
      </c>
      <c r="C870" s="252" t="s">
        <v>1678</v>
      </c>
      <c r="D870" s="252" t="s">
        <v>1679</v>
      </c>
      <c r="E870" s="252" t="s">
        <v>1680</v>
      </c>
      <c r="F870" s="252" t="s">
        <v>1600</v>
      </c>
      <c r="G870" s="252" t="s">
        <v>1681</v>
      </c>
      <c r="H870" s="252" t="s">
        <v>1603</v>
      </c>
      <c r="I870" s="252" t="s">
        <v>1682</v>
      </c>
      <c r="J870" s="174"/>
      <c r="K870" s="252" t="s">
        <v>1657</v>
      </c>
      <c r="L870" s="252" t="s">
        <v>1590</v>
      </c>
      <c r="M870" s="174"/>
      <c r="N870" s="174"/>
      <c r="O870" s="253" t="s">
        <v>1683</v>
      </c>
    </row>
    <row r="871" spans="1:15" ht="16.149999999999999" customHeight="1" x14ac:dyDescent="0.25">
      <c r="A871" s="172">
        <v>42222</v>
      </c>
      <c r="B871" s="175" t="s">
        <v>49</v>
      </c>
      <c r="C871" s="254" t="s">
        <v>1684</v>
      </c>
      <c r="D871" s="254" t="s">
        <v>1685</v>
      </c>
      <c r="E871" s="254" t="s">
        <v>1574</v>
      </c>
      <c r="F871" s="254" t="s">
        <v>1614</v>
      </c>
      <c r="G871" s="254" t="s">
        <v>1686</v>
      </c>
      <c r="H871" s="254" t="s">
        <v>1686</v>
      </c>
      <c r="I871" s="254" t="s">
        <v>1567</v>
      </c>
      <c r="J871" s="176"/>
      <c r="K871" s="254" t="s">
        <v>1574</v>
      </c>
      <c r="L871" s="254" t="s">
        <v>1566</v>
      </c>
      <c r="M871" s="176"/>
      <c r="N871" s="176"/>
      <c r="O871" s="255" t="s">
        <v>1574</v>
      </c>
    </row>
    <row r="872" spans="1:15" ht="16.149999999999999" customHeight="1" x14ac:dyDescent="0.25">
      <c r="A872" s="172">
        <v>42221</v>
      </c>
      <c r="B872" s="173" t="s">
        <v>49</v>
      </c>
      <c r="C872" s="252" t="s">
        <v>1562</v>
      </c>
      <c r="D872" s="252" t="s">
        <v>1647</v>
      </c>
      <c r="E872" s="252" t="s">
        <v>1569</v>
      </c>
      <c r="F872" s="252" t="s">
        <v>1586</v>
      </c>
      <c r="G872" s="252" t="s">
        <v>1687</v>
      </c>
      <c r="H872" s="252" t="s">
        <v>1563</v>
      </c>
      <c r="I872" s="252" t="s">
        <v>1571</v>
      </c>
      <c r="J872" s="174"/>
      <c r="K872" s="252" t="s">
        <v>1590</v>
      </c>
      <c r="L872" s="252" t="s">
        <v>1566</v>
      </c>
      <c r="M872" s="174"/>
      <c r="N872" s="174"/>
      <c r="O872" s="253" t="s">
        <v>1586</v>
      </c>
    </row>
    <row r="873" spans="1:15" ht="16.149999999999999" customHeight="1" x14ac:dyDescent="0.25">
      <c r="A873" s="172">
        <v>42220</v>
      </c>
      <c r="B873" s="175" t="s">
        <v>49</v>
      </c>
      <c r="C873" s="254" t="s">
        <v>1688</v>
      </c>
      <c r="D873" s="254" t="s">
        <v>1568</v>
      </c>
      <c r="E873" s="254" t="s">
        <v>1564</v>
      </c>
      <c r="F873" s="254" t="s">
        <v>1689</v>
      </c>
      <c r="G873" s="254" t="s">
        <v>1690</v>
      </c>
      <c r="H873" s="254" t="s">
        <v>1579</v>
      </c>
      <c r="I873" s="254" t="s">
        <v>1691</v>
      </c>
      <c r="J873" s="176"/>
      <c r="K873" s="254" t="s">
        <v>1564</v>
      </c>
      <c r="L873" s="254" t="s">
        <v>1566</v>
      </c>
      <c r="M873" s="176"/>
      <c r="N873" s="176"/>
      <c r="O873" s="255" t="s">
        <v>1579</v>
      </c>
    </row>
    <row r="874" spans="1:15" ht="16.149999999999999" customHeight="1" x14ac:dyDescent="0.25">
      <c r="A874" s="172">
        <v>42219</v>
      </c>
      <c r="B874" s="173" t="s">
        <v>49</v>
      </c>
      <c r="C874" s="252" t="s">
        <v>1661</v>
      </c>
      <c r="D874" s="252" t="s">
        <v>1692</v>
      </c>
      <c r="E874" s="252" t="s">
        <v>1693</v>
      </c>
      <c r="F874" s="252" t="s">
        <v>1694</v>
      </c>
      <c r="G874" s="252" t="s">
        <v>1695</v>
      </c>
      <c r="H874" s="252" t="s">
        <v>1579</v>
      </c>
      <c r="I874" s="252" t="s">
        <v>1696</v>
      </c>
      <c r="J874" s="174"/>
      <c r="K874" s="252" t="s">
        <v>1564</v>
      </c>
      <c r="L874" s="252" t="s">
        <v>1586</v>
      </c>
      <c r="M874" s="174"/>
      <c r="N874" s="174"/>
      <c r="O874" s="253" t="s">
        <v>1697</v>
      </c>
    </row>
    <row r="875" spans="1:15" ht="16.149999999999999" customHeight="1" x14ac:dyDescent="0.25">
      <c r="A875" s="172">
        <v>42216</v>
      </c>
      <c r="B875" s="175" t="s">
        <v>49</v>
      </c>
      <c r="C875" s="254" t="s">
        <v>1698</v>
      </c>
      <c r="D875" s="254" t="s">
        <v>1699</v>
      </c>
      <c r="E875" s="254" t="s">
        <v>1700</v>
      </c>
      <c r="F875" s="254" t="s">
        <v>1694</v>
      </c>
      <c r="G875" s="254" t="s">
        <v>1701</v>
      </c>
      <c r="H875" s="254" t="s">
        <v>1702</v>
      </c>
      <c r="I875" s="254" t="s">
        <v>1703</v>
      </c>
      <c r="J875" s="176"/>
      <c r="K875" s="254" t="s">
        <v>1704</v>
      </c>
      <c r="L875" s="254" t="s">
        <v>1693</v>
      </c>
      <c r="M875" s="176"/>
      <c r="N875" s="176"/>
      <c r="O875" s="255" t="s">
        <v>1694</v>
      </c>
    </row>
    <row r="876" spans="1:15" ht="16.149999999999999" customHeight="1" x14ac:dyDescent="0.25">
      <c r="A876" s="172">
        <v>42215</v>
      </c>
      <c r="B876" s="173" t="s">
        <v>49</v>
      </c>
      <c r="C876" s="252" t="s">
        <v>1705</v>
      </c>
      <c r="D876" s="252" t="s">
        <v>1694</v>
      </c>
      <c r="E876" s="252" t="s">
        <v>1700</v>
      </c>
      <c r="F876" s="252" t="s">
        <v>1706</v>
      </c>
      <c r="G876" s="252" t="s">
        <v>1701</v>
      </c>
      <c r="H876" s="252" t="s">
        <v>1694</v>
      </c>
      <c r="I876" s="252" t="s">
        <v>1707</v>
      </c>
      <c r="J876" s="174"/>
      <c r="K876" s="252" t="s">
        <v>1706</v>
      </c>
      <c r="L876" s="252" t="s">
        <v>1694</v>
      </c>
      <c r="M876" s="174"/>
      <c r="N876" s="174"/>
      <c r="O876" s="253" t="s">
        <v>1694</v>
      </c>
    </row>
    <row r="877" spans="1:15" ht="16.149999999999999" customHeight="1" x14ac:dyDescent="0.25">
      <c r="A877" s="172">
        <v>42214</v>
      </c>
      <c r="B877" s="175" t="s">
        <v>49</v>
      </c>
      <c r="C877" s="254" t="s">
        <v>1698</v>
      </c>
      <c r="D877" s="254" t="s">
        <v>1699</v>
      </c>
      <c r="E877" s="254" t="s">
        <v>1699</v>
      </c>
      <c r="F877" s="254" t="s">
        <v>1708</v>
      </c>
      <c r="G877" s="254" t="s">
        <v>1706</v>
      </c>
      <c r="H877" s="254" t="s">
        <v>1695</v>
      </c>
      <c r="I877" s="254" t="s">
        <v>1699</v>
      </c>
      <c r="J877" s="176"/>
      <c r="K877" s="254" t="s">
        <v>1707</v>
      </c>
      <c r="L877" s="254" t="s">
        <v>1694</v>
      </c>
      <c r="M877" s="176"/>
      <c r="N877" s="176"/>
      <c r="O877" s="255" t="s">
        <v>1694</v>
      </c>
    </row>
    <row r="878" spans="1:15" ht="16.149999999999999" customHeight="1" x14ac:dyDescent="0.25">
      <c r="A878" s="172">
        <v>42213</v>
      </c>
      <c r="B878" s="173" t="s">
        <v>49</v>
      </c>
      <c r="C878" s="252" t="s">
        <v>1671</v>
      </c>
      <c r="D878" s="252" t="s">
        <v>1701</v>
      </c>
      <c r="E878" s="252" t="s">
        <v>1694</v>
      </c>
      <c r="F878" s="252" t="s">
        <v>1709</v>
      </c>
      <c r="G878" s="252" t="s">
        <v>1710</v>
      </c>
      <c r="H878" s="252" t="s">
        <v>1711</v>
      </c>
      <c r="I878" s="252" t="s">
        <v>1712</v>
      </c>
      <c r="J878" s="174"/>
      <c r="K878" s="252" t="s">
        <v>1706</v>
      </c>
      <c r="L878" s="252" t="s">
        <v>1694</v>
      </c>
      <c r="M878" s="174"/>
      <c r="N878" s="174"/>
      <c r="O878" s="253" t="s">
        <v>1713</v>
      </c>
    </row>
    <row r="879" spans="1:15" ht="16.149999999999999" customHeight="1" x14ac:dyDescent="0.25">
      <c r="A879" s="172">
        <v>42212</v>
      </c>
      <c r="B879" s="175" t="s">
        <v>49</v>
      </c>
      <c r="C879" s="254" t="s">
        <v>1579</v>
      </c>
      <c r="D879" s="254" t="s">
        <v>1714</v>
      </c>
      <c r="E879" s="254" t="s">
        <v>1702</v>
      </c>
      <c r="F879" s="254" t="s">
        <v>1709</v>
      </c>
      <c r="G879" s="254" t="s">
        <v>1715</v>
      </c>
      <c r="H879" s="254" t="s">
        <v>1701</v>
      </c>
      <c r="I879" s="254" t="s">
        <v>1716</v>
      </c>
      <c r="J879" s="176"/>
      <c r="K879" s="254" t="s">
        <v>1717</v>
      </c>
      <c r="L879" s="254" t="s">
        <v>1694</v>
      </c>
      <c r="M879" s="176"/>
      <c r="N879" s="176"/>
      <c r="O879" s="255" t="s">
        <v>1713</v>
      </c>
    </row>
    <row r="880" spans="1:15" ht="16.149999999999999" customHeight="1" x14ac:dyDescent="0.25">
      <c r="A880" s="172">
        <v>42209</v>
      </c>
      <c r="B880" s="173" t="s">
        <v>49</v>
      </c>
      <c r="C880" s="252" t="s">
        <v>1718</v>
      </c>
      <c r="D880" s="252" t="s">
        <v>1710</v>
      </c>
      <c r="E880" s="252" t="s">
        <v>1710</v>
      </c>
      <c r="F880" s="252" t="s">
        <v>1694</v>
      </c>
      <c r="G880" s="252" t="s">
        <v>1719</v>
      </c>
      <c r="H880" s="252" t="s">
        <v>1717</v>
      </c>
      <c r="I880" s="252" t="s">
        <v>1717</v>
      </c>
      <c r="J880" s="174"/>
      <c r="K880" s="252" t="s">
        <v>1707</v>
      </c>
      <c r="L880" s="252" t="s">
        <v>1717</v>
      </c>
      <c r="M880" s="174"/>
      <c r="N880" s="174"/>
      <c r="O880" s="253" t="s">
        <v>1694</v>
      </c>
    </row>
    <row r="881" spans="1:15" ht="16.149999999999999" customHeight="1" x14ac:dyDescent="0.25">
      <c r="A881" s="172">
        <v>42208</v>
      </c>
      <c r="B881" s="175" t="s">
        <v>49</v>
      </c>
      <c r="C881" s="254" t="s">
        <v>1670</v>
      </c>
      <c r="D881" s="254" t="s">
        <v>1709</v>
      </c>
      <c r="E881" s="254" t="s">
        <v>1720</v>
      </c>
      <c r="F881" s="254" t="s">
        <v>1721</v>
      </c>
      <c r="G881" s="254" t="s">
        <v>1722</v>
      </c>
      <c r="H881" s="254" t="s">
        <v>1714</v>
      </c>
      <c r="I881" s="254" t="s">
        <v>1709</v>
      </c>
      <c r="J881" s="176"/>
      <c r="K881" s="254" t="s">
        <v>1717</v>
      </c>
      <c r="L881" s="254" t="s">
        <v>1717</v>
      </c>
      <c r="M881" s="176"/>
      <c r="N881" s="176"/>
      <c r="O881" s="255" t="s">
        <v>1713</v>
      </c>
    </row>
    <row r="882" spans="1:15" ht="16.149999999999999" customHeight="1" x14ac:dyDescent="0.25">
      <c r="A882" s="172">
        <v>42207</v>
      </c>
      <c r="B882" s="173" t="s">
        <v>49</v>
      </c>
      <c r="C882" s="252" t="s">
        <v>1578</v>
      </c>
      <c r="D882" s="252" t="s">
        <v>1713</v>
      </c>
      <c r="E882" s="252" t="s">
        <v>1709</v>
      </c>
      <c r="F882" s="252" t="s">
        <v>1721</v>
      </c>
      <c r="G882" s="252" t="s">
        <v>1722</v>
      </c>
      <c r="H882" s="252" t="s">
        <v>1717</v>
      </c>
      <c r="I882" s="252" t="s">
        <v>1723</v>
      </c>
      <c r="J882" s="174"/>
      <c r="K882" s="252" t="s">
        <v>1713</v>
      </c>
      <c r="L882" s="252" t="s">
        <v>1717</v>
      </c>
      <c r="M882" s="174"/>
      <c r="N882" s="174"/>
      <c r="O882" s="253" t="s">
        <v>1713</v>
      </c>
    </row>
    <row r="883" spans="1:15" ht="16.149999999999999" customHeight="1" x14ac:dyDescent="0.25">
      <c r="A883" s="172">
        <v>42206</v>
      </c>
      <c r="B883" s="175" t="s">
        <v>49</v>
      </c>
      <c r="C883" s="254" t="s">
        <v>1724</v>
      </c>
      <c r="D883" s="254" t="s">
        <v>1719</v>
      </c>
      <c r="E883" s="254" t="s">
        <v>1719</v>
      </c>
      <c r="F883" s="254" t="s">
        <v>1721</v>
      </c>
      <c r="G883" s="254" t="s">
        <v>1721</v>
      </c>
      <c r="H883" s="254" t="s">
        <v>1717</v>
      </c>
      <c r="I883" s="254" t="s">
        <v>1720</v>
      </c>
      <c r="J883" s="176"/>
      <c r="K883" s="254" t="s">
        <v>1713</v>
      </c>
      <c r="L883" s="254" t="s">
        <v>1717</v>
      </c>
      <c r="M883" s="176"/>
      <c r="N883" s="176"/>
      <c r="O883" s="255" t="s">
        <v>1713</v>
      </c>
    </row>
    <row r="884" spans="1:15" ht="16.149999999999999" customHeight="1" x14ac:dyDescent="0.25">
      <c r="A884" s="172">
        <v>42202</v>
      </c>
      <c r="B884" s="173" t="s">
        <v>49</v>
      </c>
      <c r="C884" s="252" t="s">
        <v>1578</v>
      </c>
      <c r="D884" s="252" t="s">
        <v>1713</v>
      </c>
      <c r="E884" s="252" t="s">
        <v>1719</v>
      </c>
      <c r="F884" s="252" t="s">
        <v>1721</v>
      </c>
      <c r="G884" s="252" t="s">
        <v>1721</v>
      </c>
      <c r="H884" s="252" t="s">
        <v>1715</v>
      </c>
      <c r="I884" s="252" t="s">
        <v>1723</v>
      </c>
      <c r="J884" s="174"/>
      <c r="K884" s="252" t="s">
        <v>1713</v>
      </c>
      <c r="L884" s="252" t="s">
        <v>1717</v>
      </c>
      <c r="M884" s="174"/>
      <c r="N884" s="174"/>
      <c r="O884" s="253" t="s">
        <v>1713</v>
      </c>
    </row>
    <row r="885" spans="1:15" ht="16.149999999999999" customHeight="1" x14ac:dyDescent="0.25">
      <c r="A885" s="172">
        <v>42201</v>
      </c>
      <c r="B885" s="175" t="s">
        <v>49</v>
      </c>
      <c r="C885" s="254" t="s">
        <v>1578</v>
      </c>
      <c r="D885" s="254" t="s">
        <v>1713</v>
      </c>
      <c r="E885" s="254" t="s">
        <v>1722</v>
      </c>
      <c r="F885" s="254" t="s">
        <v>1721</v>
      </c>
      <c r="G885" s="254" t="s">
        <v>1721</v>
      </c>
      <c r="H885" s="254" t="s">
        <v>1720</v>
      </c>
      <c r="I885" s="254" t="s">
        <v>1720</v>
      </c>
      <c r="J885" s="176"/>
      <c r="K885" s="254" t="s">
        <v>1713</v>
      </c>
      <c r="L885" s="254" t="s">
        <v>1717</v>
      </c>
      <c r="M885" s="176"/>
      <c r="N885" s="176"/>
      <c r="O885" s="255" t="s">
        <v>1713</v>
      </c>
    </row>
    <row r="886" spans="1:15" ht="16.149999999999999" customHeight="1" x14ac:dyDescent="0.25">
      <c r="A886" s="172">
        <v>42200</v>
      </c>
      <c r="B886" s="173" t="s">
        <v>49</v>
      </c>
      <c r="C886" s="252" t="s">
        <v>1578</v>
      </c>
      <c r="D886" s="252" t="s">
        <v>1713</v>
      </c>
      <c r="E886" s="252" t="s">
        <v>1722</v>
      </c>
      <c r="F886" s="252" t="s">
        <v>1721</v>
      </c>
      <c r="G886" s="252" t="s">
        <v>1713</v>
      </c>
      <c r="H886" s="252" t="s">
        <v>1720</v>
      </c>
      <c r="I886" s="252" t="s">
        <v>1725</v>
      </c>
      <c r="J886" s="174"/>
      <c r="K886" s="252" t="s">
        <v>1706</v>
      </c>
      <c r="L886" s="252" t="s">
        <v>1717</v>
      </c>
      <c r="M886" s="174"/>
      <c r="N886" s="174"/>
      <c r="O886" s="253" t="s">
        <v>1713</v>
      </c>
    </row>
    <row r="887" spans="1:15" ht="16.149999999999999" customHeight="1" x14ac:dyDescent="0.25">
      <c r="A887" s="172">
        <v>42199</v>
      </c>
      <c r="B887" s="175" t="s">
        <v>49</v>
      </c>
      <c r="C887" s="254" t="s">
        <v>1578</v>
      </c>
      <c r="D887" s="254" t="s">
        <v>1713</v>
      </c>
      <c r="E887" s="254" t="s">
        <v>1713</v>
      </c>
      <c r="F887" s="254" t="s">
        <v>1721</v>
      </c>
      <c r="G887" s="254" t="s">
        <v>1713</v>
      </c>
      <c r="H887" s="254" t="s">
        <v>1708</v>
      </c>
      <c r="I887" s="254" t="s">
        <v>1713</v>
      </c>
      <c r="J887" s="176"/>
      <c r="K887" s="254" t="s">
        <v>1713</v>
      </c>
      <c r="L887" s="254" t="s">
        <v>1717</v>
      </c>
      <c r="M887" s="176"/>
      <c r="N887" s="176"/>
      <c r="O887" s="255" t="s">
        <v>1713</v>
      </c>
    </row>
    <row r="888" spans="1:15" ht="16.149999999999999" customHeight="1" x14ac:dyDescent="0.25">
      <c r="A888" s="172">
        <v>42198</v>
      </c>
      <c r="B888" s="173" t="s">
        <v>49</v>
      </c>
      <c r="C888" s="252" t="s">
        <v>1578</v>
      </c>
      <c r="D888" s="252" t="s">
        <v>1713</v>
      </c>
      <c r="E888" s="252" t="s">
        <v>1713</v>
      </c>
      <c r="F888" s="252" t="s">
        <v>1725</v>
      </c>
      <c r="G888" s="252" t="s">
        <v>1713</v>
      </c>
      <c r="H888" s="252" t="s">
        <v>1706</v>
      </c>
      <c r="I888" s="252" t="s">
        <v>1723</v>
      </c>
      <c r="J888" s="174"/>
      <c r="K888" s="252" t="s">
        <v>1713</v>
      </c>
      <c r="L888" s="252" t="s">
        <v>1694</v>
      </c>
      <c r="M888" s="174"/>
      <c r="N888" s="174"/>
      <c r="O888" s="253" t="s">
        <v>1713</v>
      </c>
    </row>
    <row r="889" spans="1:15" ht="16.149999999999999" customHeight="1" x14ac:dyDescent="0.25">
      <c r="A889" s="172">
        <v>42195</v>
      </c>
      <c r="B889" s="175" t="s">
        <v>49</v>
      </c>
      <c r="C889" s="254" t="s">
        <v>1578</v>
      </c>
      <c r="D889" s="254" t="s">
        <v>1713</v>
      </c>
      <c r="E889" s="254" t="s">
        <v>1713</v>
      </c>
      <c r="F889" s="254" t="s">
        <v>1725</v>
      </c>
      <c r="G889" s="254" t="s">
        <v>1713</v>
      </c>
      <c r="H889" s="254" t="s">
        <v>1713</v>
      </c>
      <c r="I889" s="254" t="s">
        <v>1726</v>
      </c>
      <c r="J889" s="176"/>
      <c r="K889" s="254" t="s">
        <v>1713</v>
      </c>
      <c r="L889" s="254" t="s">
        <v>1694</v>
      </c>
      <c r="M889" s="176"/>
      <c r="N889" s="176"/>
      <c r="O889" s="255" t="s">
        <v>1713</v>
      </c>
    </row>
    <row r="890" spans="1:15" ht="16.149999999999999" customHeight="1" x14ac:dyDescent="0.25">
      <c r="A890" s="172">
        <v>42194</v>
      </c>
      <c r="B890" s="173" t="s">
        <v>49</v>
      </c>
      <c r="C890" s="252" t="s">
        <v>1578</v>
      </c>
      <c r="D890" s="252" t="s">
        <v>1713</v>
      </c>
      <c r="E890" s="252" t="s">
        <v>1713</v>
      </c>
      <c r="F890" s="252" t="s">
        <v>1726</v>
      </c>
      <c r="G890" s="252" t="s">
        <v>1713</v>
      </c>
      <c r="H890" s="252" t="s">
        <v>1723</v>
      </c>
      <c r="I890" s="252" t="s">
        <v>1719</v>
      </c>
      <c r="J890" s="174"/>
      <c r="K890" s="252" t="s">
        <v>1713</v>
      </c>
      <c r="L890" s="252" t="s">
        <v>1694</v>
      </c>
      <c r="M890" s="174"/>
      <c r="N890" s="174"/>
      <c r="O890" s="253" t="s">
        <v>1726</v>
      </c>
    </row>
    <row r="891" spans="1:15" ht="16.149999999999999" customHeight="1" x14ac:dyDescent="0.25">
      <c r="A891" s="172">
        <v>42193</v>
      </c>
      <c r="B891" s="175" t="s">
        <v>49</v>
      </c>
      <c r="C891" s="254" t="s">
        <v>1578</v>
      </c>
      <c r="D891" s="254" t="s">
        <v>1713</v>
      </c>
      <c r="E891" s="254" t="s">
        <v>1713</v>
      </c>
      <c r="F891" s="254" t="s">
        <v>1713</v>
      </c>
      <c r="G891" s="254" t="s">
        <v>1713</v>
      </c>
      <c r="H891" s="254" t="s">
        <v>1722</v>
      </c>
      <c r="I891" s="254" t="s">
        <v>1727</v>
      </c>
      <c r="J891" s="176"/>
      <c r="K891" s="254" t="s">
        <v>1713</v>
      </c>
      <c r="L891" s="254" t="s">
        <v>1728</v>
      </c>
      <c r="M891" s="176"/>
      <c r="N891" s="176"/>
      <c r="O891" s="255" t="s">
        <v>1726</v>
      </c>
    </row>
    <row r="892" spans="1:15" ht="16.149999999999999" customHeight="1" x14ac:dyDescent="0.25">
      <c r="A892" s="172">
        <v>42192</v>
      </c>
      <c r="B892" s="173" t="s">
        <v>49</v>
      </c>
      <c r="C892" s="252" t="s">
        <v>1578</v>
      </c>
      <c r="D892" s="252" t="s">
        <v>1713</v>
      </c>
      <c r="E892" s="252" t="s">
        <v>1713</v>
      </c>
      <c r="F892" s="252" t="s">
        <v>1729</v>
      </c>
      <c r="G892" s="252" t="s">
        <v>1722</v>
      </c>
      <c r="H892" s="252" t="s">
        <v>1722</v>
      </c>
      <c r="I892" s="252" t="s">
        <v>1709</v>
      </c>
      <c r="J892" s="174"/>
      <c r="K892" s="252" t="s">
        <v>1713</v>
      </c>
      <c r="L892" s="252" t="s">
        <v>1717</v>
      </c>
      <c r="M892" s="174"/>
      <c r="N892" s="174"/>
      <c r="O892" s="253" t="s">
        <v>1717</v>
      </c>
    </row>
    <row r="893" spans="1:15" ht="16.149999999999999" customHeight="1" x14ac:dyDescent="0.25">
      <c r="A893" s="172">
        <v>42191</v>
      </c>
      <c r="B893" s="175" t="s">
        <v>49</v>
      </c>
      <c r="C893" s="254" t="s">
        <v>1697</v>
      </c>
      <c r="D893" s="254" t="s">
        <v>1721</v>
      </c>
      <c r="E893" s="254" t="s">
        <v>1713</v>
      </c>
      <c r="F893" s="254" t="s">
        <v>1730</v>
      </c>
      <c r="G893" s="254" t="s">
        <v>1725</v>
      </c>
      <c r="H893" s="254" t="s">
        <v>1721</v>
      </c>
      <c r="I893" s="254" t="s">
        <v>1728</v>
      </c>
      <c r="J893" s="176"/>
      <c r="K893" s="254" t="s">
        <v>1713</v>
      </c>
      <c r="L893" s="254" t="s">
        <v>1717</v>
      </c>
      <c r="M893" s="176"/>
      <c r="N893" s="176"/>
      <c r="O893" s="255" t="s">
        <v>1731</v>
      </c>
    </row>
    <row r="894" spans="1:15" ht="16.149999999999999" customHeight="1" x14ac:dyDescent="0.25">
      <c r="A894" s="172">
        <v>42188</v>
      </c>
      <c r="B894" s="173" t="s">
        <v>49</v>
      </c>
      <c r="C894" s="252" t="s">
        <v>1732</v>
      </c>
      <c r="D894" s="252" t="s">
        <v>1723</v>
      </c>
      <c r="E894" s="252" t="s">
        <v>1713</v>
      </c>
      <c r="F894" s="252" t="s">
        <v>1730</v>
      </c>
      <c r="G894" s="252" t="s">
        <v>1723</v>
      </c>
      <c r="H894" s="252" t="s">
        <v>1723</v>
      </c>
      <c r="I894" s="252" t="s">
        <v>1728</v>
      </c>
      <c r="J894" s="174"/>
      <c r="K894" s="252" t="s">
        <v>1713</v>
      </c>
      <c r="L894" s="252" t="s">
        <v>1694</v>
      </c>
      <c r="M894" s="174"/>
      <c r="N894" s="174"/>
      <c r="O894" s="253" t="s">
        <v>1731</v>
      </c>
    </row>
    <row r="895" spans="1:15" ht="16.149999999999999" customHeight="1" x14ac:dyDescent="0.25">
      <c r="A895" s="172">
        <v>42187</v>
      </c>
      <c r="B895" s="175" t="s">
        <v>49</v>
      </c>
      <c r="C895" s="254" t="s">
        <v>1631</v>
      </c>
      <c r="D895" s="254" t="s">
        <v>1726</v>
      </c>
      <c r="E895" s="254" t="s">
        <v>1726</v>
      </c>
      <c r="F895" s="254" t="s">
        <v>1728</v>
      </c>
      <c r="G895" s="254" t="s">
        <v>1726</v>
      </c>
      <c r="H895" s="254" t="s">
        <v>1726</v>
      </c>
      <c r="I895" s="254" t="s">
        <v>1722</v>
      </c>
      <c r="J895" s="176"/>
      <c r="K895" s="254" t="s">
        <v>1717</v>
      </c>
      <c r="L895" s="254" t="s">
        <v>1694</v>
      </c>
      <c r="M895" s="176"/>
      <c r="N895" s="176"/>
      <c r="O895" s="255" t="s">
        <v>1731</v>
      </c>
    </row>
    <row r="896" spans="1:15" ht="16.149999999999999" customHeight="1" x14ac:dyDescent="0.25">
      <c r="A896" s="172">
        <v>42186</v>
      </c>
      <c r="B896" s="173" t="s">
        <v>49</v>
      </c>
      <c r="C896" s="252" t="s">
        <v>1733</v>
      </c>
      <c r="D896" s="252" t="s">
        <v>1727</v>
      </c>
      <c r="E896" s="252" t="s">
        <v>1727</v>
      </c>
      <c r="F896" s="252" t="s">
        <v>1734</v>
      </c>
      <c r="G896" s="252" t="s">
        <v>1729</v>
      </c>
      <c r="H896" s="252" t="s">
        <v>1727</v>
      </c>
      <c r="I896" s="252" t="s">
        <v>1735</v>
      </c>
      <c r="J896" s="174"/>
      <c r="K896" s="252" t="s">
        <v>1713</v>
      </c>
      <c r="L896" s="252" t="s">
        <v>1726</v>
      </c>
      <c r="M896" s="174"/>
      <c r="N896" s="174"/>
      <c r="O896" s="253" t="s">
        <v>1731</v>
      </c>
    </row>
    <row r="897" spans="1:15" ht="16.149999999999999" customHeight="1" x14ac:dyDescent="0.25">
      <c r="A897" s="172">
        <v>42185</v>
      </c>
      <c r="B897" s="175" t="s">
        <v>49</v>
      </c>
      <c r="C897" s="254" t="s">
        <v>1736</v>
      </c>
      <c r="D897" s="254" t="s">
        <v>1729</v>
      </c>
      <c r="E897" s="254" t="s">
        <v>1726</v>
      </c>
      <c r="F897" s="254" t="s">
        <v>1734</v>
      </c>
      <c r="G897" s="254" t="s">
        <v>1729</v>
      </c>
      <c r="H897" s="254" t="s">
        <v>1729</v>
      </c>
      <c r="I897" s="254" t="s">
        <v>1719</v>
      </c>
      <c r="J897" s="176"/>
      <c r="K897" s="254" t="s">
        <v>1713</v>
      </c>
      <c r="L897" s="254" t="s">
        <v>1737</v>
      </c>
      <c r="M897" s="176"/>
      <c r="N897" s="176"/>
      <c r="O897" s="255" t="s">
        <v>1731</v>
      </c>
    </row>
    <row r="898" spans="1:15" ht="16.149999999999999" customHeight="1" x14ac:dyDescent="0.25">
      <c r="A898" s="172">
        <v>42181</v>
      </c>
      <c r="B898" s="173" t="s">
        <v>49</v>
      </c>
      <c r="C898" s="252" t="s">
        <v>1584</v>
      </c>
      <c r="D898" s="252" t="s">
        <v>1731</v>
      </c>
      <c r="E898" s="252" t="s">
        <v>1728</v>
      </c>
      <c r="F898" s="252" t="s">
        <v>1734</v>
      </c>
      <c r="G898" s="252" t="s">
        <v>1729</v>
      </c>
      <c r="H898" s="252" t="s">
        <v>1734</v>
      </c>
      <c r="I898" s="252" t="s">
        <v>1738</v>
      </c>
      <c r="J898" s="174"/>
      <c r="K898" s="252" t="s">
        <v>1713</v>
      </c>
      <c r="L898" s="252" t="s">
        <v>1717</v>
      </c>
      <c r="M898" s="174"/>
      <c r="N898" s="174"/>
      <c r="O898" s="253" t="s">
        <v>1731</v>
      </c>
    </row>
    <row r="899" spans="1:15" ht="16.149999999999999" customHeight="1" x14ac:dyDescent="0.25">
      <c r="A899" s="172">
        <v>42180</v>
      </c>
      <c r="B899" s="175" t="s">
        <v>49</v>
      </c>
      <c r="C899" s="254" t="s">
        <v>1739</v>
      </c>
      <c r="D899" s="254" t="s">
        <v>1731</v>
      </c>
      <c r="E899" s="254" t="s">
        <v>1731</v>
      </c>
      <c r="F899" s="254" t="s">
        <v>1738</v>
      </c>
      <c r="G899" s="254" t="s">
        <v>1729</v>
      </c>
      <c r="H899" s="254" t="s">
        <v>1734</v>
      </c>
      <c r="I899" s="254" t="s">
        <v>1722</v>
      </c>
      <c r="J899" s="176"/>
      <c r="K899" s="254" t="s">
        <v>1726</v>
      </c>
      <c r="L899" s="254" t="s">
        <v>1728</v>
      </c>
      <c r="M899" s="176"/>
      <c r="N899" s="176"/>
      <c r="O899" s="255" t="s">
        <v>1731</v>
      </c>
    </row>
    <row r="900" spans="1:15" ht="16.149999999999999" customHeight="1" x14ac:dyDescent="0.25">
      <c r="A900" s="172">
        <v>42179</v>
      </c>
      <c r="B900" s="173" t="s">
        <v>49</v>
      </c>
      <c r="C900" s="252" t="s">
        <v>1740</v>
      </c>
      <c r="D900" s="252" t="s">
        <v>1730</v>
      </c>
      <c r="E900" s="252" t="s">
        <v>1728</v>
      </c>
      <c r="F900" s="252" t="s">
        <v>1737</v>
      </c>
      <c r="G900" s="252" t="s">
        <v>1729</v>
      </c>
      <c r="H900" s="252" t="s">
        <v>1729</v>
      </c>
      <c r="I900" s="252" t="s">
        <v>1734</v>
      </c>
      <c r="J900" s="174"/>
      <c r="K900" s="252" t="s">
        <v>1713</v>
      </c>
      <c r="L900" s="252" t="s">
        <v>1726</v>
      </c>
      <c r="M900" s="174"/>
      <c r="N900" s="174"/>
      <c r="O900" s="253" t="s">
        <v>1731</v>
      </c>
    </row>
    <row r="901" spans="1:15" ht="16.149999999999999" customHeight="1" x14ac:dyDescent="0.25">
      <c r="A901" s="172">
        <v>42178</v>
      </c>
      <c r="B901" s="175" t="s">
        <v>49</v>
      </c>
      <c r="C901" s="254" t="s">
        <v>1739</v>
      </c>
      <c r="D901" s="254" t="s">
        <v>1731</v>
      </c>
      <c r="E901" s="254" t="s">
        <v>1728</v>
      </c>
      <c r="F901" s="254" t="s">
        <v>1737</v>
      </c>
      <c r="G901" s="254" t="s">
        <v>1727</v>
      </c>
      <c r="H901" s="254" t="s">
        <v>1731</v>
      </c>
      <c r="I901" s="254" t="s">
        <v>1723</v>
      </c>
      <c r="J901" s="176"/>
      <c r="K901" s="254" t="s">
        <v>1713</v>
      </c>
      <c r="L901" s="254" t="s">
        <v>1728</v>
      </c>
      <c r="M901" s="176"/>
      <c r="N901" s="176"/>
      <c r="O901" s="255" t="s">
        <v>1731</v>
      </c>
    </row>
    <row r="902" spans="1:15" ht="16.149999999999999" customHeight="1" x14ac:dyDescent="0.25">
      <c r="A902" s="172">
        <v>42177</v>
      </c>
      <c r="B902" s="173" t="s">
        <v>49</v>
      </c>
      <c r="C902" s="252" t="s">
        <v>1739</v>
      </c>
      <c r="D902" s="252" t="s">
        <v>1731</v>
      </c>
      <c r="E902" s="252" t="s">
        <v>1734</v>
      </c>
      <c r="F902" s="252" t="s">
        <v>1737</v>
      </c>
      <c r="G902" s="252" t="s">
        <v>1727</v>
      </c>
      <c r="H902" s="252" t="s">
        <v>1731</v>
      </c>
      <c r="I902" s="252" t="s">
        <v>1741</v>
      </c>
      <c r="J902" s="174"/>
      <c r="K902" s="252" t="s">
        <v>1713</v>
      </c>
      <c r="L902" s="252" t="s">
        <v>1728</v>
      </c>
      <c r="M902" s="174"/>
      <c r="N902" s="174"/>
      <c r="O902" s="253" t="s">
        <v>1731</v>
      </c>
    </row>
    <row r="903" spans="1:15" ht="16.149999999999999" customHeight="1" x14ac:dyDescent="0.25">
      <c r="A903" s="172">
        <v>42174</v>
      </c>
      <c r="B903" s="175" t="s">
        <v>49</v>
      </c>
      <c r="C903" s="254" t="s">
        <v>1742</v>
      </c>
      <c r="D903" s="254" t="s">
        <v>1728</v>
      </c>
      <c r="E903" s="254" t="s">
        <v>1738</v>
      </c>
      <c r="F903" s="254" t="s">
        <v>1743</v>
      </c>
      <c r="G903" s="254" t="s">
        <v>1727</v>
      </c>
      <c r="H903" s="254" t="s">
        <v>1735</v>
      </c>
      <c r="I903" s="254" t="s">
        <v>1727</v>
      </c>
      <c r="J903" s="176"/>
      <c r="K903" s="254" t="s">
        <v>1726</v>
      </c>
      <c r="L903" s="254" t="s">
        <v>1744</v>
      </c>
      <c r="M903" s="176"/>
      <c r="N903" s="176"/>
      <c r="O903" s="255" t="s">
        <v>1731</v>
      </c>
    </row>
    <row r="904" spans="1:15" ht="16.149999999999999" customHeight="1" x14ac:dyDescent="0.25">
      <c r="A904" s="172">
        <v>42173</v>
      </c>
      <c r="B904" s="173" t="s">
        <v>49</v>
      </c>
      <c r="C904" s="252" t="s">
        <v>1584</v>
      </c>
      <c r="D904" s="252" t="s">
        <v>1728</v>
      </c>
      <c r="E904" s="252" t="s">
        <v>1728</v>
      </c>
      <c r="F904" s="252" t="s">
        <v>1728</v>
      </c>
      <c r="G904" s="252" t="s">
        <v>1727</v>
      </c>
      <c r="H904" s="252" t="s">
        <v>1734</v>
      </c>
      <c r="I904" s="252" t="s">
        <v>1738</v>
      </c>
      <c r="J904" s="174"/>
      <c r="K904" s="252" t="s">
        <v>1728</v>
      </c>
      <c r="L904" s="252" t="s">
        <v>1737</v>
      </c>
      <c r="M904" s="174"/>
      <c r="N904" s="174"/>
      <c r="O904" s="253" t="s">
        <v>1731</v>
      </c>
    </row>
    <row r="905" spans="1:15" ht="16.149999999999999" customHeight="1" x14ac:dyDescent="0.25">
      <c r="A905" s="172">
        <v>42172</v>
      </c>
      <c r="B905" s="175" t="s">
        <v>49</v>
      </c>
      <c r="C905" s="254" t="s">
        <v>1736</v>
      </c>
      <c r="D905" s="254" t="s">
        <v>1729</v>
      </c>
      <c r="E905" s="254" t="s">
        <v>1728</v>
      </c>
      <c r="F905" s="254" t="s">
        <v>1737</v>
      </c>
      <c r="G905" s="254" t="s">
        <v>1727</v>
      </c>
      <c r="H905" s="254" t="s">
        <v>1734</v>
      </c>
      <c r="I905" s="254" t="s">
        <v>1719</v>
      </c>
      <c r="J905" s="176"/>
      <c r="K905" s="254" t="s">
        <v>1726</v>
      </c>
      <c r="L905" s="254" t="s">
        <v>1726</v>
      </c>
      <c r="M905" s="176"/>
      <c r="N905" s="176"/>
      <c r="O905" s="255" t="s">
        <v>1731</v>
      </c>
    </row>
    <row r="906" spans="1:15" ht="16.149999999999999" customHeight="1" x14ac:dyDescent="0.25">
      <c r="A906" s="172">
        <v>42171</v>
      </c>
      <c r="B906" s="173" t="s">
        <v>49</v>
      </c>
      <c r="C906" s="252" t="s">
        <v>1739</v>
      </c>
      <c r="D906" s="252" t="s">
        <v>1731</v>
      </c>
      <c r="E906" s="252" t="s">
        <v>1745</v>
      </c>
      <c r="F906" s="252" t="s">
        <v>1743</v>
      </c>
      <c r="G906" s="252" t="s">
        <v>1726</v>
      </c>
      <c r="H906" s="252" t="s">
        <v>1731</v>
      </c>
      <c r="I906" s="252" t="s">
        <v>1735</v>
      </c>
      <c r="J906" s="174"/>
      <c r="K906" s="252" t="s">
        <v>1726</v>
      </c>
      <c r="L906" s="252" t="s">
        <v>1726</v>
      </c>
      <c r="M906" s="174"/>
      <c r="N906" s="174"/>
      <c r="O906" s="253" t="s">
        <v>1731</v>
      </c>
    </row>
    <row r="907" spans="1:15" ht="16.149999999999999" customHeight="1" x14ac:dyDescent="0.25">
      <c r="A907" s="172">
        <v>42167</v>
      </c>
      <c r="B907" s="175" t="s">
        <v>49</v>
      </c>
      <c r="C907" s="254" t="s">
        <v>1742</v>
      </c>
      <c r="D907" s="254" t="s">
        <v>1728</v>
      </c>
      <c r="E907" s="254" t="s">
        <v>1737</v>
      </c>
      <c r="F907" s="254" t="s">
        <v>1735</v>
      </c>
      <c r="G907" s="254" t="s">
        <v>1726</v>
      </c>
      <c r="H907" s="254" t="s">
        <v>1738</v>
      </c>
      <c r="I907" s="254" t="s">
        <v>1728</v>
      </c>
      <c r="J907" s="176"/>
      <c r="K907" s="254" t="s">
        <v>1728</v>
      </c>
      <c r="L907" s="254" t="s">
        <v>1726</v>
      </c>
      <c r="M907" s="176"/>
      <c r="N907" s="176"/>
      <c r="O907" s="255" t="s">
        <v>1731</v>
      </c>
    </row>
    <row r="908" spans="1:15" ht="16.149999999999999" customHeight="1" x14ac:dyDescent="0.25">
      <c r="A908" s="172">
        <v>42166</v>
      </c>
      <c r="B908" s="173" t="s">
        <v>49</v>
      </c>
      <c r="C908" s="252" t="s">
        <v>1736</v>
      </c>
      <c r="D908" s="252" t="s">
        <v>1729</v>
      </c>
      <c r="E908" s="252" t="s">
        <v>1746</v>
      </c>
      <c r="F908" s="252" t="s">
        <v>1735</v>
      </c>
      <c r="G908" s="252" t="s">
        <v>1726</v>
      </c>
      <c r="H908" s="252" t="s">
        <v>1743</v>
      </c>
      <c r="I908" s="252" t="s">
        <v>1723</v>
      </c>
      <c r="J908" s="174"/>
      <c r="K908" s="252" t="s">
        <v>1726</v>
      </c>
      <c r="L908" s="252" t="s">
        <v>1717</v>
      </c>
      <c r="M908" s="174"/>
      <c r="N908" s="174"/>
      <c r="O908" s="253" t="s">
        <v>1731</v>
      </c>
    </row>
    <row r="909" spans="1:15" ht="16.149999999999999" customHeight="1" x14ac:dyDescent="0.25">
      <c r="A909" s="172">
        <v>42165</v>
      </c>
      <c r="B909" s="175" t="s">
        <v>49</v>
      </c>
      <c r="C909" s="254" t="s">
        <v>1742</v>
      </c>
      <c r="D909" s="254" t="s">
        <v>1734</v>
      </c>
      <c r="E909" s="254" t="s">
        <v>1728</v>
      </c>
      <c r="F909" s="254" t="s">
        <v>1738</v>
      </c>
      <c r="G909" s="254" t="s">
        <v>1726</v>
      </c>
      <c r="H909" s="254" t="s">
        <v>1743</v>
      </c>
      <c r="I909" s="254" t="s">
        <v>1735</v>
      </c>
      <c r="J909" s="176"/>
      <c r="K909" s="254" t="s">
        <v>1737</v>
      </c>
      <c r="L909" s="254" t="s">
        <v>1726</v>
      </c>
      <c r="M909" s="176"/>
      <c r="N909" s="176"/>
      <c r="O909" s="255" t="s">
        <v>1731</v>
      </c>
    </row>
    <row r="910" spans="1:15" ht="16.149999999999999" customHeight="1" x14ac:dyDescent="0.25">
      <c r="A910" s="172">
        <v>42164</v>
      </c>
      <c r="B910" s="173" t="s">
        <v>49</v>
      </c>
      <c r="C910" s="252" t="s">
        <v>1736</v>
      </c>
      <c r="D910" s="252" t="s">
        <v>1729</v>
      </c>
      <c r="E910" s="252" t="s">
        <v>1726</v>
      </c>
      <c r="F910" s="252" t="s">
        <v>1728</v>
      </c>
      <c r="G910" s="252" t="s">
        <v>1726</v>
      </c>
      <c r="H910" s="252" t="s">
        <v>1728</v>
      </c>
      <c r="I910" s="252" t="s">
        <v>1734</v>
      </c>
      <c r="J910" s="174"/>
      <c r="K910" s="252" t="s">
        <v>1726</v>
      </c>
      <c r="L910" s="252" t="s">
        <v>1726</v>
      </c>
      <c r="M910" s="174"/>
      <c r="N910" s="174"/>
      <c r="O910" s="253" t="s">
        <v>1731</v>
      </c>
    </row>
    <row r="911" spans="1:15" ht="16.149999999999999" customHeight="1" x14ac:dyDescent="0.25">
      <c r="A911" s="172">
        <v>42160</v>
      </c>
      <c r="B911" s="175" t="s">
        <v>49</v>
      </c>
      <c r="C911" s="254" t="s">
        <v>1631</v>
      </c>
      <c r="D911" s="254" t="s">
        <v>1726</v>
      </c>
      <c r="E911" s="254" t="s">
        <v>1726</v>
      </c>
      <c r="F911" s="254" t="s">
        <v>1728</v>
      </c>
      <c r="G911" s="254" t="s">
        <v>1723</v>
      </c>
      <c r="H911" s="254" t="s">
        <v>1727</v>
      </c>
      <c r="I911" s="254" t="s">
        <v>1735</v>
      </c>
      <c r="J911" s="176"/>
      <c r="K911" s="254" t="s">
        <v>1726</v>
      </c>
      <c r="L911" s="254" t="s">
        <v>1726</v>
      </c>
      <c r="M911" s="176"/>
      <c r="N911" s="176"/>
      <c r="O911" s="255" t="s">
        <v>1731</v>
      </c>
    </row>
    <row r="912" spans="1:15" ht="16.149999999999999" customHeight="1" x14ac:dyDescent="0.25">
      <c r="A912" s="172">
        <v>42159</v>
      </c>
      <c r="B912" s="173" t="s">
        <v>49</v>
      </c>
      <c r="C912" s="252" t="s">
        <v>1631</v>
      </c>
      <c r="D912" s="252" t="s">
        <v>1726</v>
      </c>
      <c r="E912" s="252" t="s">
        <v>1726</v>
      </c>
      <c r="F912" s="252" t="s">
        <v>1737</v>
      </c>
      <c r="G912" s="252" t="s">
        <v>1726</v>
      </c>
      <c r="H912" s="252" t="s">
        <v>1727</v>
      </c>
      <c r="I912" s="252" t="s">
        <v>1735</v>
      </c>
      <c r="J912" s="174"/>
      <c r="K912" s="252" t="s">
        <v>1726</v>
      </c>
      <c r="L912" s="252" t="s">
        <v>1717</v>
      </c>
      <c r="M912" s="174"/>
      <c r="N912" s="174"/>
      <c r="O912" s="253" t="s">
        <v>1731</v>
      </c>
    </row>
    <row r="913" spans="1:15" ht="16.149999999999999" customHeight="1" x14ac:dyDescent="0.25">
      <c r="A913" s="172">
        <v>42158</v>
      </c>
      <c r="B913" s="175" t="s">
        <v>49</v>
      </c>
      <c r="C913" s="254" t="s">
        <v>1740</v>
      </c>
      <c r="D913" s="254" t="s">
        <v>1730</v>
      </c>
      <c r="E913" s="254" t="s">
        <v>1726</v>
      </c>
      <c r="F913" s="254" t="s">
        <v>1737</v>
      </c>
      <c r="G913" s="254" t="s">
        <v>1730</v>
      </c>
      <c r="H913" s="254" t="s">
        <v>1731</v>
      </c>
      <c r="I913" s="254" t="s">
        <v>1746</v>
      </c>
      <c r="J913" s="176"/>
      <c r="K913" s="254" t="s">
        <v>1726</v>
      </c>
      <c r="L913" s="254" t="s">
        <v>1726</v>
      </c>
      <c r="M913" s="176"/>
      <c r="N913" s="176"/>
      <c r="O913" s="255" t="s">
        <v>1731</v>
      </c>
    </row>
    <row r="914" spans="1:15" ht="16.149999999999999" customHeight="1" x14ac:dyDescent="0.25">
      <c r="A914" s="172">
        <v>42157</v>
      </c>
      <c r="B914" s="173" t="s">
        <v>49</v>
      </c>
      <c r="C914" s="252" t="s">
        <v>1584</v>
      </c>
      <c r="D914" s="252" t="s">
        <v>1728</v>
      </c>
      <c r="E914" s="252" t="s">
        <v>1743</v>
      </c>
      <c r="F914" s="252" t="s">
        <v>1737</v>
      </c>
      <c r="G914" s="252" t="s">
        <v>1737</v>
      </c>
      <c r="H914" s="252" t="s">
        <v>1728</v>
      </c>
      <c r="I914" s="252" t="s">
        <v>1727</v>
      </c>
      <c r="J914" s="174"/>
      <c r="K914" s="252" t="s">
        <v>1728</v>
      </c>
      <c r="L914" s="252" t="s">
        <v>1726</v>
      </c>
      <c r="M914" s="174"/>
      <c r="N914" s="174"/>
      <c r="O914" s="253" t="s">
        <v>1728</v>
      </c>
    </row>
    <row r="915" spans="1:15" ht="16.149999999999999" customHeight="1" x14ac:dyDescent="0.25">
      <c r="A915" s="172">
        <v>42156</v>
      </c>
      <c r="B915" s="175" t="s">
        <v>49</v>
      </c>
      <c r="C915" s="254" t="s">
        <v>1747</v>
      </c>
      <c r="D915" s="254" t="s">
        <v>1735</v>
      </c>
      <c r="E915" s="254" t="s">
        <v>1738</v>
      </c>
      <c r="F915" s="254" t="s">
        <v>1737</v>
      </c>
      <c r="G915" s="254" t="s">
        <v>1735</v>
      </c>
      <c r="H915" s="254" t="s">
        <v>1728</v>
      </c>
      <c r="I915" s="254" t="s">
        <v>1748</v>
      </c>
      <c r="J915" s="176"/>
      <c r="K915" s="254" t="s">
        <v>1726</v>
      </c>
      <c r="L915" s="254" t="s">
        <v>1737</v>
      </c>
      <c r="M915" s="176"/>
      <c r="N915" s="176"/>
      <c r="O915" s="255" t="s">
        <v>1735</v>
      </c>
    </row>
    <row r="916" spans="1:15" ht="16.149999999999999" customHeight="1" x14ac:dyDescent="0.25">
      <c r="A916" s="172">
        <v>42153</v>
      </c>
      <c r="B916" s="173" t="s">
        <v>49</v>
      </c>
      <c r="C916" s="252" t="s">
        <v>1749</v>
      </c>
      <c r="D916" s="252" t="s">
        <v>1738</v>
      </c>
      <c r="E916" s="252" t="s">
        <v>1728</v>
      </c>
      <c r="F916" s="252" t="s">
        <v>1737</v>
      </c>
      <c r="G916" s="252" t="s">
        <v>1735</v>
      </c>
      <c r="H916" s="252" t="s">
        <v>1728</v>
      </c>
      <c r="I916" s="252" t="s">
        <v>1727</v>
      </c>
      <c r="J916" s="174"/>
      <c r="K916" s="252" t="s">
        <v>1726</v>
      </c>
      <c r="L916" s="252" t="s">
        <v>1737</v>
      </c>
      <c r="M916" s="174"/>
      <c r="N916" s="174"/>
      <c r="O916" s="253" t="s">
        <v>1735</v>
      </c>
    </row>
    <row r="917" spans="1:15" ht="16.149999999999999" customHeight="1" x14ac:dyDescent="0.25">
      <c r="A917" s="172">
        <v>42152</v>
      </c>
      <c r="B917" s="175" t="s">
        <v>49</v>
      </c>
      <c r="C917" s="254" t="s">
        <v>1750</v>
      </c>
      <c r="D917" s="254" t="s">
        <v>1738</v>
      </c>
      <c r="E917" s="254" t="s">
        <v>1730</v>
      </c>
      <c r="F917" s="254" t="s">
        <v>1735</v>
      </c>
      <c r="G917" s="254" t="s">
        <v>1735</v>
      </c>
      <c r="H917" s="254" t="s">
        <v>1728</v>
      </c>
      <c r="I917" s="254" t="s">
        <v>1737</v>
      </c>
      <c r="J917" s="176"/>
      <c r="K917" s="254" t="s">
        <v>1737</v>
      </c>
      <c r="L917" s="254" t="s">
        <v>1726</v>
      </c>
      <c r="M917" s="176"/>
      <c r="N917" s="176"/>
      <c r="O917" s="255" t="s">
        <v>1734</v>
      </c>
    </row>
    <row r="918" spans="1:15" ht="16.149999999999999" customHeight="1" x14ac:dyDescent="0.25">
      <c r="A918" s="172">
        <v>42151</v>
      </c>
      <c r="B918" s="173" t="s">
        <v>49</v>
      </c>
      <c r="C918" s="252" t="s">
        <v>1742</v>
      </c>
      <c r="D918" s="252" t="s">
        <v>1734</v>
      </c>
      <c r="E918" s="252" t="s">
        <v>1731</v>
      </c>
      <c r="F918" s="252" t="s">
        <v>1738</v>
      </c>
      <c r="G918" s="252" t="s">
        <v>1735</v>
      </c>
      <c r="H918" s="252" t="s">
        <v>1743</v>
      </c>
      <c r="I918" s="252" t="s">
        <v>1727</v>
      </c>
      <c r="J918" s="174"/>
      <c r="K918" s="252" t="s">
        <v>1737</v>
      </c>
      <c r="L918" s="252" t="s">
        <v>1726</v>
      </c>
      <c r="M918" s="174"/>
      <c r="N918" s="174"/>
      <c r="O918" s="253" t="s">
        <v>1734</v>
      </c>
    </row>
    <row r="919" spans="1:15" ht="16.149999999999999" customHeight="1" x14ac:dyDescent="0.25">
      <c r="A919" s="172">
        <v>42150</v>
      </c>
      <c r="B919" s="175" t="s">
        <v>49</v>
      </c>
      <c r="C919" s="254" t="s">
        <v>1742</v>
      </c>
      <c r="D919" s="254" t="s">
        <v>1734</v>
      </c>
      <c r="E919" s="254" t="s">
        <v>1728</v>
      </c>
      <c r="F919" s="254" t="s">
        <v>1738</v>
      </c>
      <c r="G919" s="254" t="s">
        <v>1734</v>
      </c>
      <c r="H919" s="254" t="s">
        <v>1734</v>
      </c>
      <c r="I919" s="254" t="s">
        <v>1730</v>
      </c>
      <c r="J919" s="176"/>
      <c r="K919" s="254" t="s">
        <v>1726</v>
      </c>
      <c r="L919" s="254" t="s">
        <v>1737</v>
      </c>
      <c r="M919" s="176"/>
      <c r="N919" s="176"/>
      <c r="O919" s="255" t="s">
        <v>1734</v>
      </c>
    </row>
    <row r="920" spans="1:15" ht="16.149999999999999" customHeight="1" x14ac:dyDescent="0.25">
      <c r="A920" s="172">
        <v>42149</v>
      </c>
      <c r="B920" s="173" t="s">
        <v>49</v>
      </c>
      <c r="C920" s="252" t="s">
        <v>1631</v>
      </c>
      <c r="D920" s="252" t="s">
        <v>1726</v>
      </c>
      <c r="E920" s="252" t="s">
        <v>1726</v>
      </c>
      <c r="F920" s="252" t="s">
        <v>1737</v>
      </c>
      <c r="G920" s="252" t="s">
        <v>1743</v>
      </c>
      <c r="H920" s="252" t="s">
        <v>1727</v>
      </c>
      <c r="I920" s="252" t="s">
        <v>1709</v>
      </c>
      <c r="J920" s="174"/>
      <c r="K920" s="252" t="s">
        <v>1726</v>
      </c>
      <c r="L920" s="252" t="s">
        <v>1694</v>
      </c>
      <c r="M920" s="174"/>
      <c r="N920" s="174"/>
      <c r="O920" s="253" t="s">
        <v>1734</v>
      </c>
    </row>
    <row r="921" spans="1:15" ht="16.149999999999999" customHeight="1" x14ac:dyDescent="0.25">
      <c r="A921" s="172">
        <v>42146</v>
      </c>
      <c r="B921" s="175" t="s">
        <v>49</v>
      </c>
      <c r="C921" s="254" t="s">
        <v>1742</v>
      </c>
      <c r="D921" s="254" t="s">
        <v>1728</v>
      </c>
      <c r="E921" s="254" t="s">
        <v>1723</v>
      </c>
      <c r="F921" s="254" t="s">
        <v>1728</v>
      </c>
      <c r="G921" s="254" t="s">
        <v>1734</v>
      </c>
      <c r="H921" s="254" t="s">
        <v>1738</v>
      </c>
      <c r="I921" s="254" t="s">
        <v>1734</v>
      </c>
      <c r="J921" s="176"/>
      <c r="K921" s="254" t="s">
        <v>1713</v>
      </c>
      <c r="L921" s="254" t="s">
        <v>1737</v>
      </c>
      <c r="M921" s="176"/>
      <c r="N921" s="176"/>
      <c r="O921" s="255" t="s">
        <v>1726</v>
      </c>
    </row>
    <row r="922" spans="1:15" ht="16.149999999999999" customHeight="1" x14ac:dyDescent="0.25">
      <c r="A922" s="172">
        <v>42145</v>
      </c>
      <c r="B922" s="173" t="s">
        <v>49</v>
      </c>
      <c r="C922" s="252" t="s">
        <v>1733</v>
      </c>
      <c r="D922" s="252" t="s">
        <v>1727</v>
      </c>
      <c r="E922" s="252" t="s">
        <v>1731</v>
      </c>
      <c r="F922" s="252" t="s">
        <v>1738</v>
      </c>
      <c r="G922" s="252" t="s">
        <v>1738</v>
      </c>
      <c r="H922" s="252" t="s">
        <v>1730</v>
      </c>
      <c r="I922" s="252" t="s">
        <v>1715</v>
      </c>
      <c r="J922" s="174"/>
      <c r="K922" s="252" t="s">
        <v>1713</v>
      </c>
      <c r="L922" s="252" t="s">
        <v>1726</v>
      </c>
      <c r="M922" s="174"/>
      <c r="N922" s="174"/>
      <c r="O922" s="253" t="s">
        <v>1726</v>
      </c>
    </row>
    <row r="923" spans="1:15" ht="16.149999999999999" customHeight="1" x14ac:dyDescent="0.25">
      <c r="A923" s="172">
        <v>42144</v>
      </c>
      <c r="B923" s="175" t="s">
        <v>49</v>
      </c>
      <c r="C923" s="254" t="s">
        <v>1739</v>
      </c>
      <c r="D923" s="254" t="s">
        <v>1731</v>
      </c>
      <c r="E923" s="254" t="s">
        <v>1730</v>
      </c>
      <c r="F923" s="254" t="s">
        <v>1738</v>
      </c>
      <c r="G923" s="254" t="s">
        <v>1738</v>
      </c>
      <c r="H923" s="254" t="s">
        <v>1729</v>
      </c>
      <c r="I923" s="254" t="s">
        <v>1734</v>
      </c>
      <c r="J923" s="176"/>
      <c r="K923" s="254" t="s">
        <v>1717</v>
      </c>
      <c r="L923" s="254" t="s">
        <v>1726</v>
      </c>
      <c r="M923" s="176"/>
      <c r="N923" s="176"/>
      <c r="O923" s="255" t="s">
        <v>1728</v>
      </c>
    </row>
    <row r="924" spans="1:15" ht="16.149999999999999" customHeight="1" x14ac:dyDescent="0.25">
      <c r="A924" s="172">
        <v>42143</v>
      </c>
      <c r="B924" s="173" t="s">
        <v>49</v>
      </c>
      <c r="C924" s="252" t="s">
        <v>1740</v>
      </c>
      <c r="D924" s="252" t="s">
        <v>1730</v>
      </c>
      <c r="E924" s="252" t="s">
        <v>1728</v>
      </c>
      <c r="F924" s="252" t="s">
        <v>1735</v>
      </c>
      <c r="G924" s="252" t="s">
        <v>1738</v>
      </c>
      <c r="H924" s="252" t="s">
        <v>1727</v>
      </c>
      <c r="I924" s="252" t="s">
        <v>1722</v>
      </c>
      <c r="J924" s="174"/>
      <c r="K924" s="252" t="s">
        <v>1694</v>
      </c>
      <c r="L924" s="252" t="s">
        <v>1726</v>
      </c>
      <c r="M924" s="174"/>
      <c r="N924" s="174"/>
      <c r="O924" s="253" t="s">
        <v>1728</v>
      </c>
    </row>
    <row r="925" spans="1:15" ht="16.149999999999999" customHeight="1" x14ac:dyDescent="0.25">
      <c r="A925" s="172">
        <v>42139</v>
      </c>
      <c r="B925" s="175" t="s">
        <v>49</v>
      </c>
      <c r="C925" s="254" t="s">
        <v>1742</v>
      </c>
      <c r="D925" s="254" t="s">
        <v>1728</v>
      </c>
      <c r="E925" s="254" t="s">
        <v>1728</v>
      </c>
      <c r="F925" s="254" t="s">
        <v>1735</v>
      </c>
      <c r="G925" s="254" t="s">
        <v>1728</v>
      </c>
      <c r="H925" s="254" t="s">
        <v>1731</v>
      </c>
      <c r="I925" s="254" t="s">
        <v>1737</v>
      </c>
      <c r="J925" s="176"/>
      <c r="K925" s="254" t="s">
        <v>1713</v>
      </c>
      <c r="L925" s="254" t="s">
        <v>1737</v>
      </c>
      <c r="M925" s="176"/>
      <c r="N925" s="176"/>
      <c r="O925" s="255" t="s">
        <v>1728</v>
      </c>
    </row>
    <row r="926" spans="1:15" ht="16.149999999999999" customHeight="1" x14ac:dyDescent="0.25">
      <c r="A926" s="172">
        <v>42138</v>
      </c>
      <c r="B926" s="173" t="s">
        <v>49</v>
      </c>
      <c r="C926" s="252" t="s">
        <v>1584</v>
      </c>
      <c r="D926" s="252" t="s">
        <v>1728</v>
      </c>
      <c r="E926" s="252" t="s">
        <v>1728</v>
      </c>
      <c r="F926" s="252" t="s">
        <v>1735</v>
      </c>
      <c r="G926" s="252" t="s">
        <v>1728</v>
      </c>
      <c r="H926" s="252" t="s">
        <v>1734</v>
      </c>
      <c r="I926" s="252" t="s">
        <v>1735</v>
      </c>
      <c r="J926" s="174"/>
      <c r="K926" s="252" t="s">
        <v>1713</v>
      </c>
      <c r="L926" s="252" t="s">
        <v>1726</v>
      </c>
      <c r="M926" s="174"/>
      <c r="N926" s="174"/>
      <c r="O926" s="253" t="s">
        <v>1728</v>
      </c>
    </row>
    <row r="927" spans="1:15" ht="16.149999999999999" customHeight="1" x14ac:dyDescent="0.25">
      <c r="A927" s="172">
        <v>42137</v>
      </c>
      <c r="B927" s="175" t="s">
        <v>49</v>
      </c>
      <c r="C927" s="254" t="s">
        <v>1739</v>
      </c>
      <c r="D927" s="254" t="s">
        <v>1731</v>
      </c>
      <c r="E927" s="254" t="s">
        <v>1727</v>
      </c>
      <c r="F927" s="254" t="s">
        <v>1731</v>
      </c>
      <c r="G927" s="254" t="s">
        <v>1721</v>
      </c>
      <c r="H927" s="254" t="s">
        <v>1728</v>
      </c>
      <c r="I927" s="254" t="s">
        <v>1738</v>
      </c>
      <c r="J927" s="176"/>
      <c r="K927" s="254" t="s">
        <v>1726</v>
      </c>
      <c r="L927" s="254" t="s">
        <v>1737</v>
      </c>
      <c r="M927" s="176"/>
      <c r="N927" s="176"/>
      <c r="O927" s="255" t="s">
        <v>1728</v>
      </c>
    </row>
    <row r="928" spans="1:15" ht="16.149999999999999" customHeight="1" x14ac:dyDescent="0.25">
      <c r="A928" s="172">
        <v>42136</v>
      </c>
      <c r="B928" s="173" t="s">
        <v>49</v>
      </c>
      <c r="C928" s="252" t="s">
        <v>1631</v>
      </c>
      <c r="D928" s="252" t="s">
        <v>1726</v>
      </c>
      <c r="E928" s="252" t="s">
        <v>1726</v>
      </c>
      <c r="F928" s="252" t="s">
        <v>1734</v>
      </c>
      <c r="G928" s="252" t="s">
        <v>1721</v>
      </c>
      <c r="H928" s="252" t="s">
        <v>1726</v>
      </c>
      <c r="I928" s="252" t="s">
        <v>1710</v>
      </c>
      <c r="J928" s="174"/>
      <c r="K928" s="252" t="s">
        <v>1713</v>
      </c>
      <c r="L928" s="252" t="s">
        <v>1726</v>
      </c>
      <c r="M928" s="174"/>
      <c r="N928" s="174"/>
      <c r="O928" s="253" t="s">
        <v>1737</v>
      </c>
    </row>
    <row r="929" spans="1:15" ht="16.149999999999999" customHeight="1" x14ac:dyDescent="0.25">
      <c r="A929" s="172">
        <v>42135</v>
      </c>
      <c r="B929" s="175" t="s">
        <v>49</v>
      </c>
      <c r="C929" s="254" t="s">
        <v>1733</v>
      </c>
      <c r="D929" s="254" t="s">
        <v>1727</v>
      </c>
      <c r="E929" s="254" t="s">
        <v>1726</v>
      </c>
      <c r="F929" s="254" t="s">
        <v>1728</v>
      </c>
      <c r="G929" s="254" t="s">
        <v>1751</v>
      </c>
      <c r="H929" s="254" t="s">
        <v>1730</v>
      </c>
      <c r="I929" s="254" t="s">
        <v>1737</v>
      </c>
      <c r="J929" s="176"/>
      <c r="K929" s="254" t="s">
        <v>1713</v>
      </c>
      <c r="L929" s="254" t="s">
        <v>1726</v>
      </c>
      <c r="M929" s="176"/>
      <c r="N929" s="176"/>
      <c r="O929" s="255" t="s">
        <v>1737</v>
      </c>
    </row>
    <row r="930" spans="1:15" ht="16.149999999999999" customHeight="1" x14ac:dyDescent="0.25">
      <c r="A930" s="172">
        <v>42132</v>
      </c>
      <c r="B930" s="173" t="s">
        <v>49</v>
      </c>
      <c r="C930" s="252" t="s">
        <v>1752</v>
      </c>
      <c r="D930" s="252" t="s">
        <v>1725</v>
      </c>
      <c r="E930" s="252" t="s">
        <v>1713</v>
      </c>
      <c r="F930" s="252" t="s">
        <v>1729</v>
      </c>
      <c r="G930" s="252" t="s">
        <v>1751</v>
      </c>
      <c r="H930" s="252" t="s">
        <v>1731</v>
      </c>
      <c r="I930" s="252" t="s">
        <v>1703</v>
      </c>
      <c r="J930" s="174"/>
      <c r="K930" s="252" t="s">
        <v>1713</v>
      </c>
      <c r="L930" s="252" t="s">
        <v>1737</v>
      </c>
      <c r="M930" s="174"/>
      <c r="N930" s="174"/>
      <c r="O930" s="253" t="s">
        <v>1737</v>
      </c>
    </row>
    <row r="931" spans="1:15" ht="16.149999999999999" customHeight="1" x14ac:dyDescent="0.25">
      <c r="A931" s="172">
        <v>42131</v>
      </c>
      <c r="B931" s="175" t="s">
        <v>49</v>
      </c>
      <c r="C931" s="254" t="s">
        <v>1752</v>
      </c>
      <c r="D931" s="254" t="s">
        <v>1721</v>
      </c>
      <c r="E931" s="254" t="s">
        <v>1706</v>
      </c>
      <c r="F931" s="254" t="s">
        <v>1726</v>
      </c>
      <c r="G931" s="254" t="s">
        <v>1694</v>
      </c>
      <c r="H931" s="254" t="s">
        <v>1726</v>
      </c>
      <c r="I931" s="254" t="s">
        <v>1709</v>
      </c>
      <c r="J931" s="176"/>
      <c r="K931" s="254" t="s">
        <v>1713</v>
      </c>
      <c r="L931" s="254" t="s">
        <v>1726</v>
      </c>
      <c r="M931" s="176"/>
      <c r="N931" s="176"/>
      <c r="O931" s="255" t="s">
        <v>1737</v>
      </c>
    </row>
    <row r="932" spans="1:15" ht="16.149999999999999" customHeight="1" x14ac:dyDescent="0.25">
      <c r="A932" s="172">
        <v>42130</v>
      </c>
      <c r="B932" s="173" t="s">
        <v>49</v>
      </c>
      <c r="C932" s="252" t="s">
        <v>1753</v>
      </c>
      <c r="D932" s="252" t="s">
        <v>1754</v>
      </c>
      <c r="E932" s="252" t="s">
        <v>1751</v>
      </c>
      <c r="F932" s="252" t="s">
        <v>1726</v>
      </c>
      <c r="G932" s="252" t="s">
        <v>1751</v>
      </c>
      <c r="H932" s="252" t="s">
        <v>1694</v>
      </c>
      <c r="I932" s="252" t="s">
        <v>1699</v>
      </c>
      <c r="J932" s="174"/>
      <c r="K932" s="252" t="s">
        <v>1694</v>
      </c>
      <c r="L932" s="252" t="s">
        <v>1694</v>
      </c>
      <c r="M932" s="174"/>
      <c r="N932" s="174"/>
      <c r="O932" s="253" t="s">
        <v>1748</v>
      </c>
    </row>
    <row r="933" spans="1:15" ht="16.149999999999999" customHeight="1" x14ac:dyDescent="0.25">
      <c r="A933" s="172">
        <v>42129</v>
      </c>
      <c r="B933" s="175" t="s">
        <v>49</v>
      </c>
      <c r="C933" s="254" t="s">
        <v>1718</v>
      </c>
      <c r="D933" s="254" t="s">
        <v>1717</v>
      </c>
      <c r="E933" s="254" t="s">
        <v>1717</v>
      </c>
      <c r="F933" s="254" t="s">
        <v>1726</v>
      </c>
      <c r="G933" s="254" t="s">
        <v>1710</v>
      </c>
      <c r="H933" s="254" t="s">
        <v>1717</v>
      </c>
      <c r="I933" s="254" t="s">
        <v>1734</v>
      </c>
      <c r="J933" s="176"/>
      <c r="K933" s="254" t="s">
        <v>1717</v>
      </c>
      <c r="L933" s="254" t="s">
        <v>1717</v>
      </c>
      <c r="M933" s="176"/>
      <c r="N933" s="176"/>
      <c r="O933" s="255" t="s">
        <v>1748</v>
      </c>
    </row>
    <row r="934" spans="1:15" ht="16.149999999999999" customHeight="1" x14ac:dyDescent="0.25">
      <c r="A934" s="172">
        <v>42128</v>
      </c>
      <c r="B934" s="173" t="s">
        <v>49</v>
      </c>
      <c r="C934" s="252" t="s">
        <v>1755</v>
      </c>
      <c r="D934" s="252" t="s">
        <v>1720</v>
      </c>
      <c r="E934" s="252" t="s">
        <v>1720</v>
      </c>
      <c r="F934" s="252" t="s">
        <v>1728</v>
      </c>
      <c r="G934" s="252" t="s">
        <v>1720</v>
      </c>
      <c r="H934" s="252" t="s">
        <v>1708</v>
      </c>
      <c r="I934" s="252" t="s">
        <v>1709</v>
      </c>
      <c r="J934" s="174"/>
      <c r="K934" s="252" t="s">
        <v>1726</v>
      </c>
      <c r="L934" s="252" t="s">
        <v>1694</v>
      </c>
      <c r="M934" s="174"/>
      <c r="N934" s="174"/>
      <c r="O934" s="253" t="s">
        <v>1748</v>
      </c>
    </row>
    <row r="935" spans="1:15" ht="16.149999999999999" customHeight="1" x14ac:dyDescent="0.25">
      <c r="A935" s="172">
        <v>42124</v>
      </c>
      <c r="B935" s="175" t="s">
        <v>49</v>
      </c>
      <c r="C935" s="254" t="s">
        <v>1756</v>
      </c>
      <c r="D935" s="254" t="s">
        <v>1719</v>
      </c>
      <c r="E935" s="254" t="s">
        <v>1719</v>
      </c>
      <c r="F935" s="254" t="s">
        <v>1728</v>
      </c>
      <c r="G935" s="254" t="s">
        <v>1719</v>
      </c>
      <c r="H935" s="254" t="s">
        <v>1725</v>
      </c>
      <c r="I935" s="254" t="s">
        <v>1709</v>
      </c>
      <c r="J935" s="176"/>
      <c r="K935" s="254" t="s">
        <v>1713</v>
      </c>
      <c r="L935" s="254" t="s">
        <v>1717</v>
      </c>
      <c r="M935" s="176"/>
      <c r="N935" s="176"/>
      <c r="O935" s="255" t="s">
        <v>1748</v>
      </c>
    </row>
    <row r="936" spans="1:15" ht="16.149999999999999" customHeight="1" x14ac:dyDescent="0.25">
      <c r="A936" s="172">
        <v>42123</v>
      </c>
      <c r="B936" s="173" t="s">
        <v>49</v>
      </c>
      <c r="C936" s="252" t="s">
        <v>1732</v>
      </c>
      <c r="D936" s="252" t="s">
        <v>1723</v>
      </c>
      <c r="E936" s="252" t="s">
        <v>1723</v>
      </c>
      <c r="F936" s="252" t="s">
        <v>1728</v>
      </c>
      <c r="G936" s="252" t="s">
        <v>1725</v>
      </c>
      <c r="H936" s="252" t="s">
        <v>1723</v>
      </c>
      <c r="I936" s="252" t="s">
        <v>1757</v>
      </c>
      <c r="J936" s="174"/>
      <c r="K936" s="252" t="s">
        <v>1713</v>
      </c>
      <c r="L936" s="252" t="s">
        <v>1717</v>
      </c>
      <c r="M936" s="174"/>
      <c r="N936" s="174"/>
      <c r="O936" s="253" t="s">
        <v>1748</v>
      </c>
    </row>
    <row r="937" spans="1:15" ht="16.149999999999999" customHeight="1" x14ac:dyDescent="0.25">
      <c r="A937" s="172">
        <v>42122</v>
      </c>
      <c r="B937" s="175" t="s">
        <v>49</v>
      </c>
      <c r="C937" s="254" t="s">
        <v>1739</v>
      </c>
      <c r="D937" s="254" t="s">
        <v>1731</v>
      </c>
      <c r="E937" s="254" t="s">
        <v>1731</v>
      </c>
      <c r="F937" s="254" t="s">
        <v>1758</v>
      </c>
      <c r="G937" s="254" t="s">
        <v>1728</v>
      </c>
      <c r="H937" s="254" t="s">
        <v>1734</v>
      </c>
      <c r="I937" s="254" t="s">
        <v>1722</v>
      </c>
      <c r="J937" s="176"/>
      <c r="K937" s="254" t="s">
        <v>1713</v>
      </c>
      <c r="L937" s="254" t="s">
        <v>1726</v>
      </c>
      <c r="M937" s="176"/>
      <c r="N937" s="176"/>
      <c r="O937" s="255" t="s">
        <v>1748</v>
      </c>
    </row>
    <row r="938" spans="1:15" ht="16.149999999999999" customHeight="1" x14ac:dyDescent="0.25">
      <c r="A938" s="172">
        <v>42121</v>
      </c>
      <c r="B938" s="173" t="s">
        <v>49</v>
      </c>
      <c r="C938" s="252" t="s">
        <v>1750</v>
      </c>
      <c r="D938" s="252" t="s">
        <v>1738</v>
      </c>
      <c r="E938" s="252" t="s">
        <v>1738</v>
      </c>
      <c r="F938" s="252" t="s">
        <v>1758</v>
      </c>
      <c r="G938" s="252" t="s">
        <v>1728</v>
      </c>
      <c r="H938" s="252" t="s">
        <v>1738</v>
      </c>
      <c r="I938" s="252" t="s">
        <v>1746</v>
      </c>
      <c r="J938" s="174"/>
      <c r="K938" s="252" t="s">
        <v>1713</v>
      </c>
      <c r="L938" s="252" t="s">
        <v>1726</v>
      </c>
      <c r="M938" s="174"/>
      <c r="N938" s="174"/>
      <c r="O938" s="253" t="s">
        <v>1748</v>
      </c>
    </row>
    <row r="939" spans="1:15" ht="16.149999999999999" customHeight="1" x14ac:dyDescent="0.25">
      <c r="A939" s="172">
        <v>42118</v>
      </c>
      <c r="B939" s="175" t="s">
        <v>49</v>
      </c>
      <c r="C939" s="254" t="s">
        <v>1749</v>
      </c>
      <c r="D939" s="254" t="s">
        <v>1743</v>
      </c>
      <c r="E939" s="254" t="s">
        <v>1743</v>
      </c>
      <c r="F939" s="254" t="s">
        <v>1758</v>
      </c>
      <c r="G939" s="254" t="s">
        <v>1728</v>
      </c>
      <c r="H939" s="254" t="s">
        <v>1735</v>
      </c>
      <c r="I939" s="254" t="s">
        <v>1722</v>
      </c>
      <c r="J939" s="176"/>
      <c r="K939" s="254" t="s">
        <v>1713</v>
      </c>
      <c r="L939" s="254" t="s">
        <v>1737</v>
      </c>
      <c r="M939" s="176"/>
      <c r="N939" s="176"/>
      <c r="O939" s="255" t="s">
        <v>1737</v>
      </c>
    </row>
    <row r="940" spans="1:15" ht="16.149999999999999" customHeight="1" x14ac:dyDescent="0.25">
      <c r="A940" s="172">
        <v>42117</v>
      </c>
      <c r="B940" s="173" t="s">
        <v>49</v>
      </c>
      <c r="C940" s="252" t="s">
        <v>1750</v>
      </c>
      <c r="D940" s="252" t="s">
        <v>1738</v>
      </c>
      <c r="E940" s="252" t="s">
        <v>1728</v>
      </c>
      <c r="F940" s="252" t="s">
        <v>1746</v>
      </c>
      <c r="G940" s="252" t="s">
        <v>1730</v>
      </c>
      <c r="H940" s="252" t="s">
        <v>1735</v>
      </c>
      <c r="I940" s="252" t="s">
        <v>1757</v>
      </c>
      <c r="J940" s="174"/>
      <c r="K940" s="252" t="s">
        <v>1713</v>
      </c>
      <c r="L940" s="252" t="s">
        <v>1726</v>
      </c>
      <c r="M940" s="174"/>
      <c r="N940" s="174"/>
      <c r="O940" s="253" t="s">
        <v>1737</v>
      </c>
    </row>
    <row r="941" spans="1:15" ht="16.149999999999999" customHeight="1" x14ac:dyDescent="0.25">
      <c r="A941" s="172">
        <v>42116</v>
      </c>
      <c r="B941" s="175" t="s">
        <v>49</v>
      </c>
      <c r="C941" s="254" t="s">
        <v>1742</v>
      </c>
      <c r="D941" s="254" t="s">
        <v>1734</v>
      </c>
      <c r="E941" s="254" t="s">
        <v>1731</v>
      </c>
      <c r="F941" s="254" t="s">
        <v>1746</v>
      </c>
      <c r="G941" s="254" t="s">
        <v>1730</v>
      </c>
      <c r="H941" s="254" t="s">
        <v>1735</v>
      </c>
      <c r="I941" s="254" t="s">
        <v>1723</v>
      </c>
      <c r="J941" s="176"/>
      <c r="K941" s="254" t="s">
        <v>1717</v>
      </c>
      <c r="L941" s="254" t="s">
        <v>1737</v>
      </c>
      <c r="M941" s="176"/>
      <c r="N941" s="176"/>
      <c r="O941" s="255" t="s">
        <v>1737</v>
      </c>
    </row>
    <row r="942" spans="1:15" ht="16.149999999999999" customHeight="1" x14ac:dyDescent="0.25">
      <c r="A942" s="172">
        <v>42115</v>
      </c>
      <c r="B942" s="173" t="s">
        <v>49</v>
      </c>
      <c r="C942" s="252" t="s">
        <v>1742</v>
      </c>
      <c r="D942" s="252" t="s">
        <v>1734</v>
      </c>
      <c r="E942" s="252" t="s">
        <v>1726</v>
      </c>
      <c r="F942" s="252" t="s">
        <v>1737</v>
      </c>
      <c r="G942" s="252" t="s">
        <v>1730</v>
      </c>
      <c r="H942" s="252" t="s">
        <v>1743</v>
      </c>
      <c r="I942" s="252" t="s">
        <v>1748</v>
      </c>
      <c r="J942" s="174"/>
      <c r="K942" s="252" t="s">
        <v>1728</v>
      </c>
      <c r="L942" s="252" t="s">
        <v>1726</v>
      </c>
      <c r="M942" s="174"/>
      <c r="N942" s="174"/>
      <c r="O942" s="253" t="s">
        <v>1737</v>
      </c>
    </row>
    <row r="943" spans="1:15" ht="16.149999999999999" customHeight="1" x14ac:dyDescent="0.25">
      <c r="A943" s="172">
        <v>42114</v>
      </c>
      <c r="B943" s="175" t="s">
        <v>49</v>
      </c>
      <c r="C943" s="254" t="s">
        <v>1584</v>
      </c>
      <c r="D943" s="254" t="s">
        <v>1728</v>
      </c>
      <c r="E943" s="254" t="s">
        <v>1726</v>
      </c>
      <c r="F943" s="254" t="s">
        <v>1743</v>
      </c>
      <c r="G943" s="254" t="s">
        <v>1730</v>
      </c>
      <c r="H943" s="254" t="s">
        <v>1746</v>
      </c>
      <c r="I943" s="254" t="s">
        <v>1723</v>
      </c>
      <c r="J943" s="176"/>
      <c r="K943" s="254" t="s">
        <v>1726</v>
      </c>
      <c r="L943" s="254" t="s">
        <v>1737</v>
      </c>
      <c r="M943" s="176"/>
      <c r="N943" s="176"/>
      <c r="O943" s="255" t="s">
        <v>1737</v>
      </c>
    </row>
    <row r="944" spans="1:15" ht="16.149999999999999" customHeight="1" x14ac:dyDescent="0.25">
      <c r="A944" s="172">
        <v>42111</v>
      </c>
      <c r="B944" s="173" t="s">
        <v>49</v>
      </c>
      <c r="C944" s="252" t="s">
        <v>1584</v>
      </c>
      <c r="D944" s="252" t="s">
        <v>1728</v>
      </c>
      <c r="E944" s="252" t="s">
        <v>1730</v>
      </c>
      <c r="F944" s="252" t="s">
        <v>1743</v>
      </c>
      <c r="G944" s="252" t="s">
        <v>1730</v>
      </c>
      <c r="H944" s="252" t="s">
        <v>1746</v>
      </c>
      <c r="I944" s="252" t="s">
        <v>1746</v>
      </c>
      <c r="J944" s="174"/>
      <c r="K944" s="252" t="s">
        <v>1726</v>
      </c>
      <c r="L944" s="252" t="s">
        <v>1726</v>
      </c>
      <c r="M944" s="174"/>
      <c r="N944" s="174"/>
      <c r="O944" s="253" t="s">
        <v>1737</v>
      </c>
    </row>
    <row r="945" spans="1:15" ht="16.149999999999999" customHeight="1" x14ac:dyDescent="0.25">
      <c r="A945" s="172">
        <v>42110</v>
      </c>
      <c r="B945" s="175" t="s">
        <v>49</v>
      </c>
      <c r="C945" s="254" t="s">
        <v>1742</v>
      </c>
      <c r="D945" s="254" t="s">
        <v>1734</v>
      </c>
      <c r="E945" s="254" t="s">
        <v>1731</v>
      </c>
      <c r="F945" s="254" t="s">
        <v>1743</v>
      </c>
      <c r="G945" s="254" t="s">
        <v>1728</v>
      </c>
      <c r="H945" s="254" t="s">
        <v>1737</v>
      </c>
      <c r="I945" s="254" t="s">
        <v>1713</v>
      </c>
      <c r="J945" s="176"/>
      <c r="K945" s="254" t="s">
        <v>1713</v>
      </c>
      <c r="L945" s="254" t="s">
        <v>1738</v>
      </c>
      <c r="M945" s="176"/>
      <c r="N945" s="176"/>
      <c r="O945" s="255" t="s">
        <v>1737</v>
      </c>
    </row>
    <row r="946" spans="1:15" ht="16.149999999999999" customHeight="1" x14ac:dyDescent="0.25">
      <c r="A946" s="172">
        <v>42109</v>
      </c>
      <c r="B946" s="173" t="s">
        <v>49</v>
      </c>
      <c r="C946" s="252" t="s">
        <v>1750</v>
      </c>
      <c r="D946" s="252" t="s">
        <v>1738</v>
      </c>
      <c r="E946" s="252" t="s">
        <v>1725</v>
      </c>
      <c r="F946" s="252" t="s">
        <v>1738</v>
      </c>
      <c r="G946" s="252" t="s">
        <v>1722</v>
      </c>
      <c r="H946" s="252" t="s">
        <v>1738</v>
      </c>
      <c r="I946" s="252" t="s">
        <v>1735</v>
      </c>
      <c r="J946" s="174"/>
      <c r="K946" s="252" t="s">
        <v>1713</v>
      </c>
      <c r="L946" s="252" t="s">
        <v>1737</v>
      </c>
      <c r="M946" s="174"/>
      <c r="N946" s="174"/>
      <c r="O946" s="253" t="s">
        <v>1738</v>
      </c>
    </row>
    <row r="947" spans="1:15" ht="16.149999999999999" customHeight="1" x14ac:dyDescent="0.25">
      <c r="A947" s="172">
        <v>42108</v>
      </c>
      <c r="B947" s="175" t="s">
        <v>49</v>
      </c>
      <c r="C947" s="254" t="s">
        <v>1732</v>
      </c>
      <c r="D947" s="254" t="s">
        <v>1723</v>
      </c>
      <c r="E947" s="254" t="s">
        <v>1726</v>
      </c>
      <c r="F947" s="254" t="s">
        <v>1738</v>
      </c>
      <c r="G947" s="254" t="s">
        <v>1723</v>
      </c>
      <c r="H947" s="254" t="s">
        <v>1719</v>
      </c>
      <c r="I947" s="254" t="s">
        <v>1723</v>
      </c>
      <c r="J947" s="176"/>
      <c r="K947" s="254" t="s">
        <v>1713</v>
      </c>
      <c r="L947" s="254" t="s">
        <v>1726</v>
      </c>
      <c r="M947" s="176"/>
      <c r="N947" s="176"/>
      <c r="O947" s="255" t="s">
        <v>1738</v>
      </c>
    </row>
    <row r="948" spans="1:15" ht="16.149999999999999" customHeight="1" x14ac:dyDescent="0.25">
      <c r="A948" s="172">
        <v>42107</v>
      </c>
      <c r="B948" s="173" t="s">
        <v>49</v>
      </c>
      <c r="C948" s="252" t="s">
        <v>1736</v>
      </c>
      <c r="D948" s="252" t="s">
        <v>1729</v>
      </c>
      <c r="E948" s="252" t="s">
        <v>1713</v>
      </c>
      <c r="F948" s="252" t="s">
        <v>1728</v>
      </c>
      <c r="G948" s="252" t="s">
        <v>1725</v>
      </c>
      <c r="H948" s="252" t="s">
        <v>1715</v>
      </c>
      <c r="I948" s="252" t="s">
        <v>1734</v>
      </c>
      <c r="J948" s="174"/>
      <c r="K948" s="252" t="s">
        <v>1726</v>
      </c>
      <c r="L948" s="252" t="s">
        <v>1737</v>
      </c>
      <c r="M948" s="174"/>
      <c r="N948" s="174"/>
      <c r="O948" s="253" t="s">
        <v>1738</v>
      </c>
    </row>
    <row r="949" spans="1:15" ht="16.149999999999999" customHeight="1" x14ac:dyDescent="0.25">
      <c r="A949" s="172">
        <v>42104</v>
      </c>
      <c r="B949" s="175" t="s">
        <v>49</v>
      </c>
      <c r="C949" s="254" t="s">
        <v>1732</v>
      </c>
      <c r="D949" s="254" t="s">
        <v>1723</v>
      </c>
      <c r="E949" s="254" t="s">
        <v>1713</v>
      </c>
      <c r="F949" s="254" t="s">
        <v>1743</v>
      </c>
      <c r="G949" s="254" t="s">
        <v>1723</v>
      </c>
      <c r="H949" s="254" t="s">
        <v>1715</v>
      </c>
      <c r="I949" s="254" t="s">
        <v>1723</v>
      </c>
      <c r="J949" s="176"/>
      <c r="K949" s="254" t="s">
        <v>1717</v>
      </c>
      <c r="L949" s="254" t="s">
        <v>1726</v>
      </c>
      <c r="M949" s="176"/>
      <c r="N949" s="176"/>
      <c r="O949" s="255" t="s">
        <v>1738</v>
      </c>
    </row>
    <row r="950" spans="1:15" ht="16.149999999999999" customHeight="1" x14ac:dyDescent="0.25">
      <c r="A950" s="172">
        <v>42103</v>
      </c>
      <c r="B950" s="173" t="s">
        <v>49</v>
      </c>
      <c r="C950" s="252" t="s">
        <v>1736</v>
      </c>
      <c r="D950" s="252" t="s">
        <v>1729</v>
      </c>
      <c r="E950" s="252" t="s">
        <v>1728</v>
      </c>
      <c r="F950" s="252" t="s">
        <v>1737</v>
      </c>
      <c r="G950" s="252" t="s">
        <v>1723</v>
      </c>
      <c r="H950" s="252" t="s">
        <v>1720</v>
      </c>
      <c r="I950" s="252" t="s">
        <v>1735</v>
      </c>
      <c r="J950" s="174"/>
      <c r="K950" s="252" t="s">
        <v>1694</v>
      </c>
      <c r="L950" s="252" t="s">
        <v>1717</v>
      </c>
      <c r="M950" s="174"/>
      <c r="N950" s="174"/>
      <c r="O950" s="253" t="s">
        <v>1738</v>
      </c>
    </row>
    <row r="951" spans="1:15" ht="16.149999999999999" customHeight="1" x14ac:dyDescent="0.25">
      <c r="A951" s="172">
        <v>42102</v>
      </c>
      <c r="B951" s="175" t="s">
        <v>49</v>
      </c>
      <c r="C951" s="254" t="s">
        <v>1631</v>
      </c>
      <c r="D951" s="254" t="s">
        <v>1726</v>
      </c>
      <c r="E951" s="254" t="s">
        <v>1713</v>
      </c>
      <c r="F951" s="254" t="s">
        <v>1737</v>
      </c>
      <c r="G951" s="254" t="s">
        <v>1713</v>
      </c>
      <c r="H951" s="254" t="s">
        <v>1715</v>
      </c>
      <c r="I951" s="254" t="s">
        <v>1734</v>
      </c>
      <c r="J951" s="176"/>
      <c r="K951" s="254" t="s">
        <v>1726</v>
      </c>
      <c r="L951" s="254" t="s">
        <v>1726</v>
      </c>
      <c r="M951" s="176"/>
      <c r="N951" s="176"/>
      <c r="O951" s="255" t="s">
        <v>1738</v>
      </c>
    </row>
    <row r="952" spans="1:15" ht="16.149999999999999" customHeight="1" x14ac:dyDescent="0.25">
      <c r="A952" s="172">
        <v>42101</v>
      </c>
      <c r="B952" s="173" t="s">
        <v>49</v>
      </c>
      <c r="C952" s="252" t="s">
        <v>1578</v>
      </c>
      <c r="D952" s="252" t="s">
        <v>1722</v>
      </c>
      <c r="E952" s="252" t="s">
        <v>1717</v>
      </c>
      <c r="F952" s="252" t="s">
        <v>1728</v>
      </c>
      <c r="G952" s="252" t="s">
        <v>1708</v>
      </c>
      <c r="H952" s="252" t="s">
        <v>1715</v>
      </c>
      <c r="I952" s="252" t="s">
        <v>1709</v>
      </c>
      <c r="J952" s="174"/>
      <c r="K952" s="252" t="s">
        <v>1726</v>
      </c>
      <c r="L952" s="252" t="s">
        <v>1737</v>
      </c>
      <c r="M952" s="174"/>
      <c r="N952" s="174"/>
      <c r="O952" s="253" t="s">
        <v>1728</v>
      </c>
    </row>
    <row r="953" spans="1:15" ht="16.149999999999999" customHeight="1" x14ac:dyDescent="0.25">
      <c r="A953" s="172">
        <v>42100</v>
      </c>
      <c r="B953" s="175" t="s">
        <v>49</v>
      </c>
      <c r="C953" s="254" t="s">
        <v>1718</v>
      </c>
      <c r="D953" s="254" t="s">
        <v>1717</v>
      </c>
      <c r="E953" s="254" t="s">
        <v>1706</v>
      </c>
      <c r="F953" s="254" t="s">
        <v>1713</v>
      </c>
      <c r="G953" s="254" t="s">
        <v>1708</v>
      </c>
      <c r="H953" s="254" t="s">
        <v>1727</v>
      </c>
      <c r="I953" s="254" t="s">
        <v>1714</v>
      </c>
      <c r="J953" s="176"/>
      <c r="K953" s="254" t="s">
        <v>1717</v>
      </c>
      <c r="L953" s="254" t="s">
        <v>1717</v>
      </c>
      <c r="M953" s="176"/>
      <c r="N953" s="176"/>
      <c r="O953" s="255" t="s">
        <v>1734</v>
      </c>
    </row>
    <row r="954" spans="1:15" ht="16.149999999999999" customHeight="1" x14ac:dyDescent="0.25">
      <c r="A954" s="172">
        <v>42095</v>
      </c>
      <c r="B954" s="173" t="s">
        <v>49</v>
      </c>
      <c r="C954" s="252" t="s">
        <v>1759</v>
      </c>
      <c r="D954" s="252" t="s">
        <v>1708</v>
      </c>
      <c r="E954" s="252" t="s">
        <v>1706</v>
      </c>
      <c r="F954" s="252" t="s">
        <v>1713</v>
      </c>
      <c r="G954" s="252" t="s">
        <v>1708</v>
      </c>
      <c r="H954" s="252" t="s">
        <v>1717</v>
      </c>
      <c r="I954" s="252" t="s">
        <v>1751</v>
      </c>
      <c r="J954" s="174"/>
      <c r="K954" s="252" t="s">
        <v>1693</v>
      </c>
      <c r="L954" s="252" t="s">
        <v>1760</v>
      </c>
      <c r="M954" s="174"/>
      <c r="N954" s="174"/>
      <c r="O954" s="253" t="s">
        <v>1743</v>
      </c>
    </row>
    <row r="955" spans="1:15" ht="16.149999999999999" customHeight="1" x14ac:dyDescent="0.25">
      <c r="A955" s="172">
        <v>42094</v>
      </c>
      <c r="B955" s="175" t="s">
        <v>49</v>
      </c>
      <c r="C955" s="254" t="s">
        <v>1761</v>
      </c>
      <c r="D955" s="254" t="s">
        <v>1710</v>
      </c>
      <c r="E955" s="254" t="s">
        <v>1715</v>
      </c>
      <c r="F955" s="254" t="s">
        <v>1726</v>
      </c>
      <c r="G955" s="254" t="s">
        <v>1751</v>
      </c>
      <c r="H955" s="254" t="s">
        <v>1693</v>
      </c>
      <c r="I955" s="254" t="s">
        <v>1754</v>
      </c>
      <c r="J955" s="176"/>
      <c r="K955" s="254" t="s">
        <v>1693</v>
      </c>
      <c r="L955" s="254" t="s">
        <v>1717</v>
      </c>
      <c r="M955" s="176"/>
      <c r="N955" s="176"/>
      <c r="O955" s="255" t="s">
        <v>1735</v>
      </c>
    </row>
    <row r="956" spans="1:15" ht="16.149999999999999" customHeight="1" x14ac:dyDescent="0.25">
      <c r="A956" s="172">
        <v>42093</v>
      </c>
      <c r="B956" s="173" t="s">
        <v>49</v>
      </c>
      <c r="C956" s="252" t="s">
        <v>1756</v>
      </c>
      <c r="D956" s="252" t="s">
        <v>1715</v>
      </c>
      <c r="E956" s="252" t="s">
        <v>1719</v>
      </c>
      <c r="F956" s="252" t="s">
        <v>1728</v>
      </c>
      <c r="G956" s="252" t="s">
        <v>1715</v>
      </c>
      <c r="H956" s="252" t="s">
        <v>1709</v>
      </c>
      <c r="I956" s="252" t="s">
        <v>1731</v>
      </c>
      <c r="J956" s="174"/>
      <c r="K956" s="252" t="s">
        <v>1693</v>
      </c>
      <c r="L956" s="252" t="s">
        <v>1717</v>
      </c>
      <c r="M956" s="174"/>
      <c r="N956" s="174"/>
      <c r="O956" s="253" t="s">
        <v>1735</v>
      </c>
    </row>
    <row r="957" spans="1:15" ht="16.149999999999999" customHeight="1" x14ac:dyDescent="0.25">
      <c r="A957" s="172">
        <v>42090</v>
      </c>
      <c r="B957" s="175" t="s">
        <v>49</v>
      </c>
      <c r="C957" s="254" t="s">
        <v>1631</v>
      </c>
      <c r="D957" s="254" t="s">
        <v>1723</v>
      </c>
      <c r="E957" s="254" t="s">
        <v>1713</v>
      </c>
      <c r="F957" s="254" t="s">
        <v>1737</v>
      </c>
      <c r="G957" s="254" t="s">
        <v>1725</v>
      </c>
      <c r="H957" s="254" t="s">
        <v>1723</v>
      </c>
      <c r="I957" s="254" t="s">
        <v>1731</v>
      </c>
      <c r="J957" s="176"/>
      <c r="K957" s="254" t="s">
        <v>1694</v>
      </c>
      <c r="L957" s="254" t="s">
        <v>1726</v>
      </c>
      <c r="M957" s="176"/>
      <c r="N957" s="176"/>
      <c r="O957" s="255" t="s">
        <v>1748</v>
      </c>
    </row>
    <row r="958" spans="1:15" ht="16.149999999999999" customHeight="1" x14ac:dyDescent="0.25">
      <c r="A958" s="172">
        <v>42089</v>
      </c>
      <c r="B958" s="173" t="s">
        <v>49</v>
      </c>
      <c r="C958" s="252" t="s">
        <v>1733</v>
      </c>
      <c r="D958" s="252" t="s">
        <v>1727</v>
      </c>
      <c r="E958" s="252" t="s">
        <v>1731</v>
      </c>
      <c r="F958" s="252" t="s">
        <v>1748</v>
      </c>
      <c r="G958" s="252" t="s">
        <v>1730</v>
      </c>
      <c r="H958" s="252" t="s">
        <v>1762</v>
      </c>
      <c r="I958" s="252" t="s">
        <v>1723</v>
      </c>
      <c r="J958" s="174"/>
      <c r="K958" s="252" t="s">
        <v>1694</v>
      </c>
      <c r="L958" s="252" t="s">
        <v>1726</v>
      </c>
      <c r="M958" s="174"/>
      <c r="N958" s="174"/>
      <c r="O958" s="253" t="s">
        <v>1748</v>
      </c>
    </row>
    <row r="959" spans="1:15" ht="16.149999999999999" customHeight="1" x14ac:dyDescent="0.25">
      <c r="A959" s="172">
        <v>42088</v>
      </c>
      <c r="B959" s="175" t="s">
        <v>49</v>
      </c>
      <c r="C959" s="254" t="s">
        <v>1742</v>
      </c>
      <c r="D959" s="254" t="s">
        <v>1734</v>
      </c>
      <c r="E959" s="254" t="s">
        <v>1734</v>
      </c>
      <c r="F959" s="254" t="s">
        <v>1745</v>
      </c>
      <c r="G959" s="254" t="s">
        <v>1735</v>
      </c>
      <c r="H959" s="254" t="s">
        <v>1738</v>
      </c>
      <c r="I959" s="254" t="s">
        <v>1731</v>
      </c>
      <c r="J959" s="176"/>
      <c r="K959" s="254" t="s">
        <v>1728</v>
      </c>
      <c r="L959" s="254" t="s">
        <v>1717</v>
      </c>
      <c r="M959" s="176"/>
      <c r="N959" s="176"/>
      <c r="O959" s="255" t="s">
        <v>1748</v>
      </c>
    </row>
    <row r="960" spans="1:15" ht="16.149999999999999" customHeight="1" x14ac:dyDescent="0.25">
      <c r="A960" s="172">
        <v>42087</v>
      </c>
      <c r="B960" s="173" t="s">
        <v>49</v>
      </c>
      <c r="C960" s="252" t="s">
        <v>1747</v>
      </c>
      <c r="D960" s="252" t="s">
        <v>1735</v>
      </c>
      <c r="E960" s="252" t="s">
        <v>1728</v>
      </c>
      <c r="F960" s="252" t="s">
        <v>1744</v>
      </c>
      <c r="G960" s="252" t="s">
        <v>1743</v>
      </c>
      <c r="H960" s="252" t="s">
        <v>1737</v>
      </c>
      <c r="I960" s="252" t="s">
        <v>1731</v>
      </c>
      <c r="J960" s="174"/>
      <c r="K960" s="252" t="s">
        <v>1726</v>
      </c>
      <c r="L960" s="252" t="s">
        <v>1737</v>
      </c>
      <c r="M960" s="174"/>
      <c r="N960" s="174"/>
      <c r="O960" s="253" t="s">
        <v>1748</v>
      </c>
    </row>
    <row r="961" spans="1:15" ht="16.149999999999999" customHeight="1" x14ac:dyDescent="0.25">
      <c r="A961" s="172">
        <v>42083</v>
      </c>
      <c r="B961" s="175" t="s">
        <v>49</v>
      </c>
      <c r="C961" s="254" t="s">
        <v>1763</v>
      </c>
      <c r="D961" s="254" t="s">
        <v>1746</v>
      </c>
      <c r="E961" s="254" t="s">
        <v>1731</v>
      </c>
      <c r="F961" s="254" t="s">
        <v>1745</v>
      </c>
      <c r="G961" s="254" t="s">
        <v>1758</v>
      </c>
      <c r="H961" s="254" t="s">
        <v>1748</v>
      </c>
      <c r="I961" s="254" t="s">
        <v>1764</v>
      </c>
      <c r="J961" s="176"/>
      <c r="K961" s="254" t="s">
        <v>1737</v>
      </c>
      <c r="L961" s="254" t="s">
        <v>1765</v>
      </c>
      <c r="M961" s="176"/>
      <c r="N961" s="176"/>
      <c r="O961" s="255" t="s">
        <v>1737</v>
      </c>
    </row>
    <row r="962" spans="1:15" ht="16.149999999999999" customHeight="1" x14ac:dyDescent="0.25">
      <c r="A962" s="172">
        <v>42082</v>
      </c>
      <c r="B962" s="173" t="s">
        <v>49</v>
      </c>
      <c r="C962" s="252" t="s">
        <v>1766</v>
      </c>
      <c r="D962" s="252" t="s">
        <v>1746</v>
      </c>
      <c r="E962" s="252" t="s">
        <v>1730</v>
      </c>
      <c r="F962" s="252" t="s">
        <v>1745</v>
      </c>
      <c r="G962" s="252" t="s">
        <v>1728</v>
      </c>
      <c r="H962" s="252" t="s">
        <v>1748</v>
      </c>
      <c r="I962" s="252" t="s">
        <v>1737</v>
      </c>
      <c r="J962" s="174"/>
      <c r="K962" s="252" t="s">
        <v>1767</v>
      </c>
      <c r="L962" s="252" t="s">
        <v>1765</v>
      </c>
      <c r="M962" s="174"/>
      <c r="N962" s="174"/>
      <c r="O962" s="253" t="s">
        <v>1737</v>
      </c>
    </row>
    <row r="963" spans="1:15" ht="16.149999999999999" customHeight="1" x14ac:dyDescent="0.25">
      <c r="A963" s="172">
        <v>42081</v>
      </c>
      <c r="B963" s="175" t="s">
        <v>49</v>
      </c>
      <c r="C963" s="254" t="s">
        <v>1768</v>
      </c>
      <c r="D963" s="254" t="s">
        <v>1737</v>
      </c>
      <c r="E963" s="254" t="s">
        <v>1726</v>
      </c>
      <c r="F963" s="254" t="s">
        <v>1745</v>
      </c>
      <c r="G963" s="254" t="s">
        <v>1729</v>
      </c>
      <c r="H963" s="254" t="s">
        <v>1758</v>
      </c>
      <c r="I963" s="254" t="s">
        <v>1757</v>
      </c>
      <c r="J963" s="176"/>
      <c r="K963" s="254" t="s">
        <v>1694</v>
      </c>
      <c r="L963" s="254" t="s">
        <v>1737</v>
      </c>
      <c r="M963" s="176"/>
      <c r="N963" s="176"/>
      <c r="O963" s="255" t="s">
        <v>1737</v>
      </c>
    </row>
    <row r="964" spans="1:15" ht="16.149999999999999" customHeight="1" x14ac:dyDescent="0.25">
      <c r="A964" s="172">
        <v>42080</v>
      </c>
      <c r="B964" s="173" t="s">
        <v>49</v>
      </c>
      <c r="C964" s="252" t="s">
        <v>1742</v>
      </c>
      <c r="D964" s="252" t="s">
        <v>1734</v>
      </c>
      <c r="E964" s="252" t="s">
        <v>1729</v>
      </c>
      <c r="F964" s="252" t="s">
        <v>1748</v>
      </c>
      <c r="G964" s="252" t="s">
        <v>1729</v>
      </c>
      <c r="H964" s="252" t="s">
        <v>1746</v>
      </c>
      <c r="I964" s="252" t="s">
        <v>1715</v>
      </c>
      <c r="J964" s="174"/>
      <c r="K964" s="252" t="s">
        <v>1717</v>
      </c>
      <c r="L964" s="252" t="s">
        <v>1744</v>
      </c>
      <c r="M964" s="174"/>
      <c r="N964" s="174"/>
      <c r="O964" s="253" t="s">
        <v>1737</v>
      </c>
    </row>
    <row r="965" spans="1:15" ht="16.149999999999999" customHeight="1" x14ac:dyDescent="0.25">
      <c r="A965" s="172">
        <v>42079</v>
      </c>
      <c r="B965" s="175" t="s">
        <v>49</v>
      </c>
      <c r="C965" s="254" t="s">
        <v>1742</v>
      </c>
      <c r="D965" s="254" t="s">
        <v>1734</v>
      </c>
      <c r="E965" s="254" t="s">
        <v>1728</v>
      </c>
      <c r="F965" s="254" t="s">
        <v>1744</v>
      </c>
      <c r="G965" s="254" t="s">
        <v>1743</v>
      </c>
      <c r="H965" s="254" t="s">
        <v>1769</v>
      </c>
      <c r="I965" s="254" t="s">
        <v>1770</v>
      </c>
      <c r="J965" s="176"/>
      <c r="K965" s="254" t="s">
        <v>1771</v>
      </c>
      <c r="L965" s="254" t="s">
        <v>1744</v>
      </c>
      <c r="M965" s="176"/>
      <c r="N965" s="176"/>
      <c r="O965" s="255" t="s">
        <v>1737</v>
      </c>
    </row>
    <row r="966" spans="1:15" ht="16.149999999999999" customHeight="1" x14ac:dyDescent="0.25">
      <c r="A966" s="172">
        <v>42076</v>
      </c>
      <c r="B966" s="173" t="s">
        <v>49</v>
      </c>
      <c r="C966" s="252" t="s">
        <v>1766</v>
      </c>
      <c r="D966" s="252" t="s">
        <v>1737</v>
      </c>
      <c r="E966" s="252" t="s">
        <v>1728</v>
      </c>
      <c r="F966" s="252" t="s">
        <v>1744</v>
      </c>
      <c r="G966" s="252" t="s">
        <v>1737</v>
      </c>
      <c r="H966" s="252" t="s">
        <v>1769</v>
      </c>
      <c r="I966" s="252" t="s">
        <v>1737</v>
      </c>
      <c r="J966" s="174"/>
      <c r="K966" s="252" t="s">
        <v>1744</v>
      </c>
      <c r="L966" s="252" t="s">
        <v>1694</v>
      </c>
      <c r="M966" s="174"/>
      <c r="N966" s="174"/>
      <c r="O966" s="253" t="s">
        <v>1748</v>
      </c>
    </row>
    <row r="967" spans="1:15" ht="16.149999999999999" customHeight="1" x14ac:dyDescent="0.25">
      <c r="A967" s="172">
        <v>42075</v>
      </c>
      <c r="B967" s="175" t="s">
        <v>49</v>
      </c>
      <c r="C967" s="254" t="s">
        <v>1589</v>
      </c>
      <c r="D967" s="254" t="s">
        <v>1772</v>
      </c>
      <c r="E967" s="254" t="s">
        <v>1728</v>
      </c>
      <c r="F967" s="254" t="s">
        <v>1773</v>
      </c>
      <c r="G967" s="254" t="s">
        <v>1730</v>
      </c>
      <c r="H967" s="254" t="s">
        <v>1769</v>
      </c>
      <c r="I967" s="254" t="s">
        <v>1774</v>
      </c>
      <c r="J967" s="176"/>
      <c r="K967" s="254" t="s">
        <v>1744</v>
      </c>
      <c r="L967" s="254" t="s">
        <v>1744</v>
      </c>
      <c r="M967" s="176"/>
      <c r="N967" s="176"/>
      <c r="O967" s="255" t="s">
        <v>1737</v>
      </c>
    </row>
    <row r="968" spans="1:15" ht="16.149999999999999" customHeight="1" x14ac:dyDescent="0.25">
      <c r="A968" s="172">
        <v>42074</v>
      </c>
      <c r="B968" s="173" t="s">
        <v>49</v>
      </c>
      <c r="C968" s="252" t="s">
        <v>1749</v>
      </c>
      <c r="D968" s="252" t="s">
        <v>1743</v>
      </c>
      <c r="E968" s="252" t="s">
        <v>1734</v>
      </c>
      <c r="F968" s="252" t="s">
        <v>1775</v>
      </c>
      <c r="G968" s="252" t="s">
        <v>1734</v>
      </c>
      <c r="H968" s="252" t="s">
        <v>1769</v>
      </c>
      <c r="I968" s="252" t="s">
        <v>1729</v>
      </c>
      <c r="J968" s="174"/>
      <c r="K968" s="252" t="s">
        <v>1744</v>
      </c>
      <c r="L968" s="252" t="s">
        <v>1737</v>
      </c>
      <c r="M968" s="174"/>
      <c r="N968" s="174"/>
      <c r="O968" s="253" t="s">
        <v>1737</v>
      </c>
    </row>
    <row r="969" spans="1:15" ht="16.149999999999999" customHeight="1" x14ac:dyDescent="0.25">
      <c r="A969" s="172">
        <v>42073</v>
      </c>
      <c r="B969" s="175" t="s">
        <v>49</v>
      </c>
      <c r="C969" s="254" t="s">
        <v>1766</v>
      </c>
      <c r="D969" s="254" t="s">
        <v>1746</v>
      </c>
      <c r="E969" s="254" t="s">
        <v>1743</v>
      </c>
      <c r="F969" s="254" t="s">
        <v>1775</v>
      </c>
      <c r="G969" s="254" t="s">
        <v>1743</v>
      </c>
      <c r="H969" s="254" t="s">
        <v>1694</v>
      </c>
      <c r="I969" s="254" t="s">
        <v>1734</v>
      </c>
      <c r="J969" s="176"/>
      <c r="K969" s="254" t="s">
        <v>1744</v>
      </c>
      <c r="L969" s="254" t="s">
        <v>1744</v>
      </c>
      <c r="M969" s="176"/>
      <c r="N969" s="176"/>
      <c r="O969" s="255" t="s">
        <v>1745</v>
      </c>
    </row>
    <row r="970" spans="1:15" ht="16.149999999999999" customHeight="1" x14ac:dyDescent="0.25">
      <c r="A970" s="172">
        <v>42072</v>
      </c>
      <c r="B970" s="173" t="s">
        <v>49</v>
      </c>
      <c r="C970" s="252" t="s">
        <v>1589</v>
      </c>
      <c r="D970" s="252" t="s">
        <v>1772</v>
      </c>
      <c r="E970" s="252" t="s">
        <v>1737</v>
      </c>
      <c r="F970" s="252" t="s">
        <v>1776</v>
      </c>
      <c r="G970" s="252" t="s">
        <v>1743</v>
      </c>
      <c r="H970" s="252" t="s">
        <v>1758</v>
      </c>
      <c r="I970" s="252" t="s">
        <v>1709</v>
      </c>
      <c r="J970" s="174"/>
      <c r="K970" s="252" t="s">
        <v>1744</v>
      </c>
      <c r="L970" s="252" t="s">
        <v>1765</v>
      </c>
      <c r="M970" s="174"/>
      <c r="N970" s="174"/>
      <c r="O970" s="253" t="s">
        <v>1757</v>
      </c>
    </row>
    <row r="971" spans="1:15" ht="16.149999999999999" customHeight="1" x14ac:dyDescent="0.25">
      <c r="A971" s="172">
        <v>42069</v>
      </c>
      <c r="B971" s="175" t="s">
        <v>49</v>
      </c>
      <c r="C971" s="254" t="s">
        <v>1777</v>
      </c>
      <c r="D971" s="254" t="s">
        <v>1741</v>
      </c>
      <c r="E971" s="254" t="s">
        <v>1775</v>
      </c>
      <c r="F971" s="254" t="s">
        <v>1778</v>
      </c>
      <c r="G971" s="254" t="s">
        <v>1767</v>
      </c>
      <c r="H971" s="254" t="s">
        <v>1772</v>
      </c>
      <c r="I971" s="254" t="s">
        <v>1774</v>
      </c>
      <c r="J971" s="176"/>
      <c r="K971" s="254" t="s">
        <v>1745</v>
      </c>
      <c r="L971" s="254" t="s">
        <v>1717</v>
      </c>
      <c r="M971" s="176"/>
      <c r="N971" s="176"/>
      <c r="O971" s="255" t="s">
        <v>1745</v>
      </c>
    </row>
    <row r="972" spans="1:15" ht="16.149999999999999" customHeight="1" x14ac:dyDescent="0.25">
      <c r="A972" s="172">
        <v>42068</v>
      </c>
      <c r="B972" s="173" t="s">
        <v>49</v>
      </c>
      <c r="C972" s="252" t="s">
        <v>1690</v>
      </c>
      <c r="D972" s="252" t="s">
        <v>1779</v>
      </c>
      <c r="E972" s="252" t="s">
        <v>1778</v>
      </c>
      <c r="F972" s="252" t="s">
        <v>1780</v>
      </c>
      <c r="G972" s="252" t="s">
        <v>1781</v>
      </c>
      <c r="H972" s="252" t="s">
        <v>1776</v>
      </c>
      <c r="I972" s="252" t="s">
        <v>1782</v>
      </c>
      <c r="J972" s="174"/>
      <c r="K972" s="252" t="s">
        <v>1778</v>
      </c>
      <c r="L972" s="252" t="s">
        <v>1767</v>
      </c>
      <c r="M972" s="174"/>
      <c r="N972" s="174"/>
      <c r="O972" s="253" t="s">
        <v>1783</v>
      </c>
    </row>
    <row r="973" spans="1:15" ht="16.149999999999999" customHeight="1" x14ac:dyDescent="0.25">
      <c r="A973" s="172">
        <v>42067</v>
      </c>
      <c r="B973" s="175" t="s">
        <v>49</v>
      </c>
      <c r="C973" s="254" t="s">
        <v>1784</v>
      </c>
      <c r="D973" s="254" t="s">
        <v>1781</v>
      </c>
      <c r="E973" s="254" t="s">
        <v>1785</v>
      </c>
      <c r="F973" s="254" t="s">
        <v>1786</v>
      </c>
      <c r="G973" s="254" t="s">
        <v>1779</v>
      </c>
      <c r="H973" s="254" t="s">
        <v>1765</v>
      </c>
      <c r="I973" s="254" t="s">
        <v>1787</v>
      </c>
      <c r="J973" s="176"/>
      <c r="K973" s="254" t="s">
        <v>1778</v>
      </c>
      <c r="L973" s="254" t="s">
        <v>1786</v>
      </c>
      <c r="M973" s="176"/>
      <c r="N973" s="176"/>
      <c r="O973" s="255" t="s">
        <v>1783</v>
      </c>
    </row>
    <row r="974" spans="1:15" ht="16.149999999999999" customHeight="1" x14ac:dyDescent="0.25">
      <c r="A974" s="172">
        <v>42066</v>
      </c>
      <c r="B974" s="173" t="s">
        <v>49</v>
      </c>
      <c r="C974" s="252" t="s">
        <v>1690</v>
      </c>
      <c r="D974" s="252" t="s">
        <v>1779</v>
      </c>
      <c r="E974" s="252" t="s">
        <v>1785</v>
      </c>
      <c r="F974" s="252" t="s">
        <v>1785</v>
      </c>
      <c r="G974" s="252" t="s">
        <v>1787</v>
      </c>
      <c r="H974" s="252" t="s">
        <v>1775</v>
      </c>
      <c r="I974" s="252" t="s">
        <v>1788</v>
      </c>
      <c r="J974" s="174"/>
      <c r="K974" s="252" t="s">
        <v>1778</v>
      </c>
      <c r="L974" s="252" t="s">
        <v>1767</v>
      </c>
      <c r="M974" s="174"/>
      <c r="N974" s="174"/>
      <c r="O974" s="253" t="s">
        <v>1783</v>
      </c>
    </row>
    <row r="975" spans="1:15" ht="16.149999999999999" customHeight="1" x14ac:dyDescent="0.25">
      <c r="A975" s="172">
        <v>42065</v>
      </c>
      <c r="B975" s="175" t="s">
        <v>49</v>
      </c>
      <c r="C975" s="254" t="s">
        <v>1789</v>
      </c>
      <c r="D975" s="254" t="s">
        <v>1790</v>
      </c>
      <c r="E975" s="254" t="s">
        <v>1778</v>
      </c>
      <c r="F975" s="254" t="s">
        <v>1778</v>
      </c>
      <c r="G975" s="254" t="s">
        <v>1790</v>
      </c>
      <c r="H975" s="254" t="s">
        <v>1775</v>
      </c>
      <c r="I975" s="254" t="s">
        <v>1791</v>
      </c>
      <c r="J975" s="176"/>
      <c r="K975" s="254" t="s">
        <v>1778</v>
      </c>
      <c r="L975" s="254" t="s">
        <v>1778</v>
      </c>
      <c r="M975" s="176"/>
      <c r="N975" s="176"/>
      <c r="O975" s="255" t="s">
        <v>1792</v>
      </c>
    </row>
    <row r="976" spans="1:15" ht="16.149999999999999" customHeight="1" x14ac:dyDescent="0.25">
      <c r="A976" s="172">
        <v>42062</v>
      </c>
      <c r="B976" s="173" t="s">
        <v>49</v>
      </c>
      <c r="C976" s="252" t="s">
        <v>1651</v>
      </c>
      <c r="D976" s="252" t="s">
        <v>1793</v>
      </c>
      <c r="E976" s="252" t="s">
        <v>1779</v>
      </c>
      <c r="F976" s="252" t="s">
        <v>1794</v>
      </c>
      <c r="G976" s="252" t="s">
        <v>1767</v>
      </c>
      <c r="H976" s="252" t="s">
        <v>1795</v>
      </c>
      <c r="I976" s="252" t="s">
        <v>1793</v>
      </c>
      <c r="J976" s="174"/>
      <c r="K976" s="252" t="s">
        <v>1778</v>
      </c>
      <c r="L976" s="252" t="s">
        <v>1493</v>
      </c>
      <c r="M976" s="174"/>
      <c r="N976" s="174"/>
      <c r="O976" s="253" t="s">
        <v>1792</v>
      </c>
    </row>
    <row r="977" spans="1:15" ht="16.149999999999999" customHeight="1" x14ac:dyDescent="0.25">
      <c r="A977" s="172">
        <v>42061</v>
      </c>
      <c r="B977" s="175" t="s">
        <v>49</v>
      </c>
      <c r="C977" s="254" t="s">
        <v>1796</v>
      </c>
      <c r="D977" s="254" t="s">
        <v>1767</v>
      </c>
      <c r="E977" s="254" t="s">
        <v>1797</v>
      </c>
      <c r="F977" s="254" t="s">
        <v>1794</v>
      </c>
      <c r="G977" s="254" t="s">
        <v>1798</v>
      </c>
      <c r="H977" s="254" t="s">
        <v>1737</v>
      </c>
      <c r="I977" s="254" t="s">
        <v>1790</v>
      </c>
      <c r="J977" s="176"/>
      <c r="K977" s="254" t="s">
        <v>1767</v>
      </c>
      <c r="L977" s="254" t="s">
        <v>1767</v>
      </c>
      <c r="M977" s="176"/>
      <c r="N977" s="176"/>
      <c r="O977" s="255" t="s">
        <v>1744</v>
      </c>
    </row>
    <row r="978" spans="1:15" ht="16.149999999999999" customHeight="1" x14ac:dyDescent="0.25">
      <c r="A978" s="172">
        <v>42060</v>
      </c>
      <c r="B978" s="173" t="s">
        <v>49</v>
      </c>
      <c r="C978" s="252" t="s">
        <v>1799</v>
      </c>
      <c r="D978" s="252" t="s">
        <v>1798</v>
      </c>
      <c r="E978" s="252" t="s">
        <v>1800</v>
      </c>
      <c r="F978" s="252" t="s">
        <v>1794</v>
      </c>
      <c r="G978" s="252" t="s">
        <v>1801</v>
      </c>
      <c r="H978" s="252" t="s">
        <v>1737</v>
      </c>
      <c r="I978" s="252" t="s">
        <v>1802</v>
      </c>
      <c r="J978" s="174"/>
      <c r="K978" s="252" t="s">
        <v>1767</v>
      </c>
      <c r="L978" s="252" t="s">
        <v>1765</v>
      </c>
      <c r="M978" s="174"/>
      <c r="N978" s="174"/>
      <c r="O978" s="253" t="s">
        <v>1757</v>
      </c>
    </row>
    <row r="979" spans="1:15" ht="16.149999999999999" customHeight="1" x14ac:dyDescent="0.25">
      <c r="A979" s="172">
        <v>42059</v>
      </c>
      <c r="B979" s="175" t="s">
        <v>49</v>
      </c>
      <c r="C979" s="254" t="s">
        <v>1803</v>
      </c>
      <c r="D979" s="254" t="s">
        <v>1801</v>
      </c>
      <c r="E979" s="254" t="s">
        <v>1798</v>
      </c>
      <c r="F979" s="254" t="s">
        <v>1801</v>
      </c>
      <c r="G979" s="254" t="s">
        <v>1804</v>
      </c>
      <c r="H979" s="254" t="s">
        <v>1737</v>
      </c>
      <c r="I979" s="254" t="s">
        <v>1767</v>
      </c>
      <c r="J979" s="176"/>
      <c r="K979" s="254" t="s">
        <v>1767</v>
      </c>
      <c r="L979" s="254" t="s">
        <v>1778</v>
      </c>
      <c r="M979" s="176"/>
      <c r="N979" s="176"/>
      <c r="O979" s="255" t="s">
        <v>1757</v>
      </c>
    </row>
    <row r="980" spans="1:15" ht="16.149999999999999" customHeight="1" x14ac:dyDescent="0.25">
      <c r="A980" s="172">
        <v>42058</v>
      </c>
      <c r="B980" s="173" t="s">
        <v>49</v>
      </c>
      <c r="C980" s="252" t="s">
        <v>1643</v>
      </c>
      <c r="D980" s="252" t="s">
        <v>1804</v>
      </c>
      <c r="E980" s="252" t="s">
        <v>1805</v>
      </c>
      <c r="F980" s="252" t="s">
        <v>1801</v>
      </c>
      <c r="G980" s="252" t="s">
        <v>1782</v>
      </c>
      <c r="H980" s="252" t="s">
        <v>1738</v>
      </c>
      <c r="I980" s="252" t="s">
        <v>1806</v>
      </c>
      <c r="J980" s="174"/>
      <c r="K980" s="252" t="s">
        <v>1807</v>
      </c>
      <c r="L980" s="252" t="s">
        <v>1765</v>
      </c>
      <c r="M980" s="174"/>
      <c r="N980" s="174"/>
      <c r="O980" s="253" t="s">
        <v>1745</v>
      </c>
    </row>
    <row r="981" spans="1:15" ht="16.149999999999999" customHeight="1" x14ac:dyDescent="0.25">
      <c r="A981" s="172">
        <v>42055</v>
      </c>
      <c r="B981" s="175" t="s">
        <v>49</v>
      </c>
      <c r="C981" s="254" t="s">
        <v>1808</v>
      </c>
      <c r="D981" s="254" t="s">
        <v>1782</v>
      </c>
      <c r="E981" s="254" t="s">
        <v>1783</v>
      </c>
      <c r="F981" s="254" t="s">
        <v>1782</v>
      </c>
      <c r="G981" s="254" t="s">
        <v>1795</v>
      </c>
      <c r="H981" s="254" t="s">
        <v>1775</v>
      </c>
      <c r="I981" s="254" t="s">
        <v>1805</v>
      </c>
      <c r="J981" s="176"/>
      <c r="K981" s="254" t="s">
        <v>1807</v>
      </c>
      <c r="L981" s="254" t="s">
        <v>1767</v>
      </c>
      <c r="M981" s="176"/>
      <c r="N981" s="176"/>
      <c r="O981" s="255" t="s">
        <v>1745</v>
      </c>
    </row>
    <row r="982" spans="1:15" ht="16.149999999999999" customHeight="1" x14ac:dyDescent="0.25">
      <c r="A982" s="172">
        <v>42054</v>
      </c>
      <c r="B982" s="173" t="s">
        <v>49</v>
      </c>
      <c r="C982" s="252" t="s">
        <v>1809</v>
      </c>
      <c r="D982" s="252" t="s">
        <v>1795</v>
      </c>
      <c r="E982" s="252" t="s">
        <v>1765</v>
      </c>
      <c r="F982" s="252" t="s">
        <v>1776</v>
      </c>
      <c r="G982" s="252" t="s">
        <v>1810</v>
      </c>
      <c r="H982" s="252" t="s">
        <v>1767</v>
      </c>
      <c r="I982" s="252" t="s">
        <v>1758</v>
      </c>
      <c r="J982" s="174"/>
      <c r="K982" s="252" t="s">
        <v>1807</v>
      </c>
      <c r="L982" s="252" t="s">
        <v>1778</v>
      </c>
      <c r="M982" s="174"/>
      <c r="N982" s="174"/>
      <c r="O982" s="253" t="s">
        <v>1745</v>
      </c>
    </row>
    <row r="983" spans="1:15" ht="16.149999999999999" customHeight="1" x14ac:dyDescent="0.25">
      <c r="A983" s="172">
        <v>42053</v>
      </c>
      <c r="B983" s="175" t="s">
        <v>49</v>
      </c>
      <c r="C983" s="254" t="s">
        <v>1811</v>
      </c>
      <c r="D983" s="254" t="s">
        <v>1810</v>
      </c>
      <c r="E983" s="254" t="s">
        <v>1810</v>
      </c>
      <c r="F983" s="254" t="s">
        <v>1788</v>
      </c>
      <c r="G983" s="254" t="s">
        <v>1741</v>
      </c>
      <c r="H983" s="254" t="s">
        <v>1735</v>
      </c>
      <c r="I983" s="254" t="s">
        <v>1782</v>
      </c>
      <c r="J983" s="176"/>
      <c r="K983" s="254" t="s">
        <v>1767</v>
      </c>
      <c r="L983" s="254" t="s">
        <v>1767</v>
      </c>
      <c r="M983" s="176"/>
      <c r="N983" s="176"/>
      <c r="O983" s="255" t="s">
        <v>1745</v>
      </c>
    </row>
    <row r="984" spans="1:15" ht="16.149999999999999" customHeight="1" x14ac:dyDescent="0.25">
      <c r="A984" s="172">
        <v>42052</v>
      </c>
      <c r="B984" s="173" t="s">
        <v>49</v>
      </c>
      <c r="C984" s="252" t="s">
        <v>1812</v>
      </c>
      <c r="D984" s="252" t="s">
        <v>1741</v>
      </c>
      <c r="E984" s="252" t="s">
        <v>1792</v>
      </c>
      <c r="F984" s="252" t="s">
        <v>1744</v>
      </c>
      <c r="G984" s="252" t="s">
        <v>1757</v>
      </c>
      <c r="H984" s="252" t="s">
        <v>1737</v>
      </c>
      <c r="I984" s="252" t="s">
        <v>1773</v>
      </c>
      <c r="J984" s="174"/>
      <c r="K984" s="252" t="s">
        <v>1775</v>
      </c>
      <c r="L984" s="252" t="s">
        <v>1767</v>
      </c>
      <c r="M984" s="174"/>
      <c r="N984" s="174"/>
      <c r="O984" s="253" t="s">
        <v>1745</v>
      </c>
    </row>
    <row r="985" spans="1:15" ht="16.149999999999999" customHeight="1" x14ac:dyDescent="0.25">
      <c r="A985" s="172">
        <v>42051</v>
      </c>
      <c r="B985" s="175" t="s">
        <v>49</v>
      </c>
      <c r="C985" s="254" t="s">
        <v>1813</v>
      </c>
      <c r="D985" s="254" t="s">
        <v>1814</v>
      </c>
      <c r="E985" s="254" t="s">
        <v>1744</v>
      </c>
      <c r="F985" s="254" t="s">
        <v>1744</v>
      </c>
      <c r="G985" s="254" t="s">
        <v>1745</v>
      </c>
      <c r="H985" s="254" t="s">
        <v>1726</v>
      </c>
      <c r="I985" s="254" t="s">
        <v>1746</v>
      </c>
      <c r="J985" s="176"/>
      <c r="K985" s="254" t="s">
        <v>1765</v>
      </c>
      <c r="L985" s="254" t="s">
        <v>1767</v>
      </c>
      <c r="M985" s="176"/>
      <c r="N985" s="176"/>
      <c r="O985" s="255" t="s">
        <v>1745</v>
      </c>
    </row>
    <row r="986" spans="1:15" ht="16.149999999999999" customHeight="1" x14ac:dyDescent="0.25">
      <c r="A986" s="172">
        <v>42048</v>
      </c>
      <c r="B986" s="173" t="s">
        <v>49</v>
      </c>
      <c r="C986" s="252" t="s">
        <v>1589</v>
      </c>
      <c r="D986" s="252" t="s">
        <v>1745</v>
      </c>
      <c r="E986" s="252" t="s">
        <v>1757</v>
      </c>
      <c r="F986" s="252" t="s">
        <v>1745</v>
      </c>
      <c r="G986" s="252" t="s">
        <v>1745</v>
      </c>
      <c r="H986" s="252" t="s">
        <v>1738</v>
      </c>
      <c r="I986" s="252" t="s">
        <v>1745</v>
      </c>
      <c r="J986" s="174"/>
      <c r="K986" s="252" t="s">
        <v>1744</v>
      </c>
      <c r="L986" s="252" t="s">
        <v>1765</v>
      </c>
      <c r="M986" s="174"/>
      <c r="N986" s="174"/>
      <c r="O986" s="253" t="s">
        <v>1745</v>
      </c>
    </row>
    <row r="987" spans="1:15" ht="16.149999999999999" customHeight="1" x14ac:dyDescent="0.25">
      <c r="A987" s="172">
        <v>42047</v>
      </c>
      <c r="B987" s="175" t="s">
        <v>49</v>
      </c>
      <c r="C987" s="254" t="s">
        <v>1589</v>
      </c>
      <c r="D987" s="254" t="s">
        <v>1745</v>
      </c>
      <c r="E987" s="254" t="s">
        <v>1745</v>
      </c>
      <c r="F987" s="254" t="s">
        <v>1745</v>
      </c>
      <c r="G987" s="254" t="s">
        <v>1757</v>
      </c>
      <c r="H987" s="254" t="s">
        <v>1737</v>
      </c>
      <c r="I987" s="254" t="s">
        <v>1746</v>
      </c>
      <c r="J987" s="176"/>
      <c r="K987" s="254" t="s">
        <v>1745</v>
      </c>
      <c r="L987" s="254" t="s">
        <v>1744</v>
      </c>
      <c r="M987" s="176"/>
      <c r="N987" s="176"/>
      <c r="O987" s="255" t="s">
        <v>1745</v>
      </c>
    </row>
    <row r="988" spans="1:15" ht="16.149999999999999" customHeight="1" x14ac:dyDescent="0.25">
      <c r="A988" s="172">
        <v>42046</v>
      </c>
      <c r="B988" s="173" t="s">
        <v>49</v>
      </c>
      <c r="C988" s="252" t="s">
        <v>1815</v>
      </c>
      <c r="D988" s="252" t="s">
        <v>1757</v>
      </c>
      <c r="E988" s="252" t="s">
        <v>1814</v>
      </c>
      <c r="F988" s="252" t="s">
        <v>1745</v>
      </c>
      <c r="G988" s="252" t="s">
        <v>1814</v>
      </c>
      <c r="H988" s="252" t="s">
        <v>1745</v>
      </c>
      <c r="I988" s="252" t="s">
        <v>1788</v>
      </c>
      <c r="J988" s="174"/>
      <c r="K988" s="252" t="s">
        <v>1745</v>
      </c>
      <c r="L988" s="252" t="s">
        <v>1744</v>
      </c>
      <c r="M988" s="174"/>
      <c r="N988" s="174"/>
      <c r="O988" s="253" t="s">
        <v>1745</v>
      </c>
    </row>
    <row r="989" spans="1:15" ht="16.149999999999999" customHeight="1" x14ac:dyDescent="0.25">
      <c r="A989" s="172">
        <v>42045</v>
      </c>
      <c r="B989" s="175" t="s">
        <v>49</v>
      </c>
      <c r="C989" s="254" t="s">
        <v>1816</v>
      </c>
      <c r="D989" s="254" t="s">
        <v>1814</v>
      </c>
      <c r="E989" s="254" t="s">
        <v>1744</v>
      </c>
      <c r="F989" s="254" t="s">
        <v>1744</v>
      </c>
      <c r="G989" s="254" t="s">
        <v>1788</v>
      </c>
      <c r="H989" s="254" t="s">
        <v>1737</v>
      </c>
      <c r="I989" s="254" t="s">
        <v>1746</v>
      </c>
      <c r="J989" s="176"/>
      <c r="K989" s="254" t="s">
        <v>1745</v>
      </c>
      <c r="L989" s="254" t="s">
        <v>1765</v>
      </c>
      <c r="M989" s="176"/>
      <c r="N989" s="176"/>
      <c r="O989" s="255" t="s">
        <v>1745</v>
      </c>
    </row>
    <row r="990" spans="1:15" ht="16.149999999999999" customHeight="1" x14ac:dyDescent="0.25">
      <c r="A990" s="172">
        <v>42044</v>
      </c>
      <c r="B990" s="173" t="s">
        <v>49</v>
      </c>
      <c r="C990" s="252" t="s">
        <v>1817</v>
      </c>
      <c r="D990" s="252" t="s">
        <v>1788</v>
      </c>
      <c r="E990" s="252" t="s">
        <v>1818</v>
      </c>
      <c r="F990" s="252" t="s">
        <v>1765</v>
      </c>
      <c r="G990" s="252" t="s">
        <v>1782</v>
      </c>
      <c r="H990" s="252" t="s">
        <v>1773</v>
      </c>
      <c r="I990" s="252" t="s">
        <v>1806</v>
      </c>
      <c r="J990" s="174"/>
      <c r="K990" s="252" t="s">
        <v>1745</v>
      </c>
      <c r="L990" s="252" t="s">
        <v>1737</v>
      </c>
      <c r="M990" s="174"/>
      <c r="N990" s="174"/>
      <c r="O990" s="253" t="s">
        <v>1757</v>
      </c>
    </row>
    <row r="991" spans="1:15" ht="16.149999999999999" customHeight="1" x14ac:dyDescent="0.25">
      <c r="A991" s="172">
        <v>42041</v>
      </c>
      <c r="B991" s="175" t="s">
        <v>49</v>
      </c>
      <c r="C991" s="254" t="s">
        <v>1808</v>
      </c>
      <c r="D991" s="254" t="s">
        <v>1782</v>
      </c>
      <c r="E991" s="254" t="s">
        <v>1765</v>
      </c>
      <c r="F991" s="254" t="s">
        <v>1804</v>
      </c>
      <c r="G991" s="254" t="s">
        <v>1797</v>
      </c>
      <c r="H991" s="254" t="s">
        <v>1744</v>
      </c>
      <c r="I991" s="254" t="s">
        <v>1818</v>
      </c>
      <c r="J991" s="176"/>
      <c r="K991" s="254" t="s">
        <v>1765</v>
      </c>
      <c r="L991" s="254" t="s">
        <v>1767</v>
      </c>
      <c r="M991" s="176"/>
      <c r="N991" s="176"/>
      <c r="O991" s="255" t="s">
        <v>1779</v>
      </c>
    </row>
    <row r="992" spans="1:15" ht="16.149999999999999" customHeight="1" x14ac:dyDescent="0.25">
      <c r="A992" s="172">
        <v>42040</v>
      </c>
      <c r="B992" s="173" t="s">
        <v>49</v>
      </c>
      <c r="C992" s="252" t="s">
        <v>1651</v>
      </c>
      <c r="D992" s="252" t="s">
        <v>1793</v>
      </c>
      <c r="E992" s="252" t="s">
        <v>1779</v>
      </c>
      <c r="F992" s="252" t="s">
        <v>1767</v>
      </c>
      <c r="G992" s="252" t="s">
        <v>1793</v>
      </c>
      <c r="H992" s="252" t="s">
        <v>1773</v>
      </c>
      <c r="I992" s="252" t="s">
        <v>1781</v>
      </c>
      <c r="J992" s="174"/>
      <c r="K992" s="252" t="s">
        <v>1778</v>
      </c>
      <c r="L992" s="252" t="s">
        <v>1765</v>
      </c>
      <c r="M992" s="174"/>
      <c r="N992" s="174"/>
      <c r="O992" s="253" t="s">
        <v>1779</v>
      </c>
    </row>
    <row r="993" spans="1:15" ht="16.149999999999999" customHeight="1" x14ac:dyDescent="0.25">
      <c r="A993" s="172">
        <v>42039</v>
      </c>
      <c r="B993" s="175" t="s">
        <v>49</v>
      </c>
      <c r="C993" s="254" t="s">
        <v>1692</v>
      </c>
      <c r="D993" s="254" t="s">
        <v>1779</v>
      </c>
      <c r="E993" s="254" t="s">
        <v>1790</v>
      </c>
      <c r="F993" s="254" t="s">
        <v>1800</v>
      </c>
      <c r="G993" s="254" t="s">
        <v>1781</v>
      </c>
      <c r="H993" s="254" t="s">
        <v>1792</v>
      </c>
      <c r="I993" s="254" t="s">
        <v>1806</v>
      </c>
      <c r="J993" s="176"/>
      <c r="K993" s="254" t="s">
        <v>1778</v>
      </c>
      <c r="L993" s="254" t="s">
        <v>1765</v>
      </c>
      <c r="M993" s="176"/>
      <c r="N993" s="176"/>
      <c r="O993" s="255" t="s">
        <v>1819</v>
      </c>
    </row>
    <row r="994" spans="1:15" ht="16.149999999999999" customHeight="1" x14ac:dyDescent="0.25">
      <c r="A994" s="172">
        <v>42038</v>
      </c>
      <c r="B994" s="173" t="s">
        <v>49</v>
      </c>
      <c r="C994" s="252" t="s">
        <v>1820</v>
      </c>
      <c r="D994" s="252" t="s">
        <v>1787</v>
      </c>
      <c r="E994" s="252" t="s">
        <v>1786</v>
      </c>
      <c r="F994" s="252" t="s">
        <v>1800</v>
      </c>
      <c r="G994" s="252" t="s">
        <v>1821</v>
      </c>
      <c r="H994" s="252" t="s">
        <v>1776</v>
      </c>
      <c r="I994" s="252" t="s">
        <v>1822</v>
      </c>
      <c r="J994" s="174"/>
      <c r="K994" s="252" t="s">
        <v>1778</v>
      </c>
      <c r="L994" s="252" t="s">
        <v>1778</v>
      </c>
      <c r="M994" s="174"/>
      <c r="N994" s="174"/>
      <c r="O994" s="253" t="s">
        <v>1823</v>
      </c>
    </row>
    <row r="995" spans="1:15" ht="16.149999999999999" customHeight="1" x14ac:dyDescent="0.25">
      <c r="A995" s="172">
        <v>42037</v>
      </c>
      <c r="B995" s="175" t="s">
        <v>49</v>
      </c>
      <c r="C995" s="254" t="s">
        <v>1824</v>
      </c>
      <c r="D995" s="254" t="s">
        <v>1785</v>
      </c>
      <c r="E995" s="254" t="s">
        <v>1781</v>
      </c>
      <c r="F995" s="254" t="s">
        <v>1782</v>
      </c>
      <c r="G995" s="254" t="s">
        <v>1825</v>
      </c>
      <c r="H995" s="254" t="s">
        <v>1786</v>
      </c>
      <c r="I995" s="254" t="s">
        <v>1818</v>
      </c>
      <c r="J995" s="176"/>
      <c r="K995" s="254" t="s">
        <v>1826</v>
      </c>
      <c r="L995" s="254" t="s">
        <v>1786</v>
      </c>
      <c r="M995" s="176"/>
      <c r="N995" s="176"/>
      <c r="O995" s="255" t="s">
        <v>1827</v>
      </c>
    </row>
    <row r="996" spans="1:15" ht="16.149999999999999" customHeight="1" x14ac:dyDescent="0.25">
      <c r="A996" s="172">
        <v>42034</v>
      </c>
      <c r="B996" s="173" t="s">
        <v>49</v>
      </c>
      <c r="C996" s="252" t="s">
        <v>1789</v>
      </c>
      <c r="D996" s="252" t="s">
        <v>1790</v>
      </c>
      <c r="E996" s="252" t="s">
        <v>1778</v>
      </c>
      <c r="F996" s="252" t="s">
        <v>1765</v>
      </c>
      <c r="G996" s="252" t="s">
        <v>1767</v>
      </c>
      <c r="H996" s="252" t="s">
        <v>1744</v>
      </c>
      <c r="I996" s="252" t="s">
        <v>1828</v>
      </c>
      <c r="J996" s="174"/>
      <c r="K996" s="252" t="s">
        <v>1785</v>
      </c>
      <c r="L996" s="252" t="s">
        <v>1778</v>
      </c>
      <c r="M996" s="174"/>
      <c r="N996" s="174"/>
      <c r="O996" s="253" t="s">
        <v>1790</v>
      </c>
    </row>
    <row r="997" spans="1:15" ht="16.149999999999999" customHeight="1" x14ac:dyDescent="0.25">
      <c r="A997" s="172">
        <v>42033</v>
      </c>
      <c r="B997" s="175" t="s">
        <v>49</v>
      </c>
      <c r="C997" s="254" t="s">
        <v>1651</v>
      </c>
      <c r="D997" s="254" t="s">
        <v>1793</v>
      </c>
      <c r="E997" s="254" t="s">
        <v>1767</v>
      </c>
      <c r="F997" s="254" t="s">
        <v>1788</v>
      </c>
      <c r="G997" s="254" t="s">
        <v>1807</v>
      </c>
      <c r="H997" s="254" t="s">
        <v>1819</v>
      </c>
      <c r="I997" s="254" t="s">
        <v>1741</v>
      </c>
      <c r="J997" s="176"/>
      <c r="K997" s="254" t="s">
        <v>1829</v>
      </c>
      <c r="L997" s="254" t="s">
        <v>1786</v>
      </c>
      <c r="M997" s="176"/>
      <c r="N997" s="176"/>
      <c r="O997" s="255" t="s">
        <v>1790</v>
      </c>
    </row>
    <row r="998" spans="1:15" ht="16.149999999999999" customHeight="1" x14ac:dyDescent="0.25">
      <c r="A998" s="172">
        <v>42032</v>
      </c>
      <c r="B998" s="173" t="s">
        <v>49</v>
      </c>
      <c r="C998" s="252" t="s">
        <v>1830</v>
      </c>
      <c r="D998" s="252" t="s">
        <v>1807</v>
      </c>
      <c r="E998" s="252" t="s">
        <v>1765</v>
      </c>
      <c r="F998" s="252" t="s">
        <v>1788</v>
      </c>
      <c r="G998" s="252" t="s">
        <v>1765</v>
      </c>
      <c r="H998" s="252" t="s">
        <v>1767</v>
      </c>
      <c r="I998" s="252" t="s">
        <v>1767</v>
      </c>
      <c r="J998" s="174"/>
      <c r="K998" s="252" t="s">
        <v>1831</v>
      </c>
      <c r="L998" s="252" t="s">
        <v>1778</v>
      </c>
      <c r="M998" s="174"/>
      <c r="N998" s="174"/>
      <c r="O998" s="253" t="s">
        <v>1814</v>
      </c>
    </row>
    <row r="999" spans="1:15" ht="16.149999999999999" customHeight="1" x14ac:dyDescent="0.25">
      <c r="A999" s="172">
        <v>42031</v>
      </c>
      <c r="B999" s="175" t="s">
        <v>49</v>
      </c>
      <c r="C999" s="254" t="s">
        <v>1555</v>
      </c>
      <c r="D999" s="254" t="s">
        <v>1783</v>
      </c>
      <c r="E999" s="254" t="s">
        <v>1807</v>
      </c>
      <c r="F999" s="254" t="s">
        <v>1775</v>
      </c>
      <c r="G999" s="254" t="s">
        <v>1818</v>
      </c>
      <c r="H999" s="254" t="s">
        <v>1775</v>
      </c>
      <c r="I999" s="254" t="s">
        <v>1798</v>
      </c>
      <c r="J999" s="176"/>
      <c r="K999" s="254" t="s">
        <v>1778</v>
      </c>
      <c r="L999" s="254" t="s">
        <v>1778</v>
      </c>
      <c r="M999" s="176"/>
      <c r="N999" s="176"/>
      <c r="O999" s="255" t="s">
        <v>1745</v>
      </c>
    </row>
    <row r="1000" spans="1:15" ht="16.149999999999999" customHeight="1" x14ac:dyDescent="0.25">
      <c r="A1000" s="172">
        <v>42030</v>
      </c>
      <c r="B1000" s="173" t="s">
        <v>49</v>
      </c>
      <c r="C1000" s="252" t="s">
        <v>1832</v>
      </c>
      <c r="D1000" s="252" t="s">
        <v>1765</v>
      </c>
      <c r="E1000" s="252" t="s">
        <v>1765</v>
      </c>
      <c r="F1000" s="252" t="s">
        <v>1782</v>
      </c>
      <c r="G1000" s="252" t="s">
        <v>1775</v>
      </c>
      <c r="H1000" s="252" t="s">
        <v>1767</v>
      </c>
      <c r="I1000" s="252" t="s">
        <v>1772</v>
      </c>
      <c r="J1000" s="174"/>
      <c r="K1000" s="252" t="s">
        <v>1778</v>
      </c>
      <c r="L1000" s="252" t="s">
        <v>1778</v>
      </c>
      <c r="M1000" s="174"/>
      <c r="N1000" s="174"/>
      <c r="O1000" s="253" t="s">
        <v>1745</v>
      </c>
    </row>
    <row r="1001" spans="1:15" ht="16.149999999999999" customHeight="1" x14ac:dyDescent="0.25">
      <c r="A1001" s="172">
        <v>42027</v>
      </c>
      <c r="B1001" s="175" t="s">
        <v>49</v>
      </c>
      <c r="C1001" s="254" t="s">
        <v>1833</v>
      </c>
      <c r="D1001" s="254" t="s">
        <v>1775</v>
      </c>
      <c r="E1001" s="254" t="s">
        <v>1775</v>
      </c>
      <c r="F1001" s="254" t="s">
        <v>1834</v>
      </c>
      <c r="G1001" s="254" t="s">
        <v>1744</v>
      </c>
      <c r="H1001" s="254" t="s">
        <v>1727</v>
      </c>
      <c r="I1001" s="254" t="s">
        <v>1835</v>
      </c>
      <c r="J1001" s="176"/>
      <c r="K1001" s="254" t="s">
        <v>1778</v>
      </c>
      <c r="L1001" s="254" t="s">
        <v>1778</v>
      </c>
      <c r="M1001" s="176"/>
      <c r="N1001" s="176"/>
      <c r="O1001" s="255" t="s">
        <v>1745</v>
      </c>
    </row>
    <row r="1002" spans="1:15" ht="16.149999999999999" customHeight="1" x14ac:dyDescent="0.25">
      <c r="A1002" s="172">
        <v>42026</v>
      </c>
      <c r="B1002" s="173" t="s">
        <v>49</v>
      </c>
      <c r="C1002" s="252" t="s">
        <v>1836</v>
      </c>
      <c r="D1002" s="252" t="s">
        <v>1788</v>
      </c>
      <c r="E1002" s="252" t="s">
        <v>1744</v>
      </c>
      <c r="F1002" s="252" t="s">
        <v>1788</v>
      </c>
      <c r="G1002" s="252" t="s">
        <v>1788</v>
      </c>
      <c r="H1002" s="252" t="s">
        <v>1795</v>
      </c>
      <c r="I1002" s="252" t="s">
        <v>1772</v>
      </c>
      <c r="J1002" s="174"/>
      <c r="K1002" s="252" t="s">
        <v>1786</v>
      </c>
      <c r="L1002" s="252" t="s">
        <v>1837</v>
      </c>
      <c r="M1002" s="174"/>
      <c r="N1002" s="174"/>
      <c r="O1002" s="253" t="s">
        <v>1788</v>
      </c>
    </row>
    <row r="1003" spans="1:15" ht="16.149999999999999" customHeight="1" x14ac:dyDescent="0.25">
      <c r="A1003" s="172">
        <v>42025</v>
      </c>
      <c r="B1003" s="175" t="s">
        <v>49</v>
      </c>
      <c r="C1003" s="254" t="s">
        <v>1777</v>
      </c>
      <c r="D1003" s="254" t="s">
        <v>1792</v>
      </c>
      <c r="E1003" s="254" t="s">
        <v>1745</v>
      </c>
      <c r="F1003" s="254" t="s">
        <v>1810</v>
      </c>
      <c r="G1003" s="254" t="s">
        <v>1810</v>
      </c>
      <c r="H1003" s="254" t="s">
        <v>1792</v>
      </c>
      <c r="I1003" s="254" t="s">
        <v>1775</v>
      </c>
      <c r="J1003" s="176"/>
      <c r="K1003" s="254" t="s">
        <v>1744</v>
      </c>
      <c r="L1003" s="254" t="s">
        <v>1767</v>
      </c>
      <c r="M1003" s="176"/>
      <c r="N1003" s="176"/>
      <c r="O1003" s="255" t="s">
        <v>1745</v>
      </c>
    </row>
    <row r="1004" spans="1:15" ht="16.149999999999999" customHeight="1" x14ac:dyDescent="0.25">
      <c r="A1004" s="172">
        <v>42024</v>
      </c>
      <c r="B1004" s="173" t="s">
        <v>49</v>
      </c>
      <c r="C1004" s="252" t="s">
        <v>1838</v>
      </c>
      <c r="D1004" s="252" t="s">
        <v>1741</v>
      </c>
      <c r="E1004" s="252" t="s">
        <v>1773</v>
      </c>
      <c r="F1004" s="252" t="s">
        <v>1788</v>
      </c>
      <c r="G1004" s="252" t="s">
        <v>1810</v>
      </c>
      <c r="H1004" s="252" t="s">
        <v>1730</v>
      </c>
      <c r="I1004" s="252" t="s">
        <v>1772</v>
      </c>
      <c r="J1004" s="174"/>
      <c r="K1004" s="252" t="s">
        <v>1744</v>
      </c>
      <c r="L1004" s="252" t="s">
        <v>1744</v>
      </c>
      <c r="M1004" s="174"/>
      <c r="N1004" s="174"/>
      <c r="O1004" s="253" t="s">
        <v>1745</v>
      </c>
    </row>
    <row r="1005" spans="1:15" ht="16.149999999999999" customHeight="1" x14ac:dyDescent="0.25">
      <c r="A1005" s="172">
        <v>42023</v>
      </c>
      <c r="B1005" s="175" t="s">
        <v>49</v>
      </c>
      <c r="C1005" s="254" t="s">
        <v>1777</v>
      </c>
      <c r="D1005" s="254" t="s">
        <v>1744</v>
      </c>
      <c r="E1005" s="254" t="s">
        <v>1757</v>
      </c>
      <c r="F1005" s="254" t="s">
        <v>1792</v>
      </c>
      <c r="G1005" s="254" t="s">
        <v>1757</v>
      </c>
      <c r="H1005" s="254" t="s">
        <v>1792</v>
      </c>
      <c r="I1005" s="254" t="s">
        <v>1774</v>
      </c>
      <c r="J1005" s="176"/>
      <c r="K1005" s="254" t="s">
        <v>1744</v>
      </c>
      <c r="L1005" s="254" t="s">
        <v>1765</v>
      </c>
      <c r="M1005" s="176"/>
      <c r="N1005" s="176"/>
      <c r="O1005" s="255" t="s">
        <v>1745</v>
      </c>
    </row>
    <row r="1006" spans="1:15" ht="16.149999999999999" customHeight="1" x14ac:dyDescent="0.25">
      <c r="A1006" s="172">
        <v>42020</v>
      </c>
      <c r="B1006" s="173" t="s">
        <v>49</v>
      </c>
      <c r="C1006" s="252" t="s">
        <v>1816</v>
      </c>
      <c r="D1006" s="252" t="s">
        <v>1814</v>
      </c>
      <c r="E1006" s="252" t="s">
        <v>1741</v>
      </c>
      <c r="F1006" s="252" t="s">
        <v>1792</v>
      </c>
      <c r="G1006" s="252" t="s">
        <v>1772</v>
      </c>
      <c r="H1006" s="252" t="s">
        <v>1728</v>
      </c>
      <c r="I1006" s="252" t="s">
        <v>1746</v>
      </c>
      <c r="J1006" s="174"/>
      <c r="K1006" s="252" t="s">
        <v>1744</v>
      </c>
      <c r="L1006" s="252" t="s">
        <v>1744</v>
      </c>
      <c r="M1006" s="174"/>
      <c r="N1006" s="174"/>
      <c r="O1006" s="253" t="s">
        <v>1745</v>
      </c>
    </row>
    <row r="1007" spans="1:15" ht="16.149999999999999" customHeight="1" x14ac:dyDescent="0.25">
      <c r="A1007" s="172">
        <v>42019</v>
      </c>
      <c r="B1007" s="175" t="s">
        <v>49</v>
      </c>
      <c r="C1007" s="254" t="s">
        <v>1816</v>
      </c>
      <c r="D1007" s="254" t="s">
        <v>1814</v>
      </c>
      <c r="E1007" s="254" t="s">
        <v>1745</v>
      </c>
      <c r="F1007" s="254" t="s">
        <v>1792</v>
      </c>
      <c r="G1007" s="254" t="s">
        <v>1772</v>
      </c>
      <c r="H1007" s="254" t="s">
        <v>1788</v>
      </c>
      <c r="I1007" s="254" t="s">
        <v>1834</v>
      </c>
      <c r="J1007" s="176"/>
      <c r="K1007" s="254" t="s">
        <v>1744</v>
      </c>
      <c r="L1007" s="254" t="s">
        <v>1726</v>
      </c>
      <c r="M1007" s="176"/>
      <c r="N1007" s="176"/>
      <c r="O1007" s="255" t="s">
        <v>1745</v>
      </c>
    </row>
    <row r="1008" spans="1:15" ht="16.149999999999999" customHeight="1" x14ac:dyDescent="0.25">
      <c r="A1008" s="172">
        <v>42018</v>
      </c>
      <c r="B1008" s="173" t="s">
        <v>49</v>
      </c>
      <c r="C1008" s="252" t="s">
        <v>1589</v>
      </c>
      <c r="D1008" s="252" t="s">
        <v>1745</v>
      </c>
      <c r="E1008" s="252" t="s">
        <v>1745</v>
      </c>
      <c r="F1008" s="252" t="s">
        <v>1792</v>
      </c>
      <c r="G1008" s="252" t="s">
        <v>1748</v>
      </c>
      <c r="H1008" s="252" t="s">
        <v>1734</v>
      </c>
      <c r="I1008" s="252" t="s">
        <v>1758</v>
      </c>
      <c r="J1008" s="174"/>
      <c r="K1008" s="252" t="s">
        <v>1744</v>
      </c>
      <c r="L1008" s="252" t="s">
        <v>1744</v>
      </c>
      <c r="M1008" s="174"/>
      <c r="N1008" s="174"/>
      <c r="O1008" s="253" t="s">
        <v>1745</v>
      </c>
    </row>
    <row r="1009" spans="1:15" ht="16.149999999999999" customHeight="1" x14ac:dyDescent="0.25">
      <c r="A1009" s="172">
        <v>42017</v>
      </c>
      <c r="B1009" s="175" t="s">
        <v>49</v>
      </c>
      <c r="C1009" s="254" t="s">
        <v>1815</v>
      </c>
      <c r="D1009" s="254" t="s">
        <v>1757</v>
      </c>
      <c r="E1009" s="254" t="s">
        <v>1772</v>
      </c>
      <c r="F1009" s="254" t="s">
        <v>1792</v>
      </c>
      <c r="G1009" s="254" t="s">
        <v>1748</v>
      </c>
      <c r="H1009" s="254" t="s">
        <v>1788</v>
      </c>
      <c r="I1009" s="254" t="s">
        <v>1773</v>
      </c>
      <c r="J1009" s="176"/>
      <c r="K1009" s="254" t="s">
        <v>1744</v>
      </c>
      <c r="L1009" s="254" t="s">
        <v>1737</v>
      </c>
      <c r="M1009" s="176"/>
      <c r="N1009" s="176"/>
      <c r="O1009" s="255" t="s">
        <v>1745</v>
      </c>
    </row>
    <row r="1010" spans="1:15" ht="16.149999999999999" customHeight="1" x14ac:dyDescent="0.25">
      <c r="A1010" s="172">
        <v>42013</v>
      </c>
      <c r="B1010" s="173" t="s">
        <v>49</v>
      </c>
      <c r="C1010" s="252" t="s">
        <v>1589</v>
      </c>
      <c r="D1010" s="252" t="s">
        <v>1745</v>
      </c>
      <c r="E1010" s="252" t="s">
        <v>1814</v>
      </c>
      <c r="F1010" s="252" t="s">
        <v>1792</v>
      </c>
      <c r="G1010" s="252" t="s">
        <v>1745</v>
      </c>
      <c r="H1010" s="252" t="s">
        <v>1737</v>
      </c>
      <c r="I1010" s="252" t="s">
        <v>1772</v>
      </c>
      <c r="J1010" s="174"/>
      <c r="K1010" s="252" t="s">
        <v>1744</v>
      </c>
      <c r="L1010" s="252" t="s">
        <v>1737</v>
      </c>
      <c r="M1010" s="174"/>
      <c r="N1010" s="174"/>
      <c r="O1010" s="253" t="s">
        <v>1745</v>
      </c>
    </row>
    <row r="1011" spans="1:15" ht="16.149999999999999" customHeight="1" x14ac:dyDescent="0.25">
      <c r="A1011" s="172">
        <v>42012</v>
      </c>
      <c r="B1011" s="175" t="s">
        <v>49</v>
      </c>
      <c r="C1011" s="254" t="s">
        <v>1838</v>
      </c>
      <c r="D1011" s="254" t="s">
        <v>1741</v>
      </c>
      <c r="E1011" s="254" t="s">
        <v>1745</v>
      </c>
      <c r="F1011" s="254" t="s">
        <v>1810</v>
      </c>
      <c r="G1011" s="254" t="s">
        <v>1748</v>
      </c>
      <c r="H1011" s="254" t="s">
        <v>1788</v>
      </c>
      <c r="I1011" s="254" t="s">
        <v>1741</v>
      </c>
      <c r="J1011" s="176"/>
      <c r="K1011" s="254" t="s">
        <v>1744</v>
      </c>
      <c r="L1011" s="254" t="s">
        <v>1744</v>
      </c>
      <c r="M1011" s="176"/>
      <c r="N1011" s="176"/>
      <c r="O1011" s="255" t="s">
        <v>1745</v>
      </c>
    </row>
    <row r="1012" spans="1:15" ht="16.149999999999999" customHeight="1" x14ac:dyDescent="0.25">
      <c r="A1012" s="172">
        <v>42011</v>
      </c>
      <c r="B1012" s="173" t="s">
        <v>49</v>
      </c>
      <c r="C1012" s="252" t="s">
        <v>1589</v>
      </c>
      <c r="D1012" s="252" t="s">
        <v>1745</v>
      </c>
      <c r="E1012" s="252" t="s">
        <v>1745</v>
      </c>
      <c r="F1012" s="252" t="s">
        <v>1810</v>
      </c>
      <c r="G1012" s="252" t="s">
        <v>1748</v>
      </c>
      <c r="H1012" s="252" t="s">
        <v>1772</v>
      </c>
      <c r="I1012" s="252" t="s">
        <v>1758</v>
      </c>
      <c r="J1012" s="174"/>
      <c r="K1012" s="252" t="s">
        <v>1744</v>
      </c>
      <c r="L1012" s="252" t="s">
        <v>1767</v>
      </c>
      <c r="M1012" s="174"/>
      <c r="N1012" s="174"/>
      <c r="O1012" s="253" t="s">
        <v>1757</v>
      </c>
    </row>
    <row r="1013" spans="1:15" ht="16.149999999999999" customHeight="1" x14ac:dyDescent="0.25">
      <c r="A1013" s="172">
        <v>42010</v>
      </c>
      <c r="B1013" s="175" t="s">
        <v>49</v>
      </c>
      <c r="C1013" s="254" t="s">
        <v>1816</v>
      </c>
      <c r="D1013" s="254" t="s">
        <v>1814</v>
      </c>
      <c r="E1013" s="254" t="s">
        <v>1745</v>
      </c>
      <c r="F1013" s="254" t="s">
        <v>1788</v>
      </c>
      <c r="G1013" s="254" t="s">
        <v>1814</v>
      </c>
      <c r="H1013" s="254" t="s">
        <v>1810</v>
      </c>
      <c r="I1013" s="254" t="s">
        <v>1773</v>
      </c>
      <c r="J1013" s="176"/>
      <c r="K1013" s="254" t="s">
        <v>1775</v>
      </c>
      <c r="L1013" s="254" t="s">
        <v>1737</v>
      </c>
      <c r="M1013" s="176"/>
      <c r="N1013" s="176"/>
      <c r="O1013" s="255" t="s">
        <v>1757</v>
      </c>
    </row>
    <row r="1014" spans="1:15" ht="16.149999999999999" customHeight="1" x14ac:dyDescent="0.25">
      <c r="A1014" s="172">
        <v>42009</v>
      </c>
      <c r="B1014" s="173" t="s">
        <v>49</v>
      </c>
      <c r="C1014" s="252" t="s">
        <v>1813</v>
      </c>
      <c r="D1014" s="252" t="s">
        <v>1773</v>
      </c>
      <c r="E1014" s="252" t="s">
        <v>1741</v>
      </c>
      <c r="F1014" s="252" t="s">
        <v>1765</v>
      </c>
      <c r="G1014" s="252" t="s">
        <v>1814</v>
      </c>
      <c r="H1014" s="252" t="s">
        <v>1745</v>
      </c>
      <c r="I1014" s="252" t="s">
        <v>1746</v>
      </c>
      <c r="J1014" s="174"/>
      <c r="K1014" s="252" t="s">
        <v>1765</v>
      </c>
      <c r="L1014" s="252" t="s">
        <v>1744</v>
      </c>
      <c r="M1014" s="174"/>
      <c r="N1014" s="174"/>
      <c r="O1014" s="253" t="s">
        <v>1757</v>
      </c>
    </row>
    <row r="1015" spans="1:15" ht="16.149999999999999" customHeight="1" x14ac:dyDescent="0.25">
      <c r="A1015" s="172">
        <v>42006</v>
      </c>
      <c r="B1015" s="175" t="s">
        <v>49</v>
      </c>
      <c r="C1015" s="254" t="s">
        <v>1811</v>
      </c>
      <c r="D1015" s="254" t="s">
        <v>1792</v>
      </c>
      <c r="E1015" s="254" t="s">
        <v>1744</v>
      </c>
      <c r="F1015" s="254" t="s">
        <v>1807</v>
      </c>
      <c r="G1015" s="254" t="s">
        <v>1773</v>
      </c>
      <c r="H1015" s="254" t="s">
        <v>1810</v>
      </c>
      <c r="I1015" s="254" t="s">
        <v>1775</v>
      </c>
      <c r="J1015" s="176"/>
      <c r="K1015" s="254" t="s">
        <v>1765</v>
      </c>
      <c r="L1015" s="254" t="s">
        <v>1737</v>
      </c>
      <c r="M1015" s="176"/>
      <c r="N1015" s="176"/>
      <c r="O1015" s="255" t="s">
        <v>1757</v>
      </c>
    </row>
    <row r="1016" spans="1:15" ht="16.149999999999999" customHeight="1" x14ac:dyDescent="0.25">
      <c r="A1016" s="172">
        <v>42003</v>
      </c>
      <c r="B1016" s="173" t="s">
        <v>49</v>
      </c>
      <c r="C1016" s="252" t="s">
        <v>1812</v>
      </c>
      <c r="D1016" s="252" t="s">
        <v>1744</v>
      </c>
      <c r="E1016" s="252" t="s">
        <v>1744</v>
      </c>
      <c r="F1016" s="252" t="s">
        <v>1800</v>
      </c>
      <c r="G1016" s="252" t="s">
        <v>1744</v>
      </c>
      <c r="H1016" s="252" t="s">
        <v>1748</v>
      </c>
      <c r="I1016" s="252" t="s">
        <v>1746</v>
      </c>
      <c r="J1016" s="174"/>
      <c r="K1016" s="252" t="s">
        <v>1765</v>
      </c>
      <c r="L1016" s="252" t="s">
        <v>1765</v>
      </c>
      <c r="M1016" s="174"/>
      <c r="N1016" s="174"/>
      <c r="O1016" s="253" t="s">
        <v>1757</v>
      </c>
    </row>
    <row r="1017" spans="1:15" ht="16.149999999999999" customHeight="1" x14ac:dyDescent="0.25">
      <c r="A1017" s="172">
        <v>42002</v>
      </c>
      <c r="B1017" s="175" t="s">
        <v>49</v>
      </c>
      <c r="C1017" s="254" t="s">
        <v>1833</v>
      </c>
      <c r="D1017" s="254" t="s">
        <v>1775</v>
      </c>
      <c r="E1017" s="254" t="s">
        <v>1744</v>
      </c>
      <c r="F1017" s="254" t="s">
        <v>1800</v>
      </c>
      <c r="G1017" s="254" t="s">
        <v>1744</v>
      </c>
      <c r="H1017" s="254" t="s">
        <v>1748</v>
      </c>
      <c r="I1017" s="254" t="s">
        <v>1778</v>
      </c>
      <c r="J1017" s="176"/>
      <c r="K1017" s="254" t="s">
        <v>1765</v>
      </c>
      <c r="L1017" s="254" t="s">
        <v>1767</v>
      </c>
      <c r="M1017" s="176"/>
      <c r="N1017" s="176"/>
      <c r="O1017" s="255" t="s">
        <v>1757</v>
      </c>
    </row>
    <row r="1018" spans="1:15" ht="16.149999999999999" customHeight="1" x14ac:dyDescent="0.25">
      <c r="A1018" s="172">
        <v>41999</v>
      </c>
      <c r="B1018" s="173" t="s">
        <v>49</v>
      </c>
      <c r="C1018" s="252" t="s">
        <v>1839</v>
      </c>
      <c r="D1018" s="252" t="s">
        <v>1834</v>
      </c>
      <c r="E1018" s="252" t="s">
        <v>1744</v>
      </c>
      <c r="F1018" s="252" t="s">
        <v>1800</v>
      </c>
      <c r="G1018" s="252" t="s">
        <v>1810</v>
      </c>
      <c r="H1018" s="252" t="s">
        <v>1772</v>
      </c>
      <c r="I1018" s="252" t="s">
        <v>1800</v>
      </c>
      <c r="J1018" s="174"/>
      <c r="K1018" s="252" t="s">
        <v>1765</v>
      </c>
      <c r="L1018" s="252" t="s">
        <v>1767</v>
      </c>
      <c r="M1018" s="174"/>
      <c r="N1018" s="174"/>
      <c r="O1018" s="253" t="s">
        <v>1757</v>
      </c>
    </row>
    <row r="1019" spans="1:15" ht="16.149999999999999" customHeight="1" x14ac:dyDescent="0.25">
      <c r="A1019" s="172">
        <v>41997</v>
      </c>
      <c r="B1019" s="175" t="s">
        <v>49</v>
      </c>
      <c r="C1019" s="254" t="s">
        <v>1839</v>
      </c>
      <c r="D1019" s="254" t="s">
        <v>1834</v>
      </c>
      <c r="E1019" s="254" t="s">
        <v>1744</v>
      </c>
      <c r="F1019" s="254" t="s">
        <v>1800</v>
      </c>
      <c r="G1019" s="254" t="s">
        <v>1788</v>
      </c>
      <c r="H1019" s="254" t="s">
        <v>1757</v>
      </c>
      <c r="I1019" s="254" t="s">
        <v>1782</v>
      </c>
      <c r="J1019" s="176"/>
      <c r="K1019" s="254" t="s">
        <v>1765</v>
      </c>
      <c r="L1019" s="254" t="s">
        <v>1767</v>
      </c>
      <c r="M1019" s="176"/>
      <c r="N1019" s="176"/>
      <c r="O1019" s="255" t="s">
        <v>1757</v>
      </c>
    </row>
    <row r="1020" spans="1:15" ht="16.149999999999999" customHeight="1" x14ac:dyDescent="0.25">
      <c r="A1020" s="172">
        <v>41996</v>
      </c>
      <c r="B1020" s="173" t="s">
        <v>49</v>
      </c>
      <c r="C1020" s="252" t="s">
        <v>1836</v>
      </c>
      <c r="D1020" s="252" t="s">
        <v>1810</v>
      </c>
      <c r="E1020" s="252" t="s">
        <v>1744</v>
      </c>
      <c r="F1020" s="252" t="s">
        <v>1800</v>
      </c>
      <c r="G1020" s="252" t="s">
        <v>1775</v>
      </c>
      <c r="H1020" s="252" t="s">
        <v>1773</v>
      </c>
      <c r="I1020" s="252" t="s">
        <v>1814</v>
      </c>
      <c r="J1020" s="174"/>
      <c r="K1020" s="252" t="s">
        <v>1765</v>
      </c>
      <c r="L1020" s="252" t="s">
        <v>1765</v>
      </c>
      <c r="M1020" s="174"/>
      <c r="N1020" s="174"/>
      <c r="O1020" s="253" t="s">
        <v>1757</v>
      </c>
    </row>
    <row r="1021" spans="1:15" ht="16.149999999999999" customHeight="1" x14ac:dyDescent="0.25">
      <c r="A1021" s="172">
        <v>41995</v>
      </c>
      <c r="B1021" s="175" t="s">
        <v>49</v>
      </c>
      <c r="C1021" s="254" t="s">
        <v>1840</v>
      </c>
      <c r="D1021" s="254" t="s">
        <v>1774</v>
      </c>
      <c r="E1021" s="254" t="s">
        <v>1775</v>
      </c>
      <c r="F1021" s="254" t="s">
        <v>1800</v>
      </c>
      <c r="G1021" s="254" t="s">
        <v>1788</v>
      </c>
      <c r="H1021" s="254" t="s">
        <v>1741</v>
      </c>
      <c r="I1021" s="254" t="s">
        <v>1773</v>
      </c>
      <c r="J1021" s="176"/>
      <c r="K1021" s="254" t="s">
        <v>1765</v>
      </c>
      <c r="L1021" s="254" t="s">
        <v>1767</v>
      </c>
      <c r="M1021" s="176"/>
      <c r="N1021" s="176"/>
      <c r="O1021" s="255" t="s">
        <v>1757</v>
      </c>
    </row>
    <row r="1022" spans="1:15" ht="16.149999999999999" customHeight="1" x14ac:dyDescent="0.25">
      <c r="A1022" s="172">
        <v>41992</v>
      </c>
      <c r="B1022" s="173" t="s">
        <v>49</v>
      </c>
      <c r="C1022" s="252" t="s">
        <v>1777</v>
      </c>
      <c r="D1022" s="252" t="s">
        <v>1792</v>
      </c>
      <c r="E1022" s="252" t="s">
        <v>1744</v>
      </c>
      <c r="F1022" s="252" t="s">
        <v>1800</v>
      </c>
      <c r="G1022" s="252" t="s">
        <v>1810</v>
      </c>
      <c r="H1022" s="252" t="s">
        <v>1741</v>
      </c>
      <c r="I1022" s="252" t="s">
        <v>1767</v>
      </c>
      <c r="J1022" s="174"/>
      <c r="K1022" s="252" t="s">
        <v>1765</v>
      </c>
      <c r="L1022" s="252" t="s">
        <v>1744</v>
      </c>
      <c r="M1022" s="174"/>
      <c r="N1022" s="174"/>
      <c r="O1022" s="253" t="s">
        <v>1757</v>
      </c>
    </row>
    <row r="1023" spans="1:15" ht="16.149999999999999" customHeight="1" x14ac:dyDescent="0.25">
      <c r="A1023" s="172">
        <v>41991</v>
      </c>
      <c r="B1023" s="175" t="s">
        <v>49</v>
      </c>
      <c r="C1023" s="254" t="s">
        <v>1811</v>
      </c>
      <c r="D1023" s="254" t="s">
        <v>1810</v>
      </c>
      <c r="E1023" s="254" t="s">
        <v>1767</v>
      </c>
      <c r="F1023" s="254" t="s">
        <v>1717</v>
      </c>
      <c r="G1023" s="254" t="s">
        <v>1800</v>
      </c>
      <c r="H1023" s="254" t="s">
        <v>1748</v>
      </c>
      <c r="I1023" s="254" t="s">
        <v>1758</v>
      </c>
      <c r="J1023" s="176"/>
      <c r="K1023" s="254" t="s">
        <v>1765</v>
      </c>
      <c r="L1023" s="254" t="s">
        <v>1778</v>
      </c>
      <c r="M1023" s="176"/>
      <c r="N1023" s="176"/>
      <c r="O1023" s="255" t="s">
        <v>1745</v>
      </c>
    </row>
    <row r="1024" spans="1:15" ht="16.149999999999999" customHeight="1" x14ac:dyDescent="0.25">
      <c r="A1024" s="172">
        <v>41990</v>
      </c>
      <c r="B1024" s="173" t="s">
        <v>49</v>
      </c>
      <c r="C1024" s="252" t="s">
        <v>1796</v>
      </c>
      <c r="D1024" s="252" t="s">
        <v>1767</v>
      </c>
      <c r="E1024" s="252" t="s">
        <v>1767</v>
      </c>
      <c r="F1024" s="252" t="s">
        <v>1800</v>
      </c>
      <c r="G1024" s="252" t="s">
        <v>1767</v>
      </c>
      <c r="H1024" s="252" t="s">
        <v>1748</v>
      </c>
      <c r="I1024" s="252" t="s">
        <v>1767</v>
      </c>
      <c r="J1024" s="174"/>
      <c r="K1024" s="252" t="s">
        <v>1783</v>
      </c>
      <c r="L1024" s="252" t="s">
        <v>1767</v>
      </c>
      <c r="M1024" s="174"/>
      <c r="N1024" s="174"/>
      <c r="O1024" s="253" t="s">
        <v>1745</v>
      </c>
    </row>
    <row r="1025" spans="1:15" ht="16.149999999999999" customHeight="1" x14ac:dyDescent="0.25">
      <c r="A1025" s="172">
        <v>41989</v>
      </c>
      <c r="B1025" s="175" t="s">
        <v>49</v>
      </c>
      <c r="C1025" s="254" t="s">
        <v>1799</v>
      </c>
      <c r="D1025" s="254" t="s">
        <v>1798</v>
      </c>
      <c r="E1025" s="254" t="s">
        <v>1767</v>
      </c>
      <c r="F1025" s="254" t="s">
        <v>1767</v>
      </c>
      <c r="G1025" s="254" t="s">
        <v>1806</v>
      </c>
      <c r="H1025" s="254" t="s">
        <v>1748</v>
      </c>
      <c r="I1025" s="254" t="s">
        <v>1758</v>
      </c>
      <c r="J1025" s="176"/>
      <c r="K1025" s="254" t="s">
        <v>1798</v>
      </c>
      <c r="L1025" s="254" t="s">
        <v>1778</v>
      </c>
      <c r="M1025" s="176"/>
      <c r="N1025" s="176"/>
      <c r="O1025" s="255" t="s">
        <v>1745</v>
      </c>
    </row>
    <row r="1026" spans="1:15" ht="16.149999999999999" customHeight="1" x14ac:dyDescent="0.25">
      <c r="A1026" s="172">
        <v>41988</v>
      </c>
      <c r="B1026" s="173" t="s">
        <v>49</v>
      </c>
      <c r="C1026" s="252" t="s">
        <v>1841</v>
      </c>
      <c r="D1026" s="252" t="s">
        <v>1805</v>
      </c>
      <c r="E1026" s="252" t="s">
        <v>1807</v>
      </c>
      <c r="F1026" s="252" t="s">
        <v>1767</v>
      </c>
      <c r="G1026" s="252" t="s">
        <v>1806</v>
      </c>
      <c r="H1026" s="252" t="s">
        <v>1748</v>
      </c>
      <c r="I1026" s="252" t="s">
        <v>1806</v>
      </c>
      <c r="J1026" s="174"/>
      <c r="K1026" s="252" t="s">
        <v>1798</v>
      </c>
      <c r="L1026" s="252" t="s">
        <v>1744</v>
      </c>
      <c r="M1026" s="174"/>
      <c r="N1026" s="174"/>
      <c r="O1026" s="253" t="s">
        <v>1745</v>
      </c>
    </row>
    <row r="1027" spans="1:15" ht="16.149999999999999" customHeight="1" x14ac:dyDescent="0.25">
      <c r="A1027" s="172">
        <v>41985</v>
      </c>
      <c r="B1027" s="175" t="s">
        <v>49</v>
      </c>
      <c r="C1027" s="254" t="s">
        <v>1643</v>
      </c>
      <c r="D1027" s="254" t="s">
        <v>1804</v>
      </c>
      <c r="E1027" s="254" t="s">
        <v>1807</v>
      </c>
      <c r="F1027" s="254" t="s">
        <v>1767</v>
      </c>
      <c r="G1027" s="254" t="s">
        <v>1818</v>
      </c>
      <c r="H1027" s="254" t="s">
        <v>1748</v>
      </c>
      <c r="I1027" s="254" t="s">
        <v>1783</v>
      </c>
      <c r="J1027" s="176"/>
      <c r="K1027" s="254" t="s">
        <v>1807</v>
      </c>
      <c r="L1027" s="254" t="s">
        <v>1786</v>
      </c>
      <c r="M1027" s="176"/>
      <c r="N1027" s="176"/>
      <c r="O1027" s="255" t="s">
        <v>1745</v>
      </c>
    </row>
    <row r="1028" spans="1:15" ht="16.149999999999999" customHeight="1" x14ac:dyDescent="0.25">
      <c r="A1028" s="172">
        <v>41984</v>
      </c>
      <c r="B1028" s="173" t="s">
        <v>49</v>
      </c>
      <c r="C1028" s="252" t="s">
        <v>1833</v>
      </c>
      <c r="D1028" s="252" t="s">
        <v>1775</v>
      </c>
      <c r="E1028" s="252" t="s">
        <v>1782</v>
      </c>
      <c r="F1028" s="252" t="s">
        <v>1767</v>
      </c>
      <c r="G1028" s="252" t="s">
        <v>1783</v>
      </c>
      <c r="H1028" s="252" t="s">
        <v>1737</v>
      </c>
      <c r="I1028" s="252" t="s">
        <v>1772</v>
      </c>
      <c r="J1028" s="174"/>
      <c r="K1028" s="252" t="s">
        <v>1807</v>
      </c>
      <c r="L1028" s="252" t="s">
        <v>1744</v>
      </c>
      <c r="M1028" s="174"/>
      <c r="N1028" s="174"/>
      <c r="O1028" s="253" t="s">
        <v>1745</v>
      </c>
    </row>
    <row r="1029" spans="1:15" ht="16.149999999999999" customHeight="1" x14ac:dyDescent="0.25">
      <c r="A1029" s="172">
        <v>41983</v>
      </c>
      <c r="B1029" s="175" t="s">
        <v>49</v>
      </c>
      <c r="C1029" s="254" t="s">
        <v>1832</v>
      </c>
      <c r="D1029" s="254" t="s">
        <v>1765</v>
      </c>
      <c r="E1029" s="254" t="s">
        <v>1765</v>
      </c>
      <c r="F1029" s="254" t="s">
        <v>1767</v>
      </c>
      <c r="G1029" s="254" t="s">
        <v>1795</v>
      </c>
      <c r="H1029" s="254" t="s">
        <v>1773</v>
      </c>
      <c r="I1029" s="254" t="s">
        <v>1804</v>
      </c>
      <c r="J1029" s="176"/>
      <c r="K1029" s="254" t="s">
        <v>1765</v>
      </c>
      <c r="L1029" s="254" t="s">
        <v>1744</v>
      </c>
      <c r="M1029" s="176"/>
      <c r="N1029" s="176"/>
      <c r="O1029" s="255" t="s">
        <v>1493</v>
      </c>
    </row>
    <row r="1030" spans="1:15" ht="16.149999999999999" customHeight="1" x14ac:dyDescent="0.25">
      <c r="A1030" s="172">
        <v>41982</v>
      </c>
      <c r="B1030" s="173" t="s">
        <v>49</v>
      </c>
      <c r="C1030" s="252" t="s">
        <v>1839</v>
      </c>
      <c r="D1030" s="252" t="s">
        <v>1834</v>
      </c>
      <c r="E1030" s="252" t="s">
        <v>1782</v>
      </c>
      <c r="F1030" s="252" t="s">
        <v>1778</v>
      </c>
      <c r="G1030" s="252" t="s">
        <v>1783</v>
      </c>
      <c r="H1030" s="252" t="s">
        <v>1744</v>
      </c>
      <c r="I1030" s="252" t="s">
        <v>1792</v>
      </c>
      <c r="J1030" s="174"/>
      <c r="K1030" s="252" t="s">
        <v>1744</v>
      </c>
      <c r="L1030" s="252" t="s">
        <v>1767</v>
      </c>
      <c r="M1030" s="174"/>
      <c r="N1030" s="174"/>
      <c r="O1030" s="253" t="s">
        <v>1745</v>
      </c>
    </row>
    <row r="1031" spans="1:15" ht="16.149999999999999" customHeight="1" x14ac:dyDescent="0.25">
      <c r="A1031" s="172">
        <v>41978</v>
      </c>
      <c r="B1031" s="175" t="s">
        <v>49</v>
      </c>
      <c r="C1031" s="254" t="s">
        <v>1808</v>
      </c>
      <c r="D1031" s="254" t="s">
        <v>1782</v>
      </c>
      <c r="E1031" s="254" t="s">
        <v>1783</v>
      </c>
      <c r="F1031" s="254" t="s">
        <v>1778</v>
      </c>
      <c r="G1031" s="254" t="s">
        <v>1805</v>
      </c>
      <c r="H1031" s="254" t="s">
        <v>1744</v>
      </c>
      <c r="I1031" s="254" t="s">
        <v>1776</v>
      </c>
      <c r="J1031" s="176"/>
      <c r="K1031" s="254" t="s">
        <v>1806</v>
      </c>
      <c r="L1031" s="254" t="s">
        <v>1765</v>
      </c>
      <c r="M1031" s="176"/>
      <c r="N1031" s="176"/>
      <c r="O1031" s="255" t="s">
        <v>1744</v>
      </c>
    </row>
    <row r="1032" spans="1:15" ht="16.149999999999999" customHeight="1" x14ac:dyDescent="0.25">
      <c r="A1032" s="172">
        <v>41977</v>
      </c>
      <c r="B1032" s="173" t="s">
        <v>49</v>
      </c>
      <c r="C1032" s="252" t="s">
        <v>1636</v>
      </c>
      <c r="D1032" s="252" t="s">
        <v>1835</v>
      </c>
      <c r="E1032" s="252" t="s">
        <v>1767</v>
      </c>
      <c r="F1032" s="252" t="s">
        <v>1778</v>
      </c>
      <c r="G1032" s="252" t="s">
        <v>1806</v>
      </c>
      <c r="H1032" s="252" t="s">
        <v>1757</v>
      </c>
      <c r="I1032" s="252" t="s">
        <v>1772</v>
      </c>
      <c r="J1032" s="174"/>
      <c r="K1032" s="252" t="s">
        <v>1767</v>
      </c>
      <c r="L1032" s="252" t="s">
        <v>1765</v>
      </c>
      <c r="M1032" s="174"/>
      <c r="N1032" s="174"/>
      <c r="O1032" s="253" t="s">
        <v>1757</v>
      </c>
    </row>
    <row r="1033" spans="1:15" ht="16.149999999999999" customHeight="1" x14ac:dyDescent="0.25">
      <c r="A1033" s="172">
        <v>41976</v>
      </c>
      <c r="B1033" s="175" t="s">
        <v>49</v>
      </c>
      <c r="C1033" s="254" t="s">
        <v>1803</v>
      </c>
      <c r="D1033" s="254" t="s">
        <v>1801</v>
      </c>
      <c r="E1033" s="254" t="s">
        <v>1800</v>
      </c>
      <c r="F1033" s="254" t="s">
        <v>1786</v>
      </c>
      <c r="G1033" s="254" t="s">
        <v>1791</v>
      </c>
      <c r="H1033" s="254" t="s">
        <v>1748</v>
      </c>
      <c r="I1033" s="254" t="s">
        <v>1806</v>
      </c>
      <c r="J1033" s="176"/>
      <c r="K1033" s="254" t="s">
        <v>1807</v>
      </c>
      <c r="L1033" s="254" t="s">
        <v>1744</v>
      </c>
      <c r="M1033" s="176"/>
      <c r="N1033" s="176"/>
      <c r="O1033" s="255" t="s">
        <v>1745</v>
      </c>
    </row>
    <row r="1034" spans="1:15" ht="16.149999999999999" customHeight="1" x14ac:dyDescent="0.25">
      <c r="A1034" s="172">
        <v>41975</v>
      </c>
      <c r="B1034" s="173" t="s">
        <v>49</v>
      </c>
      <c r="C1034" s="252" t="s">
        <v>1796</v>
      </c>
      <c r="D1034" s="252" t="s">
        <v>1767</v>
      </c>
      <c r="E1034" s="252" t="s">
        <v>1781</v>
      </c>
      <c r="F1034" s="252" t="s">
        <v>1786</v>
      </c>
      <c r="G1034" s="252" t="s">
        <v>1779</v>
      </c>
      <c r="H1034" s="252" t="s">
        <v>1814</v>
      </c>
      <c r="I1034" s="252" t="s">
        <v>1792</v>
      </c>
      <c r="J1034" s="174"/>
      <c r="K1034" s="252" t="s">
        <v>1767</v>
      </c>
      <c r="L1034" s="252" t="s">
        <v>1767</v>
      </c>
      <c r="M1034" s="174"/>
      <c r="N1034" s="174"/>
      <c r="O1034" s="253" t="s">
        <v>1745</v>
      </c>
    </row>
    <row r="1035" spans="1:15" ht="16.149999999999999" customHeight="1" x14ac:dyDescent="0.25">
      <c r="A1035" s="172">
        <v>41974</v>
      </c>
      <c r="B1035" s="175" t="s">
        <v>49</v>
      </c>
      <c r="C1035" s="254" t="s">
        <v>1842</v>
      </c>
      <c r="D1035" s="254" t="s">
        <v>1767</v>
      </c>
      <c r="E1035" s="254" t="s">
        <v>1775</v>
      </c>
      <c r="F1035" s="254" t="s">
        <v>1765</v>
      </c>
      <c r="G1035" s="254" t="s">
        <v>1788</v>
      </c>
      <c r="H1035" s="254" t="s">
        <v>1778</v>
      </c>
      <c r="I1035" s="254" t="s">
        <v>1843</v>
      </c>
      <c r="J1035" s="176"/>
      <c r="K1035" s="254" t="s">
        <v>1778</v>
      </c>
      <c r="L1035" s="254" t="s">
        <v>1778</v>
      </c>
      <c r="M1035" s="176"/>
      <c r="N1035" s="176"/>
      <c r="O1035" s="255" t="s">
        <v>1745</v>
      </c>
    </row>
    <row r="1036" spans="1:15" ht="16.149999999999999" customHeight="1" x14ac:dyDescent="0.25">
      <c r="A1036" s="172">
        <v>41971</v>
      </c>
      <c r="B1036" s="173" t="s">
        <v>49</v>
      </c>
      <c r="C1036" s="252" t="s">
        <v>1817</v>
      </c>
      <c r="D1036" s="252" t="s">
        <v>1788</v>
      </c>
      <c r="E1036" s="252" t="s">
        <v>1775</v>
      </c>
      <c r="F1036" s="252" t="s">
        <v>1765</v>
      </c>
      <c r="G1036" s="252" t="s">
        <v>1792</v>
      </c>
      <c r="H1036" s="252" t="s">
        <v>1772</v>
      </c>
      <c r="I1036" s="252" t="s">
        <v>1806</v>
      </c>
      <c r="J1036" s="174"/>
      <c r="K1036" s="252" t="s">
        <v>1792</v>
      </c>
      <c r="L1036" s="252" t="s">
        <v>1819</v>
      </c>
      <c r="M1036" s="174"/>
      <c r="N1036" s="174"/>
      <c r="O1036" s="253" t="s">
        <v>1757</v>
      </c>
    </row>
    <row r="1037" spans="1:15" ht="16.149999999999999" customHeight="1" x14ac:dyDescent="0.25">
      <c r="A1037" s="172">
        <v>41970</v>
      </c>
      <c r="B1037" s="175" t="s">
        <v>49</v>
      </c>
      <c r="C1037" s="254" t="s">
        <v>1811</v>
      </c>
      <c r="D1037" s="254" t="s">
        <v>1792</v>
      </c>
      <c r="E1037" s="254" t="s">
        <v>1788</v>
      </c>
      <c r="F1037" s="254" t="s">
        <v>1765</v>
      </c>
      <c r="G1037" s="254" t="s">
        <v>1792</v>
      </c>
      <c r="H1037" s="254" t="s">
        <v>1744</v>
      </c>
      <c r="I1037" s="254" t="s">
        <v>1744</v>
      </c>
      <c r="J1037" s="176"/>
      <c r="K1037" s="254" t="s">
        <v>1792</v>
      </c>
      <c r="L1037" s="254" t="s">
        <v>1767</v>
      </c>
      <c r="M1037" s="176"/>
      <c r="N1037" s="176"/>
      <c r="O1037" s="255" t="s">
        <v>1757</v>
      </c>
    </row>
    <row r="1038" spans="1:15" ht="16.149999999999999" customHeight="1" x14ac:dyDescent="0.25">
      <c r="A1038" s="172">
        <v>41969</v>
      </c>
      <c r="B1038" s="173" t="s">
        <v>49</v>
      </c>
      <c r="C1038" s="252" t="s">
        <v>1811</v>
      </c>
      <c r="D1038" s="252" t="s">
        <v>1792</v>
      </c>
      <c r="E1038" s="252" t="s">
        <v>1792</v>
      </c>
      <c r="F1038" s="252" t="s">
        <v>1765</v>
      </c>
      <c r="G1038" s="252" t="s">
        <v>1773</v>
      </c>
      <c r="H1038" s="252" t="s">
        <v>1792</v>
      </c>
      <c r="I1038" s="252" t="s">
        <v>1790</v>
      </c>
      <c r="J1038" s="174"/>
      <c r="K1038" s="252" t="s">
        <v>1810</v>
      </c>
      <c r="L1038" s="252" t="s">
        <v>1737</v>
      </c>
      <c r="M1038" s="174"/>
      <c r="N1038" s="174"/>
      <c r="O1038" s="253" t="s">
        <v>1757</v>
      </c>
    </row>
    <row r="1039" spans="1:15" ht="16.149999999999999" customHeight="1" x14ac:dyDescent="0.25">
      <c r="A1039" s="172">
        <v>41968</v>
      </c>
      <c r="B1039" s="175" t="s">
        <v>49</v>
      </c>
      <c r="C1039" s="254" t="s">
        <v>1777</v>
      </c>
      <c r="D1039" s="254" t="s">
        <v>1744</v>
      </c>
      <c r="E1039" s="254" t="s">
        <v>1792</v>
      </c>
      <c r="F1039" s="254" t="s">
        <v>1765</v>
      </c>
      <c r="G1039" s="254" t="s">
        <v>1772</v>
      </c>
      <c r="H1039" s="254" t="s">
        <v>1744</v>
      </c>
      <c r="I1039" s="254" t="s">
        <v>1746</v>
      </c>
      <c r="J1039" s="176"/>
      <c r="K1039" s="254" t="s">
        <v>1744</v>
      </c>
      <c r="L1039" s="254" t="s">
        <v>1778</v>
      </c>
      <c r="M1039" s="176"/>
      <c r="N1039" s="176"/>
      <c r="O1039" s="255" t="s">
        <v>1757</v>
      </c>
    </row>
    <row r="1040" spans="1:15" ht="16.149999999999999" customHeight="1" x14ac:dyDescent="0.25">
      <c r="A1040" s="172">
        <v>41967</v>
      </c>
      <c r="B1040" s="173" t="s">
        <v>49</v>
      </c>
      <c r="C1040" s="252" t="s">
        <v>1838</v>
      </c>
      <c r="D1040" s="252" t="s">
        <v>1773</v>
      </c>
      <c r="E1040" s="252" t="s">
        <v>1744</v>
      </c>
      <c r="F1040" s="252" t="s">
        <v>1737</v>
      </c>
      <c r="G1040" s="252" t="s">
        <v>1772</v>
      </c>
      <c r="H1040" s="252" t="s">
        <v>1757</v>
      </c>
      <c r="I1040" s="252" t="s">
        <v>1818</v>
      </c>
      <c r="J1040" s="174"/>
      <c r="K1040" s="252" t="s">
        <v>1744</v>
      </c>
      <c r="L1040" s="252" t="s">
        <v>1778</v>
      </c>
      <c r="M1040" s="174"/>
      <c r="N1040" s="174"/>
      <c r="O1040" s="253" t="s">
        <v>1757</v>
      </c>
    </row>
    <row r="1041" spans="1:15" ht="16.149999999999999" customHeight="1" x14ac:dyDescent="0.25">
      <c r="A1041" s="172">
        <v>41964</v>
      </c>
      <c r="B1041" s="175" t="s">
        <v>49</v>
      </c>
      <c r="C1041" s="254" t="s">
        <v>1816</v>
      </c>
      <c r="D1041" s="254" t="s">
        <v>1757</v>
      </c>
      <c r="E1041" s="254" t="s">
        <v>1767</v>
      </c>
      <c r="F1041" s="254" t="s">
        <v>1737</v>
      </c>
      <c r="G1041" s="254" t="s">
        <v>1758</v>
      </c>
      <c r="H1041" s="254" t="s">
        <v>1758</v>
      </c>
      <c r="I1041" s="254" t="s">
        <v>1757</v>
      </c>
      <c r="J1041" s="176"/>
      <c r="K1041" s="254" t="s">
        <v>1744</v>
      </c>
      <c r="L1041" s="254" t="s">
        <v>1744</v>
      </c>
      <c r="M1041" s="176"/>
      <c r="N1041" s="176"/>
      <c r="O1041" s="255" t="s">
        <v>1757</v>
      </c>
    </row>
    <row r="1042" spans="1:15" ht="16.149999999999999" customHeight="1" x14ac:dyDescent="0.25">
      <c r="A1042" s="172">
        <v>41963</v>
      </c>
      <c r="B1042" s="173" t="s">
        <v>49</v>
      </c>
      <c r="C1042" s="252" t="s">
        <v>1589</v>
      </c>
      <c r="D1042" s="252" t="s">
        <v>1772</v>
      </c>
      <c r="E1042" s="252" t="s">
        <v>1757</v>
      </c>
      <c r="F1042" s="252" t="s">
        <v>1737</v>
      </c>
      <c r="G1042" s="252" t="s">
        <v>1772</v>
      </c>
      <c r="H1042" s="252" t="s">
        <v>1758</v>
      </c>
      <c r="I1042" s="252" t="s">
        <v>1734</v>
      </c>
      <c r="J1042" s="174"/>
      <c r="K1042" s="252" t="s">
        <v>1775</v>
      </c>
      <c r="L1042" s="252" t="s">
        <v>1745</v>
      </c>
      <c r="M1042" s="174"/>
      <c r="N1042" s="174"/>
      <c r="O1042" s="253" t="s">
        <v>1757</v>
      </c>
    </row>
    <row r="1043" spans="1:15" ht="16.149999999999999" customHeight="1" x14ac:dyDescent="0.25">
      <c r="A1043" s="172">
        <v>41962</v>
      </c>
      <c r="B1043" s="175" t="s">
        <v>49</v>
      </c>
      <c r="C1043" s="254" t="s">
        <v>1815</v>
      </c>
      <c r="D1043" s="254" t="s">
        <v>1745</v>
      </c>
      <c r="E1043" s="254" t="s">
        <v>1746</v>
      </c>
      <c r="F1043" s="254" t="s">
        <v>1728</v>
      </c>
      <c r="G1043" s="254" t="s">
        <v>1728</v>
      </c>
      <c r="H1043" s="254" t="s">
        <v>1745</v>
      </c>
      <c r="I1043" s="254" t="s">
        <v>1757</v>
      </c>
      <c r="J1043" s="176"/>
      <c r="K1043" s="254" t="s">
        <v>1744</v>
      </c>
      <c r="L1043" s="254" t="s">
        <v>1745</v>
      </c>
      <c r="M1043" s="176"/>
      <c r="N1043" s="176"/>
      <c r="O1043" s="255" t="s">
        <v>1757</v>
      </c>
    </row>
    <row r="1044" spans="1:15" ht="16.149999999999999" customHeight="1" x14ac:dyDescent="0.25">
      <c r="A1044" s="172">
        <v>41961</v>
      </c>
      <c r="B1044" s="173" t="s">
        <v>49</v>
      </c>
      <c r="C1044" s="252" t="s">
        <v>1768</v>
      </c>
      <c r="D1044" s="252" t="s">
        <v>1737</v>
      </c>
      <c r="E1044" s="252" t="s">
        <v>1746</v>
      </c>
      <c r="F1044" s="252" t="s">
        <v>1730</v>
      </c>
      <c r="G1044" s="252" t="s">
        <v>1757</v>
      </c>
      <c r="H1044" s="252" t="s">
        <v>1737</v>
      </c>
      <c r="I1044" s="252" t="s">
        <v>1709</v>
      </c>
      <c r="J1044" s="174"/>
      <c r="K1044" s="252" t="s">
        <v>1737</v>
      </c>
      <c r="L1044" s="252" t="s">
        <v>1728</v>
      </c>
      <c r="M1044" s="174"/>
      <c r="N1044" s="174"/>
      <c r="O1044" s="253" t="s">
        <v>1757</v>
      </c>
    </row>
    <row r="1045" spans="1:15" ht="16.149999999999999" customHeight="1" x14ac:dyDescent="0.25">
      <c r="A1045" s="172">
        <v>41957</v>
      </c>
      <c r="B1045" s="175" t="s">
        <v>49</v>
      </c>
      <c r="C1045" s="254" t="s">
        <v>1763</v>
      </c>
      <c r="D1045" s="254" t="s">
        <v>1746</v>
      </c>
      <c r="E1045" s="254" t="s">
        <v>1748</v>
      </c>
      <c r="F1045" s="254" t="s">
        <v>1726</v>
      </c>
      <c r="G1045" s="254" t="s">
        <v>1738</v>
      </c>
      <c r="H1045" s="254" t="s">
        <v>1757</v>
      </c>
      <c r="I1045" s="254" t="s">
        <v>1745</v>
      </c>
      <c r="J1045" s="176"/>
      <c r="K1045" s="254" t="s">
        <v>1737</v>
      </c>
      <c r="L1045" s="254" t="s">
        <v>1726</v>
      </c>
      <c r="M1045" s="176"/>
      <c r="N1045" s="176"/>
      <c r="O1045" s="255" t="s">
        <v>1757</v>
      </c>
    </row>
    <row r="1046" spans="1:15" ht="16.149999999999999" customHeight="1" x14ac:dyDescent="0.25">
      <c r="A1046" s="172">
        <v>41956</v>
      </c>
      <c r="B1046" s="173" t="s">
        <v>49</v>
      </c>
      <c r="C1046" s="252" t="s">
        <v>1750</v>
      </c>
      <c r="D1046" s="252" t="s">
        <v>1738</v>
      </c>
      <c r="E1046" s="252" t="s">
        <v>1748</v>
      </c>
      <c r="F1046" s="252" t="s">
        <v>1730</v>
      </c>
      <c r="G1046" s="252" t="s">
        <v>1772</v>
      </c>
      <c r="H1046" s="252" t="s">
        <v>1757</v>
      </c>
      <c r="I1046" s="252" t="s">
        <v>1729</v>
      </c>
      <c r="J1046" s="174"/>
      <c r="K1046" s="252" t="s">
        <v>1726</v>
      </c>
      <c r="L1046" s="252" t="s">
        <v>1726</v>
      </c>
      <c r="M1046" s="174"/>
      <c r="N1046" s="174"/>
      <c r="O1046" s="253" t="s">
        <v>1757</v>
      </c>
    </row>
    <row r="1047" spans="1:15" ht="16.149999999999999" customHeight="1" x14ac:dyDescent="0.25">
      <c r="A1047" s="172">
        <v>41955</v>
      </c>
      <c r="B1047" s="175" t="s">
        <v>49</v>
      </c>
      <c r="C1047" s="254" t="s">
        <v>1749</v>
      </c>
      <c r="D1047" s="254" t="s">
        <v>1743</v>
      </c>
      <c r="E1047" s="254" t="s">
        <v>1731</v>
      </c>
      <c r="F1047" s="254" t="s">
        <v>1721</v>
      </c>
      <c r="G1047" s="254" t="s">
        <v>1734</v>
      </c>
      <c r="H1047" s="254" t="s">
        <v>1737</v>
      </c>
      <c r="I1047" s="254" t="s">
        <v>1745</v>
      </c>
      <c r="J1047" s="176"/>
      <c r="K1047" s="254" t="s">
        <v>1726</v>
      </c>
      <c r="L1047" s="254" t="s">
        <v>1745</v>
      </c>
      <c r="M1047" s="176"/>
      <c r="N1047" s="176"/>
      <c r="O1047" s="255" t="s">
        <v>1757</v>
      </c>
    </row>
    <row r="1048" spans="1:15" ht="16.149999999999999" customHeight="1" x14ac:dyDescent="0.25">
      <c r="A1048" s="172">
        <v>41954</v>
      </c>
      <c r="B1048" s="173" t="s">
        <v>49</v>
      </c>
      <c r="C1048" s="252" t="s">
        <v>1736</v>
      </c>
      <c r="D1048" s="252" t="s">
        <v>1729</v>
      </c>
      <c r="E1048" s="252" t="s">
        <v>1731</v>
      </c>
      <c r="F1048" s="252" t="s">
        <v>1713</v>
      </c>
      <c r="G1048" s="252" t="s">
        <v>1727</v>
      </c>
      <c r="H1048" s="252" t="s">
        <v>1735</v>
      </c>
      <c r="I1048" s="252" t="s">
        <v>1719</v>
      </c>
      <c r="J1048" s="174"/>
      <c r="K1048" s="252" t="s">
        <v>1726</v>
      </c>
      <c r="L1048" s="252" t="s">
        <v>1745</v>
      </c>
      <c r="M1048" s="174"/>
      <c r="N1048" s="174"/>
      <c r="O1048" s="253" t="s">
        <v>1757</v>
      </c>
    </row>
    <row r="1049" spans="1:15" ht="16.149999999999999" customHeight="1" x14ac:dyDescent="0.25">
      <c r="A1049" s="172">
        <v>41953</v>
      </c>
      <c r="B1049" s="175" t="s">
        <v>49</v>
      </c>
      <c r="C1049" s="254" t="s">
        <v>1631</v>
      </c>
      <c r="D1049" s="254" t="s">
        <v>1726</v>
      </c>
      <c r="E1049" s="254" t="s">
        <v>1734</v>
      </c>
      <c r="F1049" s="254" t="s">
        <v>1715</v>
      </c>
      <c r="G1049" s="254" t="s">
        <v>1727</v>
      </c>
      <c r="H1049" s="254" t="s">
        <v>1726</v>
      </c>
      <c r="I1049" s="254" t="s">
        <v>1746</v>
      </c>
      <c r="J1049" s="176"/>
      <c r="K1049" s="254" t="s">
        <v>1726</v>
      </c>
      <c r="L1049" s="254" t="s">
        <v>1726</v>
      </c>
      <c r="M1049" s="176"/>
      <c r="N1049" s="176"/>
      <c r="O1049" s="255" t="s">
        <v>1757</v>
      </c>
    </row>
    <row r="1050" spans="1:15" ht="16.149999999999999" customHeight="1" x14ac:dyDescent="0.25">
      <c r="A1050" s="172">
        <v>41950</v>
      </c>
      <c r="B1050" s="173" t="s">
        <v>49</v>
      </c>
      <c r="C1050" s="252" t="s">
        <v>1631</v>
      </c>
      <c r="D1050" s="252" t="s">
        <v>1726</v>
      </c>
      <c r="E1050" s="252" t="s">
        <v>1735</v>
      </c>
      <c r="F1050" s="252" t="s">
        <v>1713</v>
      </c>
      <c r="G1050" s="252" t="s">
        <v>1731</v>
      </c>
      <c r="H1050" s="252" t="s">
        <v>1726</v>
      </c>
      <c r="I1050" s="252" t="s">
        <v>1719</v>
      </c>
      <c r="J1050" s="174"/>
      <c r="K1050" s="252" t="s">
        <v>1717</v>
      </c>
      <c r="L1050" s="252" t="s">
        <v>1726</v>
      </c>
      <c r="M1050" s="174"/>
      <c r="N1050" s="174"/>
      <c r="O1050" s="253" t="s">
        <v>1757</v>
      </c>
    </row>
    <row r="1051" spans="1:15" ht="16.149999999999999" customHeight="1" x14ac:dyDescent="0.25">
      <c r="A1051" s="172">
        <v>41949</v>
      </c>
      <c r="B1051" s="175" t="s">
        <v>49</v>
      </c>
      <c r="C1051" s="254" t="s">
        <v>1631</v>
      </c>
      <c r="D1051" s="254" t="s">
        <v>1726</v>
      </c>
      <c r="E1051" s="254" t="s">
        <v>1741</v>
      </c>
      <c r="F1051" s="254" t="s">
        <v>1713</v>
      </c>
      <c r="G1051" s="254" t="s">
        <v>1773</v>
      </c>
      <c r="H1051" s="254" t="s">
        <v>1726</v>
      </c>
      <c r="I1051" s="254" t="s">
        <v>1727</v>
      </c>
      <c r="J1051" s="176"/>
      <c r="K1051" s="254" t="s">
        <v>1717</v>
      </c>
      <c r="L1051" s="254" t="s">
        <v>1713</v>
      </c>
      <c r="M1051" s="176"/>
      <c r="N1051" s="176"/>
      <c r="O1051" s="255" t="s">
        <v>1757</v>
      </c>
    </row>
    <row r="1052" spans="1:15" ht="16.149999999999999" customHeight="1" x14ac:dyDescent="0.25">
      <c r="A1052" s="172">
        <v>41948</v>
      </c>
      <c r="B1052" s="173" t="s">
        <v>49</v>
      </c>
      <c r="C1052" s="252" t="s">
        <v>1813</v>
      </c>
      <c r="D1052" s="252" t="s">
        <v>1814</v>
      </c>
      <c r="E1052" s="252" t="s">
        <v>1773</v>
      </c>
      <c r="F1052" s="252" t="s">
        <v>1729</v>
      </c>
      <c r="G1052" s="252" t="s">
        <v>1834</v>
      </c>
      <c r="H1052" s="252" t="s">
        <v>1744</v>
      </c>
      <c r="I1052" s="252" t="s">
        <v>1792</v>
      </c>
      <c r="J1052" s="174"/>
      <c r="K1052" s="252" t="s">
        <v>1726</v>
      </c>
      <c r="L1052" s="252" t="s">
        <v>1737</v>
      </c>
      <c r="M1052" s="174"/>
      <c r="N1052" s="174"/>
      <c r="O1052" s="253" t="s">
        <v>1757</v>
      </c>
    </row>
    <row r="1053" spans="1:15" ht="16.149999999999999" customHeight="1" x14ac:dyDescent="0.25">
      <c r="A1053" s="172">
        <v>41947</v>
      </c>
      <c r="B1053" s="175" t="s">
        <v>49</v>
      </c>
      <c r="C1053" s="254" t="s">
        <v>1815</v>
      </c>
      <c r="D1053" s="254" t="s">
        <v>1745</v>
      </c>
      <c r="E1053" s="254" t="s">
        <v>1745</v>
      </c>
      <c r="F1053" s="254" t="s">
        <v>1729</v>
      </c>
      <c r="G1053" s="254" t="s">
        <v>1834</v>
      </c>
      <c r="H1053" s="254" t="s">
        <v>1744</v>
      </c>
      <c r="I1053" s="254" t="s">
        <v>1727</v>
      </c>
      <c r="J1053" s="176"/>
      <c r="K1053" s="254" t="s">
        <v>1737</v>
      </c>
      <c r="L1053" s="254" t="s">
        <v>1744</v>
      </c>
      <c r="M1053" s="176"/>
      <c r="N1053" s="176"/>
      <c r="O1053" s="255" t="s">
        <v>1757</v>
      </c>
    </row>
    <row r="1054" spans="1:15" ht="16.149999999999999" customHeight="1" x14ac:dyDescent="0.25">
      <c r="A1054" s="172">
        <v>41943</v>
      </c>
      <c r="B1054" s="173" t="s">
        <v>49</v>
      </c>
      <c r="C1054" s="252" t="s">
        <v>1768</v>
      </c>
      <c r="D1054" s="252" t="s">
        <v>1737</v>
      </c>
      <c r="E1054" s="252" t="s">
        <v>1737</v>
      </c>
      <c r="F1054" s="252" t="s">
        <v>1720</v>
      </c>
      <c r="G1054" s="252" t="s">
        <v>1746</v>
      </c>
      <c r="H1054" s="252" t="s">
        <v>1745</v>
      </c>
      <c r="I1054" s="252" t="s">
        <v>1746</v>
      </c>
      <c r="J1054" s="174"/>
      <c r="K1054" s="252" t="s">
        <v>1737</v>
      </c>
      <c r="L1054" s="252" t="s">
        <v>1737</v>
      </c>
      <c r="M1054" s="174"/>
      <c r="N1054" s="174"/>
      <c r="O1054" s="253" t="s">
        <v>1757</v>
      </c>
    </row>
    <row r="1055" spans="1:15" ht="16.149999999999999" customHeight="1" x14ac:dyDescent="0.25">
      <c r="A1055" s="172">
        <v>41942</v>
      </c>
      <c r="B1055" s="175" t="s">
        <v>49</v>
      </c>
      <c r="C1055" s="254" t="s">
        <v>1742</v>
      </c>
      <c r="D1055" s="254" t="s">
        <v>1734</v>
      </c>
      <c r="E1055" s="254" t="s">
        <v>1738</v>
      </c>
      <c r="F1055" s="254" t="s">
        <v>1706</v>
      </c>
      <c r="G1055" s="254" t="s">
        <v>1728</v>
      </c>
      <c r="H1055" s="254" t="s">
        <v>1737</v>
      </c>
      <c r="I1055" s="254" t="s">
        <v>1754</v>
      </c>
      <c r="J1055" s="176"/>
      <c r="K1055" s="254" t="s">
        <v>1717</v>
      </c>
      <c r="L1055" s="254" t="s">
        <v>1737</v>
      </c>
      <c r="M1055" s="176"/>
      <c r="N1055" s="176"/>
      <c r="O1055" s="255" t="s">
        <v>1757</v>
      </c>
    </row>
    <row r="1056" spans="1:15" ht="16.149999999999999" customHeight="1" x14ac:dyDescent="0.25">
      <c r="A1056" s="172">
        <v>41941</v>
      </c>
      <c r="B1056" s="173" t="s">
        <v>49</v>
      </c>
      <c r="C1056" s="252" t="s">
        <v>1739</v>
      </c>
      <c r="D1056" s="252" t="s">
        <v>1731</v>
      </c>
      <c r="E1056" s="252" t="s">
        <v>1729</v>
      </c>
      <c r="F1056" s="252" t="s">
        <v>1706</v>
      </c>
      <c r="G1056" s="252" t="s">
        <v>1729</v>
      </c>
      <c r="H1056" s="252" t="s">
        <v>1737</v>
      </c>
      <c r="I1056" s="252" t="s">
        <v>1734</v>
      </c>
      <c r="J1056" s="174"/>
      <c r="K1056" s="252" t="s">
        <v>1694</v>
      </c>
      <c r="L1056" s="252" t="s">
        <v>1737</v>
      </c>
      <c r="M1056" s="174"/>
      <c r="N1056" s="174"/>
      <c r="O1056" s="253" t="s">
        <v>1757</v>
      </c>
    </row>
    <row r="1057" spans="1:15" ht="16.149999999999999" customHeight="1" x14ac:dyDescent="0.25">
      <c r="A1057" s="172">
        <v>41940</v>
      </c>
      <c r="B1057" s="175" t="s">
        <v>49</v>
      </c>
      <c r="C1057" s="254" t="s">
        <v>1697</v>
      </c>
      <c r="D1057" s="254" t="s">
        <v>1721</v>
      </c>
      <c r="E1057" s="254" t="s">
        <v>1728</v>
      </c>
      <c r="F1057" s="254" t="s">
        <v>1720</v>
      </c>
      <c r="G1057" s="254" t="s">
        <v>1728</v>
      </c>
      <c r="H1057" s="254" t="s">
        <v>1726</v>
      </c>
      <c r="I1057" s="254" t="s">
        <v>1703</v>
      </c>
      <c r="J1057" s="176"/>
      <c r="K1057" s="254" t="s">
        <v>1694</v>
      </c>
      <c r="L1057" s="254" t="s">
        <v>1713</v>
      </c>
      <c r="M1057" s="176"/>
      <c r="N1057" s="176"/>
      <c r="O1057" s="255" t="s">
        <v>1757</v>
      </c>
    </row>
    <row r="1058" spans="1:15" ht="16.149999999999999" customHeight="1" x14ac:dyDescent="0.25">
      <c r="A1058" s="172">
        <v>41939</v>
      </c>
      <c r="B1058" s="173" t="s">
        <v>49</v>
      </c>
      <c r="C1058" s="252" t="s">
        <v>1631</v>
      </c>
      <c r="D1058" s="252" t="s">
        <v>1726</v>
      </c>
      <c r="E1058" s="252" t="s">
        <v>1737</v>
      </c>
      <c r="F1058" s="252" t="s">
        <v>1717</v>
      </c>
      <c r="G1058" s="252" t="s">
        <v>1743</v>
      </c>
      <c r="H1058" s="252" t="s">
        <v>1737</v>
      </c>
      <c r="I1058" s="252" t="s">
        <v>1715</v>
      </c>
      <c r="J1058" s="174"/>
      <c r="K1058" s="252" t="s">
        <v>1694</v>
      </c>
      <c r="L1058" s="252" t="s">
        <v>1717</v>
      </c>
      <c r="M1058" s="174"/>
      <c r="N1058" s="174"/>
      <c r="O1058" s="253" t="s">
        <v>1757</v>
      </c>
    </row>
    <row r="1059" spans="1:15" ht="16.149999999999999" customHeight="1" x14ac:dyDescent="0.25">
      <c r="A1059" s="172">
        <v>41936</v>
      </c>
      <c r="B1059" s="175" t="s">
        <v>49</v>
      </c>
      <c r="C1059" s="254" t="s">
        <v>1740</v>
      </c>
      <c r="D1059" s="254" t="s">
        <v>1729</v>
      </c>
      <c r="E1059" s="254" t="s">
        <v>1737</v>
      </c>
      <c r="F1059" s="254" t="s">
        <v>1717</v>
      </c>
      <c r="G1059" s="254" t="s">
        <v>1737</v>
      </c>
      <c r="H1059" s="254" t="s">
        <v>1737</v>
      </c>
      <c r="I1059" s="254" t="s">
        <v>1703</v>
      </c>
      <c r="J1059" s="176"/>
      <c r="K1059" s="254" t="s">
        <v>1694</v>
      </c>
      <c r="L1059" s="254" t="s">
        <v>1713</v>
      </c>
      <c r="M1059" s="176"/>
      <c r="N1059" s="176"/>
      <c r="O1059" s="255" t="s">
        <v>1757</v>
      </c>
    </row>
    <row r="1060" spans="1:15" ht="16.149999999999999" customHeight="1" x14ac:dyDescent="0.25">
      <c r="A1060" s="172">
        <v>41935</v>
      </c>
      <c r="B1060" s="173" t="s">
        <v>49</v>
      </c>
      <c r="C1060" s="252" t="s">
        <v>1584</v>
      </c>
      <c r="D1060" s="252" t="s">
        <v>1728</v>
      </c>
      <c r="E1060" s="252" t="s">
        <v>1737</v>
      </c>
      <c r="F1060" s="252" t="s">
        <v>1726</v>
      </c>
      <c r="G1060" s="252" t="s">
        <v>1814</v>
      </c>
      <c r="H1060" s="252" t="s">
        <v>1726</v>
      </c>
      <c r="I1060" s="252" t="s">
        <v>1772</v>
      </c>
      <c r="J1060" s="174"/>
      <c r="K1060" s="252" t="s">
        <v>1694</v>
      </c>
      <c r="L1060" s="252" t="s">
        <v>1694</v>
      </c>
      <c r="M1060" s="174"/>
      <c r="N1060" s="174"/>
      <c r="O1060" s="253" t="s">
        <v>1757</v>
      </c>
    </row>
    <row r="1061" spans="1:15" ht="16.149999999999999" customHeight="1" x14ac:dyDescent="0.25">
      <c r="A1061" s="172">
        <v>41934</v>
      </c>
      <c r="B1061" s="175" t="s">
        <v>49</v>
      </c>
      <c r="C1061" s="254" t="s">
        <v>1750</v>
      </c>
      <c r="D1061" s="254" t="s">
        <v>1738</v>
      </c>
      <c r="E1061" s="254" t="s">
        <v>1744</v>
      </c>
      <c r="F1061" s="254" t="s">
        <v>1737</v>
      </c>
      <c r="G1061" s="254" t="s">
        <v>1814</v>
      </c>
      <c r="H1061" s="254" t="s">
        <v>1717</v>
      </c>
      <c r="I1061" s="254" t="s">
        <v>1731</v>
      </c>
      <c r="J1061" s="176"/>
      <c r="K1061" s="254" t="s">
        <v>1694</v>
      </c>
      <c r="L1061" s="254" t="s">
        <v>1694</v>
      </c>
      <c r="M1061" s="176"/>
      <c r="N1061" s="176"/>
      <c r="O1061" s="255" t="s">
        <v>1757</v>
      </c>
    </row>
    <row r="1062" spans="1:15" ht="16.149999999999999" customHeight="1" x14ac:dyDescent="0.25">
      <c r="A1062" s="172">
        <v>41933</v>
      </c>
      <c r="B1062" s="173" t="s">
        <v>49</v>
      </c>
      <c r="C1062" s="252" t="s">
        <v>1589</v>
      </c>
      <c r="D1062" s="252" t="s">
        <v>1772</v>
      </c>
      <c r="E1062" s="252" t="s">
        <v>1744</v>
      </c>
      <c r="F1062" s="252" t="s">
        <v>1748</v>
      </c>
      <c r="G1062" s="252" t="s">
        <v>1744</v>
      </c>
      <c r="H1062" s="252" t="s">
        <v>1717</v>
      </c>
      <c r="I1062" s="252" t="s">
        <v>1792</v>
      </c>
      <c r="J1062" s="174"/>
      <c r="K1062" s="252" t="s">
        <v>1694</v>
      </c>
      <c r="L1062" s="252" t="s">
        <v>1694</v>
      </c>
      <c r="M1062" s="174"/>
      <c r="N1062" s="174"/>
      <c r="O1062" s="253" t="s">
        <v>1757</v>
      </c>
    </row>
    <row r="1063" spans="1:15" ht="16.149999999999999" customHeight="1" x14ac:dyDescent="0.25">
      <c r="A1063" s="172">
        <v>41932</v>
      </c>
      <c r="B1063" s="175" t="s">
        <v>49</v>
      </c>
      <c r="C1063" s="254" t="s">
        <v>1838</v>
      </c>
      <c r="D1063" s="254" t="s">
        <v>1773</v>
      </c>
      <c r="E1063" s="254" t="s">
        <v>1744</v>
      </c>
      <c r="F1063" s="254" t="s">
        <v>1810</v>
      </c>
      <c r="G1063" s="254" t="s">
        <v>1744</v>
      </c>
      <c r="H1063" s="254" t="s">
        <v>1744</v>
      </c>
      <c r="I1063" s="254" t="s">
        <v>1735</v>
      </c>
      <c r="J1063" s="176"/>
      <c r="K1063" s="254" t="s">
        <v>1694</v>
      </c>
      <c r="L1063" s="254" t="s">
        <v>1694</v>
      </c>
      <c r="M1063" s="176"/>
      <c r="N1063" s="176"/>
      <c r="O1063" s="255" t="s">
        <v>1757</v>
      </c>
    </row>
    <row r="1064" spans="1:15" ht="16.149999999999999" customHeight="1" x14ac:dyDescent="0.25">
      <c r="A1064" s="172">
        <v>41929</v>
      </c>
      <c r="B1064" s="173" t="s">
        <v>49</v>
      </c>
      <c r="C1064" s="252" t="s">
        <v>1838</v>
      </c>
      <c r="D1064" s="252" t="s">
        <v>1773</v>
      </c>
      <c r="E1064" s="252" t="s">
        <v>1810</v>
      </c>
      <c r="F1064" s="252" t="s">
        <v>1810</v>
      </c>
      <c r="G1064" s="252" t="s">
        <v>1744</v>
      </c>
      <c r="H1064" s="252" t="s">
        <v>1694</v>
      </c>
      <c r="I1064" s="252" t="s">
        <v>1818</v>
      </c>
      <c r="J1064" s="174"/>
      <c r="K1064" s="252" t="s">
        <v>1717</v>
      </c>
      <c r="L1064" s="252" t="s">
        <v>1694</v>
      </c>
      <c r="M1064" s="174"/>
      <c r="N1064" s="174"/>
      <c r="O1064" s="253" t="s">
        <v>1757</v>
      </c>
    </row>
    <row r="1065" spans="1:15" ht="16.149999999999999" customHeight="1" x14ac:dyDescent="0.25">
      <c r="A1065" s="172">
        <v>41928</v>
      </c>
      <c r="B1065" s="175" t="s">
        <v>49</v>
      </c>
      <c r="C1065" s="254" t="s">
        <v>1777</v>
      </c>
      <c r="D1065" s="254" t="s">
        <v>1744</v>
      </c>
      <c r="E1065" s="254" t="s">
        <v>1744</v>
      </c>
      <c r="F1065" s="254" t="s">
        <v>1810</v>
      </c>
      <c r="G1065" s="254" t="s">
        <v>1744</v>
      </c>
      <c r="H1065" s="254" t="s">
        <v>1744</v>
      </c>
      <c r="I1065" s="254" t="s">
        <v>1727</v>
      </c>
      <c r="J1065" s="176"/>
      <c r="K1065" s="254" t="s">
        <v>1737</v>
      </c>
      <c r="L1065" s="254" t="s">
        <v>1765</v>
      </c>
      <c r="M1065" s="176"/>
      <c r="N1065" s="176"/>
      <c r="O1065" s="255" t="s">
        <v>1757</v>
      </c>
    </row>
    <row r="1066" spans="1:15" ht="16.149999999999999" customHeight="1" x14ac:dyDescent="0.25">
      <c r="A1066" s="172">
        <v>41927</v>
      </c>
      <c r="B1066" s="173" t="s">
        <v>49</v>
      </c>
      <c r="C1066" s="252" t="s">
        <v>1812</v>
      </c>
      <c r="D1066" s="252" t="s">
        <v>1741</v>
      </c>
      <c r="E1066" s="252" t="s">
        <v>1745</v>
      </c>
      <c r="F1066" s="252" t="s">
        <v>1810</v>
      </c>
      <c r="G1066" s="252" t="s">
        <v>1728</v>
      </c>
      <c r="H1066" s="252" t="s">
        <v>1744</v>
      </c>
      <c r="I1066" s="252" t="s">
        <v>1792</v>
      </c>
      <c r="J1066" s="174"/>
      <c r="K1066" s="252" t="s">
        <v>1726</v>
      </c>
      <c r="L1066" s="252" t="s">
        <v>1744</v>
      </c>
      <c r="M1066" s="174"/>
      <c r="N1066" s="174"/>
      <c r="O1066" s="253" t="s">
        <v>1773</v>
      </c>
    </row>
    <row r="1067" spans="1:15" ht="16.149999999999999" customHeight="1" x14ac:dyDescent="0.25">
      <c r="A1067" s="172">
        <v>41926</v>
      </c>
      <c r="B1067" s="175" t="s">
        <v>49</v>
      </c>
      <c r="C1067" s="254" t="s">
        <v>1763</v>
      </c>
      <c r="D1067" s="254" t="s">
        <v>1748</v>
      </c>
      <c r="E1067" s="254" t="s">
        <v>1775</v>
      </c>
      <c r="F1067" s="254" t="s">
        <v>1810</v>
      </c>
      <c r="G1067" s="254" t="s">
        <v>1709</v>
      </c>
      <c r="H1067" s="254" t="s">
        <v>1737</v>
      </c>
      <c r="I1067" s="254" t="s">
        <v>1703</v>
      </c>
      <c r="J1067" s="176"/>
      <c r="K1067" s="254" t="s">
        <v>1737</v>
      </c>
      <c r="L1067" s="254" t="s">
        <v>1745</v>
      </c>
      <c r="M1067" s="176"/>
      <c r="N1067" s="176"/>
      <c r="O1067" s="255" t="s">
        <v>1773</v>
      </c>
    </row>
    <row r="1068" spans="1:15" ht="16.149999999999999" customHeight="1" x14ac:dyDescent="0.25">
      <c r="A1068" s="172">
        <v>41922</v>
      </c>
      <c r="B1068" s="173" t="s">
        <v>49</v>
      </c>
      <c r="C1068" s="252" t="s">
        <v>1815</v>
      </c>
      <c r="D1068" s="252" t="s">
        <v>1745</v>
      </c>
      <c r="E1068" s="252" t="s">
        <v>1737</v>
      </c>
      <c r="F1068" s="252" t="s">
        <v>1744</v>
      </c>
      <c r="G1068" s="252" t="s">
        <v>1725</v>
      </c>
      <c r="H1068" s="252" t="s">
        <v>1717</v>
      </c>
      <c r="I1068" s="252" t="s">
        <v>1792</v>
      </c>
      <c r="J1068" s="174"/>
      <c r="K1068" s="252" t="s">
        <v>1717</v>
      </c>
      <c r="L1068" s="252" t="s">
        <v>1744</v>
      </c>
      <c r="M1068" s="174"/>
      <c r="N1068" s="174"/>
      <c r="O1068" s="253" t="s">
        <v>1810</v>
      </c>
    </row>
    <row r="1069" spans="1:15" ht="16.149999999999999" customHeight="1" x14ac:dyDescent="0.25">
      <c r="A1069" s="172">
        <v>41921</v>
      </c>
      <c r="B1069" s="175" t="s">
        <v>49</v>
      </c>
      <c r="C1069" s="254" t="s">
        <v>1736</v>
      </c>
      <c r="D1069" s="254" t="s">
        <v>1729</v>
      </c>
      <c r="E1069" s="254" t="s">
        <v>1744</v>
      </c>
      <c r="F1069" s="254" t="s">
        <v>1744</v>
      </c>
      <c r="G1069" s="254" t="s">
        <v>1728</v>
      </c>
      <c r="H1069" s="254" t="s">
        <v>1717</v>
      </c>
      <c r="I1069" s="254" t="s">
        <v>1723</v>
      </c>
      <c r="J1069" s="176"/>
      <c r="K1069" s="254" t="s">
        <v>1717</v>
      </c>
      <c r="L1069" s="254" t="s">
        <v>1726</v>
      </c>
      <c r="M1069" s="176"/>
      <c r="N1069" s="176"/>
      <c r="O1069" s="255" t="s">
        <v>1810</v>
      </c>
    </row>
    <row r="1070" spans="1:15" ht="16.149999999999999" customHeight="1" x14ac:dyDescent="0.25">
      <c r="A1070" s="172">
        <v>41920</v>
      </c>
      <c r="B1070" s="173" t="s">
        <v>49</v>
      </c>
      <c r="C1070" s="252" t="s">
        <v>1768</v>
      </c>
      <c r="D1070" s="252" t="s">
        <v>1737</v>
      </c>
      <c r="E1070" s="252" t="s">
        <v>1775</v>
      </c>
      <c r="F1070" s="252" t="s">
        <v>1493</v>
      </c>
      <c r="G1070" s="252" t="s">
        <v>1745</v>
      </c>
      <c r="H1070" s="252" t="s">
        <v>1737</v>
      </c>
      <c r="I1070" s="252" t="s">
        <v>1727</v>
      </c>
      <c r="J1070" s="174"/>
      <c r="K1070" s="252" t="s">
        <v>1726</v>
      </c>
      <c r="L1070" s="252" t="s">
        <v>1737</v>
      </c>
      <c r="M1070" s="174"/>
      <c r="N1070" s="174"/>
      <c r="O1070" s="253" t="s">
        <v>1745</v>
      </c>
    </row>
    <row r="1071" spans="1:15" ht="16.149999999999999" customHeight="1" x14ac:dyDescent="0.25">
      <c r="A1071" s="172">
        <v>41919</v>
      </c>
      <c r="B1071" s="175" t="s">
        <v>49</v>
      </c>
      <c r="C1071" s="254" t="s">
        <v>1777</v>
      </c>
      <c r="D1071" s="254" t="s">
        <v>1744</v>
      </c>
      <c r="E1071" s="254" t="s">
        <v>1765</v>
      </c>
      <c r="F1071" s="254" t="s">
        <v>1744</v>
      </c>
      <c r="G1071" s="254" t="s">
        <v>1729</v>
      </c>
      <c r="H1071" s="254" t="s">
        <v>1744</v>
      </c>
      <c r="I1071" s="254" t="s">
        <v>1774</v>
      </c>
      <c r="J1071" s="176"/>
      <c r="K1071" s="254" t="s">
        <v>1726</v>
      </c>
      <c r="L1071" s="254" t="s">
        <v>1744</v>
      </c>
      <c r="M1071" s="176"/>
      <c r="N1071" s="176"/>
      <c r="O1071" s="255" t="s">
        <v>1745</v>
      </c>
    </row>
    <row r="1072" spans="1:15" ht="16.149999999999999" customHeight="1" x14ac:dyDescent="0.25">
      <c r="A1072" s="172">
        <v>41918</v>
      </c>
      <c r="B1072" s="173" t="s">
        <v>49</v>
      </c>
      <c r="C1072" s="252" t="s">
        <v>1763</v>
      </c>
      <c r="D1072" s="252" t="s">
        <v>1748</v>
      </c>
      <c r="E1072" s="252" t="s">
        <v>1728</v>
      </c>
      <c r="F1072" s="252" t="s">
        <v>1775</v>
      </c>
      <c r="G1072" s="252" t="s">
        <v>1725</v>
      </c>
      <c r="H1072" s="252" t="s">
        <v>1744</v>
      </c>
      <c r="I1072" s="252" t="s">
        <v>1709</v>
      </c>
      <c r="J1072" s="174"/>
      <c r="K1072" s="252" t="s">
        <v>1737</v>
      </c>
      <c r="L1072" s="252" t="s">
        <v>1744</v>
      </c>
      <c r="M1072" s="174"/>
      <c r="N1072" s="174"/>
      <c r="O1072" s="253" t="s">
        <v>1772</v>
      </c>
    </row>
    <row r="1073" spans="1:15" ht="16.149999999999999" customHeight="1" x14ac:dyDescent="0.25">
      <c r="A1073" s="172">
        <v>41915</v>
      </c>
      <c r="B1073" s="175" t="s">
        <v>49</v>
      </c>
      <c r="C1073" s="254" t="s">
        <v>1740</v>
      </c>
      <c r="D1073" s="254" t="s">
        <v>1729</v>
      </c>
      <c r="E1073" s="254" t="s">
        <v>1728</v>
      </c>
      <c r="F1073" s="254" t="s">
        <v>1745</v>
      </c>
      <c r="G1073" s="254" t="s">
        <v>1728</v>
      </c>
      <c r="H1073" s="254" t="s">
        <v>1726</v>
      </c>
      <c r="I1073" s="254" t="s">
        <v>1709</v>
      </c>
      <c r="J1073" s="176"/>
      <c r="K1073" s="254" t="s">
        <v>1717</v>
      </c>
      <c r="L1073" s="254" t="s">
        <v>1726</v>
      </c>
      <c r="M1073" s="176"/>
      <c r="N1073" s="176"/>
      <c r="O1073" s="255" t="s">
        <v>1773</v>
      </c>
    </row>
    <row r="1074" spans="1:15" ht="16.149999999999999" customHeight="1" x14ac:dyDescent="0.25">
      <c r="A1074" s="172">
        <v>41914</v>
      </c>
      <c r="B1074" s="173" t="s">
        <v>49</v>
      </c>
      <c r="C1074" s="252" t="s">
        <v>1768</v>
      </c>
      <c r="D1074" s="252" t="s">
        <v>1737</v>
      </c>
      <c r="E1074" s="252" t="s">
        <v>1737</v>
      </c>
      <c r="F1074" s="252" t="s">
        <v>1737</v>
      </c>
      <c r="G1074" s="252" t="s">
        <v>1792</v>
      </c>
      <c r="H1074" s="252" t="s">
        <v>1726</v>
      </c>
      <c r="I1074" s="252" t="s">
        <v>1741</v>
      </c>
      <c r="J1074" s="174"/>
      <c r="K1074" s="252" t="s">
        <v>1726</v>
      </c>
      <c r="L1074" s="252" t="s">
        <v>1717</v>
      </c>
      <c r="M1074" s="174"/>
      <c r="N1074" s="174"/>
      <c r="O1074" s="253" t="s">
        <v>1741</v>
      </c>
    </row>
    <row r="1075" spans="1:15" ht="16.149999999999999" customHeight="1" x14ac:dyDescent="0.25">
      <c r="A1075" s="172">
        <v>41913</v>
      </c>
      <c r="B1075" s="175" t="s">
        <v>49</v>
      </c>
      <c r="C1075" s="254" t="s">
        <v>1736</v>
      </c>
      <c r="D1075" s="254" t="s">
        <v>1729</v>
      </c>
      <c r="E1075" s="254" t="s">
        <v>1726</v>
      </c>
      <c r="F1075" s="254" t="s">
        <v>1728</v>
      </c>
      <c r="G1075" s="254" t="s">
        <v>1744</v>
      </c>
      <c r="H1075" s="254" t="s">
        <v>1737</v>
      </c>
      <c r="I1075" s="254" t="s">
        <v>1700</v>
      </c>
      <c r="J1075" s="176"/>
      <c r="K1075" s="254" t="s">
        <v>1726</v>
      </c>
      <c r="L1075" s="254" t="s">
        <v>1737</v>
      </c>
      <c r="M1075" s="176"/>
      <c r="N1075" s="176"/>
      <c r="O1075" s="255" t="s">
        <v>1694</v>
      </c>
    </row>
    <row r="1076" spans="1:15" ht="16.149999999999999" customHeight="1" x14ac:dyDescent="0.25">
      <c r="A1076" s="172">
        <v>41912</v>
      </c>
      <c r="B1076" s="173" t="s">
        <v>49</v>
      </c>
      <c r="C1076" s="252" t="s">
        <v>1736</v>
      </c>
      <c r="D1076" s="252" t="s">
        <v>1729</v>
      </c>
      <c r="E1076" s="252" t="s">
        <v>1694</v>
      </c>
      <c r="F1076" s="252" t="s">
        <v>1728</v>
      </c>
      <c r="G1076" s="252" t="s">
        <v>1844</v>
      </c>
      <c r="H1076" s="252" t="s">
        <v>1737</v>
      </c>
      <c r="I1076" s="252" t="s">
        <v>1731</v>
      </c>
      <c r="J1076" s="174"/>
      <c r="K1076" s="252" t="s">
        <v>1717</v>
      </c>
      <c r="L1076" s="252" t="s">
        <v>1726</v>
      </c>
      <c r="M1076" s="174"/>
      <c r="N1076" s="174"/>
      <c r="O1076" s="253" t="s">
        <v>1773</v>
      </c>
    </row>
    <row r="1077" spans="1:15" ht="16.149999999999999" customHeight="1" x14ac:dyDescent="0.25">
      <c r="A1077" s="172">
        <v>41911</v>
      </c>
      <c r="B1077" s="175" t="s">
        <v>49</v>
      </c>
      <c r="C1077" s="254" t="s">
        <v>1705</v>
      </c>
      <c r="D1077" s="254" t="s">
        <v>1694</v>
      </c>
      <c r="E1077" s="254" t="s">
        <v>1694</v>
      </c>
      <c r="F1077" s="254" t="s">
        <v>1728</v>
      </c>
      <c r="G1077" s="254" t="s">
        <v>1845</v>
      </c>
      <c r="H1077" s="254" t="s">
        <v>1717</v>
      </c>
      <c r="I1077" s="254" t="s">
        <v>1846</v>
      </c>
      <c r="J1077" s="176"/>
      <c r="K1077" s="254" t="s">
        <v>1693</v>
      </c>
      <c r="L1077" s="254" t="s">
        <v>1694</v>
      </c>
      <c r="M1077" s="176"/>
      <c r="N1077" s="176"/>
      <c r="O1077" s="255" t="s">
        <v>1694</v>
      </c>
    </row>
    <row r="1078" spans="1:15" ht="16.149999999999999" customHeight="1" x14ac:dyDescent="0.25">
      <c r="A1078" s="172">
        <v>41908</v>
      </c>
      <c r="B1078" s="173" t="s">
        <v>49</v>
      </c>
      <c r="C1078" s="252" t="s">
        <v>1847</v>
      </c>
      <c r="D1078" s="252" t="s">
        <v>1693</v>
      </c>
      <c r="E1078" s="252" t="s">
        <v>1694</v>
      </c>
      <c r="F1078" s="252" t="s">
        <v>1706</v>
      </c>
      <c r="G1078" s="252" t="s">
        <v>1703</v>
      </c>
      <c r="H1078" s="252" t="s">
        <v>1693</v>
      </c>
      <c r="I1078" s="252" t="s">
        <v>1770</v>
      </c>
      <c r="J1078" s="174"/>
      <c r="K1078" s="252" t="s">
        <v>1760</v>
      </c>
      <c r="L1078" s="252" t="s">
        <v>1762</v>
      </c>
      <c r="M1078" s="174"/>
      <c r="N1078" s="174"/>
      <c r="O1078" s="253" t="s">
        <v>1693</v>
      </c>
    </row>
    <row r="1079" spans="1:15" ht="16.149999999999999" customHeight="1" x14ac:dyDescent="0.25">
      <c r="A1079" s="172">
        <v>41907</v>
      </c>
      <c r="B1079" s="175" t="s">
        <v>49</v>
      </c>
      <c r="C1079" s="254" t="s">
        <v>1848</v>
      </c>
      <c r="D1079" s="254" t="s">
        <v>1706</v>
      </c>
      <c r="E1079" s="254" t="s">
        <v>1717</v>
      </c>
      <c r="F1079" s="254" t="s">
        <v>1713</v>
      </c>
      <c r="G1079" s="254" t="s">
        <v>1703</v>
      </c>
      <c r="H1079" s="254" t="s">
        <v>1717</v>
      </c>
      <c r="I1079" s="254" t="s">
        <v>1722</v>
      </c>
      <c r="J1079" s="176"/>
      <c r="K1079" s="254" t="s">
        <v>1693</v>
      </c>
      <c r="L1079" s="254" t="s">
        <v>1694</v>
      </c>
      <c r="M1079" s="176"/>
      <c r="N1079" s="176"/>
      <c r="O1079" s="255" t="s">
        <v>1707</v>
      </c>
    </row>
    <row r="1080" spans="1:15" ht="16.149999999999999" customHeight="1" x14ac:dyDescent="0.25">
      <c r="A1080" s="172">
        <v>41906</v>
      </c>
      <c r="B1080" s="173" t="s">
        <v>49</v>
      </c>
      <c r="C1080" s="252" t="s">
        <v>1848</v>
      </c>
      <c r="D1080" s="252" t="s">
        <v>1706</v>
      </c>
      <c r="E1080" s="252" t="s">
        <v>1726</v>
      </c>
      <c r="F1080" s="252" t="s">
        <v>1713</v>
      </c>
      <c r="G1080" s="252" t="s">
        <v>1709</v>
      </c>
      <c r="H1080" s="252" t="s">
        <v>1717</v>
      </c>
      <c r="I1080" s="252" t="s">
        <v>1770</v>
      </c>
      <c r="J1080" s="174"/>
      <c r="K1080" s="252" t="s">
        <v>1694</v>
      </c>
      <c r="L1080" s="252" t="s">
        <v>1693</v>
      </c>
      <c r="M1080" s="174"/>
      <c r="N1080" s="174"/>
      <c r="O1080" s="253" t="s">
        <v>1694</v>
      </c>
    </row>
    <row r="1081" spans="1:15" ht="16.149999999999999" customHeight="1" x14ac:dyDescent="0.25">
      <c r="A1081" s="172">
        <v>41905</v>
      </c>
      <c r="B1081" s="175" t="s">
        <v>49</v>
      </c>
      <c r="C1081" s="254" t="s">
        <v>1755</v>
      </c>
      <c r="D1081" s="254" t="s">
        <v>1720</v>
      </c>
      <c r="E1081" s="254" t="s">
        <v>1726</v>
      </c>
      <c r="F1081" s="254" t="s">
        <v>1713</v>
      </c>
      <c r="G1081" s="254" t="s">
        <v>1714</v>
      </c>
      <c r="H1081" s="254" t="s">
        <v>1726</v>
      </c>
      <c r="I1081" s="254" t="s">
        <v>1734</v>
      </c>
      <c r="J1081" s="176"/>
      <c r="K1081" s="254" t="s">
        <v>1717</v>
      </c>
      <c r="L1081" s="254" t="s">
        <v>1693</v>
      </c>
      <c r="M1081" s="176"/>
      <c r="N1081" s="176"/>
      <c r="O1081" s="255" t="s">
        <v>1693</v>
      </c>
    </row>
    <row r="1082" spans="1:15" ht="16.149999999999999" customHeight="1" x14ac:dyDescent="0.25">
      <c r="A1082" s="172">
        <v>41904</v>
      </c>
      <c r="B1082" s="173" t="s">
        <v>49</v>
      </c>
      <c r="C1082" s="252" t="s">
        <v>1573</v>
      </c>
      <c r="D1082" s="252" t="s">
        <v>1751</v>
      </c>
      <c r="E1082" s="252" t="s">
        <v>1694</v>
      </c>
      <c r="F1082" s="252" t="s">
        <v>1728</v>
      </c>
      <c r="G1082" s="252" t="s">
        <v>1714</v>
      </c>
      <c r="H1082" s="252" t="s">
        <v>1737</v>
      </c>
      <c r="I1082" s="252" t="s">
        <v>1700</v>
      </c>
      <c r="J1082" s="174"/>
      <c r="K1082" s="252" t="s">
        <v>1717</v>
      </c>
      <c r="L1082" s="252" t="s">
        <v>1717</v>
      </c>
      <c r="M1082" s="174"/>
      <c r="N1082" s="174"/>
      <c r="O1082" s="253" t="s">
        <v>1704</v>
      </c>
    </row>
    <row r="1083" spans="1:15" ht="16.149999999999999" customHeight="1" x14ac:dyDescent="0.25">
      <c r="A1083" s="172">
        <v>41901</v>
      </c>
      <c r="B1083" s="175" t="s">
        <v>49</v>
      </c>
      <c r="C1083" s="254" t="s">
        <v>1759</v>
      </c>
      <c r="D1083" s="254" t="s">
        <v>1708</v>
      </c>
      <c r="E1083" s="254" t="s">
        <v>1694</v>
      </c>
      <c r="F1083" s="254" t="s">
        <v>1728</v>
      </c>
      <c r="G1083" s="254" t="s">
        <v>1754</v>
      </c>
      <c r="H1083" s="254" t="s">
        <v>1744</v>
      </c>
      <c r="I1083" s="254" t="s">
        <v>1770</v>
      </c>
      <c r="J1083" s="176"/>
      <c r="K1083" s="254" t="s">
        <v>1726</v>
      </c>
      <c r="L1083" s="254" t="s">
        <v>1717</v>
      </c>
      <c r="M1083" s="176"/>
      <c r="N1083" s="176"/>
      <c r="O1083" s="255" t="s">
        <v>1760</v>
      </c>
    </row>
    <row r="1084" spans="1:15" ht="16.149999999999999" customHeight="1" x14ac:dyDescent="0.25">
      <c r="A1084" s="172">
        <v>41900</v>
      </c>
      <c r="B1084" s="173" t="s">
        <v>49</v>
      </c>
      <c r="C1084" s="252" t="s">
        <v>1848</v>
      </c>
      <c r="D1084" s="252" t="s">
        <v>1706</v>
      </c>
      <c r="E1084" s="252" t="s">
        <v>1694</v>
      </c>
      <c r="F1084" s="252" t="s">
        <v>1726</v>
      </c>
      <c r="G1084" s="252" t="s">
        <v>1722</v>
      </c>
      <c r="H1084" s="252" t="s">
        <v>1717</v>
      </c>
      <c r="I1084" s="252" t="s">
        <v>1735</v>
      </c>
      <c r="J1084" s="174"/>
      <c r="K1084" s="252" t="s">
        <v>1694</v>
      </c>
      <c r="L1084" s="252" t="s">
        <v>1694</v>
      </c>
      <c r="M1084" s="174"/>
      <c r="N1084" s="174"/>
      <c r="O1084" s="253" t="s">
        <v>1762</v>
      </c>
    </row>
    <row r="1085" spans="1:15" ht="16.149999999999999" customHeight="1" x14ac:dyDescent="0.25">
      <c r="A1085" s="172">
        <v>41899</v>
      </c>
      <c r="B1085" s="175" t="s">
        <v>49</v>
      </c>
      <c r="C1085" s="254" t="s">
        <v>1849</v>
      </c>
      <c r="D1085" s="254" t="s">
        <v>1721</v>
      </c>
      <c r="E1085" s="254" t="s">
        <v>1769</v>
      </c>
      <c r="F1085" s="254" t="s">
        <v>1726</v>
      </c>
      <c r="G1085" s="254" t="s">
        <v>1706</v>
      </c>
      <c r="H1085" s="254" t="s">
        <v>1726</v>
      </c>
      <c r="I1085" s="254" t="s">
        <v>1719</v>
      </c>
      <c r="J1085" s="176"/>
      <c r="K1085" s="254" t="s">
        <v>1726</v>
      </c>
      <c r="L1085" s="254" t="s">
        <v>1726</v>
      </c>
      <c r="M1085" s="176"/>
      <c r="N1085" s="176"/>
      <c r="O1085" s="255" t="s">
        <v>1850</v>
      </c>
    </row>
    <row r="1086" spans="1:15" ht="16.149999999999999" customHeight="1" x14ac:dyDescent="0.25">
      <c r="A1086" s="172">
        <v>41898</v>
      </c>
      <c r="B1086" s="173" t="s">
        <v>49</v>
      </c>
      <c r="C1086" s="252" t="s">
        <v>1847</v>
      </c>
      <c r="D1086" s="252" t="s">
        <v>1693</v>
      </c>
      <c r="E1086" s="252" t="s">
        <v>1851</v>
      </c>
      <c r="F1086" s="252" t="s">
        <v>1713</v>
      </c>
      <c r="G1086" s="252" t="s">
        <v>1711</v>
      </c>
      <c r="H1086" s="252" t="s">
        <v>1717</v>
      </c>
      <c r="I1086" s="252" t="s">
        <v>1789</v>
      </c>
      <c r="J1086" s="174"/>
      <c r="K1086" s="252" t="s">
        <v>1693</v>
      </c>
      <c r="L1086" s="252" t="s">
        <v>1693</v>
      </c>
      <c r="M1086" s="174"/>
      <c r="N1086" s="174"/>
      <c r="O1086" s="253" t="s">
        <v>1852</v>
      </c>
    </row>
    <row r="1087" spans="1:15" ht="16.149999999999999" customHeight="1" x14ac:dyDescent="0.25">
      <c r="A1087" s="172">
        <v>41897</v>
      </c>
      <c r="B1087" s="175" t="s">
        <v>49</v>
      </c>
      <c r="C1087" s="254" t="s">
        <v>1853</v>
      </c>
      <c r="D1087" s="254" t="s">
        <v>1762</v>
      </c>
      <c r="E1087" s="254" t="s">
        <v>1854</v>
      </c>
      <c r="F1087" s="254" t="s">
        <v>1689</v>
      </c>
      <c r="G1087" s="254" t="s">
        <v>1762</v>
      </c>
      <c r="H1087" s="254" t="s">
        <v>1693</v>
      </c>
      <c r="I1087" s="254" t="s">
        <v>1855</v>
      </c>
      <c r="J1087" s="176"/>
      <c r="K1087" s="254" t="s">
        <v>1762</v>
      </c>
      <c r="L1087" s="254" t="s">
        <v>1693</v>
      </c>
      <c r="M1087" s="176"/>
      <c r="N1087" s="176"/>
      <c r="O1087" s="255" t="s">
        <v>1854</v>
      </c>
    </row>
    <row r="1088" spans="1:15" ht="16.149999999999999" customHeight="1" x14ac:dyDescent="0.25">
      <c r="A1088" s="172">
        <v>41894</v>
      </c>
      <c r="B1088" s="173" t="s">
        <v>49</v>
      </c>
      <c r="C1088" s="252" t="s">
        <v>1565</v>
      </c>
      <c r="D1088" s="252" t="s">
        <v>1856</v>
      </c>
      <c r="E1088" s="252" t="s">
        <v>1762</v>
      </c>
      <c r="F1088" s="252" t="s">
        <v>1857</v>
      </c>
      <c r="G1088" s="252" t="s">
        <v>1760</v>
      </c>
      <c r="H1088" s="252" t="s">
        <v>1762</v>
      </c>
      <c r="I1088" s="252" t="s">
        <v>1858</v>
      </c>
      <c r="J1088" s="174"/>
      <c r="K1088" s="252" t="s">
        <v>1851</v>
      </c>
      <c r="L1088" s="252" t="s">
        <v>1769</v>
      </c>
      <c r="M1088" s="174"/>
      <c r="N1088" s="174"/>
      <c r="O1088" s="253" t="s">
        <v>1651</v>
      </c>
    </row>
    <row r="1089" spans="1:15" ht="16.149999999999999" customHeight="1" x14ac:dyDescent="0.25">
      <c r="A1089" s="172">
        <v>41893</v>
      </c>
      <c r="B1089" s="175" t="s">
        <v>49</v>
      </c>
      <c r="C1089" s="254" t="s">
        <v>1859</v>
      </c>
      <c r="D1089" s="254" t="s">
        <v>1764</v>
      </c>
      <c r="E1089" s="254" t="s">
        <v>1689</v>
      </c>
      <c r="F1089" s="254" t="s">
        <v>1762</v>
      </c>
      <c r="G1089" s="254" t="s">
        <v>1860</v>
      </c>
      <c r="H1089" s="254" t="s">
        <v>1769</v>
      </c>
      <c r="I1089" s="254" t="s">
        <v>1861</v>
      </c>
      <c r="J1089" s="176"/>
      <c r="K1089" s="254" t="s">
        <v>1760</v>
      </c>
      <c r="L1089" s="254" t="s">
        <v>1769</v>
      </c>
      <c r="M1089" s="176"/>
      <c r="N1089" s="176"/>
      <c r="O1089" s="255" t="s">
        <v>1862</v>
      </c>
    </row>
    <row r="1090" spans="1:15" ht="16.149999999999999" customHeight="1" x14ac:dyDescent="0.25">
      <c r="A1090" s="172">
        <v>41892</v>
      </c>
      <c r="B1090" s="173" t="s">
        <v>49</v>
      </c>
      <c r="C1090" s="252" t="s">
        <v>1863</v>
      </c>
      <c r="D1090" s="252" t="s">
        <v>1850</v>
      </c>
      <c r="E1090" s="252" t="s">
        <v>1689</v>
      </c>
      <c r="F1090" s="252" t="s">
        <v>1689</v>
      </c>
      <c r="G1090" s="252" t="s">
        <v>1864</v>
      </c>
      <c r="H1090" s="252" t="s">
        <v>1762</v>
      </c>
      <c r="I1090" s="252" t="s">
        <v>1714</v>
      </c>
      <c r="J1090" s="174"/>
      <c r="K1090" s="252" t="s">
        <v>1689</v>
      </c>
      <c r="L1090" s="252" t="s">
        <v>1760</v>
      </c>
      <c r="M1090" s="174"/>
      <c r="N1090" s="174"/>
      <c r="O1090" s="253" t="s">
        <v>1865</v>
      </c>
    </row>
    <row r="1091" spans="1:15" ht="16.149999999999999" customHeight="1" x14ac:dyDescent="0.25">
      <c r="A1091" s="172">
        <v>41891</v>
      </c>
      <c r="B1091" s="175" t="s">
        <v>49</v>
      </c>
      <c r="C1091" s="254" t="s">
        <v>1853</v>
      </c>
      <c r="D1091" s="254" t="s">
        <v>1762</v>
      </c>
      <c r="E1091" s="254" t="s">
        <v>1689</v>
      </c>
      <c r="F1091" s="254" t="s">
        <v>1706</v>
      </c>
      <c r="G1091" s="254" t="s">
        <v>1866</v>
      </c>
      <c r="H1091" s="254" t="s">
        <v>1760</v>
      </c>
      <c r="I1091" s="254" t="s">
        <v>1710</v>
      </c>
      <c r="J1091" s="176"/>
      <c r="K1091" s="254" t="s">
        <v>1851</v>
      </c>
      <c r="L1091" s="254" t="s">
        <v>1854</v>
      </c>
      <c r="M1091" s="176"/>
      <c r="N1091" s="176"/>
      <c r="O1091" s="255" t="s">
        <v>1867</v>
      </c>
    </row>
    <row r="1092" spans="1:15" ht="16.149999999999999" customHeight="1" x14ac:dyDescent="0.25">
      <c r="A1092" s="172">
        <v>41890</v>
      </c>
      <c r="B1092" s="173" t="s">
        <v>49</v>
      </c>
      <c r="C1092" s="252" t="s">
        <v>1868</v>
      </c>
      <c r="D1092" s="252" t="s">
        <v>1864</v>
      </c>
      <c r="E1092" s="252" t="s">
        <v>1769</v>
      </c>
      <c r="F1092" s="252" t="s">
        <v>1706</v>
      </c>
      <c r="G1092" s="252" t="s">
        <v>1707</v>
      </c>
      <c r="H1092" s="252" t="s">
        <v>1689</v>
      </c>
      <c r="I1092" s="252" t="s">
        <v>1818</v>
      </c>
      <c r="J1092" s="174"/>
      <c r="K1092" s="252" t="s">
        <v>1689</v>
      </c>
      <c r="L1092" s="252" t="s">
        <v>1854</v>
      </c>
      <c r="M1092" s="174"/>
      <c r="N1092" s="174"/>
      <c r="O1092" s="253" t="s">
        <v>1651</v>
      </c>
    </row>
    <row r="1093" spans="1:15" ht="16.149999999999999" customHeight="1" x14ac:dyDescent="0.25">
      <c r="A1093" s="172">
        <v>41887</v>
      </c>
      <c r="B1093" s="175" t="s">
        <v>49</v>
      </c>
      <c r="C1093" s="254" t="s">
        <v>1750</v>
      </c>
      <c r="D1093" s="254" t="s">
        <v>1738</v>
      </c>
      <c r="E1093" s="254" t="s">
        <v>1737</v>
      </c>
      <c r="F1093" s="254" t="s">
        <v>1745</v>
      </c>
      <c r="G1093" s="254" t="s">
        <v>1709</v>
      </c>
      <c r="H1093" s="254" t="s">
        <v>1744</v>
      </c>
      <c r="I1093" s="254" t="s">
        <v>1782</v>
      </c>
      <c r="J1093" s="176"/>
      <c r="K1093" s="254" t="s">
        <v>1717</v>
      </c>
      <c r="L1093" s="254" t="s">
        <v>1728</v>
      </c>
      <c r="M1093" s="176"/>
      <c r="N1093" s="176"/>
      <c r="O1093" s="255" t="s">
        <v>1693</v>
      </c>
    </row>
    <row r="1094" spans="1:15" ht="16.149999999999999" customHeight="1" x14ac:dyDescent="0.25">
      <c r="A1094" s="172">
        <v>41886</v>
      </c>
      <c r="B1094" s="173" t="s">
        <v>49</v>
      </c>
      <c r="C1094" s="252" t="s">
        <v>1750</v>
      </c>
      <c r="D1094" s="252" t="s">
        <v>1738</v>
      </c>
      <c r="E1094" s="252" t="s">
        <v>1744</v>
      </c>
      <c r="F1094" s="252" t="s">
        <v>1765</v>
      </c>
      <c r="G1094" s="252" t="s">
        <v>1709</v>
      </c>
      <c r="H1094" s="252" t="s">
        <v>1765</v>
      </c>
      <c r="I1094" s="252" t="s">
        <v>1782</v>
      </c>
      <c r="J1094" s="174"/>
      <c r="K1094" s="252" t="s">
        <v>1717</v>
      </c>
      <c r="L1094" s="252" t="s">
        <v>1713</v>
      </c>
      <c r="M1094" s="174"/>
      <c r="N1094" s="174"/>
      <c r="O1094" s="253" t="s">
        <v>1771</v>
      </c>
    </row>
    <row r="1095" spans="1:15" ht="16.149999999999999" customHeight="1" x14ac:dyDescent="0.25">
      <c r="A1095" s="172">
        <v>41885</v>
      </c>
      <c r="B1095" s="175" t="s">
        <v>49</v>
      </c>
      <c r="C1095" s="254" t="s">
        <v>1836</v>
      </c>
      <c r="D1095" s="254" t="s">
        <v>1810</v>
      </c>
      <c r="E1095" s="254" t="s">
        <v>1745</v>
      </c>
      <c r="F1095" s="254" t="s">
        <v>1765</v>
      </c>
      <c r="G1095" s="254" t="s">
        <v>1818</v>
      </c>
      <c r="H1095" s="254" t="s">
        <v>1765</v>
      </c>
      <c r="I1095" s="254" t="s">
        <v>1805</v>
      </c>
      <c r="J1095" s="176"/>
      <c r="K1095" s="254" t="s">
        <v>1737</v>
      </c>
      <c r="L1095" s="254" t="s">
        <v>1726</v>
      </c>
      <c r="M1095" s="176"/>
      <c r="N1095" s="176"/>
      <c r="O1095" s="255" t="s">
        <v>1707</v>
      </c>
    </row>
    <row r="1096" spans="1:15" ht="16.149999999999999" customHeight="1" x14ac:dyDescent="0.25">
      <c r="A1096" s="172">
        <v>41884</v>
      </c>
      <c r="B1096" s="173" t="s">
        <v>49</v>
      </c>
      <c r="C1096" s="252" t="s">
        <v>1840</v>
      </c>
      <c r="D1096" s="252" t="s">
        <v>1774</v>
      </c>
      <c r="E1096" s="252" t="s">
        <v>1807</v>
      </c>
      <c r="F1096" s="252" t="s">
        <v>1765</v>
      </c>
      <c r="G1096" s="252" t="s">
        <v>1818</v>
      </c>
      <c r="H1096" s="252" t="s">
        <v>1744</v>
      </c>
      <c r="I1096" s="252" t="s">
        <v>1869</v>
      </c>
      <c r="J1096" s="174"/>
      <c r="K1096" s="252" t="s">
        <v>1737</v>
      </c>
      <c r="L1096" s="252" t="s">
        <v>1726</v>
      </c>
      <c r="M1096" s="174"/>
      <c r="N1096" s="174"/>
      <c r="O1096" s="253" t="s">
        <v>1707</v>
      </c>
    </row>
    <row r="1097" spans="1:15" ht="16.149999999999999" customHeight="1" x14ac:dyDescent="0.25">
      <c r="A1097" s="172">
        <v>41883</v>
      </c>
      <c r="B1097" s="175" t="s">
        <v>49</v>
      </c>
      <c r="C1097" s="254" t="s">
        <v>1833</v>
      </c>
      <c r="D1097" s="254" t="s">
        <v>1775</v>
      </c>
      <c r="E1097" s="254" t="s">
        <v>1786</v>
      </c>
      <c r="F1097" s="254" t="s">
        <v>1765</v>
      </c>
      <c r="G1097" s="254" t="s">
        <v>1767</v>
      </c>
      <c r="H1097" s="254" t="s">
        <v>1778</v>
      </c>
      <c r="I1097" s="254" t="s">
        <v>1870</v>
      </c>
      <c r="J1097" s="176"/>
      <c r="K1097" s="254" t="s">
        <v>1726</v>
      </c>
      <c r="L1097" s="254" t="s">
        <v>1744</v>
      </c>
      <c r="M1097" s="176"/>
      <c r="N1097" s="176"/>
      <c r="O1097" s="255" t="s">
        <v>1707</v>
      </c>
    </row>
    <row r="1098" spans="1:15" ht="16.149999999999999" customHeight="1" x14ac:dyDescent="0.25">
      <c r="A1098" s="172">
        <v>41880</v>
      </c>
      <c r="B1098" s="173" t="s">
        <v>49</v>
      </c>
      <c r="C1098" s="252" t="s">
        <v>1832</v>
      </c>
      <c r="D1098" s="252" t="s">
        <v>1765</v>
      </c>
      <c r="E1098" s="252" t="s">
        <v>1765</v>
      </c>
      <c r="F1098" s="252" t="s">
        <v>1765</v>
      </c>
      <c r="G1098" s="252" t="s">
        <v>1804</v>
      </c>
      <c r="H1098" s="252" t="s">
        <v>1767</v>
      </c>
      <c r="I1098" s="252" t="s">
        <v>1783</v>
      </c>
      <c r="J1098" s="174"/>
      <c r="K1098" s="252" t="s">
        <v>1737</v>
      </c>
      <c r="L1098" s="252" t="s">
        <v>1726</v>
      </c>
      <c r="M1098" s="174"/>
      <c r="N1098" s="174"/>
      <c r="O1098" s="253" t="s">
        <v>1706</v>
      </c>
    </row>
    <row r="1099" spans="1:15" ht="16.149999999999999" customHeight="1" x14ac:dyDescent="0.25">
      <c r="A1099" s="172">
        <v>41879</v>
      </c>
      <c r="B1099" s="175" t="s">
        <v>49</v>
      </c>
      <c r="C1099" s="254" t="s">
        <v>1833</v>
      </c>
      <c r="D1099" s="254" t="s">
        <v>1775</v>
      </c>
      <c r="E1099" s="254" t="s">
        <v>1765</v>
      </c>
      <c r="F1099" s="254" t="s">
        <v>1728</v>
      </c>
      <c r="G1099" s="254" t="s">
        <v>1782</v>
      </c>
      <c r="H1099" s="254" t="s">
        <v>1744</v>
      </c>
      <c r="I1099" s="254" t="s">
        <v>1783</v>
      </c>
      <c r="J1099" s="176"/>
      <c r="K1099" s="254" t="s">
        <v>1726</v>
      </c>
      <c r="L1099" s="254" t="s">
        <v>1717</v>
      </c>
      <c r="M1099" s="176"/>
      <c r="N1099" s="176"/>
      <c r="O1099" s="255" t="s">
        <v>1871</v>
      </c>
    </row>
    <row r="1100" spans="1:15" ht="16.149999999999999" customHeight="1" x14ac:dyDescent="0.25">
      <c r="A1100" s="172">
        <v>41878</v>
      </c>
      <c r="B1100" s="173" t="s">
        <v>49</v>
      </c>
      <c r="C1100" s="252" t="s">
        <v>1836</v>
      </c>
      <c r="D1100" s="252" t="s">
        <v>1810</v>
      </c>
      <c r="E1100" s="252" t="s">
        <v>1765</v>
      </c>
      <c r="F1100" s="252" t="s">
        <v>1745</v>
      </c>
      <c r="G1100" s="252" t="s">
        <v>1782</v>
      </c>
      <c r="H1100" s="252" t="s">
        <v>1778</v>
      </c>
      <c r="I1100" s="252" t="s">
        <v>1790</v>
      </c>
      <c r="J1100" s="174"/>
      <c r="K1100" s="252" t="s">
        <v>1737</v>
      </c>
      <c r="L1100" s="252" t="s">
        <v>1726</v>
      </c>
      <c r="M1100" s="174"/>
      <c r="N1100" s="174"/>
      <c r="O1100" s="253" t="s">
        <v>1713</v>
      </c>
    </row>
    <row r="1101" spans="1:15" ht="16.149999999999999" customHeight="1" x14ac:dyDescent="0.25">
      <c r="A1101" s="172">
        <v>41877</v>
      </c>
      <c r="B1101" s="175" t="s">
        <v>49</v>
      </c>
      <c r="C1101" s="254" t="s">
        <v>1777</v>
      </c>
      <c r="D1101" s="254" t="s">
        <v>1744</v>
      </c>
      <c r="E1101" s="254" t="s">
        <v>1831</v>
      </c>
      <c r="F1101" s="254" t="s">
        <v>1744</v>
      </c>
      <c r="G1101" s="254" t="s">
        <v>1778</v>
      </c>
      <c r="H1101" s="254" t="s">
        <v>1837</v>
      </c>
      <c r="I1101" s="254" t="s">
        <v>1746</v>
      </c>
      <c r="J1101" s="176"/>
      <c r="K1101" s="254" t="s">
        <v>1744</v>
      </c>
      <c r="L1101" s="254" t="s">
        <v>1744</v>
      </c>
      <c r="M1101" s="176"/>
      <c r="N1101" s="176"/>
      <c r="O1101" s="255" t="s">
        <v>1726</v>
      </c>
    </row>
    <row r="1102" spans="1:15" ht="16.149999999999999" customHeight="1" x14ac:dyDescent="0.25">
      <c r="A1102" s="172">
        <v>41876</v>
      </c>
      <c r="B1102" s="173" t="s">
        <v>49</v>
      </c>
      <c r="C1102" s="252" t="s">
        <v>1850</v>
      </c>
      <c r="D1102" s="252" t="s">
        <v>1872</v>
      </c>
      <c r="E1102" s="252" t="s">
        <v>1873</v>
      </c>
      <c r="F1102" s="252" t="s">
        <v>1874</v>
      </c>
      <c r="G1102" s="252" t="s">
        <v>1873</v>
      </c>
      <c r="H1102" s="252" t="s">
        <v>1837</v>
      </c>
      <c r="I1102" s="252" t="s">
        <v>1843</v>
      </c>
      <c r="J1102" s="174"/>
      <c r="K1102" s="252" t="s">
        <v>1778</v>
      </c>
      <c r="L1102" s="252" t="s">
        <v>1744</v>
      </c>
      <c r="M1102" s="174"/>
      <c r="N1102" s="174"/>
      <c r="O1102" s="253" t="s">
        <v>1728</v>
      </c>
    </row>
    <row r="1103" spans="1:15" ht="16.149999999999999" customHeight="1" x14ac:dyDescent="0.25">
      <c r="A1103" s="172">
        <v>41873</v>
      </c>
      <c r="B1103" s="175" t="s">
        <v>49</v>
      </c>
      <c r="C1103" s="254" t="s">
        <v>1861</v>
      </c>
      <c r="D1103" s="254" t="s">
        <v>1831</v>
      </c>
      <c r="E1103" s="254" t="s">
        <v>1873</v>
      </c>
      <c r="F1103" s="254" t="s">
        <v>1874</v>
      </c>
      <c r="G1103" s="254" t="s">
        <v>1875</v>
      </c>
      <c r="H1103" s="254" t="s">
        <v>1826</v>
      </c>
      <c r="I1103" s="254" t="s">
        <v>1876</v>
      </c>
      <c r="J1103" s="176"/>
      <c r="K1103" s="254" t="s">
        <v>1831</v>
      </c>
      <c r="L1103" s="254" t="s">
        <v>1831</v>
      </c>
      <c r="M1103" s="176"/>
      <c r="N1103" s="176"/>
      <c r="O1103" s="255" t="s">
        <v>1807</v>
      </c>
    </row>
    <row r="1104" spans="1:15" ht="16.149999999999999" customHeight="1" x14ac:dyDescent="0.25">
      <c r="A1104" s="172">
        <v>41872</v>
      </c>
      <c r="B1104" s="173" t="s">
        <v>49</v>
      </c>
      <c r="C1104" s="252" t="s">
        <v>1846</v>
      </c>
      <c r="D1104" s="252" t="s">
        <v>1877</v>
      </c>
      <c r="E1104" s="252" t="s">
        <v>1819</v>
      </c>
      <c r="F1104" s="252" t="s">
        <v>1837</v>
      </c>
      <c r="G1104" s="252" t="s">
        <v>1786</v>
      </c>
      <c r="H1104" s="252" t="s">
        <v>1878</v>
      </c>
      <c r="I1104" s="252" t="s">
        <v>1828</v>
      </c>
      <c r="J1104" s="174"/>
      <c r="K1104" s="252" t="s">
        <v>1831</v>
      </c>
      <c r="L1104" s="252" t="s">
        <v>1837</v>
      </c>
      <c r="M1104" s="174"/>
      <c r="N1104" s="174"/>
      <c r="O1104" s="253" t="s">
        <v>1879</v>
      </c>
    </row>
    <row r="1105" spans="1:15" ht="16.149999999999999" customHeight="1" x14ac:dyDescent="0.25">
      <c r="A1105" s="172">
        <v>41871</v>
      </c>
      <c r="B1105" s="175" t="s">
        <v>49</v>
      </c>
      <c r="C1105" s="254" t="s">
        <v>1880</v>
      </c>
      <c r="D1105" s="254" t="s">
        <v>1881</v>
      </c>
      <c r="E1105" s="254" t="s">
        <v>1882</v>
      </c>
      <c r="F1105" s="254" t="s">
        <v>1873</v>
      </c>
      <c r="G1105" s="254" t="s">
        <v>1786</v>
      </c>
      <c r="H1105" s="254" t="s">
        <v>1878</v>
      </c>
      <c r="I1105" s="254" t="s">
        <v>1883</v>
      </c>
      <c r="J1105" s="176"/>
      <c r="K1105" s="254" t="s">
        <v>1819</v>
      </c>
      <c r="L1105" s="254" t="s">
        <v>1873</v>
      </c>
      <c r="M1105" s="176"/>
      <c r="N1105" s="176"/>
      <c r="O1105" s="255" t="s">
        <v>1884</v>
      </c>
    </row>
    <row r="1106" spans="1:15" ht="16.149999999999999" customHeight="1" x14ac:dyDescent="0.25">
      <c r="A1106" s="172">
        <v>41870</v>
      </c>
      <c r="B1106" s="173" t="s">
        <v>49</v>
      </c>
      <c r="C1106" s="252" t="s">
        <v>1855</v>
      </c>
      <c r="D1106" s="252" t="s">
        <v>1819</v>
      </c>
      <c r="E1106" s="252" t="s">
        <v>1878</v>
      </c>
      <c r="F1106" s="252" t="s">
        <v>1819</v>
      </c>
      <c r="G1106" s="252" t="s">
        <v>1786</v>
      </c>
      <c r="H1106" s="252" t="s">
        <v>1826</v>
      </c>
      <c r="I1106" s="252" t="s">
        <v>1885</v>
      </c>
      <c r="J1106" s="174"/>
      <c r="K1106" s="252" t="s">
        <v>1819</v>
      </c>
      <c r="L1106" s="252" t="s">
        <v>1878</v>
      </c>
      <c r="M1106" s="174"/>
      <c r="N1106" s="174"/>
      <c r="O1106" s="253" t="s">
        <v>1819</v>
      </c>
    </row>
    <row r="1107" spans="1:15" ht="16.149999999999999" customHeight="1" x14ac:dyDescent="0.25">
      <c r="A1107" s="172">
        <v>41866</v>
      </c>
      <c r="B1107" s="175" t="s">
        <v>49</v>
      </c>
      <c r="C1107" s="254" t="s">
        <v>1769</v>
      </c>
      <c r="D1107" s="254" t="s">
        <v>1819</v>
      </c>
      <c r="E1107" s="254" t="s">
        <v>1819</v>
      </c>
      <c r="F1107" s="254" t="s">
        <v>1819</v>
      </c>
      <c r="G1107" s="254" t="s">
        <v>1786</v>
      </c>
      <c r="H1107" s="254" t="s">
        <v>1826</v>
      </c>
      <c r="I1107" s="254" t="s">
        <v>1883</v>
      </c>
      <c r="J1107" s="176"/>
      <c r="K1107" s="254" t="s">
        <v>1819</v>
      </c>
      <c r="L1107" s="254" t="s">
        <v>1882</v>
      </c>
      <c r="M1107" s="176"/>
      <c r="N1107" s="176"/>
      <c r="O1107" s="255" t="s">
        <v>1886</v>
      </c>
    </row>
    <row r="1108" spans="1:15" ht="16.149999999999999" customHeight="1" x14ac:dyDescent="0.25">
      <c r="A1108" s="172">
        <v>41865</v>
      </c>
      <c r="B1108" s="173" t="s">
        <v>49</v>
      </c>
      <c r="C1108" s="252" t="s">
        <v>1704</v>
      </c>
      <c r="D1108" s="252" t="s">
        <v>1887</v>
      </c>
      <c r="E1108" s="252" t="s">
        <v>1827</v>
      </c>
      <c r="F1108" s="252" t="s">
        <v>1831</v>
      </c>
      <c r="G1108" s="252" t="s">
        <v>1888</v>
      </c>
      <c r="H1108" s="252" t="s">
        <v>1889</v>
      </c>
      <c r="I1108" s="252" t="s">
        <v>1890</v>
      </c>
      <c r="J1108" s="174"/>
      <c r="K1108" s="252" t="s">
        <v>1878</v>
      </c>
      <c r="L1108" s="252" t="s">
        <v>1873</v>
      </c>
      <c r="M1108" s="174"/>
      <c r="N1108" s="174"/>
      <c r="O1108" s="253" t="s">
        <v>1881</v>
      </c>
    </row>
    <row r="1109" spans="1:15" ht="16.149999999999999" customHeight="1" x14ac:dyDescent="0.25">
      <c r="A1109" s="172">
        <v>41864</v>
      </c>
      <c r="B1109" s="175" t="s">
        <v>49</v>
      </c>
      <c r="C1109" s="254" t="s">
        <v>1696</v>
      </c>
      <c r="D1109" s="254" t="s">
        <v>1891</v>
      </c>
      <c r="E1109" s="254" t="s">
        <v>1882</v>
      </c>
      <c r="F1109" s="254" t="s">
        <v>1819</v>
      </c>
      <c r="G1109" s="254" t="s">
        <v>1827</v>
      </c>
      <c r="H1109" s="254" t="s">
        <v>1878</v>
      </c>
      <c r="I1109" s="254" t="s">
        <v>1892</v>
      </c>
      <c r="J1109" s="176"/>
      <c r="K1109" s="254" t="s">
        <v>1819</v>
      </c>
      <c r="L1109" s="254" t="s">
        <v>1819</v>
      </c>
      <c r="M1109" s="176"/>
      <c r="N1109" s="176"/>
      <c r="O1109" s="255" t="s">
        <v>1873</v>
      </c>
    </row>
    <row r="1110" spans="1:15" ht="16.149999999999999" customHeight="1" x14ac:dyDescent="0.25">
      <c r="A1110" s="172">
        <v>41863</v>
      </c>
      <c r="B1110" s="173" t="s">
        <v>49</v>
      </c>
      <c r="C1110" s="252" t="s">
        <v>1893</v>
      </c>
      <c r="D1110" s="252" t="s">
        <v>1827</v>
      </c>
      <c r="E1110" s="252" t="s">
        <v>1882</v>
      </c>
      <c r="F1110" s="252" t="s">
        <v>1819</v>
      </c>
      <c r="G1110" s="252" t="s">
        <v>1894</v>
      </c>
      <c r="H1110" s="252" t="s">
        <v>1826</v>
      </c>
      <c r="I1110" s="252" t="s">
        <v>1895</v>
      </c>
      <c r="J1110" s="174"/>
      <c r="K1110" s="252" t="s">
        <v>1878</v>
      </c>
      <c r="L1110" s="252" t="s">
        <v>1878</v>
      </c>
      <c r="M1110" s="174"/>
      <c r="N1110" s="174"/>
      <c r="O1110" s="253" t="s">
        <v>1894</v>
      </c>
    </row>
    <row r="1111" spans="1:15" ht="16.149999999999999" customHeight="1" x14ac:dyDescent="0.25">
      <c r="A1111" s="172">
        <v>41862</v>
      </c>
      <c r="B1111" s="175" t="s">
        <v>49</v>
      </c>
      <c r="C1111" s="254" t="s">
        <v>1696</v>
      </c>
      <c r="D1111" s="254" t="s">
        <v>1891</v>
      </c>
      <c r="E1111" s="254" t="s">
        <v>1878</v>
      </c>
      <c r="F1111" s="254" t="s">
        <v>1819</v>
      </c>
      <c r="G1111" s="254" t="s">
        <v>1827</v>
      </c>
      <c r="H1111" s="254" t="s">
        <v>1826</v>
      </c>
      <c r="I1111" s="254" t="s">
        <v>1892</v>
      </c>
      <c r="J1111" s="176"/>
      <c r="K1111" s="254" t="s">
        <v>1819</v>
      </c>
      <c r="L1111" s="254" t="s">
        <v>1819</v>
      </c>
      <c r="M1111" s="176"/>
      <c r="N1111" s="176"/>
      <c r="O1111" s="255" t="s">
        <v>1819</v>
      </c>
    </row>
    <row r="1112" spans="1:15" ht="16.149999999999999" customHeight="1" x14ac:dyDescent="0.25">
      <c r="A1112" s="172">
        <v>41859</v>
      </c>
      <c r="B1112" s="173" t="s">
        <v>49</v>
      </c>
      <c r="C1112" s="252" t="s">
        <v>1771</v>
      </c>
      <c r="D1112" s="252" t="s">
        <v>1827</v>
      </c>
      <c r="E1112" s="252" t="s">
        <v>1896</v>
      </c>
      <c r="F1112" s="252" t="s">
        <v>1837</v>
      </c>
      <c r="G1112" s="252" t="s">
        <v>1829</v>
      </c>
      <c r="H1112" s="252" t="s">
        <v>1826</v>
      </c>
      <c r="I1112" s="252" t="s">
        <v>1877</v>
      </c>
      <c r="J1112" s="174"/>
      <c r="K1112" s="252" t="s">
        <v>1882</v>
      </c>
      <c r="L1112" s="252" t="s">
        <v>1819</v>
      </c>
      <c r="M1112" s="174"/>
      <c r="N1112" s="174"/>
      <c r="O1112" s="253" t="s">
        <v>1837</v>
      </c>
    </row>
    <row r="1113" spans="1:15" ht="16.149999999999999" customHeight="1" x14ac:dyDescent="0.25">
      <c r="A1113" s="172">
        <v>41857</v>
      </c>
      <c r="B1113" s="175" t="s">
        <v>49</v>
      </c>
      <c r="C1113" s="254" t="s">
        <v>1707</v>
      </c>
      <c r="D1113" s="254" t="s">
        <v>1829</v>
      </c>
      <c r="E1113" s="254" t="s">
        <v>1882</v>
      </c>
      <c r="F1113" s="254" t="s">
        <v>1837</v>
      </c>
      <c r="G1113" s="254" t="s">
        <v>1894</v>
      </c>
      <c r="H1113" s="254" t="s">
        <v>1826</v>
      </c>
      <c r="I1113" s="254" t="s">
        <v>1883</v>
      </c>
      <c r="J1113" s="176"/>
      <c r="K1113" s="254" t="s">
        <v>1878</v>
      </c>
      <c r="L1113" s="254" t="s">
        <v>1889</v>
      </c>
      <c r="M1113" s="176"/>
      <c r="N1113" s="176"/>
      <c r="O1113" s="255" t="s">
        <v>1897</v>
      </c>
    </row>
    <row r="1114" spans="1:15" ht="16.149999999999999" customHeight="1" x14ac:dyDescent="0.25">
      <c r="A1114" s="172">
        <v>41856</v>
      </c>
      <c r="B1114" s="173" t="s">
        <v>49</v>
      </c>
      <c r="C1114" s="252" t="s">
        <v>1898</v>
      </c>
      <c r="D1114" s="252" t="s">
        <v>1873</v>
      </c>
      <c r="E1114" s="252" t="s">
        <v>1829</v>
      </c>
      <c r="F1114" s="252" t="s">
        <v>1765</v>
      </c>
      <c r="G1114" s="252" t="s">
        <v>1899</v>
      </c>
      <c r="H1114" s="252" t="s">
        <v>1826</v>
      </c>
      <c r="I1114" s="252" t="s">
        <v>1895</v>
      </c>
      <c r="J1114" s="174"/>
      <c r="K1114" s="252" t="s">
        <v>1819</v>
      </c>
      <c r="L1114" s="252" t="s">
        <v>1831</v>
      </c>
      <c r="M1114" s="174"/>
      <c r="N1114" s="174"/>
      <c r="O1114" s="253" t="s">
        <v>1875</v>
      </c>
    </row>
    <row r="1115" spans="1:15" ht="16.149999999999999" customHeight="1" x14ac:dyDescent="0.25">
      <c r="A1115" s="172">
        <v>41855</v>
      </c>
      <c r="B1115" s="175" t="s">
        <v>49</v>
      </c>
      <c r="C1115" s="254" t="s">
        <v>1693</v>
      </c>
      <c r="D1115" s="254" t="s">
        <v>1882</v>
      </c>
      <c r="E1115" s="254" t="s">
        <v>1878</v>
      </c>
      <c r="F1115" s="254" t="s">
        <v>1831</v>
      </c>
      <c r="G1115" s="254" t="s">
        <v>1900</v>
      </c>
      <c r="H1115" s="254" t="s">
        <v>1901</v>
      </c>
      <c r="I1115" s="254" t="s">
        <v>1877</v>
      </c>
      <c r="J1115" s="176"/>
      <c r="K1115" s="254" t="s">
        <v>1882</v>
      </c>
      <c r="L1115" s="254" t="s">
        <v>1882</v>
      </c>
      <c r="M1115" s="176"/>
      <c r="N1115" s="176"/>
      <c r="O1115" s="255" t="s">
        <v>1886</v>
      </c>
    </row>
    <row r="1116" spans="1:15" ht="16.149999999999999" customHeight="1" x14ac:dyDescent="0.25">
      <c r="A1116" s="172">
        <v>41852</v>
      </c>
      <c r="B1116" s="173" t="s">
        <v>49</v>
      </c>
      <c r="C1116" s="252" t="s">
        <v>1700</v>
      </c>
      <c r="D1116" s="252" t="s">
        <v>1902</v>
      </c>
      <c r="E1116" s="252" t="s">
        <v>1903</v>
      </c>
      <c r="F1116" s="252" t="s">
        <v>1831</v>
      </c>
      <c r="G1116" s="252" t="s">
        <v>1904</v>
      </c>
      <c r="H1116" s="252" t="s">
        <v>1826</v>
      </c>
      <c r="I1116" s="252" t="s">
        <v>1703</v>
      </c>
      <c r="J1116" s="174"/>
      <c r="K1116" s="252" t="s">
        <v>1819</v>
      </c>
      <c r="L1116" s="252" t="s">
        <v>1831</v>
      </c>
      <c r="M1116" s="174"/>
      <c r="N1116" s="174"/>
      <c r="O1116" s="253" t="s">
        <v>1905</v>
      </c>
    </row>
    <row r="1117" spans="1:15" ht="16.149999999999999" customHeight="1" x14ac:dyDescent="0.25">
      <c r="A1117" s="172">
        <v>41851</v>
      </c>
      <c r="B1117" s="175" t="s">
        <v>49</v>
      </c>
      <c r="C1117" s="254" t="s">
        <v>1818</v>
      </c>
      <c r="D1117" s="254" t="s">
        <v>1906</v>
      </c>
      <c r="E1117" s="254" t="s">
        <v>1907</v>
      </c>
      <c r="F1117" s="254" t="s">
        <v>1908</v>
      </c>
      <c r="G1117" s="254" t="s">
        <v>1909</v>
      </c>
      <c r="H1117" s="254" t="s">
        <v>1907</v>
      </c>
      <c r="I1117" s="254" t="s">
        <v>1910</v>
      </c>
      <c r="J1117" s="176"/>
      <c r="K1117" s="254" t="s">
        <v>1901</v>
      </c>
      <c r="L1117" s="254" t="s">
        <v>1911</v>
      </c>
      <c r="M1117" s="176"/>
      <c r="N1117" s="176"/>
      <c r="O1117" s="255" t="s">
        <v>1911</v>
      </c>
    </row>
    <row r="1118" spans="1:15" ht="16.149999999999999" customHeight="1" x14ac:dyDescent="0.25">
      <c r="A1118" s="172">
        <v>41850</v>
      </c>
      <c r="B1118" s="173" t="s">
        <v>49</v>
      </c>
      <c r="C1118" s="252" t="s">
        <v>1797</v>
      </c>
      <c r="D1118" s="252" t="s">
        <v>1912</v>
      </c>
      <c r="E1118" s="252" t="s">
        <v>1913</v>
      </c>
      <c r="F1118" s="252" t="s">
        <v>1914</v>
      </c>
      <c r="G1118" s="252" t="s">
        <v>1908</v>
      </c>
      <c r="H1118" s="252" t="s">
        <v>1915</v>
      </c>
      <c r="I1118" s="252" t="s">
        <v>1916</v>
      </c>
      <c r="J1118" s="174"/>
      <c r="K1118" s="252" t="s">
        <v>1907</v>
      </c>
      <c r="L1118" s="252" t="s">
        <v>1917</v>
      </c>
      <c r="M1118" s="174"/>
      <c r="N1118" s="174"/>
      <c r="O1118" s="253" t="s">
        <v>1918</v>
      </c>
    </row>
    <row r="1119" spans="1:15" ht="16.149999999999999" customHeight="1" x14ac:dyDescent="0.25">
      <c r="A1119" s="172">
        <v>41849</v>
      </c>
      <c r="B1119" s="175" t="s">
        <v>49</v>
      </c>
      <c r="C1119" s="254" t="s">
        <v>1919</v>
      </c>
      <c r="D1119" s="254" t="s">
        <v>1907</v>
      </c>
      <c r="E1119" s="254" t="s">
        <v>1920</v>
      </c>
      <c r="F1119" s="254" t="s">
        <v>1914</v>
      </c>
      <c r="G1119" s="254" t="s">
        <v>1901</v>
      </c>
      <c r="H1119" s="254" t="s">
        <v>1921</v>
      </c>
      <c r="I1119" s="254" t="s">
        <v>1922</v>
      </c>
      <c r="J1119" s="176"/>
      <c r="K1119" s="254" t="s">
        <v>1923</v>
      </c>
      <c r="L1119" s="254" t="s">
        <v>1913</v>
      </c>
      <c r="M1119" s="176"/>
      <c r="N1119" s="176"/>
      <c r="O1119" s="255" t="s">
        <v>1914</v>
      </c>
    </row>
    <row r="1120" spans="1:15" ht="16.149999999999999" customHeight="1" x14ac:dyDescent="0.25">
      <c r="A1120" s="172">
        <v>41848</v>
      </c>
      <c r="B1120" s="173" t="s">
        <v>49</v>
      </c>
      <c r="C1120" s="252" t="s">
        <v>1924</v>
      </c>
      <c r="D1120" s="252" t="s">
        <v>1923</v>
      </c>
      <c r="E1120" s="252" t="s">
        <v>1913</v>
      </c>
      <c r="F1120" s="252" t="s">
        <v>1907</v>
      </c>
      <c r="G1120" s="252" t="s">
        <v>1914</v>
      </c>
      <c r="H1120" s="252" t="s">
        <v>1921</v>
      </c>
      <c r="I1120" s="252" t="s">
        <v>1925</v>
      </c>
      <c r="J1120" s="174"/>
      <c r="K1120" s="252" t="s">
        <v>1926</v>
      </c>
      <c r="L1120" s="252" t="s">
        <v>1926</v>
      </c>
      <c r="M1120" s="174"/>
      <c r="N1120" s="174"/>
      <c r="O1120" s="253" t="s">
        <v>1914</v>
      </c>
    </row>
    <row r="1121" spans="1:15" ht="16.149999999999999" customHeight="1" x14ac:dyDescent="0.25">
      <c r="A1121" s="172">
        <v>41845</v>
      </c>
      <c r="B1121" s="175" t="s">
        <v>49</v>
      </c>
      <c r="C1121" s="254" t="s">
        <v>1927</v>
      </c>
      <c r="D1121" s="254" t="s">
        <v>1928</v>
      </c>
      <c r="E1121" s="254" t="s">
        <v>1926</v>
      </c>
      <c r="F1121" s="254" t="s">
        <v>1929</v>
      </c>
      <c r="G1121" s="254" t="s">
        <v>1930</v>
      </c>
      <c r="H1121" s="254" t="s">
        <v>1921</v>
      </c>
      <c r="I1121" s="254" t="s">
        <v>1928</v>
      </c>
      <c r="J1121" s="176"/>
      <c r="K1121" s="254" t="s">
        <v>1923</v>
      </c>
      <c r="L1121" s="254" t="s">
        <v>1913</v>
      </c>
      <c r="M1121" s="176"/>
      <c r="N1121" s="176"/>
      <c r="O1121" s="255" t="s">
        <v>1907</v>
      </c>
    </row>
    <row r="1122" spans="1:15" ht="16.149999999999999" customHeight="1" x14ac:dyDescent="0.25">
      <c r="A1122" s="172">
        <v>41844</v>
      </c>
      <c r="B1122" s="173" t="s">
        <v>49</v>
      </c>
      <c r="C1122" s="252" t="s">
        <v>1894</v>
      </c>
      <c r="D1122" s="252" t="s">
        <v>1931</v>
      </c>
      <c r="E1122" s="252" t="s">
        <v>1929</v>
      </c>
      <c r="F1122" s="252" t="s">
        <v>1929</v>
      </c>
      <c r="G1122" s="252" t="s">
        <v>1932</v>
      </c>
      <c r="H1122" s="252" t="s">
        <v>1933</v>
      </c>
      <c r="I1122" s="252" t="s">
        <v>1928</v>
      </c>
      <c r="J1122" s="174"/>
      <c r="K1122" s="252" t="s">
        <v>1934</v>
      </c>
      <c r="L1122" s="252" t="s">
        <v>1934</v>
      </c>
      <c r="M1122" s="174"/>
      <c r="N1122" s="174"/>
      <c r="O1122" s="253" t="s">
        <v>1929</v>
      </c>
    </row>
    <row r="1123" spans="1:15" ht="16.149999999999999" customHeight="1" x14ac:dyDescent="0.25">
      <c r="A1123" s="172">
        <v>41843</v>
      </c>
      <c r="B1123" s="175" t="s">
        <v>49</v>
      </c>
      <c r="C1123" s="254" t="s">
        <v>1900</v>
      </c>
      <c r="D1123" s="254" t="s">
        <v>1935</v>
      </c>
      <c r="E1123" s="254" t="s">
        <v>1923</v>
      </c>
      <c r="F1123" s="254" t="s">
        <v>1926</v>
      </c>
      <c r="G1123" s="254" t="s">
        <v>1936</v>
      </c>
      <c r="H1123" s="254" t="s">
        <v>1937</v>
      </c>
      <c r="I1123" s="254" t="s">
        <v>1938</v>
      </c>
      <c r="J1123" s="176"/>
      <c r="K1123" s="254" t="s">
        <v>1939</v>
      </c>
      <c r="L1123" s="254" t="s">
        <v>1940</v>
      </c>
      <c r="M1123" s="176"/>
      <c r="N1123" s="176"/>
      <c r="O1123" s="255" t="s">
        <v>1929</v>
      </c>
    </row>
    <row r="1124" spans="1:15" ht="16.149999999999999" customHeight="1" x14ac:dyDescent="0.25">
      <c r="A1124" s="172">
        <v>41842</v>
      </c>
      <c r="B1124" s="173" t="s">
        <v>49</v>
      </c>
      <c r="C1124" s="252" t="s">
        <v>1941</v>
      </c>
      <c r="D1124" s="252" t="s">
        <v>1942</v>
      </c>
      <c r="E1124" s="252" t="s">
        <v>1926</v>
      </c>
      <c r="F1124" s="252" t="s">
        <v>1926</v>
      </c>
      <c r="G1124" s="252" t="s">
        <v>1940</v>
      </c>
      <c r="H1124" s="252" t="s">
        <v>1939</v>
      </c>
      <c r="I1124" s="252" t="s">
        <v>1943</v>
      </c>
      <c r="J1124" s="174"/>
      <c r="K1124" s="252" t="s">
        <v>1934</v>
      </c>
      <c r="L1124" s="252" t="s">
        <v>1921</v>
      </c>
      <c r="M1124" s="174"/>
      <c r="N1124" s="174"/>
      <c r="O1124" s="253" t="s">
        <v>1944</v>
      </c>
    </row>
    <row r="1125" spans="1:15" ht="16.149999999999999" customHeight="1" x14ac:dyDescent="0.25">
      <c r="A1125" s="172">
        <v>41841</v>
      </c>
      <c r="B1125" s="175" t="s">
        <v>49</v>
      </c>
      <c r="C1125" s="254" t="s">
        <v>1827</v>
      </c>
      <c r="D1125" s="254" t="s">
        <v>1915</v>
      </c>
      <c r="E1125" s="254" t="s">
        <v>1915</v>
      </c>
      <c r="F1125" s="254" t="s">
        <v>1926</v>
      </c>
      <c r="G1125" s="254" t="s">
        <v>1940</v>
      </c>
      <c r="H1125" s="254" t="s">
        <v>1939</v>
      </c>
      <c r="I1125" s="254" t="s">
        <v>1945</v>
      </c>
      <c r="J1125" s="176"/>
      <c r="K1125" s="254" t="s">
        <v>1915</v>
      </c>
      <c r="L1125" s="254" t="s">
        <v>1921</v>
      </c>
      <c r="M1125" s="176"/>
      <c r="N1125" s="176"/>
      <c r="O1125" s="255" t="s">
        <v>1946</v>
      </c>
    </row>
    <row r="1126" spans="1:15" ht="16.149999999999999" customHeight="1" x14ac:dyDescent="0.25">
      <c r="A1126" s="172">
        <v>41838</v>
      </c>
      <c r="B1126" s="173" t="s">
        <v>49</v>
      </c>
      <c r="C1126" s="252" t="s">
        <v>1892</v>
      </c>
      <c r="D1126" s="252" t="s">
        <v>1947</v>
      </c>
      <c r="E1126" s="252" t="s">
        <v>1926</v>
      </c>
      <c r="F1126" s="252" t="s">
        <v>1926</v>
      </c>
      <c r="G1126" s="252" t="s">
        <v>1940</v>
      </c>
      <c r="H1126" s="252" t="s">
        <v>1940</v>
      </c>
      <c r="I1126" s="252" t="s">
        <v>1948</v>
      </c>
      <c r="J1126" s="174"/>
      <c r="K1126" s="252" t="s">
        <v>1934</v>
      </c>
      <c r="L1126" s="252" t="s">
        <v>1921</v>
      </c>
      <c r="M1126" s="174"/>
      <c r="N1126" s="174"/>
      <c r="O1126" s="253" t="s">
        <v>1949</v>
      </c>
    </row>
    <row r="1127" spans="1:15" ht="16.149999999999999" customHeight="1" x14ac:dyDescent="0.25">
      <c r="A1127" s="172">
        <v>41837</v>
      </c>
      <c r="B1127" s="175" t="s">
        <v>49</v>
      </c>
      <c r="C1127" s="254" t="s">
        <v>1905</v>
      </c>
      <c r="D1127" s="254" t="s">
        <v>1950</v>
      </c>
      <c r="E1127" s="254" t="s">
        <v>1493</v>
      </c>
      <c r="F1127" s="254" t="s">
        <v>1926</v>
      </c>
      <c r="G1127" s="254" t="s">
        <v>1951</v>
      </c>
      <c r="H1127" s="254" t="s">
        <v>1952</v>
      </c>
      <c r="I1127" s="254" t="s">
        <v>1950</v>
      </c>
      <c r="J1127" s="176"/>
      <c r="K1127" s="254" t="s">
        <v>1940</v>
      </c>
      <c r="L1127" s="254" t="s">
        <v>1934</v>
      </c>
      <c r="M1127" s="176"/>
      <c r="N1127" s="176"/>
      <c r="O1127" s="255" t="s">
        <v>1946</v>
      </c>
    </row>
    <row r="1128" spans="1:15" ht="16.149999999999999" customHeight="1" x14ac:dyDescent="0.25">
      <c r="A1128" s="172">
        <v>41836</v>
      </c>
      <c r="B1128" s="173" t="s">
        <v>49</v>
      </c>
      <c r="C1128" s="252" t="s">
        <v>1941</v>
      </c>
      <c r="D1128" s="252" t="s">
        <v>1942</v>
      </c>
      <c r="E1128" s="252" t="s">
        <v>1934</v>
      </c>
      <c r="F1128" s="252" t="s">
        <v>1926</v>
      </c>
      <c r="G1128" s="252" t="s">
        <v>1947</v>
      </c>
      <c r="H1128" s="252" t="s">
        <v>1937</v>
      </c>
      <c r="I1128" s="252" t="s">
        <v>1953</v>
      </c>
      <c r="J1128" s="174"/>
      <c r="K1128" s="252" t="s">
        <v>1934</v>
      </c>
      <c r="L1128" s="252" t="s">
        <v>1921</v>
      </c>
      <c r="M1128" s="174"/>
      <c r="N1128" s="174"/>
      <c r="O1128" s="253" t="s">
        <v>1926</v>
      </c>
    </row>
    <row r="1129" spans="1:15" ht="16.149999999999999" customHeight="1" x14ac:dyDescent="0.25">
      <c r="A1129" s="172">
        <v>41835</v>
      </c>
      <c r="B1129" s="175" t="s">
        <v>49</v>
      </c>
      <c r="C1129" s="254" t="s">
        <v>1954</v>
      </c>
      <c r="D1129" s="254" t="s">
        <v>1955</v>
      </c>
      <c r="E1129" s="254" t="s">
        <v>1934</v>
      </c>
      <c r="F1129" s="254" t="s">
        <v>1926</v>
      </c>
      <c r="G1129" s="254" t="s">
        <v>1947</v>
      </c>
      <c r="H1129" s="254" t="s">
        <v>1937</v>
      </c>
      <c r="I1129" s="254" t="s">
        <v>1956</v>
      </c>
      <c r="J1129" s="176"/>
      <c r="K1129" s="254" t="s">
        <v>1939</v>
      </c>
      <c r="L1129" s="254" t="s">
        <v>1939</v>
      </c>
      <c r="M1129" s="176"/>
      <c r="N1129" s="176"/>
      <c r="O1129" s="255" t="s">
        <v>1929</v>
      </c>
    </row>
    <row r="1130" spans="1:15" ht="16.149999999999999" customHeight="1" x14ac:dyDescent="0.25">
      <c r="A1130" s="172">
        <v>41834</v>
      </c>
      <c r="B1130" s="173" t="s">
        <v>49</v>
      </c>
      <c r="C1130" s="252" t="s">
        <v>1899</v>
      </c>
      <c r="D1130" s="252" t="s">
        <v>1925</v>
      </c>
      <c r="E1130" s="252" t="s">
        <v>1926</v>
      </c>
      <c r="F1130" s="252" t="s">
        <v>1926</v>
      </c>
      <c r="G1130" s="252" t="s">
        <v>1955</v>
      </c>
      <c r="H1130" s="252" t="s">
        <v>1937</v>
      </c>
      <c r="I1130" s="252" t="s">
        <v>1957</v>
      </c>
      <c r="J1130" s="174"/>
      <c r="K1130" s="252" t="s">
        <v>1940</v>
      </c>
      <c r="L1130" s="252" t="s">
        <v>1940</v>
      </c>
      <c r="M1130" s="174"/>
      <c r="N1130" s="174"/>
      <c r="O1130" s="253" t="s">
        <v>1946</v>
      </c>
    </row>
    <row r="1131" spans="1:15" ht="16.149999999999999" customHeight="1" x14ac:dyDescent="0.25">
      <c r="A1131" s="172">
        <v>41831</v>
      </c>
      <c r="B1131" s="175" t="s">
        <v>49</v>
      </c>
      <c r="C1131" s="254" t="s">
        <v>1958</v>
      </c>
      <c r="D1131" s="254" t="s">
        <v>1955</v>
      </c>
      <c r="E1131" s="254" t="s">
        <v>1915</v>
      </c>
      <c r="F1131" s="254" t="s">
        <v>1926</v>
      </c>
      <c r="G1131" s="254" t="s">
        <v>1959</v>
      </c>
      <c r="H1131" s="254" t="s">
        <v>1940</v>
      </c>
      <c r="I1131" s="254" t="s">
        <v>1945</v>
      </c>
      <c r="J1131" s="176"/>
      <c r="K1131" s="254" t="s">
        <v>1939</v>
      </c>
      <c r="L1131" s="254" t="s">
        <v>1939</v>
      </c>
      <c r="M1131" s="176"/>
      <c r="N1131" s="176"/>
      <c r="O1131" s="255" t="s">
        <v>1956</v>
      </c>
    </row>
    <row r="1132" spans="1:15" ht="16.149999999999999" customHeight="1" x14ac:dyDescent="0.25">
      <c r="A1132" s="172">
        <v>41830</v>
      </c>
      <c r="B1132" s="173" t="s">
        <v>49</v>
      </c>
      <c r="C1132" s="252" t="s">
        <v>1960</v>
      </c>
      <c r="D1132" s="252" t="s">
        <v>1921</v>
      </c>
      <c r="E1132" s="252" t="s">
        <v>1921</v>
      </c>
      <c r="F1132" s="252" t="s">
        <v>1926</v>
      </c>
      <c r="G1132" s="252" t="s">
        <v>1959</v>
      </c>
      <c r="H1132" s="252" t="s">
        <v>1934</v>
      </c>
      <c r="I1132" s="252" t="s">
        <v>1953</v>
      </c>
      <c r="J1132" s="174"/>
      <c r="K1132" s="252" t="s">
        <v>1921</v>
      </c>
      <c r="L1132" s="252" t="s">
        <v>1915</v>
      </c>
      <c r="M1132" s="174"/>
      <c r="N1132" s="174"/>
      <c r="O1132" s="253" t="s">
        <v>1913</v>
      </c>
    </row>
    <row r="1133" spans="1:15" ht="16.149999999999999" customHeight="1" x14ac:dyDescent="0.25">
      <c r="A1133" s="172">
        <v>41829</v>
      </c>
      <c r="B1133" s="175" t="s">
        <v>49</v>
      </c>
      <c r="C1133" s="254" t="s">
        <v>1892</v>
      </c>
      <c r="D1133" s="254" t="s">
        <v>1947</v>
      </c>
      <c r="E1133" s="254" t="s">
        <v>1921</v>
      </c>
      <c r="F1133" s="254" t="s">
        <v>1926</v>
      </c>
      <c r="G1133" s="254" t="s">
        <v>1939</v>
      </c>
      <c r="H1133" s="254" t="s">
        <v>1939</v>
      </c>
      <c r="I1133" s="254" t="s">
        <v>1953</v>
      </c>
      <c r="J1133" s="176"/>
      <c r="K1133" s="254" t="s">
        <v>1934</v>
      </c>
      <c r="L1133" s="254" t="s">
        <v>1940</v>
      </c>
      <c r="M1133" s="176"/>
      <c r="N1133" s="176"/>
      <c r="O1133" s="255" t="s">
        <v>1961</v>
      </c>
    </row>
    <row r="1134" spans="1:15" ht="16.149999999999999" customHeight="1" x14ac:dyDescent="0.25">
      <c r="A1134" s="172">
        <v>41828</v>
      </c>
      <c r="B1134" s="173" t="s">
        <v>49</v>
      </c>
      <c r="C1134" s="252" t="s">
        <v>1962</v>
      </c>
      <c r="D1134" s="252" t="s">
        <v>1963</v>
      </c>
      <c r="E1134" s="252" t="s">
        <v>1964</v>
      </c>
      <c r="F1134" s="252" t="s">
        <v>1926</v>
      </c>
      <c r="G1134" s="252" t="s">
        <v>1959</v>
      </c>
      <c r="H1134" s="252" t="s">
        <v>1939</v>
      </c>
      <c r="I1134" s="252" t="s">
        <v>1964</v>
      </c>
      <c r="J1134" s="174"/>
      <c r="K1134" s="252" t="s">
        <v>1934</v>
      </c>
      <c r="L1134" s="252" t="s">
        <v>1934</v>
      </c>
      <c r="M1134" s="174"/>
      <c r="N1134" s="174"/>
      <c r="O1134" s="253" t="s">
        <v>1961</v>
      </c>
    </row>
    <row r="1135" spans="1:15" ht="16.149999999999999" customHeight="1" x14ac:dyDescent="0.25">
      <c r="A1135" s="172">
        <v>41827</v>
      </c>
      <c r="B1135" s="175" t="s">
        <v>49</v>
      </c>
      <c r="C1135" s="254" t="s">
        <v>1962</v>
      </c>
      <c r="D1135" s="254" t="s">
        <v>1963</v>
      </c>
      <c r="E1135" s="254" t="s">
        <v>1939</v>
      </c>
      <c r="F1135" s="254" t="s">
        <v>1926</v>
      </c>
      <c r="G1135" s="254" t="s">
        <v>1965</v>
      </c>
      <c r="H1135" s="254" t="s">
        <v>1940</v>
      </c>
      <c r="I1135" s="254" t="s">
        <v>1966</v>
      </c>
      <c r="J1135" s="176"/>
      <c r="K1135" s="254" t="s">
        <v>1940</v>
      </c>
      <c r="L1135" s="254" t="s">
        <v>1940</v>
      </c>
      <c r="M1135" s="176"/>
      <c r="N1135" s="176"/>
      <c r="O1135" s="255" t="s">
        <v>1913</v>
      </c>
    </row>
    <row r="1136" spans="1:15" ht="16.149999999999999" customHeight="1" x14ac:dyDescent="0.25">
      <c r="A1136" s="172">
        <v>41824</v>
      </c>
      <c r="B1136" s="173" t="s">
        <v>49</v>
      </c>
      <c r="C1136" s="252" t="s">
        <v>1941</v>
      </c>
      <c r="D1136" s="252" t="s">
        <v>1942</v>
      </c>
      <c r="E1136" s="252" t="s">
        <v>1947</v>
      </c>
      <c r="F1136" s="252" t="s">
        <v>1926</v>
      </c>
      <c r="G1136" s="252" t="s">
        <v>1935</v>
      </c>
      <c r="H1136" s="252" t="s">
        <v>1940</v>
      </c>
      <c r="I1136" s="252" t="s">
        <v>1953</v>
      </c>
      <c r="J1136" s="174"/>
      <c r="K1136" s="252" t="s">
        <v>1939</v>
      </c>
      <c r="L1136" s="252" t="s">
        <v>1939</v>
      </c>
      <c r="M1136" s="174"/>
      <c r="N1136" s="174"/>
      <c r="O1136" s="253" t="s">
        <v>1929</v>
      </c>
    </row>
    <row r="1137" spans="1:15" ht="16.149999999999999" customHeight="1" x14ac:dyDescent="0.25">
      <c r="A1137" s="172">
        <v>41823</v>
      </c>
      <c r="B1137" s="175" t="s">
        <v>49</v>
      </c>
      <c r="C1137" s="254" t="s">
        <v>1878</v>
      </c>
      <c r="D1137" s="254" t="s">
        <v>1965</v>
      </c>
      <c r="E1137" s="254" t="s">
        <v>1959</v>
      </c>
      <c r="F1137" s="254" t="s">
        <v>1946</v>
      </c>
      <c r="G1137" s="254" t="s">
        <v>1935</v>
      </c>
      <c r="H1137" s="254" t="s">
        <v>1934</v>
      </c>
      <c r="I1137" s="254" t="s">
        <v>1949</v>
      </c>
      <c r="J1137" s="176"/>
      <c r="K1137" s="254" t="s">
        <v>1934</v>
      </c>
      <c r="L1137" s="254" t="s">
        <v>1934</v>
      </c>
      <c r="M1137" s="176"/>
      <c r="N1137" s="176"/>
      <c r="O1137" s="255" t="s">
        <v>1926</v>
      </c>
    </row>
    <row r="1138" spans="1:15" ht="16.149999999999999" customHeight="1" x14ac:dyDescent="0.25">
      <c r="A1138" s="172">
        <v>41822</v>
      </c>
      <c r="B1138" s="173" t="s">
        <v>49</v>
      </c>
      <c r="C1138" s="252" t="s">
        <v>1967</v>
      </c>
      <c r="D1138" s="252" t="s">
        <v>1968</v>
      </c>
      <c r="E1138" s="252" t="s">
        <v>1939</v>
      </c>
      <c r="F1138" s="252" t="s">
        <v>1915</v>
      </c>
      <c r="G1138" s="252" t="s">
        <v>1947</v>
      </c>
      <c r="H1138" s="252" t="s">
        <v>1939</v>
      </c>
      <c r="I1138" s="252" t="s">
        <v>1949</v>
      </c>
      <c r="J1138" s="174"/>
      <c r="K1138" s="252" t="s">
        <v>1921</v>
      </c>
      <c r="L1138" s="252" t="s">
        <v>1934</v>
      </c>
      <c r="M1138" s="174"/>
      <c r="N1138" s="174"/>
      <c r="O1138" s="253" t="s">
        <v>1969</v>
      </c>
    </row>
    <row r="1139" spans="1:15" ht="16.149999999999999" customHeight="1" x14ac:dyDescent="0.25">
      <c r="A1139" s="172">
        <v>41821</v>
      </c>
      <c r="B1139" s="175" t="s">
        <v>49</v>
      </c>
      <c r="C1139" s="254" t="s">
        <v>1954</v>
      </c>
      <c r="D1139" s="254" t="s">
        <v>1955</v>
      </c>
      <c r="E1139" s="254" t="s">
        <v>1939</v>
      </c>
      <c r="F1139" s="254" t="s">
        <v>1970</v>
      </c>
      <c r="G1139" s="254" t="s">
        <v>1947</v>
      </c>
      <c r="H1139" s="254" t="s">
        <v>1939</v>
      </c>
      <c r="I1139" s="254" t="s">
        <v>1971</v>
      </c>
      <c r="J1139" s="176"/>
      <c r="K1139" s="254" t="s">
        <v>1915</v>
      </c>
      <c r="L1139" s="254" t="s">
        <v>1934</v>
      </c>
      <c r="M1139" s="176"/>
      <c r="N1139" s="176"/>
      <c r="O1139" s="255" t="s">
        <v>1966</v>
      </c>
    </row>
    <row r="1140" spans="1:15" ht="16.149999999999999" customHeight="1" x14ac:dyDescent="0.25">
      <c r="A1140" s="172">
        <v>41817</v>
      </c>
      <c r="B1140" s="173" t="s">
        <v>49</v>
      </c>
      <c r="C1140" s="252" t="s">
        <v>1972</v>
      </c>
      <c r="D1140" s="252" t="s">
        <v>1939</v>
      </c>
      <c r="E1140" s="252" t="s">
        <v>1939</v>
      </c>
      <c r="F1140" s="252" t="s">
        <v>1970</v>
      </c>
      <c r="G1140" s="252" t="s">
        <v>1934</v>
      </c>
      <c r="H1140" s="252" t="s">
        <v>1940</v>
      </c>
      <c r="I1140" s="252" t="s">
        <v>1973</v>
      </c>
      <c r="J1140" s="174"/>
      <c r="K1140" s="252" t="s">
        <v>1939</v>
      </c>
      <c r="L1140" s="252" t="s">
        <v>1939</v>
      </c>
      <c r="M1140" s="174"/>
      <c r="N1140" s="174"/>
      <c r="O1140" s="253" t="s">
        <v>1952</v>
      </c>
    </row>
    <row r="1141" spans="1:15" ht="16.149999999999999" customHeight="1" x14ac:dyDescent="0.25">
      <c r="A1141" s="172">
        <v>41816</v>
      </c>
      <c r="B1141" s="175" t="s">
        <v>49</v>
      </c>
      <c r="C1141" s="254" t="s">
        <v>1974</v>
      </c>
      <c r="D1141" s="254" t="s">
        <v>1975</v>
      </c>
      <c r="E1141" s="254" t="s">
        <v>1940</v>
      </c>
      <c r="F1141" s="254" t="s">
        <v>1921</v>
      </c>
      <c r="G1141" s="254" t="s">
        <v>1952</v>
      </c>
      <c r="H1141" s="254" t="s">
        <v>1937</v>
      </c>
      <c r="I1141" s="254" t="s">
        <v>1949</v>
      </c>
      <c r="J1141" s="176"/>
      <c r="K1141" s="254" t="s">
        <v>1934</v>
      </c>
      <c r="L1141" s="254" t="s">
        <v>1921</v>
      </c>
      <c r="M1141" s="176"/>
      <c r="N1141" s="176"/>
      <c r="O1141" s="255" t="s">
        <v>1976</v>
      </c>
    </row>
    <row r="1142" spans="1:15" ht="16.149999999999999" customHeight="1" x14ac:dyDescent="0.25">
      <c r="A1142" s="172">
        <v>41815</v>
      </c>
      <c r="B1142" s="173" t="s">
        <v>49</v>
      </c>
      <c r="C1142" s="252" t="s">
        <v>1977</v>
      </c>
      <c r="D1142" s="252" t="s">
        <v>1951</v>
      </c>
      <c r="E1142" s="252" t="s">
        <v>1937</v>
      </c>
      <c r="F1142" s="252" t="s">
        <v>1915</v>
      </c>
      <c r="G1142" s="252" t="s">
        <v>1978</v>
      </c>
      <c r="H1142" s="252" t="s">
        <v>1937</v>
      </c>
      <c r="I1142" s="252" t="s">
        <v>1979</v>
      </c>
      <c r="J1142" s="174"/>
      <c r="K1142" s="252" t="s">
        <v>1940</v>
      </c>
      <c r="L1142" s="252" t="s">
        <v>1939</v>
      </c>
      <c r="M1142" s="174"/>
      <c r="N1142" s="174"/>
      <c r="O1142" s="253" t="s">
        <v>1973</v>
      </c>
    </row>
    <row r="1143" spans="1:15" ht="16.149999999999999" customHeight="1" x14ac:dyDescent="0.25">
      <c r="A1143" s="172">
        <v>41814</v>
      </c>
      <c r="B1143" s="175" t="s">
        <v>49</v>
      </c>
      <c r="C1143" s="254" t="s">
        <v>1904</v>
      </c>
      <c r="D1143" s="254" t="s">
        <v>1980</v>
      </c>
      <c r="E1143" s="254" t="s">
        <v>1981</v>
      </c>
      <c r="F1143" s="254" t="s">
        <v>1778</v>
      </c>
      <c r="G1143" s="254" t="s">
        <v>1921</v>
      </c>
      <c r="H1143" s="254" t="s">
        <v>1939</v>
      </c>
      <c r="I1143" s="254" t="s">
        <v>1982</v>
      </c>
      <c r="J1143" s="176"/>
      <c r="K1143" s="254" t="s">
        <v>1981</v>
      </c>
      <c r="L1143" s="254" t="s">
        <v>1981</v>
      </c>
      <c r="M1143" s="176"/>
      <c r="N1143" s="176"/>
      <c r="O1143" s="255" t="s">
        <v>1973</v>
      </c>
    </row>
    <row r="1144" spans="1:15" ht="16.149999999999999" customHeight="1" x14ac:dyDescent="0.25">
      <c r="A1144" s="172">
        <v>41810</v>
      </c>
      <c r="B1144" s="173" t="s">
        <v>49</v>
      </c>
      <c r="C1144" s="252" t="s">
        <v>1896</v>
      </c>
      <c r="D1144" s="252" t="s">
        <v>1959</v>
      </c>
      <c r="E1144" s="252" t="s">
        <v>1933</v>
      </c>
      <c r="F1144" s="252" t="s">
        <v>1926</v>
      </c>
      <c r="G1144" s="252" t="s">
        <v>1964</v>
      </c>
      <c r="H1144" s="252" t="s">
        <v>1934</v>
      </c>
      <c r="I1144" s="252" t="s">
        <v>1983</v>
      </c>
      <c r="J1144" s="174"/>
      <c r="K1144" s="252" t="s">
        <v>1939</v>
      </c>
      <c r="L1144" s="252" t="s">
        <v>1934</v>
      </c>
      <c r="M1144" s="174"/>
      <c r="N1144" s="174"/>
      <c r="O1144" s="253" t="s">
        <v>1973</v>
      </c>
    </row>
    <row r="1145" spans="1:15" ht="16.149999999999999" customHeight="1" x14ac:dyDescent="0.25">
      <c r="A1145" s="172">
        <v>41809</v>
      </c>
      <c r="B1145" s="175" t="s">
        <v>49</v>
      </c>
      <c r="C1145" s="254" t="s">
        <v>1984</v>
      </c>
      <c r="D1145" s="254" t="s">
        <v>1985</v>
      </c>
      <c r="E1145" s="254" t="s">
        <v>1986</v>
      </c>
      <c r="F1145" s="254" t="s">
        <v>1921</v>
      </c>
      <c r="G1145" s="254" t="s">
        <v>1987</v>
      </c>
      <c r="H1145" s="254" t="s">
        <v>1937</v>
      </c>
      <c r="I1145" s="254" t="s">
        <v>1988</v>
      </c>
      <c r="J1145" s="176"/>
      <c r="K1145" s="254" t="s">
        <v>1940</v>
      </c>
      <c r="L1145" s="254" t="s">
        <v>1934</v>
      </c>
      <c r="M1145" s="176"/>
      <c r="N1145" s="176"/>
      <c r="O1145" s="255" t="s">
        <v>1989</v>
      </c>
    </row>
    <row r="1146" spans="1:15" ht="16.149999999999999" customHeight="1" x14ac:dyDescent="0.25">
      <c r="A1146" s="172">
        <v>41808</v>
      </c>
      <c r="B1146" s="173" t="s">
        <v>49</v>
      </c>
      <c r="C1146" s="252" t="s">
        <v>1990</v>
      </c>
      <c r="D1146" s="252" t="s">
        <v>1991</v>
      </c>
      <c r="E1146" s="252" t="s">
        <v>1992</v>
      </c>
      <c r="F1146" s="252" t="s">
        <v>1993</v>
      </c>
      <c r="G1146" s="252" t="s">
        <v>1994</v>
      </c>
      <c r="H1146" s="252" t="s">
        <v>1995</v>
      </c>
      <c r="I1146" s="252" t="s">
        <v>1996</v>
      </c>
      <c r="J1146" s="174"/>
      <c r="K1146" s="252" t="s">
        <v>1997</v>
      </c>
      <c r="L1146" s="252" t="s">
        <v>1995</v>
      </c>
      <c r="M1146" s="174"/>
      <c r="N1146" s="174"/>
      <c r="O1146" s="253" t="s">
        <v>1998</v>
      </c>
    </row>
    <row r="1147" spans="1:15" ht="16.149999999999999" customHeight="1" x14ac:dyDescent="0.25">
      <c r="A1147" s="172">
        <v>41807</v>
      </c>
      <c r="B1147" s="175" t="s">
        <v>49</v>
      </c>
      <c r="C1147" s="254" t="s">
        <v>1999</v>
      </c>
      <c r="D1147" s="254" t="s">
        <v>2000</v>
      </c>
      <c r="E1147" s="254" t="s">
        <v>2001</v>
      </c>
      <c r="F1147" s="254" t="s">
        <v>2002</v>
      </c>
      <c r="G1147" s="254" t="s">
        <v>2003</v>
      </c>
      <c r="H1147" s="254" t="s">
        <v>1987</v>
      </c>
      <c r="I1147" s="254" t="s">
        <v>2004</v>
      </c>
      <c r="J1147" s="176"/>
      <c r="K1147" s="254" t="s">
        <v>2005</v>
      </c>
      <c r="L1147" s="254" t="s">
        <v>1986</v>
      </c>
      <c r="M1147" s="176"/>
      <c r="N1147" s="176"/>
      <c r="O1147" s="255" t="s">
        <v>1998</v>
      </c>
    </row>
    <row r="1148" spans="1:15" ht="16.149999999999999" customHeight="1" x14ac:dyDescent="0.25">
      <c r="A1148" s="172">
        <v>41806</v>
      </c>
      <c r="B1148" s="173" t="s">
        <v>49</v>
      </c>
      <c r="C1148" s="252" t="s">
        <v>2006</v>
      </c>
      <c r="D1148" s="252" t="s">
        <v>2007</v>
      </c>
      <c r="E1148" s="252" t="s">
        <v>2008</v>
      </c>
      <c r="F1148" s="252" t="s">
        <v>2005</v>
      </c>
      <c r="G1148" s="252" t="s">
        <v>2009</v>
      </c>
      <c r="H1148" s="252" t="s">
        <v>2010</v>
      </c>
      <c r="I1148" s="252" t="s">
        <v>2011</v>
      </c>
      <c r="J1148" s="174"/>
      <c r="K1148" s="252" t="s">
        <v>2005</v>
      </c>
      <c r="L1148" s="252" t="s">
        <v>2001</v>
      </c>
      <c r="M1148" s="174"/>
      <c r="N1148" s="174"/>
      <c r="O1148" s="253" t="s">
        <v>2012</v>
      </c>
    </row>
    <row r="1149" spans="1:15" ht="16.149999999999999" customHeight="1" x14ac:dyDescent="0.25">
      <c r="A1149" s="172">
        <v>41803</v>
      </c>
      <c r="B1149" s="175" t="s">
        <v>49</v>
      </c>
      <c r="C1149" s="254" t="s">
        <v>2013</v>
      </c>
      <c r="D1149" s="254" t="s">
        <v>2014</v>
      </c>
      <c r="E1149" s="254" t="s">
        <v>2015</v>
      </c>
      <c r="F1149" s="254" t="s">
        <v>2010</v>
      </c>
      <c r="G1149" s="254" t="s">
        <v>2016</v>
      </c>
      <c r="H1149" s="254" t="s">
        <v>2010</v>
      </c>
      <c r="I1149" s="254" t="s">
        <v>2003</v>
      </c>
      <c r="J1149" s="176"/>
      <c r="K1149" s="254" t="s">
        <v>1994</v>
      </c>
      <c r="L1149" s="254" t="s">
        <v>2005</v>
      </c>
      <c r="M1149" s="176"/>
      <c r="N1149" s="176"/>
      <c r="O1149" s="255" t="s">
        <v>2017</v>
      </c>
    </row>
    <row r="1150" spans="1:15" ht="16.149999999999999" customHeight="1" x14ac:dyDescent="0.25">
      <c r="A1150" s="172">
        <v>41802</v>
      </c>
      <c r="B1150" s="173" t="s">
        <v>49</v>
      </c>
      <c r="C1150" s="252" t="s">
        <v>2018</v>
      </c>
      <c r="D1150" s="252" t="s">
        <v>2019</v>
      </c>
      <c r="E1150" s="252" t="s">
        <v>2020</v>
      </c>
      <c r="F1150" s="252" t="s">
        <v>2021</v>
      </c>
      <c r="G1150" s="252" t="s">
        <v>2016</v>
      </c>
      <c r="H1150" s="252" t="s">
        <v>2015</v>
      </c>
      <c r="I1150" s="252" t="s">
        <v>2003</v>
      </c>
      <c r="J1150" s="174"/>
      <c r="K1150" s="252" t="s">
        <v>2022</v>
      </c>
      <c r="L1150" s="252" t="s">
        <v>2008</v>
      </c>
      <c r="M1150" s="174"/>
      <c r="N1150" s="174"/>
      <c r="O1150" s="253" t="s">
        <v>2023</v>
      </c>
    </row>
    <row r="1151" spans="1:15" ht="16.149999999999999" customHeight="1" x14ac:dyDescent="0.25">
      <c r="A1151" s="172">
        <v>41801</v>
      </c>
      <c r="B1151" s="175" t="s">
        <v>49</v>
      </c>
      <c r="C1151" s="254" t="s">
        <v>2024</v>
      </c>
      <c r="D1151" s="254" t="s">
        <v>2025</v>
      </c>
      <c r="E1151" s="254" t="s">
        <v>2020</v>
      </c>
      <c r="F1151" s="254" t="s">
        <v>2025</v>
      </c>
      <c r="G1151" s="254" t="s">
        <v>2026</v>
      </c>
      <c r="H1151" s="254" t="s">
        <v>2016</v>
      </c>
      <c r="I1151" s="254" t="s">
        <v>2027</v>
      </c>
      <c r="J1151" s="176"/>
      <c r="K1151" s="254" t="s">
        <v>2022</v>
      </c>
      <c r="L1151" s="254" t="s">
        <v>2008</v>
      </c>
      <c r="M1151" s="176"/>
      <c r="N1151" s="176"/>
      <c r="O1151" s="255" t="s">
        <v>2028</v>
      </c>
    </row>
    <row r="1152" spans="1:15" ht="16.149999999999999" customHeight="1" x14ac:dyDescent="0.25">
      <c r="A1152" s="172">
        <v>41800</v>
      </c>
      <c r="B1152" s="173" t="s">
        <v>49</v>
      </c>
      <c r="C1152" s="252" t="s">
        <v>1991</v>
      </c>
      <c r="D1152" s="252" t="s">
        <v>2029</v>
      </c>
      <c r="E1152" s="252" t="s">
        <v>2020</v>
      </c>
      <c r="F1152" s="252" t="s">
        <v>2030</v>
      </c>
      <c r="G1152" s="252" t="s">
        <v>2031</v>
      </c>
      <c r="H1152" s="252" t="s">
        <v>2032</v>
      </c>
      <c r="I1152" s="252" t="s">
        <v>2029</v>
      </c>
      <c r="J1152" s="174"/>
      <c r="K1152" s="252" t="s">
        <v>2025</v>
      </c>
      <c r="L1152" s="252" t="s">
        <v>2009</v>
      </c>
      <c r="M1152" s="174"/>
      <c r="N1152" s="174"/>
      <c r="O1152" s="253" t="s">
        <v>2033</v>
      </c>
    </row>
    <row r="1153" spans="1:15" ht="16.149999999999999" customHeight="1" x14ac:dyDescent="0.25">
      <c r="A1153" s="172">
        <v>41799</v>
      </c>
      <c r="B1153" s="175" t="s">
        <v>49</v>
      </c>
      <c r="C1153" s="254" t="s">
        <v>2002</v>
      </c>
      <c r="D1153" s="254" t="s">
        <v>2026</v>
      </c>
      <c r="E1153" s="254" t="s">
        <v>2016</v>
      </c>
      <c r="F1153" s="254" t="s">
        <v>2030</v>
      </c>
      <c r="G1153" s="254" t="s">
        <v>2031</v>
      </c>
      <c r="H1153" s="254" t="s">
        <v>2034</v>
      </c>
      <c r="I1153" s="254" t="s">
        <v>2029</v>
      </c>
      <c r="J1153" s="176"/>
      <c r="K1153" s="254" t="s">
        <v>2009</v>
      </c>
      <c r="L1153" s="254" t="s">
        <v>2009</v>
      </c>
      <c r="M1153" s="176"/>
      <c r="N1153" s="176"/>
      <c r="O1153" s="255" t="s">
        <v>2035</v>
      </c>
    </row>
    <row r="1154" spans="1:15" ht="16.149999999999999" customHeight="1" x14ac:dyDescent="0.25">
      <c r="A1154" s="172">
        <v>41796</v>
      </c>
      <c r="B1154" s="173" t="s">
        <v>49</v>
      </c>
      <c r="C1154" s="252" t="s">
        <v>1994</v>
      </c>
      <c r="D1154" s="252" t="s">
        <v>2036</v>
      </c>
      <c r="E1154" s="252" t="s">
        <v>2037</v>
      </c>
      <c r="F1154" s="252" t="s">
        <v>2038</v>
      </c>
      <c r="G1154" s="252" t="s">
        <v>2031</v>
      </c>
      <c r="H1154" s="252" t="s">
        <v>2039</v>
      </c>
      <c r="I1154" s="252" t="s">
        <v>2040</v>
      </c>
      <c r="J1154" s="174"/>
      <c r="K1154" s="252" t="s">
        <v>2035</v>
      </c>
      <c r="L1154" s="252" t="s">
        <v>2034</v>
      </c>
      <c r="M1154" s="174"/>
      <c r="N1154" s="174"/>
      <c r="O1154" s="253" t="s">
        <v>2035</v>
      </c>
    </row>
    <row r="1155" spans="1:15" ht="16.149999999999999" customHeight="1" x14ac:dyDescent="0.25">
      <c r="A1155" s="172">
        <v>41795</v>
      </c>
      <c r="B1155" s="175" t="s">
        <v>49</v>
      </c>
      <c r="C1155" s="254" t="s">
        <v>2041</v>
      </c>
      <c r="D1155" s="254" t="s">
        <v>2042</v>
      </c>
      <c r="E1155" s="254" t="s">
        <v>2043</v>
      </c>
      <c r="F1155" s="254" t="s">
        <v>2044</v>
      </c>
      <c r="G1155" s="254" t="s">
        <v>2045</v>
      </c>
      <c r="H1155" s="254" t="s">
        <v>2046</v>
      </c>
      <c r="I1155" s="254" t="s">
        <v>2027</v>
      </c>
      <c r="J1155" s="176"/>
      <c r="K1155" s="254" t="s">
        <v>2047</v>
      </c>
      <c r="L1155" s="254" t="s">
        <v>2048</v>
      </c>
      <c r="M1155" s="176"/>
      <c r="N1155" s="176"/>
      <c r="O1155" s="255" t="s">
        <v>2049</v>
      </c>
    </row>
    <row r="1156" spans="1:15" ht="16.149999999999999" customHeight="1" x14ac:dyDescent="0.25">
      <c r="A1156" s="172">
        <v>41794</v>
      </c>
      <c r="B1156" s="173" t="s">
        <v>49</v>
      </c>
      <c r="C1156" s="252" t="s">
        <v>2020</v>
      </c>
      <c r="D1156" s="252" t="s">
        <v>2047</v>
      </c>
      <c r="E1156" s="252" t="s">
        <v>2043</v>
      </c>
      <c r="F1156" s="252" t="s">
        <v>2020</v>
      </c>
      <c r="G1156" s="252" t="s">
        <v>2045</v>
      </c>
      <c r="H1156" s="252" t="s">
        <v>2050</v>
      </c>
      <c r="I1156" s="252" t="s">
        <v>2051</v>
      </c>
      <c r="J1156" s="174"/>
      <c r="K1156" s="252" t="s">
        <v>2047</v>
      </c>
      <c r="L1156" s="252" t="s">
        <v>2039</v>
      </c>
      <c r="M1156" s="174"/>
      <c r="N1156" s="174"/>
      <c r="O1156" s="253" t="s">
        <v>2047</v>
      </c>
    </row>
    <row r="1157" spans="1:15" ht="16.149999999999999" customHeight="1" x14ac:dyDescent="0.25">
      <c r="A1157" s="172">
        <v>41793</v>
      </c>
      <c r="B1157" s="175" t="s">
        <v>49</v>
      </c>
      <c r="C1157" s="254" t="s">
        <v>2026</v>
      </c>
      <c r="D1157" s="254" t="s">
        <v>2052</v>
      </c>
      <c r="E1157" s="254" t="s">
        <v>2050</v>
      </c>
      <c r="F1157" s="254" t="s">
        <v>2010</v>
      </c>
      <c r="G1157" s="254" t="s">
        <v>2045</v>
      </c>
      <c r="H1157" s="254" t="s">
        <v>2053</v>
      </c>
      <c r="I1157" s="254" t="s">
        <v>2001</v>
      </c>
      <c r="J1157" s="176"/>
      <c r="K1157" s="254" t="s">
        <v>2054</v>
      </c>
      <c r="L1157" s="254" t="s">
        <v>2046</v>
      </c>
      <c r="M1157" s="176"/>
      <c r="N1157" s="176"/>
      <c r="O1157" s="255" t="s">
        <v>2047</v>
      </c>
    </row>
    <row r="1158" spans="1:15" ht="16.149999999999999" customHeight="1" x14ac:dyDescent="0.25">
      <c r="A1158" s="172">
        <v>41789</v>
      </c>
      <c r="B1158" s="173" t="s">
        <v>49</v>
      </c>
      <c r="C1158" s="252" t="s">
        <v>2055</v>
      </c>
      <c r="D1158" s="252" t="s">
        <v>2056</v>
      </c>
      <c r="E1158" s="252" t="s">
        <v>2057</v>
      </c>
      <c r="F1158" s="252" t="s">
        <v>2050</v>
      </c>
      <c r="G1158" s="252" t="s">
        <v>2058</v>
      </c>
      <c r="H1158" s="252" t="s">
        <v>2059</v>
      </c>
      <c r="I1158" s="252" t="s">
        <v>2060</v>
      </c>
      <c r="J1158" s="174"/>
      <c r="K1158" s="252" t="s">
        <v>2053</v>
      </c>
      <c r="L1158" s="252" t="s">
        <v>2061</v>
      </c>
      <c r="M1158" s="174"/>
      <c r="N1158" s="174"/>
      <c r="O1158" s="253" t="s">
        <v>2062</v>
      </c>
    </row>
    <row r="1159" spans="1:15" ht="16.149999999999999" customHeight="1" x14ac:dyDescent="0.25">
      <c r="A1159" s="172">
        <v>41788</v>
      </c>
      <c r="B1159" s="175" t="s">
        <v>49</v>
      </c>
      <c r="C1159" s="254" t="s">
        <v>2063</v>
      </c>
      <c r="D1159" s="254" t="s">
        <v>2058</v>
      </c>
      <c r="E1159" s="254" t="s">
        <v>2064</v>
      </c>
      <c r="F1159" s="254" t="s">
        <v>2065</v>
      </c>
      <c r="G1159" s="254" t="s">
        <v>2059</v>
      </c>
      <c r="H1159" s="254" t="s">
        <v>2066</v>
      </c>
      <c r="I1159" s="254" t="s">
        <v>2067</v>
      </c>
      <c r="J1159" s="176"/>
      <c r="K1159" s="254" t="s">
        <v>2068</v>
      </c>
      <c r="L1159" s="254" t="s">
        <v>2069</v>
      </c>
      <c r="M1159" s="176"/>
      <c r="N1159" s="176"/>
      <c r="O1159" s="255" t="s">
        <v>2059</v>
      </c>
    </row>
    <row r="1160" spans="1:15" ht="16.149999999999999" customHeight="1" x14ac:dyDescent="0.25">
      <c r="A1160" s="172">
        <v>41787</v>
      </c>
      <c r="B1160" s="173" t="s">
        <v>49</v>
      </c>
      <c r="C1160" s="252" t="s">
        <v>2070</v>
      </c>
      <c r="D1160" s="252" t="s">
        <v>2071</v>
      </c>
      <c r="E1160" s="252" t="s">
        <v>2068</v>
      </c>
      <c r="F1160" s="252" t="s">
        <v>2050</v>
      </c>
      <c r="G1160" s="252" t="s">
        <v>2048</v>
      </c>
      <c r="H1160" s="252" t="s">
        <v>2066</v>
      </c>
      <c r="I1160" s="252" t="s">
        <v>2072</v>
      </c>
      <c r="J1160" s="174"/>
      <c r="K1160" s="252" t="s">
        <v>2073</v>
      </c>
      <c r="L1160" s="252" t="s">
        <v>2068</v>
      </c>
      <c r="M1160" s="174"/>
      <c r="N1160" s="174"/>
      <c r="O1160" s="253" t="s">
        <v>2062</v>
      </c>
    </row>
    <row r="1161" spans="1:15" ht="16.149999999999999" customHeight="1" x14ac:dyDescent="0.25">
      <c r="A1161" s="172">
        <v>41786</v>
      </c>
      <c r="B1161" s="175" t="s">
        <v>49</v>
      </c>
      <c r="C1161" s="254" t="s">
        <v>2074</v>
      </c>
      <c r="D1161" s="254" t="s">
        <v>2073</v>
      </c>
      <c r="E1161" s="254" t="s">
        <v>2075</v>
      </c>
      <c r="F1161" s="254" t="s">
        <v>2046</v>
      </c>
      <c r="G1161" s="254" t="s">
        <v>2046</v>
      </c>
      <c r="H1161" s="254" t="s">
        <v>2066</v>
      </c>
      <c r="I1161" s="254" t="s">
        <v>2076</v>
      </c>
      <c r="J1161" s="176"/>
      <c r="K1161" s="254" t="s">
        <v>2069</v>
      </c>
      <c r="L1161" s="254" t="s">
        <v>2068</v>
      </c>
      <c r="M1161" s="176"/>
      <c r="N1161" s="176"/>
      <c r="O1161" s="255" t="s">
        <v>2062</v>
      </c>
    </row>
    <row r="1162" spans="1:15" ht="16.149999999999999" customHeight="1" x14ac:dyDescent="0.25">
      <c r="A1162" s="172">
        <v>41785</v>
      </c>
      <c r="B1162" s="173" t="s">
        <v>49</v>
      </c>
      <c r="C1162" s="252" t="s">
        <v>2077</v>
      </c>
      <c r="D1162" s="252" t="s">
        <v>2069</v>
      </c>
      <c r="E1162" s="252" t="s">
        <v>2069</v>
      </c>
      <c r="F1162" s="252" t="s">
        <v>2050</v>
      </c>
      <c r="G1162" s="252" t="s">
        <v>2052</v>
      </c>
      <c r="H1162" s="252" t="s">
        <v>2066</v>
      </c>
      <c r="I1162" s="252" t="s">
        <v>2078</v>
      </c>
      <c r="J1162" s="174"/>
      <c r="K1162" s="252" t="s">
        <v>2069</v>
      </c>
      <c r="L1162" s="252" t="s">
        <v>2068</v>
      </c>
      <c r="M1162" s="174"/>
      <c r="N1162" s="174"/>
      <c r="O1162" s="253" t="s">
        <v>2062</v>
      </c>
    </row>
    <row r="1163" spans="1:15" ht="16.149999999999999" customHeight="1" x14ac:dyDescent="0.25">
      <c r="A1163" s="172">
        <v>41782</v>
      </c>
      <c r="B1163" s="175" t="s">
        <v>49</v>
      </c>
      <c r="C1163" s="254" t="s">
        <v>2079</v>
      </c>
      <c r="D1163" s="254" t="s">
        <v>2059</v>
      </c>
      <c r="E1163" s="254" t="s">
        <v>2080</v>
      </c>
      <c r="F1163" s="254" t="s">
        <v>2050</v>
      </c>
      <c r="G1163" s="254" t="s">
        <v>2058</v>
      </c>
      <c r="H1163" s="254" t="s">
        <v>2062</v>
      </c>
      <c r="I1163" s="254" t="s">
        <v>2081</v>
      </c>
      <c r="J1163" s="176"/>
      <c r="K1163" s="254" t="s">
        <v>2059</v>
      </c>
      <c r="L1163" s="254" t="s">
        <v>2059</v>
      </c>
      <c r="M1163" s="176"/>
      <c r="N1163" s="176"/>
      <c r="O1163" s="255" t="s">
        <v>2053</v>
      </c>
    </row>
    <row r="1164" spans="1:15" ht="16.149999999999999" customHeight="1" x14ac:dyDescent="0.25">
      <c r="A1164" s="172">
        <v>41781</v>
      </c>
      <c r="B1164" s="173" t="s">
        <v>49</v>
      </c>
      <c r="C1164" s="252" t="s">
        <v>2082</v>
      </c>
      <c r="D1164" s="252" t="s">
        <v>2083</v>
      </c>
      <c r="E1164" s="252" t="s">
        <v>2084</v>
      </c>
      <c r="F1164" s="252" t="s">
        <v>2046</v>
      </c>
      <c r="G1164" s="252" t="s">
        <v>2083</v>
      </c>
      <c r="H1164" s="252" t="s">
        <v>2068</v>
      </c>
      <c r="I1164" s="252" t="s">
        <v>2085</v>
      </c>
      <c r="J1164" s="174"/>
      <c r="K1164" s="252" t="s">
        <v>1493</v>
      </c>
      <c r="L1164" s="252" t="s">
        <v>2059</v>
      </c>
      <c r="M1164" s="174"/>
      <c r="N1164" s="174"/>
      <c r="O1164" s="253" t="s">
        <v>2062</v>
      </c>
    </row>
    <row r="1165" spans="1:15" ht="16.149999999999999" customHeight="1" x14ac:dyDescent="0.25">
      <c r="A1165" s="172">
        <v>41780</v>
      </c>
      <c r="B1165" s="175" t="s">
        <v>49</v>
      </c>
      <c r="C1165" s="254" t="s">
        <v>2077</v>
      </c>
      <c r="D1165" s="254" t="s">
        <v>2069</v>
      </c>
      <c r="E1165" s="254" t="s">
        <v>2068</v>
      </c>
      <c r="F1165" s="254" t="s">
        <v>2054</v>
      </c>
      <c r="G1165" s="254" t="s">
        <v>2059</v>
      </c>
      <c r="H1165" s="254" t="s">
        <v>2068</v>
      </c>
      <c r="I1165" s="254" t="s">
        <v>2086</v>
      </c>
      <c r="J1165" s="176"/>
      <c r="K1165" s="254" t="s">
        <v>2068</v>
      </c>
      <c r="L1165" s="254" t="s">
        <v>2068</v>
      </c>
      <c r="M1165" s="176"/>
      <c r="N1165" s="176"/>
      <c r="O1165" s="255" t="s">
        <v>2065</v>
      </c>
    </row>
    <row r="1166" spans="1:15" ht="16.149999999999999" customHeight="1" x14ac:dyDescent="0.25">
      <c r="A1166" s="172">
        <v>41779</v>
      </c>
      <c r="B1166" s="173" t="s">
        <v>49</v>
      </c>
      <c r="C1166" s="252" t="s">
        <v>2087</v>
      </c>
      <c r="D1166" s="252" t="s">
        <v>2088</v>
      </c>
      <c r="E1166" s="252" t="s">
        <v>2089</v>
      </c>
      <c r="F1166" s="252" t="s">
        <v>2054</v>
      </c>
      <c r="G1166" s="252" t="s">
        <v>2048</v>
      </c>
      <c r="H1166" s="252" t="s">
        <v>2059</v>
      </c>
      <c r="I1166" s="252" t="s">
        <v>2085</v>
      </c>
      <c r="J1166" s="174"/>
      <c r="K1166" s="252" t="s">
        <v>2061</v>
      </c>
      <c r="L1166" s="252" t="s">
        <v>2061</v>
      </c>
      <c r="M1166" s="174"/>
      <c r="N1166" s="174"/>
      <c r="O1166" s="253" t="s">
        <v>2090</v>
      </c>
    </row>
    <row r="1167" spans="1:15" ht="16.149999999999999" customHeight="1" x14ac:dyDescent="0.25">
      <c r="A1167" s="172">
        <v>41778</v>
      </c>
      <c r="B1167" s="175" t="s">
        <v>49</v>
      </c>
      <c r="C1167" s="254" t="s">
        <v>2091</v>
      </c>
      <c r="D1167" s="254" t="s">
        <v>2065</v>
      </c>
      <c r="E1167" s="254" t="s">
        <v>2061</v>
      </c>
      <c r="F1167" s="254" t="s">
        <v>2046</v>
      </c>
      <c r="G1167" s="254" t="s">
        <v>2067</v>
      </c>
      <c r="H1167" s="254" t="s">
        <v>2053</v>
      </c>
      <c r="I1167" s="254" t="s">
        <v>2086</v>
      </c>
      <c r="J1167" s="176"/>
      <c r="K1167" s="254" t="s">
        <v>2050</v>
      </c>
      <c r="L1167" s="254" t="s">
        <v>2050</v>
      </c>
      <c r="M1167" s="176"/>
      <c r="N1167" s="176"/>
      <c r="O1167" s="255" t="s">
        <v>2048</v>
      </c>
    </row>
    <row r="1168" spans="1:15" ht="16.149999999999999" customHeight="1" x14ac:dyDescent="0.25">
      <c r="A1168" s="172">
        <v>41775</v>
      </c>
      <c r="B1168" s="173" t="s">
        <v>49</v>
      </c>
      <c r="C1168" s="252" t="s">
        <v>2036</v>
      </c>
      <c r="D1168" s="252" t="s">
        <v>2050</v>
      </c>
      <c r="E1168" s="252" t="s">
        <v>2069</v>
      </c>
      <c r="F1168" s="252" t="s">
        <v>2046</v>
      </c>
      <c r="G1168" s="252" t="s">
        <v>2061</v>
      </c>
      <c r="H1168" s="252" t="s">
        <v>2068</v>
      </c>
      <c r="I1168" s="252" t="s">
        <v>2051</v>
      </c>
      <c r="J1168" s="174"/>
      <c r="K1168" s="252" t="s">
        <v>2050</v>
      </c>
      <c r="L1168" s="252" t="s">
        <v>2050</v>
      </c>
      <c r="M1168" s="174"/>
      <c r="N1168" s="174"/>
      <c r="O1168" s="253" t="s">
        <v>2092</v>
      </c>
    </row>
    <row r="1169" spans="1:15" ht="16.149999999999999" customHeight="1" x14ac:dyDescent="0.25">
      <c r="A1169" s="172">
        <v>41774</v>
      </c>
      <c r="B1169" s="175" t="s">
        <v>49</v>
      </c>
      <c r="C1169" s="254" t="s">
        <v>2036</v>
      </c>
      <c r="D1169" s="254" t="s">
        <v>2050</v>
      </c>
      <c r="E1169" s="254" t="s">
        <v>2068</v>
      </c>
      <c r="F1169" s="254" t="s">
        <v>2046</v>
      </c>
      <c r="G1169" s="254" t="s">
        <v>2053</v>
      </c>
      <c r="H1169" s="254" t="s">
        <v>2062</v>
      </c>
      <c r="I1169" s="254" t="s">
        <v>2093</v>
      </c>
      <c r="J1169" s="176"/>
      <c r="K1169" s="254" t="s">
        <v>2050</v>
      </c>
      <c r="L1169" s="254" t="s">
        <v>2050</v>
      </c>
      <c r="M1169" s="176"/>
      <c r="N1169" s="176"/>
      <c r="O1169" s="255" t="s">
        <v>2094</v>
      </c>
    </row>
    <row r="1170" spans="1:15" ht="16.149999999999999" customHeight="1" x14ac:dyDescent="0.25">
      <c r="A1170" s="172">
        <v>41773</v>
      </c>
      <c r="B1170" s="173" t="s">
        <v>49</v>
      </c>
      <c r="C1170" s="252" t="s">
        <v>2049</v>
      </c>
      <c r="D1170" s="252" t="s">
        <v>2095</v>
      </c>
      <c r="E1170" s="252" t="s">
        <v>2062</v>
      </c>
      <c r="F1170" s="252" t="s">
        <v>2096</v>
      </c>
      <c r="G1170" s="252" t="s">
        <v>2097</v>
      </c>
      <c r="H1170" s="252" t="s">
        <v>2098</v>
      </c>
      <c r="I1170" s="252" t="s">
        <v>2099</v>
      </c>
      <c r="J1170" s="174"/>
      <c r="K1170" s="252" t="s">
        <v>2069</v>
      </c>
      <c r="L1170" s="252" t="s">
        <v>2069</v>
      </c>
      <c r="M1170" s="174"/>
      <c r="N1170" s="174"/>
      <c r="O1170" s="253" t="s">
        <v>2094</v>
      </c>
    </row>
    <row r="1171" spans="1:15" ht="16.149999999999999" customHeight="1" x14ac:dyDescent="0.25">
      <c r="A1171" s="172">
        <v>41772</v>
      </c>
      <c r="B1171" s="175" t="s">
        <v>49</v>
      </c>
      <c r="C1171" s="254" t="s">
        <v>2100</v>
      </c>
      <c r="D1171" s="254" t="s">
        <v>2068</v>
      </c>
      <c r="E1171" s="254" t="s">
        <v>2084</v>
      </c>
      <c r="F1171" s="254" t="s">
        <v>2068</v>
      </c>
      <c r="G1171" s="254" t="s">
        <v>2058</v>
      </c>
      <c r="H1171" s="254" t="s">
        <v>2101</v>
      </c>
      <c r="I1171" s="254" t="s">
        <v>2099</v>
      </c>
      <c r="J1171" s="176"/>
      <c r="K1171" s="254" t="s">
        <v>2068</v>
      </c>
      <c r="L1171" s="254" t="s">
        <v>2068</v>
      </c>
      <c r="M1171" s="176"/>
      <c r="N1171" s="176"/>
      <c r="O1171" s="255" t="s">
        <v>2102</v>
      </c>
    </row>
    <row r="1172" spans="1:15" ht="16.149999999999999" customHeight="1" x14ac:dyDescent="0.25">
      <c r="A1172" s="172">
        <v>41771</v>
      </c>
      <c r="B1172" s="173" t="s">
        <v>49</v>
      </c>
      <c r="C1172" s="252" t="s">
        <v>2103</v>
      </c>
      <c r="D1172" s="252" t="s">
        <v>2104</v>
      </c>
      <c r="E1172" s="252" t="s">
        <v>2105</v>
      </c>
      <c r="F1172" s="252" t="s">
        <v>2068</v>
      </c>
      <c r="G1172" s="252" t="s">
        <v>2069</v>
      </c>
      <c r="H1172" s="252" t="s">
        <v>2106</v>
      </c>
      <c r="I1172" s="252" t="s">
        <v>2107</v>
      </c>
      <c r="J1172" s="174"/>
      <c r="K1172" s="252" t="s">
        <v>2101</v>
      </c>
      <c r="L1172" s="252" t="s">
        <v>2062</v>
      </c>
      <c r="M1172" s="174"/>
      <c r="N1172" s="174"/>
      <c r="O1172" s="253" t="s">
        <v>2064</v>
      </c>
    </row>
    <row r="1173" spans="1:15" ht="16.149999999999999" customHeight="1" x14ac:dyDescent="0.25">
      <c r="A1173" s="172">
        <v>41768</v>
      </c>
      <c r="B1173" s="175" t="s">
        <v>49</v>
      </c>
      <c r="C1173" s="254" t="s">
        <v>2088</v>
      </c>
      <c r="D1173" s="254" t="s">
        <v>2108</v>
      </c>
      <c r="E1173" s="254" t="s">
        <v>2109</v>
      </c>
      <c r="F1173" s="254" t="s">
        <v>2106</v>
      </c>
      <c r="G1173" s="254" t="s">
        <v>2102</v>
      </c>
      <c r="H1173" s="254" t="s">
        <v>2110</v>
      </c>
      <c r="I1173" s="254" t="s">
        <v>2111</v>
      </c>
      <c r="J1173" s="176"/>
      <c r="K1173" s="254" t="s">
        <v>2112</v>
      </c>
      <c r="L1173" s="254" t="s">
        <v>2112</v>
      </c>
      <c r="M1173" s="176"/>
      <c r="N1173" s="176"/>
      <c r="O1173" s="255" t="s">
        <v>2113</v>
      </c>
    </row>
    <row r="1174" spans="1:15" ht="16.149999999999999" customHeight="1" x14ac:dyDescent="0.25">
      <c r="A1174" s="172">
        <v>41767</v>
      </c>
      <c r="B1174" s="173" t="s">
        <v>49</v>
      </c>
      <c r="C1174" s="252" t="s">
        <v>2065</v>
      </c>
      <c r="D1174" s="252" t="s">
        <v>2114</v>
      </c>
      <c r="E1174" s="252" t="s">
        <v>2115</v>
      </c>
      <c r="F1174" s="252" t="s">
        <v>2106</v>
      </c>
      <c r="G1174" s="252" t="s">
        <v>2116</v>
      </c>
      <c r="H1174" s="252" t="s">
        <v>2117</v>
      </c>
      <c r="I1174" s="252" t="s">
        <v>2118</v>
      </c>
      <c r="J1174" s="174"/>
      <c r="K1174" s="252" t="s">
        <v>2112</v>
      </c>
      <c r="L1174" s="252" t="s">
        <v>2105</v>
      </c>
      <c r="M1174" s="174"/>
      <c r="N1174" s="174"/>
      <c r="O1174" s="253" t="s">
        <v>2112</v>
      </c>
    </row>
    <row r="1175" spans="1:15" ht="16.149999999999999" customHeight="1" x14ac:dyDescent="0.25">
      <c r="A1175" s="172">
        <v>41766</v>
      </c>
      <c r="B1175" s="175" t="s">
        <v>49</v>
      </c>
      <c r="C1175" s="254" t="s">
        <v>2119</v>
      </c>
      <c r="D1175" s="254" t="s">
        <v>2112</v>
      </c>
      <c r="E1175" s="254" t="s">
        <v>2120</v>
      </c>
      <c r="F1175" s="254" t="s">
        <v>2066</v>
      </c>
      <c r="G1175" s="254" t="s">
        <v>2121</v>
      </c>
      <c r="H1175" s="254" t="s">
        <v>2117</v>
      </c>
      <c r="I1175" s="254" t="s">
        <v>2107</v>
      </c>
      <c r="J1175" s="176"/>
      <c r="K1175" s="254" t="s">
        <v>2112</v>
      </c>
      <c r="L1175" s="254" t="s">
        <v>2122</v>
      </c>
      <c r="M1175" s="176"/>
      <c r="N1175" s="176"/>
      <c r="O1175" s="255" t="s">
        <v>2112</v>
      </c>
    </row>
    <row r="1176" spans="1:15" ht="16.149999999999999" customHeight="1" x14ac:dyDescent="0.25">
      <c r="A1176" s="172">
        <v>41765</v>
      </c>
      <c r="B1176" s="173" t="s">
        <v>49</v>
      </c>
      <c r="C1176" s="252" t="s">
        <v>2095</v>
      </c>
      <c r="D1176" s="252" t="s">
        <v>2123</v>
      </c>
      <c r="E1176" s="252" t="s">
        <v>2124</v>
      </c>
      <c r="F1176" s="252" t="s">
        <v>2117</v>
      </c>
      <c r="G1176" s="252" t="s">
        <v>2121</v>
      </c>
      <c r="H1176" s="252" t="s">
        <v>2125</v>
      </c>
      <c r="I1176" s="252" t="s">
        <v>2126</v>
      </c>
      <c r="J1176" s="174"/>
      <c r="K1176" s="252" t="s">
        <v>2105</v>
      </c>
      <c r="L1176" s="252" t="s">
        <v>2101</v>
      </c>
      <c r="M1176" s="174"/>
      <c r="N1176" s="174"/>
      <c r="O1176" s="253" t="s">
        <v>2127</v>
      </c>
    </row>
    <row r="1177" spans="1:15" ht="16.149999999999999" customHeight="1" x14ac:dyDescent="0.25">
      <c r="A1177" s="172">
        <v>41764</v>
      </c>
      <c r="B1177" s="175" t="s">
        <v>49</v>
      </c>
      <c r="C1177" s="254" t="s">
        <v>2128</v>
      </c>
      <c r="D1177" s="254" t="s">
        <v>2129</v>
      </c>
      <c r="E1177" s="254" t="s">
        <v>2130</v>
      </c>
      <c r="F1177" s="254" t="s">
        <v>2127</v>
      </c>
      <c r="G1177" s="254" t="s">
        <v>2131</v>
      </c>
      <c r="H1177" s="254" t="s">
        <v>2132</v>
      </c>
      <c r="I1177" s="254" t="s">
        <v>2126</v>
      </c>
      <c r="J1177" s="176"/>
      <c r="K1177" s="254" t="s">
        <v>2133</v>
      </c>
      <c r="L1177" s="254" t="s">
        <v>2134</v>
      </c>
      <c r="M1177" s="176"/>
      <c r="N1177" s="176"/>
      <c r="O1177" s="255" t="s">
        <v>2135</v>
      </c>
    </row>
    <row r="1178" spans="1:15" ht="16.149999999999999" customHeight="1" x14ac:dyDescent="0.25">
      <c r="A1178" s="172">
        <v>41761</v>
      </c>
      <c r="B1178" s="173" t="s">
        <v>49</v>
      </c>
      <c r="C1178" s="252" t="s">
        <v>2136</v>
      </c>
      <c r="D1178" s="252" t="s">
        <v>2131</v>
      </c>
      <c r="E1178" s="252" t="s">
        <v>2137</v>
      </c>
      <c r="F1178" s="252" t="s">
        <v>2138</v>
      </c>
      <c r="G1178" s="252" t="s">
        <v>2117</v>
      </c>
      <c r="H1178" s="252" t="s">
        <v>2132</v>
      </c>
      <c r="I1178" s="252" t="s">
        <v>2135</v>
      </c>
      <c r="J1178" s="174"/>
      <c r="K1178" s="252" t="s">
        <v>2139</v>
      </c>
      <c r="L1178" s="252" t="s">
        <v>2139</v>
      </c>
      <c r="M1178" s="174"/>
      <c r="N1178" s="174"/>
      <c r="O1178" s="253" t="s">
        <v>2138</v>
      </c>
    </row>
    <row r="1179" spans="1:15" ht="16.149999999999999" customHeight="1" x14ac:dyDescent="0.25">
      <c r="A1179" s="172">
        <v>41759</v>
      </c>
      <c r="B1179" s="175" t="s">
        <v>49</v>
      </c>
      <c r="C1179" s="254" t="s">
        <v>2140</v>
      </c>
      <c r="D1179" s="254" t="s">
        <v>2141</v>
      </c>
      <c r="E1179" s="254" t="s">
        <v>2137</v>
      </c>
      <c r="F1179" s="254" t="s">
        <v>2117</v>
      </c>
      <c r="G1179" s="254" t="s">
        <v>2142</v>
      </c>
      <c r="H1179" s="254" t="s">
        <v>2143</v>
      </c>
      <c r="I1179" s="254" t="s">
        <v>2126</v>
      </c>
      <c r="J1179" s="176"/>
      <c r="K1179" s="254" t="s">
        <v>2144</v>
      </c>
      <c r="L1179" s="254" t="s">
        <v>2134</v>
      </c>
      <c r="M1179" s="176"/>
      <c r="N1179" s="176"/>
      <c r="O1179" s="255" t="s">
        <v>2142</v>
      </c>
    </row>
    <row r="1180" spans="1:15" ht="16.149999999999999" customHeight="1" x14ac:dyDescent="0.25">
      <c r="A1180" s="172">
        <v>41758</v>
      </c>
      <c r="B1180" s="173" t="s">
        <v>49</v>
      </c>
      <c r="C1180" s="252" t="s">
        <v>2145</v>
      </c>
      <c r="D1180" s="252" t="s">
        <v>2137</v>
      </c>
      <c r="E1180" s="252" t="s">
        <v>2144</v>
      </c>
      <c r="F1180" s="252" t="s">
        <v>2117</v>
      </c>
      <c r="G1180" s="252" t="s">
        <v>2146</v>
      </c>
      <c r="H1180" s="252" t="s">
        <v>2147</v>
      </c>
      <c r="I1180" s="252" t="s">
        <v>2107</v>
      </c>
      <c r="J1180" s="174"/>
      <c r="K1180" s="252" t="s">
        <v>2134</v>
      </c>
      <c r="L1180" s="252" t="s">
        <v>2134</v>
      </c>
      <c r="M1180" s="174"/>
      <c r="N1180" s="174"/>
      <c r="O1180" s="253" t="s">
        <v>2130</v>
      </c>
    </row>
    <row r="1181" spans="1:15" ht="16.149999999999999" customHeight="1" x14ac:dyDescent="0.25">
      <c r="A1181" s="172">
        <v>41757</v>
      </c>
      <c r="B1181" s="175" t="s">
        <v>49</v>
      </c>
      <c r="C1181" s="254" t="s">
        <v>2148</v>
      </c>
      <c r="D1181" s="254" t="s">
        <v>2133</v>
      </c>
      <c r="E1181" s="254" t="s">
        <v>2133</v>
      </c>
      <c r="F1181" s="254" t="s">
        <v>2035</v>
      </c>
      <c r="G1181" s="254" t="s">
        <v>2149</v>
      </c>
      <c r="H1181" s="254" t="s">
        <v>2132</v>
      </c>
      <c r="I1181" s="254" t="s">
        <v>2150</v>
      </c>
      <c r="J1181" s="176"/>
      <c r="K1181" s="254" t="s">
        <v>2117</v>
      </c>
      <c r="L1181" s="254" t="s">
        <v>2147</v>
      </c>
      <c r="M1181" s="176"/>
      <c r="N1181" s="176"/>
      <c r="O1181" s="255" t="s">
        <v>2133</v>
      </c>
    </row>
    <row r="1182" spans="1:15" ht="16.149999999999999" customHeight="1" x14ac:dyDescent="0.25">
      <c r="A1182" s="172">
        <v>41754</v>
      </c>
      <c r="B1182" s="173" t="s">
        <v>49</v>
      </c>
      <c r="C1182" s="252" t="s">
        <v>2151</v>
      </c>
      <c r="D1182" s="252" t="s">
        <v>2152</v>
      </c>
      <c r="E1182" s="252" t="s">
        <v>2153</v>
      </c>
      <c r="F1182" s="252" t="s">
        <v>2154</v>
      </c>
      <c r="G1182" s="252" t="s">
        <v>2155</v>
      </c>
      <c r="H1182" s="252" t="s">
        <v>2156</v>
      </c>
      <c r="I1182" s="252" t="s">
        <v>2157</v>
      </c>
      <c r="J1182" s="174"/>
      <c r="K1182" s="252" t="s">
        <v>2158</v>
      </c>
      <c r="L1182" s="252" t="s">
        <v>2159</v>
      </c>
      <c r="M1182" s="174"/>
      <c r="N1182" s="174"/>
      <c r="O1182" s="253" t="s">
        <v>2160</v>
      </c>
    </row>
    <row r="1183" spans="1:15" ht="16.149999999999999" customHeight="1" x14ac:dyDescent="0.25">
      <c r="A1183" s="172">
        <v>41753</v>
      </c>
      <c r="B1183" s="175" t="s">
        <v>49</v>
      </c>
      <c r="C1183" s="254" t="s">
        <v>2161</v>
      </c>
      <c r="D1183" s="254" t="s">
        <v>2162</v>
      </c>
      <c r="E1183" s="254" t="s">
        <v>2163</v>
      </c>
      <c r="F1183" s="254" t="s">
        <v>2162</v>
      </c>
      <c r="G1183" s="254" t="s">
        <v>2162</v>
      </c>
      <c r="H1183" s="254" t="s">
        <v>2162</v>
      </c>
      <c r="I1183" s="254" t="s">
        <v>2164</v>
      </c>
      <c r="J1183" s="176"/>
      <c r="K1183" s="254" t="s">
        <v>2158</v>
      </c>
      <c r="L1183" s="254" t="s">
        <v>2155</v>
      </c>
      <c r="M1183" s="176"/>
      <c r="N1183" s="176"/>
      <c r="O1183" s="255" t="s">
        <v>2165</v>
      </c>
    </row>
    <row r="1184" spans="1:15" ht="16.149999999999999" customHeight="1" x14ac:dyDescent="0.25">
      <c r="A1184" s="172">
        <v>41752</v>
      </c>
      <c r="B1184" s="173" t="s">
        <v>49</v>
      </c>
      <c r="C1184" s="252" t="s">
        <v>2166</v>
      </c>
      <c r="D1184" s="252" t="s">
        <v>2167</v>
      </c>
      <c r="E1184" s="252" t="s">
        <v>2168</v>
      </c>
      <c r="F1184" s="252" t="s">
        <v>2169</v>
      </c>
      <c r="G1184" s="252" t="s">
        <v>2170</v>
      </c>
      <c r="H1184" s="252" t="s">
        <v>2171</v>
      </c>
      <c r="I1184" s="252" t="s">
        <v>2164</v>
      </c>
      <c r="J1184" s="174"/>
      <c r="K1184" s="252" t="s">
        <v>2172</v>
      </c>
      <c r="L1184" s="252" t="s">
        <v>2158</v>
      </c>
      <c r="M1184" s="174"/>
      <c r="N1184" s="174"/>
      <c r="O1184" s="253" t="s">
        <v>2173</v>
      </c>
    </row>
    <row r="1185" spans="1:15" ht="16.149999999999999" customHeight="1" x14ac:dyDescent="0.25">
      <c r="A1185" s="172">
        <v>41751</v>
      </c>
      <c r="B1185" s="175" t="s">
        <v>49</v>
      </c>
      <c r="C1185" s="254" t="s">
        <v>2174</v>
      </c>
      <c r="D1185" s="254" t="s">
        <v>2175</v>
      </c>
      <c r="E1185" s="254" t="s">
        <v>2176</v>
      </c>
      <c r="F1185" s="254" t="s">
        <v>2171</v>
      </c>
      <c r="G1185" s="254" t="s">
        <v>2169</v>
      </c>
      <c r="H1185" s="254" t="s">
        <v>2177</v>
      </c>
      <c r="I1185" s="254" t="s">
        <v>2178</v>
      </c>
      <c r="J1185" s="176"/>
      <c r="K1185" s="254" t="s">
        <v>2179</v>
      </c>
      <c r="L1185" s="254" t="s">
        <v>2180</v>
      </c>
      <c r="M1185" s="176"/>
      <c r="N1185" s="176"/>
      <c r="O1185" s="255" t="s">
        <v>2181</v>
      </c>
    </row>
    <row r="1186" spans="1:15" ht="16.149999999999999" customHeight="1" x14ac:dyDescent="0.25">
      <c r="A1186" s="172">
        <v>41750</v>
      </c>
      <c r="B1186" s="173" t="s">
        <v>49</v>
      </c>
      <c r="C1186" s="252" t="s">
        <v>2182</v>
      </c>
      <c r="D1186" s="252" t="s">
        <v>2183</v>
      </c>
      <c r="E1186" s="252" t="s">
        <v>2184</v>
      </c>
      <c r="F1186" s="252" t="s">
        <v>2185</v>
      </c>
      <c r="G1186" s="252" t="s">
        <v>2168</v>
      </c>
      <c r="H1186" s="252" t="s">
        <v>2184</v>
      </c>
      <c r="I1186" s="252" t="s">
        <v>2186</v>
      </c>
      <c r="J1186" s="174"/>
      <c r="K1186" s="252" t="s">
        <v>2169</v>
      </c>
      <c r="L1186" s="252" t="s">
        <v>2187</v>
      </c>
      <c r="M1186" s="174"/>
      <c r="N1186" s="174"/>
      <c r="O1186" s="253" t="s">
        <v>2183</v>
      </c>
    </row>
    <row r="1187" spans="1:15" ht="16.149999999999999" customHeight="1" x14ac:dyDescent="0.25">
      <c r="A1187" s="172">
        <v>41745</v>
      </c>
      <c r="B1187" s="175" t="s">
        <v>49</v>
      </c>
      <c r="C1187" s="254" t="s">
        <v>2188</v>
      </c>
      <c r="D1187" s="254" t="s">
        <v>2189</v>
      </c>
      <c r="E1187" s="254" t="s">
        <v>2190</v>
      </c>
      <c r="F1187" s="254" t="s">
        <v>2191</v>
      </c>
      <c r="G1187" s="254" t="s">
        <v>2192</v>
      </c>
      <c r="H1187" s="254" t="s">
        <v>2184</v>
      </c>
      <c r="I1187" s="254" t="s">
        <v>2189</v>
      </c>
      <c r="J1187" s="176"/>
      <c r="K1187" s="254" t="s">
        <v>2183</v>
      </c>
      <c r="L1187" s="254" t="s">
        <v>2179</v>
      </c>
      <c r="M1187" s="176"/>
      <c r="N1187" s="176"/>
      <c r="O1187" s="255" t="s">
        <v>2193</v>
      </c>
    </row>
    <row r="1188" spans="1:15" ht="16.149999999999999" customHeight="1" x14ac:dyDescent="0.25">
      <c r="A1188" s="172">
        <v>41744</v>
      </c>
      <c r="B1188" s="173" t="s">
        <v>49</v>
      </c>
      <c r="C1188" s="252" t="s">
        <v>2194</v>
      </c>
      <c r="D1188" s="252" t="s">
        <v>2195</v>
      </c>
      <c r="E1188" s="252" t="s">
        <v>2191</v>
      </c>
      <c r="F1188" s="252" t="s">
        <v>2196</v>
      </c>
      <c r="G1188" s="252" t="s">
        <v>2197</v>
      </c>
      <c r="H1188" s="252" t="s">
        <v>2198</v>
      </c>
      <c r="I1188" s="252" t="s">
        <v>2199</v>
      </c>
      <c r="J1188" s="174"/>
      <c r="K1188" s="252" t="s">
        <v>2193</v>
      </c>
      <c r="L1188" s="252" t="s">
        <v>2187</v>
      </c>
      <c r="M1188" s="174"/>
      <c r="N1188" s="174"/>
      <c r="O1188" s="253" t="s">
        <v>2200</v>
      </c>
    </row>
    <row r="1189" spans="1:15" ht="16.149999999999999" customHeight="1" x14ac:dyDescent="0.25">
      <c r="A1189" s="172">
        <v>41743</v>
      </c>
      <c r="B1189" s="175" t="s">
        <v>49</v>
      </c>
      <c r="C1189" s="254" t="s">
        <v>2201</v>
      </c>
      <c r="D1189" s="254" t="s">
        <v>2202</v>
      </c>
      <c r="E1189" s="254" t="s">
        <v>2203</v>
      </c>
      <c r="F1189" s="254" t="s">
        <v>2204</v>
      </c>
      <c r="G1189" s="254" t="s">
        <v>2191</v>
      </c>
      <c r="H1189" s="254" t="s">
        <v>2196</v>
      </c>
      <c r="I1189" s="254" t="s">
        <v>2202</v>
      </c>
      <c r="J1189" s="176"/>
      <c r="K1189" s="254" t="s">
        <v>2205</v>
      </c>
      <c r="L1189" s="254" t="s">
        <v>2205</v>
      </c>
      <c r="M1189" s="176"/>
      <c r="N1189" s="176"/>
      <c r="O1189" s="255" t="s">
        <v>2206</v>
      </c>
    </row>
    <row r="1190" spans="1:15" ht="16.149999999999999" customHeight="1" x14ac:dyDescent="0.25">
      <c r="A1190" s="172">
        <v>41740</v>
      </c>
      <c r="B1190" s="173" t="s">
        <v>49</v>
      </c>
      <c r="C1190" s="252" t="s">
        <v>2207</v>
      </c>
      <c r="D1190" s="252" t="s">
        <v>2208</v>
      </c>
      <c r="E1190" s="252" t="s">
        <v>2209</v>
      </c>
      <c r="F1190" s="252" t="s">
        <v>2210</v>
      </c>
      <c r="G1190" s="252" t="s">
        <v>2211</v>
      </c>
      <c r="H1190" s="252" t="s">
        <v>2204</v>
      </c>
      <c r="I1190" s="252" t="s">
        <v>2208</v>
      </c>
      <c r="J1190" s="174"/>
      <c r="K1190" s="252" t="s">
        <v>2191</v>
      </c>
      <c r="L1190" s="252" t="s">
        <v>2191</v>
      </c>
      <c r="M1190" s="174"/>
      <c r="N1190" s="174"/>
      <c r="O1190" s="253" t="s">
        <v>2191</v>
      </c>
    </row>
    <row r="1191" spans="1:15" ht="16.149999999999999" customHeight="1" x14ac:dyDescent="0.25">
      <c r="A1191" s="172">
        <v>41739</v>
      </c>
      <c r="B1191" s="175" t="s">
        <v>49</v>
      </c>
      <c r="C1191" s="254" t="s">
        <v>2212</v>
      </c>
      <c r="D1191" s="254" t="s">
        <v>2196</v>
      </c>
      <c r="E1191" s="254" t="s">
        <v>2204</v>
      </c>
      <c r="F1191" s="254" t="s">
        <v>2213</v>
      </c>
      <c r="G1191" s="254" t="s">
        <v>2211</v>
      </c>
      <c r="H1191" s="254" t="s">
        <v>2214</v>
      </c>
      <c r="I1191" s="254" t="s">
        <v>2215</v>
      </c>
      <c r="J1191" s="176"/>
      <c r="K1191" s="254" t="s">
        <v>2216</v>
      </c>
      <c r="L1191" s="254" t="s">
        <v>2214</v>
      </c>
      <c r="M1191" s="176"/>
      <c r="N1191" s="176"/>
      <c r="O1191" s="255" t="s">
        <v>2215</v>
      </c>
    </row>
    <row r="1192" spans="1:15" ht="16.149999999999999" customHeight="1" x14ac:dyDescent="0.25">
      <c r="A1192" s="172">
        <v>41738</v>
      </c>
      <c r="B1192" s="173" t="s">
        <v>49</v>
      </c>
      <c r="C1192" s="252" t="s">
        <v>2180</v>
      </c>
      <c r="D1192" s="252" t="s">
        <v>2217</v>
      </c>
      <c r="E1192" s="252" t="s">
        <v>2210</v>
      </c>
      <c r="F1192" s="252" t="s">
        <v>2213</v>
      </c>
      <c r="G1192" s="252" t="s">
        <v>2211</v>
      </c>
      <c r="H1192" s="252" t="s">
        <v>2214</v>
      </c>
      <c r="I1192" s="252" t="s">
        <v>2215</v>
      </c>
      <c r="J1192" s="174"/>
      <c r="K1192" s="252" t="s">
        <v>2196</v>
      </c>
      <c r="L1192" s="252" t="s">
        <v>2214</v>
      </c>
      <c r="M1192" s="174"/>
      <c r="N1192" s="174"/>
      <c r="O1192" s="253" t="s">
        <v>2218</v>
      </c>
    </row>
    <row r="1193" spans="1:15" ht="16.149999999999999" customHeight="1" x14ac:dyDescent="0.25">
      <c r="A1193" s="172">
        <v>41737</v>
      </c>
      <c r="B1193" s="175" t="s">
        <v>49</v>
      </c>
      <c r="C1193" s="254" t="s">
        <v>2212</v>
      </c>
      <c r="D1193" s="254" t="s">
        <v>2196</v>
      </c>
      <c r="E1193" s="254" t="s">
        <v>2219</v>
      </c>
      <c r="F1193" s="254" t="s">
        <v>2220</v>
      </c>
      <c r="G1193" s="254" t="s">
        <v>2211</v>
      </c>
      <c r="H1193" s="254" t="s">
        <v>2214</v>
      </c>
      <c r="I1193" s="254" t="s">
        <v>2208</v>
      </c>
      <c r="J1193" s="176"/>
      <c r="K1193" s="254" t="s">
        <v>2196</v>
      </c>
      <c r="L1193" s="254" t="s">
        <v>2196</v>
      </c>
      <c r="M1193" s="176"/>
      <c r="N1193" s="176"/>
      <c r="O1193" s="255" t="s">
        <v>2216</v>
      </c>
    </row>
    <row r="1194" spans="1:15" ht="16.149999999999999" customHeight="1" x14ac:dyDescent="0.25">
      <c r="A1194" s="172">
        <v>41736</v>
      </c>
      <c r="B1194" s="173" t="s">
        <v>49</v>
      </c>
      <c r="C1194" s="252" t="s">
        <v>2221</v>
      </c>
      <c r="D1194" s="252" t="s">
        <v>2204</v>
      </c>
      <c r="E1194" s="252" t="s">
        <v>2222</v>
      </c>
      <c r="F1194" s="252" t="s">
        <v>2223</v>
      </c>
      <c r="G1194" s="252" t="s">
        <v>2211</v>
      </c>
      <c r="H1194" s="252" t="s">
        <v>2224</v>
      </c>
      <c r="I1194" s="252" t="s">
        <v>2225</v>
      </c>
      <c r="J1194" s="174"/>
      <c r="K1194" s="252" t="s">
        <v>2191</v>
      </c>
      <c r="L1194" s="252" t="s">
        <v>2191</v>
      </c>
      <c r="M1194" s="174"/>
      <c r="N1194" s="174"/>
      <c r="O1194" s="253" t="s">
        <v>2204</v>
      </c>
    </row>
    <row r="1195" spans="1:15" ht="16.149999999999999" customHeight="1" x14ac:dyDescent="0.25">
      <c r="A1195" s="172">
        <v>41733</v>
      </c>
      <c r="B1195" s="175" t="s">
        <v>49</v>
      </c>
      <c r="C1195" s="254" t="s">
        <v>2226</v>
      </c>
      <c r="D1195" s="254" t="s">
        <v>2219</v>
      </c>
      <c r="E1195" s="254" t="s">
        <v>2227</v>
      </c>
      <c r="F1195" s="254" t="s">
        <v>2223</v>
      </c>
      <c r="G1195" s="254" t="s">
        <v>2213</v>
      </c>
      <c r="H1195" s="254" t="s">
        <v>2228</v>
      </c>
      <c r="I1195" s="254" t="s">
        <v>2229</v>
      </c>
      <c r="J1195" s="176"/>
      <c r="K1195" s="254" t="s">
        <v>2191</v>
      </c>
      <c r="L1195" s="254" t="s">
        <v>2196</v>
      </c>
      <c r="M1195" s="176"/>
      <c r="N1195" s="176"/>
      <c r="O1195" s="255" t="s">
        <v>2229</v>
      </c>
    </row>
    <row r="1196" spans="1:15" ht="16.149999999999999" customHeight="1" x14ac:dyDescent="0.25">
      <c r="A1196" s="172">
        <v>41732</v>
      </c>
      <c r="B1196" s="173" t="s">
        <v>49</v>
      </c>
      <c r="C1196" s="252" t="s">
        <v>2168</v>
      </c>
      <c r="D1196" s="252" t="s">
        <v>2230</v>
      </c>
      <c r="E1196" s="252" t="s">
        <v>2231</v>
      </c>
      <c r="F1196" s="252" t="s">
        <v>2223</v>
      </c>
      <c r="G1196" s="252" t="s">
        <v>2222</v>
      </c>
      <c r="H1196" s="252" t="s">
        <v>2228</v>
      </c>
      <c r="I1196" s="252" t="s">
        <v>2229</v>
      </c>
      <c r="J1196" s="174"/>
      <c r="K1196" s="252" t="s">
        <v>2165</v>
      </c>
      <c r="L1196" s="252" t="s">
        <v>2196</v>
      </c>
      <c r="M1196" s="174"/>
      <c r="N1196" s="174"/>
      <c r="O1196" s="253" t="s">
        <v>2232</v>
      </c>
    </row>
    <row r="1197" spans="1:15" ht="16.149999999999999" customHeight="1" x14ac:dyDescent="0.25">
      <c r="A1197" s="172">
        <v>41731</v>
      </c>
      <c r="B1197" s="175" t="s">
        <v>49</v>
      </c>
      <c r="C1197" s="254" t="s">
        <v>2233</v>
      </c>
      <c r="D1197" s="254" t="s">
        <v>2234</v>
      </c>
      <c r="E1197" s="254" t="s">
        <v>2224</v>
      </c>
      <c r="F1197" s="254" t="s">
        <v>2223</v>
      </c>
      <c r="G1197" s="254" t="s">
        <v>2235</v>
      </c>
      <c r="H1197" s="254" t="s">
        <v>2236</v>
      </c>
      <c r="I1197" s="254" t="s">
        <v>2236</v>
      </c>
      <c r="J1197" s="176"/>
      <c r="K1197" s="254" t="s">
        <v>2214</v>
      </c>
      <c r="L1197" s="254" t="s">
        <v>2214</v>
      </c>
      <c r="M1197" s="176"/>
      <c r="N1197" s="176"/>
      <c r="O1197" s="255" t="s">
        <v>2219</v>
      </c>
    </row>
    <row r="1198" spans="1:15" ht="16.149999999999999" customHeight="1" x14ac:dyDescent="0.25">
      <c r="A1198" s="172">
        <v>41730</v>
      </c>
      <c r="B1198" s="173" t="s">
        <v>49</v>
      </c>
      <c r="C1198" s="252" t="s">
        <v>2178</v>
      </c>
      <c r="D1198" s="252" t="s">
        <v>2237</v>
      </c>
      <c r="E1198" s="252" t="s">
        <v>2238</v>
      </c>
      <c r="F1198" s="252" t="s">
        <v>2223</v>
      </c>
      <c r="G1198" s="252" t="s">
        <v>2239</v>
      </c>
      <c r="H1198" s="252" t="s">
        <v>2220</v>
      </c>
      <c r="I1198" s="252" t="s">
        <v>2240</v>
      </c>
      <c r="J1198" s="174"/>
      <c r="K1198" s="252" t="s">
        <v>2214</v>
      </c>
      <c r="L1198" s="252" t="s">
        <v>2191</v>
      </c>
      <c r="M1198" s="174"/>
      <c r="N1198" s="174"/>
      <c r="O1198" s="253" t="s">
        <v>2235</v>
      </c>
    </row>
    <row r="1199" spans="1:15" ht="16.149999999999999" customHeight="1" x14ac:dyDescent="0.25">
      <c r="A1199" s="172">
        <v>41729</v>
      </c>
      <c r="B1199" s="175" t="s">
        <v>49</v>
      </c>
      <c r="C1199" s="254" t="s">
        <v>2241</v>
      </c>
      <c r="D1199" s="254" t="s">
        <v>2242</v>
      </c>
      <c r="E1199" s="254" t="s">
        <v>2223</v>
      </c>
      <c r="F1199" s="254" t="s">
        <v>2223</v>
      </c>
      <c r="G1199" s="254" t="s">
        <v>2243</v>
      </c>
      <c r="H1199" s="254" t="s">
        <v>2244</v>
      </c>
      <c r="I1199" s="254" t="s">
        <v>2232</v>
      </c>
      <c r="J1199" s="176"/>
      <c r="K1199" s="254" t="s">
        <v>2219</v>
      </c>
      <c r="L1199" s="254" t="s">
        <v>2196</v>
      </c>
      <c r="M1199" s="176"/>
      <c r="N1199" s="176"/>
      <c r="O1199" s="255" t="s">
        <v>2245</v>
      </c>
    </row>
    <row r="1200" spans="1:15" ht="16.149999999999999" customHeight="1" x14ac:dyDescent="0.25">
      <c r="A1200" s="172">
        <v>41726</v>
      </c>
      <c r="B1200" s="173" t="s">
        <v>49</v>
      </c>
      <c r="C1200" s="252" t="s">
        <v>2186</v>
      </c>
      <c r="D1200" s="252" t="s">
        <v>2243</v>
      </c>
      <c r="E1200" s="252" t="s">
        <v>2223</v>
      </c>
      <c r="F1200" s="252" t="s">
        <v>2246</v>
      </c>
      <c r="G1200" s="252" t="s">
        <v>2242</v>
      </c>
      <c r="H1200" s="252" t="s">
        <v>2244</v>
      </c>
      <c r="I1200" s="252" t="s">
        <v>2220</v>
      </c>
      <c r="J1200" s="174"/>
      <c r="K1200" s="252" t="s">
        <v>2213</v>
      </c>
      <c r="L1200" s="252" t="s">
        <v>2213</v>
      </c>
      <c r="M1200" s="174"/>
      <c r="N1200" s="174"/>
      <c r="O1200" s="253" t="s">
        <v>2245</v>
      </c>
    </row>
    <row r="1201" spans="1:15" ht="16.149999999999999" customHeight="1" x14ac:dyDescent="0.25">
      <c r="A1201" s="172">
        <v>41725</v>
      </c>
      <c r="B1201" s="175" t="s">
        <v>49</v>
      </c>
      <c r="C1201" s="254" t="s">
        <v>2186</v>
      </c>
      <c r="D1201" s="254" t="s">
        <v>2243</v>
      </c>
      <c r="E1201" s="254" t="s">
        <v>2246</v>
      </c>
      <c r="F1201" s="254" t="s">
        <v>2246</v>
      </c>
      <c r="G1201" s="254" t="s">
        <v>2236</v>
      </c>
      <c r="H1201" s="254" t="s">
        <v>2244</v>
      </c>
      <c r="I1201" s="254" t="s">
        <v>2239</v>
      </c>
      <c r="J1201" s="176"/>
      <c r="K1201" s="254" t="s">
        <v>2222</v>
      </c>
      <c r="L1201" s="254" t="s">
        <v>2213</v>
      </c>
      <c r="M1201" s="176"/>
      <c r="N1201" s="176"/>
      <c r="O1201" s="255" t="s">
        <v>2227</v>
      </c>
    </row>
    <row r="1202" spans="1:15" ht="16.149999999999999" customHeight="1" x14ac:dyDescent="0.25">
      <c r="A1202" s="172">
        <v>41724</v>
      </c>
      <c r="B1202" s="173" t="s">
        <v>49</v>
      </c>
      <c r="C1202" s="252" t="s">
        <v>2185</v>
      </c>
      <c r="D1202" s="252" t="s">
        <v>2220</v>
      </c>
      <c r="E1202" s="252" t="s">
        <v>2246</v>
      </c>
      <c r="F1202" s="252" t="s">
        <v>2246</v>
      </c>
      <c r="G1202" s="252" t="s">
        <v>2236</v>
      </c>
      <c r="H1202" s="252" t="s">
        <v>2244</v>
      </c>
      <c r="I1202" s="252" t="s">
        <v>2247</v>
      </c>
      <c r="J1202" s="174"/>
      <c r="K1202" s="252" t="s">
        <v>2222</v>
      </c>
      <c r="L1202" s="252" t="s">
        <v>2213</v>
      </c>
      <c r="M1202" s="174"/>
      <c r="N1202" s="174"/>
      <c r="O1202" s="253" t="s">
        <v>2227</v>
      </c>
    </row>
    <row r="1203" spans="1:15" ht="16.149999999999999" customHeight="1" x14ac:dyDescent="0.25">
      <c r="A1203" s="172">
        <v>41723</v>
      </c>
      <c r="B1203" s="175" t="s">
        <v>49</v>
      </c>
      <c r="C1203" s="254" t="s">
        <v>2185</v>
      </c>
      <c r="D1203" s="254" t="s">
        <v>2220</v>
      </c>
      <c r="E1203" s="254" t="s">
        <v>2246</v>
      </c>
      <c r="F1203" s="254" t="s">
        <v>2248</v>
      </c>
      <c r="G1203" s="254" t="s">
        <v>2220</v>
      </c>
      <c r="H1203" s="254" t="s">
        <v>2244</v>
      </c>
      <c r="I1203" s="254" t="s">
        <v>2240</v>
      </c>
      <c r="J1203" s="176"/>
      <c r="K1203" s="254" t="s">
        <v>2222</v>
      </c>
      <c r="L1203" s="254" t="s">
        <v>2214</v>
      </c>
      <c r="M1203" s="176"/>
      <c r="N1203" s="176"/>
      <c r="O1203" s="255" t="s">
        <v>2249</v>
      </c>
    </row>
    <row r="1204" spans="1:15" ht="16.149999999999999" customHeight="1" x14ac:dyDescent="0.25">
      <c r="A1204" s="172">
        <v>41719</v>
      </c>
      <c r="B1204" s="173" t="s">
        <v>49</v>
      </c>
      <c r="C1204" s="252" t="s">
        <v>2185</v>
      </c>
      <c r="D1204" s="252" t="s">
        <v>2220</v>
      </c>
      <c r="E1204" s="252" t="s">
        <v>2250</v>
      </c>
      <c r="F1204" s="252" t="s">
        <v>2248</v>
      </c>
      <c r="G1204" s="252" t="s">
        <v>2244</v>
      </c>
      <c r="H1204" s="252" t="s">
        <v>2220</v>
      </c>
      <c r="I1204" s="252" t="s">
        <v>2244</v>
      </c>
      <c r="J1204" s="174"/>
      <c r="K1204" s="252" t="s">
        <v>2224</v>
      </c>
      <c r="L1204" s="252" t="s">
        <v>2214</v>
      </c>
      <c r="M1204" s="174"/>
      <c r="N1204" s="174"/>
      <c r="O1204" s="253" t="s">
        <v>2224</v>
      </c>
    </row>
    <row r="1205" spans="1:15" ht="16.149999999999999" customHeight="1" x14ac:dyDescent="0.25">
      <c r="A1205" s="172">
        <v>41718</v>
      </c>
      <c r="B1205" s="175" t="s">
        <v>49</v>
      </c>
      <c r="C1205" s="254" t="s">
        <v>2185</v>
      </c>
      <c r="D1205" s="254" t="s">
        <v>2220</v>
      </c>
      <c r="E1205" s="254" t="s">
        <v>2250</v>
      </c>
      <c r="F1205" s="254" t="s">
        <v>2248</v>
      </c>
      <c r="G1205" s="254" t="s">
        <v>2251</v>
      </c>
      <c r="H1205" s="254" t="s">
        <v>2224</v>
      </c>
      <c r="I1205" s="254" t="s">
        <v>2244</v>
      </c>
      <c r="J1205" s="176"/>
      <c r="K1205" s="254" t="s">
        <v>2220</v>
      </c>
      <c r="L1205" s="254" t="s">
        <v>2214</v>
      </c>
      <c r="M1205" s="176"/>
      <c r="N1205" s="176"/>
      <c r="O1205" s="255" t="s">
        <v>2223</v>
      </c>
    </row>
    <row r="1206" spans="1:15" ht="16.149999999999999" customHeight="1" x14ac:dyDescent="0.25">
      <c r="A1206" s="172">
        <v>41717</v>
      </c>
      <c r="B1206" s="173" t="s">
        <v>49</v>
      </c>
      <c r="C1206" s="252" t="s">
        <v>2252</v>
      </c>
      <c r="D1206" s="252" t="s">
        <v>2224</v>
      </c>
      <c r="E1206" s="252" t="s">
        <v>2224</v>
      </c>
      <c r="F1206" s="252" t="s">
        <v>2246</v>
      </c>
      <c r="G1206" s="252" t="s">
        <v>2242</v>
      </c>
      <c r="H1206" s="252" t="s">
        <v>2227</v>
      </c>
      <c r="I1206" s="252" t="s">
        <v>2245</v>
      </c>
      <c r="J1206" s="174"/>
      <c r="K1206" s="252" t="s">
        <v>2246</v>
      </c>
      <c r="L1206" s="252" t="s">
        <v>2253</v>
      </c>
      <c r="M1206" s="174"/>
      <c r="N1206" s="174"/>
      <c r="O1206" s="253" t="s">
        <v>2224</v>
      </c>
    </row>
    <row r="1207" spans="1:15" ht="16.149999999999999" customHeight="1" x14ac:dyDescent="0.25">
      <c r="A1207" s="172">
        <v>41716</v>
      </c>
      <c r="B1207" s="175" t="s">
        <v>49</v>
      </c>
      <c r="C1207" s="254" t="s">
        <v>2241</v>
      </c>
      <c r="D1207" s="254" t="s">
        <v>2242</v>
      </c>
      <c r="E1207" s="254" t="s">
        <v>2254</v>
      </c>
      <c r="F1207" s="254" t="s">
        <v>2224</v>
      </c>
      <c r="G1207" s="254" t="s">
        <v>2255</v>
      </c>
      <c r="H1207" s="254" t="s">
        <v>2227</v>
      </c>
      <c r="I1207" s="254" t="s">
        <v>2242</v>
      </c>
      <c r="J1207" s="176"/>
      <c r="K1207" s="254" t="s">
        <v>2204</v>
      </c>
      <c r="L1207" s="254" t="s">
        <v>2196</v>
      </c>
      <c r="M1207" s="176"/>
      <c r="N1207" s="176"/>
      <c r="O1207" s="255" t="s">
        <v>2224</v>
      </c>
    </row>
    <row r="1208" spans="1:15" ht="16.149999999999999" customHeight="1" x14ac:dyDescent="0.25">
      <c r="A1208" s="172">
        <v>41715</v>
      </c>
      <c r="B1208" s="173" t="s">
        <v>49</v>
      </c>
      <c r="C1208" s="252" t="s">
        <v>2256</v>
      </c>
      <c r="D1208" s="252" t="s">
        <v>2255</v>
      </c>
      <c r="E1208" s="252" t="s">
        <v>2227</v>
      </c>
      <c r="F1208" s="252" t="s">
        <v>2255</v>
      </c>
      <c r="G1208" s="252" t="s">
        <v>2245</v>
      </c>
      <c r="H1208" s="252" t="s">
        <v>2227</v>
      </c>
      <c r="I1208" s="252" t="s">
        <v>2242</v>
      </c>
      <c r="J1208" s="174"/>
      <c r="K1208" s="252" t="s">
        <v>2214</v>
      </c>
      <c r="L1208" s="252" t="s">
        <v>2214</v>
      </c>
      <c r="M1208" s="174"/>
      <c r="N1208" s="174"/>
      <c r="O1208" s="253" t="s">
        <v>2254</v>
      </c>
    </row>
    <row r="1209" spans="1:15" ht="16.149999999999999" customHeight="1" x14ac:dyDescent="0.25">
      <c r="A1209" s="172">
        <v>41712</v>
      </c>
      <c r="B1209" s="175" t="s">
        <v>49</v>
      </c>
      <c r="C1209" s="254" t="s">
        <v>2257</v>
      </c>
      <c r="D1209" s="254" t="s">
        <v>2245</v>
      </c>
      <c r="E1209" s="254" t="s">
        <v>2222</v>
      </c>
      <c r="F1209" s="254" t="s">
        <v>2239</v>
      </c>
      <c r="G1209" s="254" t="s">
        <v>2258</v>
      </c>
      <c r="H1209" s="254" t="s">
        <v>2237</v>
      </c>
      <c r="I1209" s="254" t="s">
        <v>2234</v>
      </c>
      <c r="J1209" s="176"/>
      <c r="K1209" s="254" t="s">
        <v>2214</v>
      </c>
      <c r="L1209" s="254" t="s">
        <v>2213</v>
      </c>
      <c r="M1209" s="176"/>
      <c r="N1209" s="176"/>
      <c r="O1209" s="255" t="s">
        <v>2227</v>
      </c>
    </row>
    <row r="1210" spans="1:15" ht="16.149999999999999" customHeight="1" x14ac:dyDescent="0.25">
      <c r="A1210" s="172">
        <v>41711</v>
      </c>
      <c r="B1210" s="173" t="s">
        <v>49</v>
      </c>
      <c r="C1210" s="252" t="s">
        <v>2168</v>
      </c>
      <c r="D1210" s="252" t="s">
        <v>2230</v>
      </c>
      <c r="E1210" s="252" t="s">
        <v>2213</v>
      </c>
      <c r="F1210" s="252" t="s">
        <v>2237</v>
      </c>
      <c r="G1210" s="252" t="s">
        <v>2235</v>
      </c>
      <c r="H1210" s="252" t="s">
        <v>2237</v>
      </c>
      <c r="I1210" s="252" t="s">
        <v>2245</v>
      </c>
      <c r="J1210" s="174"/>
      <c r="K1210" s="252" t="s">
        <v>2214</v>
      </c>
      <c r="L1210" s="252" t="s">
        <v>2196</v>
      </c>
      <c r="M1210" s="174"/>
      <c r="N1210" s="174"/>
      <c r="O1210" s="253" t="s">
        <v>2234</v>
      </c>
    </row>
    <row r="1211" spans="1:15" ht="16.149999999999999" customHeight="1" x14ac:dyDescent="0.25">
      <c r="A1211" s="172">
        <v>41710</v>
      </c>
      <c r="B1211" s="175" t="s">
        <v>49</v>
      </c>
      <c r="C1211" s="254" t="s">
        <v>2259</v>
      </c>
      <c r="D1211" s="254" t="s">
        <v>2232</v>
      </c>
      <c r="E1211" s="254" t="s">
        <v>2260</v>
      </c>
      <c r="F1211" s="254" t="s">
        <v>2213</v>
      </c>
      <c r="G1211" s="254" t="s">
        <v>2229</v>
      </c>
      <c r="H1211" s="254" t="s">
        <v>2232</v>
      </c>
      <c r="I1211" s="254" t="s">
        <v>2237</v>
      </c>
      <c r="J1211" s="176"/>
      <c r="K1211" s="254" t="s">
        <v>2204</v>
      </c>
      <c r="L1211" s="254" t="s">
        <v>2214</v>
      </c>
      <c r="M1211" s="176"/>
      <c r="N1211" s="176"/>
      <c r="O1211" s="255" t="s">
        <v>2230</v>
      </c>
    </row>
    <row r="1212" spans="1:15" ht="16.149999999999999" customHeight="1" x14ac:dyDescent="0.25">
      <c r="A1212" s="172">
        <v>41709</v>
      </c>
      <c r="B1212" s="173" t="s">
        <v>49</v>
      </c>
      <c r="C1212" s="252" t="s">
        <v>2261</v>
      </c>
      <c r="D1212" s="252" t="s">
        <v>2262</v>
      </c>
      <c r="E1212" s="252" t="s">
        <v>2263</v>
      </c>
      <c r="F1212" s="252" t="s">
        <v>2232</v>
      </c>
      <c r="G1212" s="252" t="s">
        <v>2262</v>
      </c>
      <c r="H1212" s="252" t="s">
        <v>2213</v>
      </c>
      <c r="I1212" s="252" t="s">
        <v>2206</v>
      </c>
      <c r="J1212" s="174"/>
      <c r="K1212" s="252" t="s">
        <v>2211</v>
      </c>
      <c r="L1212" s="252" t="s">
        <v>2196</v>
      </c>
      <c r="M1212" s="174"/>
      <c r="N1212" s="174"/>
      <c r="O1212" s="253" t="s">
        <v>2235</v>
      </c>
    </row>
    <row r="1213" spans="1:15" ht="16.149999999999999" customHeight="1" x14ac:dyDescent="0.25">
      <c r="A1213" s="172">
        <v>41708</v>
      </c>
      <c r="B1213" s="175" t="s">
        <v>49</v>
      </c>
      <c r="C1213" s="254" t="s">
        <v>2169</v>
      </c>
      <c r="D1213" s="254" t="s">
        <v>2264</v>
      </c>
      <c r="E1213" s="254" t="s">
        <v>2229</v>
      </c>
      <c r="F1213" s="254" t="s">
        <v>2214</v>
      </c>
      <c r="G1213" s="254" t="s">
        <v>2210</v>
      </c>
      <c r="H1213" s="254" t="s">
        <v>2213</v>
      </c>
      <c r="I1213" s="254" t="s">
        <v>2265</v>
      </c>
      <c r="J1213" s="176"/>
      <c r="K1213" s="254" t="s">
        <v>2205</v>
      </c>
      <c r="L1213" s="254" t="s">
        <v>2184</v>
      </c>
      <c r="M1213" s="176"/>
      <c r="N1213" s="176"/>
      <c r="O1213" s="255" t="s">
        <v>2266</v>
      </c>
    </row>
    <row r="1214" spans="1:15" ht="16.149999999999999" customHeight="1" x14ac:dyDescent="0.25">
      <c r="A1214" s="172">
        <v>41705</v>
      </c>
      <c r="B1214" s="173" t="s">
        <v>49</v>
      </c>
      <c r="C1214" s="252" t="s">
        <v>2267</v>
      </c>
      <c r="D1214" s="252" t="s">
        <v>2225</v>
      </c>
      <c r="E1214" s="252" t="s">
        <v>2264</v>
      </c>
      <c r="F1214" s="252" t="s">
        <v>2214</v>
      </c>
      <c r="G1214" s="252" t="s">
        <v>2268</v>
      </c>
      <c r="H1214" s="252" t="s">
        <v>2225</v>
      </c>
      <c r="I1214" s="252" t="s">
        <v>2209</v>
      </c>
      <c r="J1214" s="174"/>
      <c r="K1214" s="252" t="s">
        <v>2205</v>
      </c>
      <c r="L1214" s="252" t="s">
        <v>2183</v>
      </c>
      <c r="M1214" s="174"/>
      <c r="N1214" s="174"/>
      <c r="O1214" s="253" t="s">
        <v>2229</v>
      </c>
    </row>
    <row r="1215" spans="1:15" ht="16.149999999999999" customHeight="1" x14ac:dyDescent="0.25">
      <c r="A1215" s="172">
        <v>41704</v>
      </c>
      <c r="B1215" s="175" t="s">
        <v>49</v>
      </c>
      <c r="C1215" s="254" t="s">
        <v>2269</v>
      </c>
      <c r="D1215" s="254" t="s">
        <v>2209</v>
      </c>
      <c r="E1215" s="254" t="s">
        <v>2270</v>
      </c>
      <c r="F1215" s="254" t="s">
        <v>2214</v>
      </c>
      <c r="G1215" s="254" t="s">
        <v>2209</v>
      </c>
      <c r="H1215" s="254" t="s">
        <v>2210</v>
      </c>
      <c r="I1215" s="254" t="s">
        <v>2206</v>
      </c>
      <c r="J1215" s="176"/>
      <c r="K1215" s="254" t="s">
        <v>2198</v>
      </c>
      <c r="L1215" s="254" t="s">
        <v>2193</v>
      </c>
      <c r="M1215" s="176"/>
      <c r="N1215" s="176"/>
      <c r="O1215" s="255" t="s">
        <v>2268</v>
      </c>
    </row>
    <row r="1216" spans="1:15" ht="16.149999999999999" customHeight="1" x14ac:dyDescent="0.25">
      <c r="A1216" s="172">
        <v>41703</v>
      </c>
      <c r="B1216" s="173" t="s">
        <v>49</v>
      </c>
      <c r="C1216" s="252" t="s">
        <v>2271</v>
      </c>
      <c r="D1216" s="252" t="s">
        <v>2203</v>
      </c>
      <c r="E1216" s="252" t="s">
        <v>2196</v>
      </c>
      <c r="F1216" s="252" t="s">
        <v>2222</v>
      </c>
      <c r="G1216" s="252" t="s">
        <v>2215</v>
      </c>
      <c r="H1216" s="252" t="s">
        <v>2204</v>
      </c>
      <c r="I1216" s="252" t="s">
        <v>2206</v>
      </c>
      <c r="J1216" s="174"/>
      <c r="K1216" s="252" t="s">
        <v>2191</v>
      </c>
      <c r="L1216" s="252" t="s">
        <v>2184</v>
      </c>
      <c r="M1216" s="174"/>
      <c r="N1216" s="174"/>
      <c r="O1216" s="253" t="s">
        <v>2270</v>
      </c>
    </row>
    <row r="1217" spans="1:15" ht="16.149999999999999" customHeight="1" x14ac:dyDescent="0.25">
      <c r="A1217" s="172">
        <v>41702</v>
      </c>
      <c r="B1217" s="175" t="s">
        <v>49</v>
      </c>
      <c r="C1217" s="254" t="s">
        <v>2272</v>
      </c>
      <c r="D1217" s="254" t="s">
        <v>2273</v>
      </c>
      <c r="E1217" s="254" t="s">
        <v>2191</v>
      </c>
      <c r="F1217" s="254" t="s">
        <v>2232</v>
      </c>
      <c r="G1217" s="254" t="s">
        <v>2203</v>
      </c>
      <c r="H1217" s="254" t="s">
        <v>2235</v>
      </c>
      <c r="I1217" s="254" t="s">
        <v>2274</v>
      </c>
      <c r="J1217" s="176"/>
      <c r="K1217" s="254" t="s">
        <v>2191</v>
      </c>
      <c r="L1217" s="254" t="s">
        <v>2191</v>
      </c>
      <c r="M1217" s="176"/>
      <c r="N1217" s="176"/>
      <c r="O1217" s="255" t="s">
        <v>2268</v>
      </c>
    </row>
    <row r="1218" spans="1:15" ht="16.149999999999999" customHeight="1" x14ac:dyDescent="0.25">
      <c r="A1218" s="172">
        <v>41701</v>
      </c>
      <c r="B1218" s="173" t="s">
        <v>49</v>
      </c>
      <c r="C1218" s="252" t="s">
        <v>2271</v>
      </c>
      <c r="D1218" s="252" t="s">
        <v>2203</v>
      </c>
      <c r="E1218" s="252" t="s">
        <v>2196</v>
      </c>
      <c r="F1218" s="252" t="s">
        <v>2219</v>
      </c>
      <c r="G1218" s="252" t="s">
        <v>2268</v>
      </c>
      <c r="H1218" s="252" t="s">
        <v>2216</v>
      </c>
      <c r="I1218" s="252" t="s">
        <v>2184</v>
      </c>
      <c r="J1218" s="174"/>
      <c r="K1218" s="252" t="s">
        <v>2205</v>
      </c>
      <c r="L1218" s="252" t="s">
        <v>2187</v>
      </c>
      <c r="M1218" s="174"/>
      <c r="N1218" s="174"/>
      <c r="O1218" s="253" t="s">
        <v>2232</v>
      </c>
    </row>
    <row r="1219" spans="1:15" ht="16.149999999999999" customHeight="1" x14ac:dyDescent="0.25">
      <c r="A1219" s="172">
        <v>41698</v>
      </c>
      <c r="B1219" s="175" t="s">
        <v>49</v>
      </c>
      <c r="C1219" s="254" t="s">
        <v>2275</v>
      </c>
      <c r="D1219" s="254" t="s">
        <v>2225</v>
      </c>
      <c r="E1219" s="254" t="s">
        <v>2196</v>
      </c>
      <c r="F1219" s="254" t="s">
        <v>2214</v>
      </c>
      <c r="G1219" s="254" t="s">
        <v>2217</v>
      </c>
      <c r="H1219" s="254" t="s">
        <v>2214</v>
      </c>
      <c r="I1219" s="254" t="s">
        <v>2264</v>
      </c>
      <c r="J1219" s="176"/>
      <c r="K1219" s="254" t="s">
        <v>2205</v>
      </c>
      <c r="L1219" s="254" t="s">
        <v>2193</v>
      </c>
      <c r="M1219" s="176"/>
      <c r="N1219" s="176"/>
      <c r="O1219" s="255" t="s">
        <v>2263</v>
      </c>
    </row>
    <row r="1220" spans="1:15" ht="16.149999999999999" customHeight="1" x14ac:dyDescent="0.25">
      <c r="A1220" s="172">
        <v>41697</v>
      </c>
      <c r="B1220" s="173" t="s">
        <v>49</v>
      </c>
      <c r="C1220" s="252" t="s">
        <v>2276</v>
      </c>
      <c r="D1220" s="252" t="s">
        <v>2270</v>
      </c>
      <c r="E1220" s="252" t="s">
        <v>2196</v>
      </c>
      <c r="F1220" s="252" t="s">
        <v>2204</v>
      </c>
      <c r="G1220" s="252" t="s">
        <v>2277</v>
      </c>
      <c r="H1220" s="252" t="s">
        <v>2225</v>
      </c>
      <c r="I1220" s="252" t="s">
        <v>2225</v>
      </c>
      <c r="J1220" s="174"/>
      <c r="K1220" s="252" t="s">
        <v>2205</v>
      </c>
      <c r="L1220" s="252" t="s">
        <v>2205</v>
      </c>
      <c r="M1220" s="174"/>
      <c r="N1220" s="174"/>
      <c r="O1220" s="253" t="s">
        <v>2262</v>
      </c>
    </row>
    <row r="1221" spans="1:15" ht="16.149999999999999" customHeight="1" x14ac:dyDescent="0.25">
      <c r="A1221" s="172">
        <v>41696</v>
      </c>
      <c r="B1221" s="175" t="s">
        <v>49</v>
      </c>
      <c r="C1221" s="254" t="s">
        <v>2278</v>
      </c>
      <c r="D1221" s="254" t="s">
        <v>2277</v>
      </c>
      <c r="E1221" s="254" t="s">
        <v>2196</v>
      </c>
      <c r="F1221" s="254" t="s">
        <v>2214</v>
      </c>
      <c r="G1221" s="254" t="s">
        <v>2270</v>
      </c>
      <c r="H1221" s="254" t="s">
        <v>2225</v>
      </c>
      <c r="I1221" s="254" t="s">
        <v>2279</v>
      </c>
      <c r="J1221" s="176"/>
      <c r="K1221" s="254" t="s">
        <v>2205</v>
      </c>
      <c r="L1221" s="254" t="s">
        <v>2193</v>
      </c>
      <c r="M1221" s="176"/>
      <c r="N1221" s="176"/>
      <c r="O1221" s="255" t="s">
        <v>2219</v>
      </c>
    </row>
    <row r="1222" spans="1:15" ht="16.149999999999999" customHeight="1" x14ac:dyDescent="0.25">
      <c r="A1222" s="172">
        <v>41695</v>
      </c>
      <c r="B1222" s="173" t="s">
        <v>49</v>
      </c>
      <c r="C1222" s="252" t="s">
        <v>2276</v>
      </c>
      <c r="D1222" s="252" t="s">
        <v>2270</v>
      </c>
      <c r="E1222" s="252" t="s">
        <v>2204</v>
      </c>
      <c r="F1222" s="252" t="s">
        <v>2214</v>
      </c>
      <c r="G1222" s="252" t="s">
        <v>2277</v>
      </c>
      <c r="H1222" s="252" t="s">
        <v>2214</v>
      </c>
      <c r="I1222" s="252" t="s">
        <v>2215</v>
      </c>
      <c r="J1222" s="174"/>
      <c r="K1222" s="252" t="s">
        <v>2198</v>
      </c>
      <c r="L1222" s="252" t="s">
        <v>2187</v>
      </c>
      <c r="M1222" s="174"/>
      <c r="N1222" s="174"/>
      <c r="O1222" s="253" t="s">
        <v>2229</v>
      </c>
    </row>
    <row r="1223" spans="1:15" ht="16.149999999999999" customHeight="1" x14ac:dyDescent="0.25">
      <c r="A1223" s="172">
        <v>41694</v>
      </c>
      <c r="B1223" s="175" t="s">
        <v>49</v>
      </c>
      <c r="C1223" s="254" t="s">
        <v>2212</v>
      </c>
      <c r="D1223" s="254" t="s">
        <v>2196</v>
      </c>
      <c r="E1223" s="254" t="s">
        <v>2196</v>
      </c>
      <c r="F1223" s="254" t="s">
        <v>2214</v>
      </c>
      <c r="G1223" s="254" t="s">
        <v>2277</v>
      </c>
      <c r="H1223" s="254" t="s">
        <v>2279</v>
      </c>
      <c r="I1223" s="254" t="s">
        <v>2235</v>
      </c>
      <c r="J1223" s="176"/>
      <c r="K1223" s="254" t="s">
        <v>2193</v>
      </c>
      <c r="L1223" s="254" t="s">
        <v>2170</v>
      </c>
      <c r="M1223" s="176"/>
      <c r="N1223" s="176"/>
      <c r="O1223" s="255" t="s">
        <v>2263</v>
      </c>
    </row>
    <row r="1224" spans="1:15" ht="16.149999999999999" customHeight="1" x14ac:dyDescent="0.25">
      <c r="A1224" s="172">
        <v>41691</v>
      </c>
      <c r="B1224" s="173" t="s">
        <v>49</v>
      </c>
      <c r="C1224" s="252" t="s">
        <v>2269</v>
      </c>
      <c r="D1224" s="252" t="s">
        <v>2209</v>
      </c>
      <c r="E1224" s="252" t="s">
        <v>2270</v>
      </c>
      <c r="F1224" s="252" t="s">
        <v>2232</v>
      </c>
      <c r="G1224" s="252" t="s">
        <v>2214</v>
      </c>
      <c r="H1224" s="252" t="s">
        <v>2279</v>
      </c>
      <c r="I1224" s="252" t="s">
        <v>2277</v>
      </c>
      <c r="J1224" s="174"/>
      <c r="K1224" s="252" t="s">
        <v>2193</v>
      </c>
      <c r="L1224" s="252" t="s">
        <v>2183</v>
      </c>
      <c r="M1224" s="174"/>
      <c r="N1224" s="174"/>
      <c r="O1224" s="253" t="s">
        <v>2213</v>
      </c>
    </row>
    <row r="1225" spans="1:15" ht="16.149999999999999" customHeight="1" x14ac:dyDescent="0.25">
      <c r="A1225" s="172">
        <v>41690</v>
      </c>
      <c r="B1225" s="175" t="s">
        <v>49</v>
      </c>
      <c r="C1225" s="254" t="s">
        <v>2169</v>
      </c>
      <c r="D1225" s="254" t="s">
        <v>2264</v>
      </c>
      <c r="E1225" s="254" t="s">
        <v>2270</v>
      </c>
      <c r="F1225" s="254" t="s">
        <v>2214</v>
      </c>
      <c r="G1225" s="254" t="s">
        <v>2210</v>
      </c>
      <c r="H1225" s="254" t="s">
        <v>2235</v>
      </c>
      <c r="I1225" s="254" t="s">
        <v>2266</v>
      </c>
      <c r="J1225" s="176"/>
      <c r="K1225" s="254" t="s">
        <v>2280</v>
      </c>
      <c r="L1225" s="254" t="s">
        <v>2170</v>
      </c>
      <c r="M1225" s="176"/>
      <c r="N1225" s="176"/>
      <c r="O1225" s="255" t="s">
        <v>2260</v>
      </c>
    </row>
    <row r="1226" spans="1:15" ht="16.149999999999999" customHeight="1" x14ac:dyDescent="0.25">
      <c r="A1226" s="172">
        <v>41689</v>
      </c>
      <c r="B1226" s="173" t="s">
        <v>49</v>
      </c>
      <c r="C1226" s="252" t="s">
        <v>2267</v>
      </c>
      <c r="D1226" s="252" t="s">
        <v>2268</v>
      </c>
      <c r="E1226" s="252" t="s">
        <v>2214</v>
      </c>
      <c r="F1226" s="252" t="s">
        <v>2219</v>
      </c>
      <c r="G1226" s="252" t="s">
        <v>2204</v>
      </c>
      <c r="H1226" s="252" t="s">
        <v>2219</v>
      </c>
      <c r="I1226" s="252" t="s">
        <v>2279</v>
      </c>
      <c r="J1226" s="174"/>
      <c r="K1226" s="252" t="s">
        <v>2205</v>
      </c>
      <c r="L1226" s="252" t="s">
        <v>2183</v>
      </c>
      <c r="M1226" s="174"/>
      <c r="N1226" s="174"/>
      <c r="O1226" s="253" t="s">
        <v>2266</v>
      </c>
    </row>
    <row r="1227" spans="1:15" ht="16.149999999999999" customHeight="1" x14ac:dyDescent="0.25">
      <c r="A1227" s="172">
        <v>41688</v>
      </c>
      <c r="B1227" s="175" t="s">
        <v>49</v>
      </c>
      <c r="C1227" s="254" t="s">
        <v>2221</v>
      </c>
      <c r="D1227" s="254" t="s">
        <v>2204</v>
      </c>
      <c r="E1227" s="254" t="s">
        <v>2210</v>
      </c>
      <c r="F1227" s="254" t="s">
        <v>2219</v>
      </c>
      <c r="G1227" s="254" t="s">
        <v>2270</v>
      </c>
      <c r="H1227" s="254" t="s">
        <v>2229</v>
      </c>
      <c r="I1227" s="254" t="s">
        <v>2208</v>
      </c>
      <c r="J1227" s="176"/>
      <c r="K1227" s="254" t="s">
        <v>2205</v>
      </c>
      <c r="L1227" s="254" t="s">
        <v>2184</v>
      </c>
      <c r="M1227" s="176"/>
      <c r="N1227" s="176"/>
      <c r="O1227" s="255" t="s">
        <v>2240</v>
      </c>
    </row>
    <row r="1228" spans="1:15" ht="16.149999999999999" customHeight="1" x14ac:dyDescent="0.25">
      <c r="A1228" s="172">
        <v>41687</v>
      </c>
      <c r="B1228" s="173" t="s">
        <v>49</v>
      </c>
      <c r="C1228" s="252" t="s">
        <v>2276</v>
      </c>
      <c r="D1228" s="252" t="s">
        <v>2270</v>
      </c>
      <c r="E1228" s="252" t="s">
        <v>2225</v>
      </c>
      <c r="F1228" s="252" t="s">
        <v>2213</v>
      </c>
      <c r="G1228" s="252" t="s">
        <v>2277</v>
      </c>
      <c r="H1228" s="252" t="s">
        <v>2229</v>
      </c>
      <c r="I1228" s="252" t="s">
        <v>2200</v>
      </c>
      <c r="J1228" s="174"/>
      <c r="K1228" s="252" t="s">
        <v>2205</v>
      </c>
      <c r="L1228" s="252" t="s">
        <v>2179</v>
      </c>
      <c r="M1228" s="174"/>
      <c r="N1228" s="174"/>
      <c r="O1228" s="253" t="s">
        <v>2229</v>
      </c>
    </row>
    <row r="1229" spans="1:15" ht="16.149999999999999" customHeight="1" x14ac:dyDescent="0.25">
      <c r="A1229" s="172">
        <v>41684</v>
      </c>
      <c r="B1229" s="175" t="s">
        <v>49</v>
      </c>
      <c r="C1229" s="254" t="s">
        <v>2212</v>
      </c>
      <c r="D1229" s="254" t="s">
        <v>2196</v>
      </c>
      <c r="E1229" s="254" t="s">
        <v>2270</v>
      </c>
      <c r="F1229" s="254" t="s">
        <v>2204</v>
      </c>
      <c r="G1229" s="254" t="s">
        <v>2277</v>
      </c>
      <c r="H1229" s="254" t="s">
        <v>2196</v>
      </c>
      <c r="I1229" s="254" t="s">
        <v>2206</v>
      </c>
      <c r="J1229" s="176"/>
      <c r="K1229" s="254" t="s">
        <v>2205</v>
      </c>
      <c r="L1229" s="254" t="s">
        <v>2172</v>
      </c>
      <c r="M1229" s="176"/>
      <c r="N1229" s="176"/>
      <c r="O1229" s="255" t="s">
        <v>2229</v>
      </c>
    </row>
    <row r="1230" spans="1:15" ht="16.149999999999999" customHeight="1" x14ac:dyDescent="0.25">
      <c r="A1230" s="172">
        <v>41683</v>
      </c>
      <c r="B1230" s="173" t="s">
        <v>49</v>
      </c>
      <c r="C1230" s="252" t="s">
        <v>2212</v>
      </c>
      <c r="D1230" s="252" t="s">
        <v>2196</v>
      </c>
      <c r="E1230" s="252" t="s">
        <v>2277</v>
      </c>
      <c r="F1230" s="252" t="s">
        <v>2196</v>
      </c>
      <c r="G1230" s="252" t="s">
        <v>2277</v>
      </c>
      <c r="H1230" s="252" t="s">
        <v>2196</v>
      </c>
      <c r="I1230" s="252" t="s">
        <v>2206</v>
      </c>
      <c r="J1230" s="174"/>
      <c r="K1230" s="252" t="s">
        <v>2205</v>
      </c>
      <c r="L1230" s="252" t="s">
        <v>2193</v>
      </c>
      <c r="M1230" s="174"/>
      <c r="N1230" s="174"/>
      <c r="O1230" s="253" t="s">
        <v>2225</v>
      </c>
    </row>
    <row r="1231" spans="1:15" ht="16.149999999999999" customHeight="1" x14ac:dyDescent="0.25">
      <c r="A1231" s="172">
        <v>41682</v>
      </c>
      <c r="B1231" s="175" t="s">
        <v>49</v>
      </c>
      <c r="C1231" s="254" t="s">
        <v>2272</v>
      </c>
      <c r="D1231" s="254" t="s">
        <v>2215</v>
      </c>
      <c r="E1231" s="254" t="s">
        <v>2281</v>
      </c>
      <c r="F1231" s="254" t="s">
        <v>2196</v>
      </c>
      <c r="G1231" s="254" t="s">
        <v>2273</v>
      </c>
      <c r="H1231" s="254" t="s">
        <v>2196</v>
      </c>
      <c r="I1231" s="254" t="s">
        <v>2279</v>
      </c>
      <c r="J1231" s="176"/>
      <c r="K1231" s="254" t="s">
        <v>2205</v>
      </c>
      <c r="L1231" s="254" t="s">
        <v>2180</v>
      </c>
      <c r="M1231" s="176"/>
      <c r="N1231" s="176"/>
      <c r="O1231" s="255" t="s">
        <v>2203</v>
      </c>
    </row>
    <row r="1232" spans="1:15" ht="16.149999999999999" customHeight="1" x14ac:dyDescent="0.25">
      <c r="A1232" s="172">
        <v>41681</v>
      </c>
      <c r="B1232" s="173" t="s">
        <v>49</v>
      </c>
      <c r="C1232" s="252" t="s">
        <v>2172</v>
      </c>
      <c r="D1232" s="252" t="s">
        <v>2198</v>
      </c>
      <c r="E1232" s="252" t="s">
        <v>2208</v>
      </c>
      <c r="F1232" s="252" t="s">
        <v>2196</v>
      </c>
      <c r="G1232" s="252" t="s">
        <v>2203</v>
      </c>
      <c r="H1232" s="252" t="s">
        <v>2196</v>
      </c>
      <c r="I1232" s="252" t="s">
        <v>2200</v>
      </c>
      <c r="J1232" s="174"/>
      <c r="K1232" s="252" t="s">
        <v>2205</v>
      </c>
      <c r="L1232" s="252" t="s">
        <v>2170</v>
      </c>
      <c r="M1232" s="174"/>
      <c r="N1232" s="174"/>
      <c r="O1232" s="253" t="s">
        <v>2282</v>
      </c>
    </row>
    <row r="1233" spans="1:15" ht="16.149999999999999" customHeight="1" x14ac:dyDescent="0.25">
      <c r="A1233" s="172">
        <v>41680</v>
      </c>
      <c r="B1233" s="175" t="s">
        <v>49</v>
      </c>
      <c r="C1233" s="254" t="s">
        <v>2283</v>
      </c>
      <c r="D1233" s="254" t="s">
        <v>2218</v>
      </c>
      <c r="E1233" s="254" t="s">
        <v>2273</v>
      </c>
      <c r="F1233" s="254" t="s">
        <v>2204</v>
      </c>
      <c r="G1233" s="254" t="s">
        <v>2203</v>
      </c>
      <c r="H1233" s="254" t="s">
        <v>2214</v>
      </c>
      <c r="I1233" s="254" t="s">
        <v>2206</v>
      </c>
      <c r="J1233" s="176"/>
      <c r="K1233" s="254" t="s">
        <v>2205</v>
      </c>
      <c r="L1233" s="254" t="s">
        <v>2170</v>
      </c>
      <c r="M1233" s="176"/>
      <c r="N1233" s="176"/>
      <c r="O1233" s="255" t="s">
        <v>2205</v>
      </c>
    </row>
    <row r="1234" spans="1:15" ht="16.149999999999999" customHeight="1" x14ac:dyDescent="0.25">
      <c r="A1234" s="172">
        <v>41677</v>
      </c>
      <c r="B1234" s="173" t="s">
        <v>49</v>
      </c>
      <c r="C1234" s="252" t="s">
        <v>2284</v>
      </c>
      <c r="D1234" s="252" t="s">
        <v>2191</v>
      </c>
      <c r="E1234" s="252" t="s">
        <v>2208</v>
      </c>
      <c r="F1234" s="252" t="s">
        <v>2196</v>
      </c>
      <c r="G1234" s="252" t="s">
        <v>2191</v>
      </c>
      <c r="H1234" s="252" t="s">
        <v>2214</v>
      </c>
      <c r="I1234" s="252" t="s">
        <v>2277</v>
      </c>
      <c r="J1234" s="174"/>
      <c r="K1234" s="252" t="s">
        <v>2285</v>
      </c>
      <c r="L1234" s="252" t="s">
        <v>2183</v>
      </c>
      <c r="M1234" s="174"/>
      <c r="N1234" s="174"/>
      <c r="O1234" s="253" t="s">
        <v>2205</v>
      </c>
    </row>
    <row r="1235" spans="1:15" ht="16.149999999999999" customHeight="1" x14ac:dyDescent="0.25">
      <c r="A1235" s="172">
        <v>41676</v>
      </c>
      <c r="B1235" s="175" t="s">
        <v>49</v>
      </c>
      <c r="C1235" s="254" t="s">
        <v>2286</v>
      </c>
      <c r="D1235" s="254" t="s">
        <v>2273</v>
      </c>
      <c r="E1235" s="254" t="s">
        <v>2287</v>
      </c>
      <c r="F1235" s="254" t="s">
        <v>2196</v>
      </c>
      <c r="G1235" s="254" t="s">
        <v>2288</v>
      </c>
      <c r="H1235" s="254" t="s">
        <v>2213</v>
      </c>
      <c r="I1235" s="254" t="s">
        <v>2202</v>
      </c>
      <c r="J1235" s="176"/>
      <c r="K1235" s="254" t="s">
        <v>2205</v>
      </c>
      <c r="L1235" s="254" t="s">
        <v>2183</v>
      </c>
      <c r="M1235" s="176"/>
      <c r="N1235" s="176"/>
      <c r="O1235" s="255" t="s">
        <v>2289</v>
      </c>
    </row>
    <row r="1236" spans="1:15" ht="16.149999999999999" customHeight="1" x14ac:dyDescent="0.25">
      <c r="A1236" s="172">
        <v>41675</v>
      </c>
      <c r="B1236" s="173" t="s">
        <v>49</v>
      </c>
      <c r="C1236" s="252" t="s">
        <v>2271</v>
      </c>
      <c r="D1236" s="252" t="s">
        <v>2287</v>
      </c>
      <c r="E1236" s="252" t="s">
        <v>2204</v>
      </c>
      <c r="F1236" s="252" t="s">
        <v>2204</v>
      </c>
      <c r="G1236" s="252" t="s">
        <v>2237</v>
      </c>
      <c r="H1236" s="252" t="s">
        <v>2255</v>
      </c>
      <c r="I1236" s="252" t="s">
        <v>2208</v>
      </c>
      <c r="J1236" s="174"/>
      <c r="K1236" s="252" t="s">
        <v>2197</v>
      </c>
      <c r="L1236" s="252" t="s">
        <v>2170</v>
      </c>
      <c r="M1236" s="174"/>
      <c r="N1236" s="174"/>
      <c r="O1236" s="253" t="s">
        <v>2211</v>
      </c>
    </row>
    <row r="1237" spans="1:15" ht="16.149999999999999" customHeight="1" x14ac:dyDescent="0.25">
      <c r="A1237" s="172">
        <v>41674</v>
      </c>
      <c r="B1237" s="175" t="s">
        <v>49</v>
      </c>
      <c r="C1237" s="254" t="s">
        <v>2269</v>
      </c>
      <c r="D1237" s="254" t="s">
        <v>2209</v>
      </c>
      <c r="E1237" s="254" t="s">
        <v>2204</v>
      </c>
      <c r="F1237" s="254" t="s">
        <v>2204</v>
      </c>
      <c r="G1237" s="254" t="s">
        <v>2237</v>
      </c>
      <c r="H1237" s="254" t="s">
        <v>2213</v>
      </c>
      <c r="I1237" s="254" t="s">
        <v>2279</v>
      </c>
      <c r="J1237" s="176"/>
      <c r="K1237" s="254" t="s">
        <v>2196</v>
      </c>
      <c r="L1237" s="254" t="s">
        <v>2179</v>
      </c>
      <c r="M1237" s="176"/>
      <c r="N1237" s="176"/>
      <c r="O1237" s="255" t="s">
        <v>2289</v>
      </c>
    </row>
    <row r="1238" spans="1:15" ht="16.149999999999999" customHeight="1" x14ac:dyDescent="0.25">
      <c r="A1238" s="172">
        <v>41673</v>
      </c>
      <c r="B1238" s="173" t="s">
        <v>49</v>
      </c>
      <c r="C1238" s="252" t="s">
        <v>2212</v>
      </c>
      <c r="D1238" s="252" t="s">
        <v>2196</v>
      </c>
      <c r="E1238" s="252" t="s">
        <v>2264</v>
      </c>
      <c r="F1238" s="252" t="s">
        <v>2214</v>
      </c>
      <c r="G1238" s="252" t="s">
        <v>2237</v>
      </c>
      <c r="H1238" s="252" t="s">
        <v>2196</v>
      </c>
      <c r="I1238" s="252" t="s">
        <v>2277</v>
      </c>
      <c r="J1238" s="174"/>
      <c r="K1238" s="252" t="s">
        <v>2196</v>
      </c>
      <c r="L1238" s="252" t="s">
        <v>2159</v>
      </c>
      <c r="M1238" s="174"/>
      <c r="N1238" s="174"/>
      <c r="O1238" s="253" t="s">
        <v>2287</v>
      </c>
    </row>
    <row r="1239" spans="1:15" ht="16.149999999999999" customHeight="1" x14ac:dyDescent="0.25">
      <c r="A1239" s="172">
        <v>41670</v>
      </c>
      <c r="B1239" s="175" t="s">
        <v>49</v>
      </c>
      <c r="C1239" s="254" t="s">
        <v>2290</v>
      </c>
      <c r="D1239" s="254" t="s">
        <v>2229</v>
      </c>
      <c r="E1239" s="254" t="s">
        <v>2240</v>
      </c>
      <c r="F1239" s="254" t="s">
        <v>2204</v>
      </c>
      <c r="G1239" s="254" t="s">
        <v>2234</v>
      </c>
      <c r="H1239" s="254" t="s">
        <v>2251</v>
      </c>
      <c r="I1239" s="254" t="s">
        <v>2229</v>
      </c>
      <c r="J1239" s="176"/>
      <c r="K1239" s="254" t="s">
        <v>2196</v>
      </c>
      <c r="L1239" s="254" t="s">
        <v>2172</v>
      </c>
      <c r="M1239" s="176"/>
      <c r="N1239" s="176"/>
      <c r="O1239" s="255" t="s">
        <v>2229</v>
      </c>
    </row>
    <row r="1240" spans="1:15" ht="16.149999999999999" customHeight="1" x14ac:dyDescent="0.25">
      <c r="A1240" s="172">
        <v>41669</v>
      </c>
      <c r="B1240" s="173" t="s">
        <v>49</v>
      </c>
      <c r="C1240" s="252" t="s">
        <v>2175</v>
      </c>
      <c r="D1240" s="252" t="s">
        <v>2213</v>
      </c>
      <c r="E1240" s="252" t="s">
        <v>2235</v>
      </c>
      <c r="F1240" s="252" t="s">
        <v>2258</v>
      </c>
      <c r="G1240" s="252" t="s">
        <v>2291</v>
      </c>
      <c r="H1240" s="252" t="s">
        <v>2251</v>
      </c>
      <c r="I1240" s="252" t="s">
        <v>2230</v>
      </c>
      <c r="J1240" s="174"/>
      <c r="K1240" s="252" t="s">
        <v>2204</v>
      </c>
      <c r="L1240" s="252" t="s">
        <v>2179</v>
      </c>
      <c r="M1240" s="174"/>
      <c r="N1240" s="174"/>
      <c r="O1240" s="253" t="s">
        <v>2219</v>
      </c>
    </row>
    <row r="1241" spans="1:15" ht="16.149999999999999" customHeight="1" x14ac:dyDescent="0.25">
      <c r="A1241" s="172">
        <v>41668</v>
      </c>
      <c r="B1241" s="175" t="s">
        <v>49</v>
      </c>
      <c r="C1241" s="254" t="s">
        <v>2292</v>
      </c>
      <c r="D1241" s="254" t="s">
        <v>2222</v>
      </c>
      <c r="E1241" s="254" t="s">
        <v>2237</v>
      </c>
      <c r="F1241" s="254" t="s">
        <v>2213</v>
      </c>
      <c r="G1241" s="254" t="s">
        <v>2293</v>
      </c>
      <c r="H1241" s="254" t="s">
        <v>2254</v>
      </c>
      <c r="I1241" s="254" t="s">
        <v>2239</v>
      </c>
      <c r="J1241" s="176"/>
      <c r="K1241" s="254" t="s">
        <v>2222</v>
      </c>
      <c r="L1241" s="254" t="s">
        <v>2227</v>
      </c>
      <c r="M1241" s="176"/>
      <c r="N1241" s="176"/>
      <c r="O1241" s="255" t="s">
        <v>2230</v>
      </c>
    </row>
    <row r="1242" spans="1:15" ht="16.149999999999999" customHeight="1" x14ac:dyDescent="0.25">
      <c r="A1242" s="172">
        <v>41667</v>
      </c>
      <c r="B1242" s="173" t="s">
        <v>49</v>
      </c>
      <c r="C1242" s="252" t="s">
        <v>2294</v>
      </c>
      <c r="D1242" s="252" t="s">
        <v>2254</v>
      </c>
      <c r="E1242" s="252" t="s">
        <v>2245</v>
      </c>
      <c r="F1242" s="252" t="s">
        <v>2222</v>
      </c>
      <c r="G1242" s="252" t="s">
        <v>2220</v>
      </c>
      <c r="H1242" s="252" t="s">
        <v>2251</v>
      </c>
      <c r="I1242" s="252" t="s">
        <v>2243</v>
      </c>
      <c r="J1242" s="174"/>
      <c r="K1242" s="252" t="s">
        <v>2227</v>
      </c>
      <c r="L1242" s="252" t="s">
        <v>2295</v>
      </c>
      <c r="M1242" s="174"/>
      <c r="N1242" s="174"/>
      <c r="O1242" s="253" t="s">
        <v>2213</v>
      </c>
    </row>
    <row r="1243" spans="1:15" ht="16.149999999999999" customHeight="1" x14ac:dyDescent="0.25">
      <c r="A1243" s="172">
        <v>41666</v>
      </c>
      <c r="B1243" s="175" t="s">
        <v>49</v>
      </c>
      <c r="C1243" s="254" t="s">
        <v>2296</v>
      </c>
      <c r="D1243" s="254" t="s">
        <v>2227</v>
      </c>
      <c r="E1243" s="254" t="s">
        <v>2237</v>
      </c>
      <c r="F1243" s="254" t="s">
        <v>2227</v>
      </c>
      <c r="G1243" s="254" t="s">
        <v>2220</v>
      </c>
      <c r="H1243" s="254" t="s">
        <v>2251</v>
      </c>
      <c r="I1243" s="254" t="s">
        <v>2243</v>
      </c>
      <c r="J1243" s="176"/>
      <c r="K1243" s="254" t="s">
        <v>2227</v>
      </c>
      <c r="L1243" s="254" t="s">
        <v>2205</v>
      </c>
      <c r="M1243" s="176"/>
      <c r="N1243" s="176"/>
      <c r="O1243" s="255" t="s">
        <v>2219</v>
      </c>
    </row>
    <row r="1244" spans="1:15" ht="16.149999999999999" customHeight="1" x14ac:dyDescent="0.25">
      <c r="A1244" s="172">
        <v>41663</v>
      </c>
      <c r="B1244" s="173" t="s">
        <v>49</v>
      </c>
      <c r="C1244" s="252" t="s">
        <v>2233</v>
      </c>
      <c r="D1244" s="252" t="s">
        <v>2234</v>
      </c>
      <c r="E1244" s="252" t="s">
        <v>2258</v>
      </c>
      <c r="F1244" s="252" t="s">
        <v>2227</v>
      </c>
      <c r="G1244" s="252" t="s">
        <v>2222</v>
      </c>
      <c r="H1244" s="252" t="s">
        <v>2224</v>
      </c>
      <c r="I1244" s="252" t="s">
        <v>2243</v>
      </c>
      <c r="J1244" s="174"/>
      <c r="K1244" s="252" t="s">
        <v>2227</v>
      </c>
      <c r="L1244" s="252" t="s">
        <v>2184</v>
      </c>
      <c r="M1244" s="174"/>
      <c r="N1244" s="174"/>
      <c r="O1244" s="253" t="s">
        <v>2219</v>
      </c>
    </row>
    <row r="1245" spans="1:15" ht="16.149999999999999" customHeight="1" x14ac:dyDescent="0.25">
      <c r="A1245" s="172">
        <v>41662</v>
      </c>
      <c r="B1245" s="175" t="s">
        <v>49</v>
      </c>
      <c r="C1245" s="254" t="s">
        <v>2256</v>
      </c>
      <c r="D1245" s="254" t="s">
        <v>2255</v>
      </c>
      <c r="E1245" s="254" t="s">
        <v>2239</v>
      </c>
      <c r="F1245" s="254" t="s">
        <v>2224</v>
      </c>
      <c r="G1245" s="254" t="s">
        <v>2222</v>
      </c>
      <c r="H1245" s="254" t="s">
        <v>2224</v>
      </c>
      <c r="I1245" s="254" t="s">
        <v>2251</v>
      </c>
      <c r="J1245" s="176"/>
      <c r="K1245" s="254" t="s">
        <v>2227</v>
      </c>
      <c r="L1245" s="254" t="s">
        <v>2205</v>
      </c>
      <c r="M1245" s="176"/>
      <c r="N1245" s="176"/>
      <c r="O1245" s="255" t="s">
        <v>2219</v>
      </c>
    </row>
    <row r="1246" spans="1:15" ht="16.149999999999999" customHeight="1" x14ac:dyDescent="0.25">
      <c r="A1246" s="172">
        <v>41661</v>
      </c>
      <c r="B1246" s="173" t="s">
        <v>49</v>
      </c>
      <c r="C1246" s="252" t="s">
        <v>2233</v>
      </c>
      <c r="D1246" s="252" t="s">
        <v>2234</v>
      </c>
      <c r="E1246" s="252" t="s">
        <v>2245</v>
      </c>
      <c r="F1246" s="252" t="s">
        <v>2220</v>
      </c>
      <c r="G1246" s="252" t="s">
        <v>2222</v>
      </c>
      <c r="H1246" s="252" t="s">
        <v>2224</v>
      </c>
      <c r="I1246" s="252" t="s">
        <v>2251</v>
      </c>
      <c r="J1246" s="174"/>
      <c r="K1246" s="252" t="s">
        <v>2227</v>
      </c>
      <c r="L1246" s="252" t="s">
        <v>2214</v>
      </c>
      <c r="M1246" s="174"/>
      <c r="N1246" s="174"/>
      <c r="O1246" s="253" t="s">
        <v>2260</v>
      </c>
    </row>
    <row r="1247" spans="1:15" ht="16.149999999999999" customHeight="1" x14ac:dyDescent="0.25">
      <c r="A1247" s="172">
        <v>41660</v>
      </c>
      <c r="B1247" s="175" t="s">
        <v>49</v>
      </c>
      <c r="C1247" s="254" t="s">
        <v>2256</v>
      </c>
      <c r="D1247" s="254" t="s">
        <v>2255</v>
      </c>
      <c r="E1247" s="254" t="s">
        <v>2237</v>
      </c>
      <c r="F1247" s="254" t="s">
        <v>2224</v>
      </c>
      <c r="G1247" s="254" t="s">
        <v>2222</v>
      </c>
      <c r="H1247" s="254" t="s">
        <v>2243</v>
      </c>
      <c r="I1247" s="254" t="s">
        <v>2251</v>
      </c>
      <c r="J1247" s="176"/>
      <c r="K1247" s="254" t="s">
        <v>2254</v>
      </c>
      <c r="L1247" s="254" t="s">
        <v>2214</v>
      </c>
      <c r="M1247" s="176"/>
      <c r="N1247" s="176"/>
      <c r="O1247" s="255" t="s">
        <v>2266</v>
      </c>
    </row>
    <row r="1248" spans="1:15" ht="16.149999999999999" customHeight="1" x14ac:dyDescent="0.25">
      <c r="A1248" s="172">
        <v>41659</v>
      </c>
      <c r="B1248" s="173" t="s">
        <v>49</v>
      </c>
      <c r="C1248" s="252" t="s">
        <v>2233</v>
      </c>
      <c r="D1248" s="252" t="s">
        <v>2234</v>
      </c>
      <c r="E1248" s="252" t="s">
        <v>2237</v>
      </c>
      <c r="F1248" s="252" t="s">
        <v>2227</v>
      </c>
      <c r="G1248" s="252" t="s">
        <v>2222</v>
      </c>
      <c r="H1248" s="252" t="s">
        <v>2243</v>
      </c>
      <c r="I1248" s="252" t="s">
        <v>2251</v>
      </c>
      <c r="J1248" s="174"/>
      <c r="K1248" s="252" t="s">
        <v>2293</v>
      </c>
      <c r="L1248" s="252" t="s">
        <v>2196</v>
      </c>
      <c r="M1248" s="174"/>
      <c r="N1248" s="174"/>
      <c r="O1248" s="253" t="s">
        <v>2266</v>
      </c>
    </row>
    <row r="1249" spans="1:15" ht="16.149999999999999" customHeight="1" x14ac:dyDescent="0.25">
      <c r="A1249" s="172">
        <v>41656</v>
      </c>
      <c r="B1249" s="175" t="s">
        <v>49</v>
      </c>
      <c r="C1249" s="254" t="s">
        <v>2233</v>
      </c>
      <c r="D1249" s="254" t="s">
        <v>2234</v>
      </c>
      <c r="E1249" s="254" t="s">
        <v>2222</v>
      </c>
      <c r="F1249" s="254" t="s">
        <v>2224</v>
      </c>
      <c r="G1249" s="254" t="s">
        <v>2222</v>
      </c>
      <c r="H1249" s="254" t="s">
        <v>2227</v>
      </c>
      <c r="I1249" s="254" t="s">
        <v>2236</v>
      </c>
      <c r="J1249" s="176"/>
      <c r="K1249" s="254" t="s">
        <v>2224</v>
      </c>
      <c r="L1249" s="254" t="s">
        <v>2196</v>
      </c>
      <c r="M1249" s="176"/>
      <c r="N1249" s="176"/>
      <c r="O1249" s="255" t="s">
        <v>2213</v>
      </c>
    </row>
    <row r="1250" spans="1:15" ht="16.149999999999999" customHeight="1" x14ac:dyDescent="0.25">
      <c r="A1250" s="172">
        <v>41655</v>
      </c>
      <c r="B1250" s="173" t="s">
        <v>49</v>
      </c>
      <c r="C1250" s="252" t="s">
        <v>2241</v>
      </c>
      <c r="D1250" s="252" t="s">
        <v>2242</v>
      </c>
      <c r="E1250" s="252" t="s">
        <v>2242</v>
      </c>
      <c r="F1250" s="252" t="s">
        <v>2228</v>
      </c>
      <c r="G1250" s="252" t="s">
        <v>2243</v>
      </c>
      <c r="H1250" s="252" t="s">
        <v>2227</v>
      </c>
      <c r="I1250" s="252" t="s">
        <v>2255</v>
      </c>
      <c r="J1250" s="174"/>
      <c r="K1250" s="252" t="s">
        <v>2220</v>
      </c>
      <c r="L1250" s="252" t="s">
        <v>2214</v>
      </c>
      <c r="M1250" s="174"/>
      <c r="N1250" s="174"/>
      <c r="O1250" s="253" t="s">
        <v>2239</v>
      </c>
    </row>
    <row r="1251" spans="1:15" ht="16.149999999999999" customHeight="1" x14ac:dyDescent="0.25">
      <c r="A1251" s="172">
        <v>41654</v>
      </c>
      <c r="B1251" s="175" t="s">
        <v>49</v>
      </c>
      <c r="C1251" s="254" t="s">
        <v>2297</v>
      </c>
      <c r="D1251" s="254" t="s">
        <v>2251</v>
      </c>
      <c r="E1251" s="254" t="s">
        <v>2243</v>
      </c>
      <c r="F1251" s="254" t="s">
        <v>2220</v>
      </c>
      <c r="G1251" s="254" t="s">
        <v>2228</v>
      </c>
      <c r="H1251" s="254" t="s">
        <v>2227</v>
      </c>
      <c r="I1251" s="254" t="s">
        <v>2298</v>
      </c>
      <c r="J1251" s="176"/>
      <c r="K1251" s="254" t="s">
        <v>2220</v>
      </c>
      <c r="L1251" s="254" t="s">
        <v>2193</v>
      </c>
      <c r="M1251" s="176"/>
      <c r="N1251" s="176"/>
      <c r="O1251" s="255" t="s">
        <v>2231</v>
      </c>
    </row>
    <row r="1252" spans="1:15" ht="16.149999999999999" customHeight="1" x14ac:dyDescent="0.25">
      <c r="A1252" s="172">
        <v>41653</v>
      </c>
      <c r="B1252" s="173" t="s">
        <v>49</v>
      </c>
      <c r="C1252" s="252" t="s">
        <v>2299</v>
      </c>
      <c r="D1252" s="252" t="s">
        <v>2236</v>
      </c>
      <c r="E1252" s="252" t="s">
        <v>2236</v>
      </c>
      <c r="F1252" s="252" t="s">
        <v>2220</v>
      </c>
      <c r="G1252" s="252" t="s">
        <v>2220</v>
      </c>
      <c r="H1252" s="252" t="s">
        <v>2254</v>
      </c>
      <c r="I1252" s="252" t="s">
        <v>2300</v>
      </c>
      <c r="J1252" s="174"/>
      <c r="K1252" s="252" t="s">
        <v>2301</v>
      </c>
      <c r="L1252" s="252" t="s">
        <v>2196</v>
      </c>
      <c r="M1252" s="174"/>
      <c r="N1252" s="174"/>
      <c r="O1252" s="253" t="s">
        <v>2291</v>
      </c>
    </row>
    <row r="1253" spans="1:15" ht="16.149999999999999" customHeight="1" x14ac:dyDescent="0.25">
      <c r="A1253" s="172">
        <v>41652</v>
      </c>
      <c r="B1253" s="175" t="s">
        <v>49</v>
      </c>
      <c r="C1253" s="254" t="s">
        <v>2193</v>
      </c>
      <c r="D1253" s="254" t="s">
        <v>2302</v>
      </c>
      <c r="E1253" s="254" t="s">
        <v>2238</v>
      </c>
      <c r="F1253" s="254" t="s">
        <v>2223</v>
      </c>
      <c r="G1253" s="254" t="s">
        <v>2298</v>
      </c>
      <c r="H1253" s="254" t="s">
        <v>2291</v>
      </c>
      <c r="I1253" s="254" t="s">
        <v>2250</v>
      </c>
      <c r="J1253" s="176"/>
      <c r="K1253" s="254" t="s">
        <v>2246</v>
      </c>
      <c r="L1253" s="254" t="s">
        <v>2227</v>
      </c>
      <c r="M1253" s="176"/>
      <c r="N1253" s="176"/>
      <c r="O1253" s="255" t="s">
        <v>2291</v>
      </c>
    </row>
    <row r="1254" spans="1:15" ht="16.149999999999999" customHeight="1" x14ac:dyDescent="0.25">
      <c r="A1254" s="172">
        <v>41649</v>
      </c>
      <c r="B1254" s="173" t="s">
        <v>49</v>
      </c>
      <c r="C1254" s="252" t="s">
        <v>2193</v>
      </c>
      <c r="D1254" s="252" t="s">
        <v>2302</v>
      </c>
      <c r="E1254" s="252" t="s">
        <v>2238</v>
      </c>
      <c r="F1254" s="252" t="s">
        <v>2246</v>
      </c>
      <c r="G1254" s="252" t="s">
        <v>2298</v>
      </c>
      <c r="H1254" s="252" t="s">
        <v>2254</v>
      </c>
      <c r="I1254" s="252" t="s">
        <v>2250</v>
      </c>
      <c r="J1254" s="174"/>
      <c r="K1254" s="252" t="s">
        <v>2246</v>
      </c>
      <c r="L1254" s="252" t="s">
        <v>2213</v>
      </c>
      <c r="M1254" s="174"/>
      <c r="N1254" s="174"/>
      <c r="O1254" s="253" t="s">
        <v>2224</v>
      </c>
    </row>
    <row r="1255" spans="1:15" ht="16.149999999999999" customHeight="1" x14ac:dyDescent="0.25">
      <c r="A1255" s="172">
        <v>41648</v>
      </c>
      <c r="B1255" s="175" t="s">
        <v>49</v>
      </c>
      <c r="C1255" s="254" t="s">
        <v>2192</v>
      </c>
      <c r="D1255" s="254" t="s">
        <v>2223</v>
      </c>
      <c r="E1255" s="254" t="s">
        <v>2236</v>
      </c>
      <c r="F1255" s="254" t="s">
        <v>2223</v>
      </c>
      <c r="G1255" s="254" t="s">
        <v>2300</v>
      </c>
      <c r="H1255" s="254" t="s">
        <v>2254</v>
      </c>
      <c r="I1255" s="254" t="s">
        <v>2303</v>
      </c>
      <c r="J1255" s="176"/>
      <c r="K1255" s="254" t="s">
        <v>2246</v>
      </c>
      <c r="L1255" s="254" t="s">
        <v>2196</v>
      </c>
      <c r="M1255" s="176"/>
      <c r="N1255" s="176"/>
      <c r="O1255" s="255" t="s">
        <v>2303</v>
      </c>
    </row>
    <row r="1256" spans="1:15" ht="16.149999999999999" customHeight="1" x14ac:dyDescent="0.25">
      <c r="A1256" s="172">
        <v>41647</v>
      </c>
      <c r="B1256" s="173" t="s">
        <v>49</v>
      </c>
      <c r="C1256" s="252" t="s">
        <v>2304</v>
      </c>
      <c r="D1256" s="252" t="s">
        <v>2300</v>
      </c>
      <c r="E1256" s="252" t="s">
        <v>2236</v>
      </c>
      <c r="F1256" s="252" t="s">
        <v>2224</v>
      </c>
      <c r="G1256" s="252" t="s">
        <v>2238</v>
      </c>
      <c r="H1256" s="252" t="s">
        <v>2254</v>
      </c>
      <c r="I1256" s="252" t="s">
        <v>2250</v>
      </c>
      <c r="J1256" s="174"/>
      <c r="K1256" s="252" t="s">
        <v>2248</v>
      </c>
      <c r="L1256" s="252" t="s">
        <v>2295</v>
      </c>
      <c r="M1256" s="174"/>
      <c r="N1256" s="174"/>
      <c r="O1256" s="253" t="s">
        <v>2248</v>
      </c>
    </row>
    <row r="1257" spans="1:15" ht="16.149999999999999" customHeight="1" x14ac:dyDescent="0.25">
      <c r="A1257" s="172">
        <v>41646</v>
      </c>
      <c r="B1257" s="175" t="s">
        <v>49</v>
      </c>
      <c r="C1257" s="254" t="s">
        <v>2185</v>
      </c>
      <c r="D1257" s="254" t="s">
        <v>2244</v>
      </c>
      <c r="E1257" s="254" t="s">
        <v>2220</v>
      </c>
      <c r="F1257" s="254" t="s">
        <v>2228</v>
      </c>
      <c r="G1257" s="254" t="s">
        <v>2302</v>
      </c>
      <c r="H1257" s="254" t="s">
        <v>2227</v>
      </c>
      <c r="I1257" s="254" t="s">
        <v>2298</v>
      </c>
      <c r="J1257" s="176"/>
      <c r="K1257" s="254" t="s">
        <v>2295</v>
      </c>
      <c r="L1257" s="254" t="s">
        <v>2246</v>
      </c>
      <c r="M1257" s="176"/>
      <c r="N1257" s="176"/>
      <c r="O1257" s="255" t="s">
        <v>2243</v>
      </c>
    </row>
    <row r="1258" spans="1:15" ht="16.149999999999999" customHeight="1" x14ac:dyDescent="0.25">
      <c r="A1258" s="172">
        <v>41642</v>
      </c>
      <c r="B1258" s="173" t="s">
        <v>49</v>
      </c>
      <c r="C1258" s="252" t="s">
        <v>2185</v>
      </c>
      <c r="D1258" s="252" t="s">
        <v>2244</v>
      </c>
      <c r="E1258" s="252" t="s">
        <v>2224</v>
      </c>
      <c r="F1258" s="252" t="s">
        <v>2227</v>
      </c>
      <c r="G1258" s="252" t="s">
        <v>2302</v>
      </c>
      <c r="H1258" s="252" t="s">
        <v>2227</v>
      </c>
      <c r="I1258" s="252" t="s">
        <v>2305</v>
      </c>
      <c r="J1258" s="174"/>
      <c r="K1258" s="252" t="s">
        <v>2220</v>
      </c>
      <c r="L1258" s="252" t="s">
        <v>2253</v>
      </c>
      <c r="M1258" s="174"/>
      <c r="N1258" s="174"/>
      <c r="O1258" s="253" t="s">
        <v>2301</v>
      </c>
    </row>
    <row r="1259" spans="1:15" ht="16.149999999999999" customHeight="1" x14ac:dyDescent="0.25">
      <c r="A1259" s="172">
        <v>41641</v>
      </c>
      <c r="B1259" s="175" t="s">
        <v>49</v>
      </c>
      <c r="C1259" s="254" t="s">
        <v>2176</v>
      </c>
      <c r="D1259" s="254" t="s">
        <v>2228</v>
      </c>
      <c r="E1259" s="254" t="s">
        <v>2227</v>
      </c>
      <c r="F1259" s="254" t="s">
        <v>2227</v>
      </c>
      <c r="G1259" s="254" t="s">
        <v>2302</v>
      </c>
      <c r="H1259" s="254" t="s">
        <v>2227</v>
      </c>
      <c r="I1259" s="254" t="s">
        <v>2303</v>
      </c>
      <c r="J1259" s="176"/>
      <c r="K1259" s="254" t="s">
        <v>2223</v>
      </c>
      <c r="L1259" s="254" t="s">
        <v>2306</v>
      </c>
      <c r="M1259" s="176"/>
      <c r="N1259" s="176"/>
      <c r="O1259" s="255" t="s">
        <v>2291</v>
      </c>
    </row>
    <row r="1260" spans="1:15" ht="16.149999999999999" customHeight="1" x14ac:dyDescent="0.25">
      <c r="A1260" s="172">
        <v>41638</v>
      </c>
      <c r="B1260" s="173" t="s">
        <v>49</v>
      </c>
      <c r="C1260" s="252" t="s">
        <v>2186</v>
      </c>
      <c r="D1260" s="252" t="s">
        <v>2243</v>
      </c>
      <c r="E1260" s="252" t="s">
        <v>2291</v>
      </c>
      <c r="F1260" s="252" t="s">
        <v>2224</v>
      </c>
      <c r="G1260" s="252" t="s">
        <v>2223</v>
      </c>
      <c r="H1260" s="252" t="s">
        <v>2291</v>
      </c>
      <c r="I1260" s="252" t="s">
        <v>2231</v>
      </c>
      <c r="J1260" s="174"/>
      <c r="K1260" s="252" t="s">
        <v>2246</v>
      </c>
      <c r="L1260" s="252" t="s">
        <v>2191</v>
      </c>
      <c r="M1260" s="174"/>
      <c r="N1260" s="174"/>
      <c r="O1260" s="253" t="s">
        <v>2307</v>
      </c>
    </row>
    <row r="1261" spans="1:15" ht="16.149999999999999" customHeight="1" x14ac:dyDescent="0.25">
      <c r="A1261" s="172">
        <v>41635</v>
      </c>
      <c r="B1261" s="175" t="s">
        <v>49</v>
      </c>
      <c r="C1261" s="254" t="s">
        <v>2308</v>
      </c>
      <c r="D1261" s="254" t="s">
        <v>2293</v>
      </c>
      <c r="E1261" s="254" t="s">
        <v>2293</v>
      </c>
      <c r="F1261" s="254" t="s">
        <v>2224</v>
      </c>
      <c r="G1261" s="254" t="s">
        <v>2247</v>
      </c>
      <c r="H1261" s="254" t="s">
        <v>2228</v>
      </c>
      <c r="I1261" s="254" t="s">
        <v>2291</v>
      </c>
      <c r="J1261" s="176"/>
      <c r="K1261" s="254" t="s">
        <v>2220</v>
      </c>
      <c r="L1261" s="254" t="s">
        <v>2196</v>
      </c>
      <c r="M1261" s="176"/>
      <c r="N1261" s="176"/>
      <c r="O1261" s="255" t="s">
        <v>2306</v>
      </c>
    </row>
    <row r="1262" spans="1:15" ht="16.149999999999999" customHeight="1" x14ac:dyDescent="0.25">
      <c r="A1262" s="172">
        <v>41634</v>
      </c>
      <c r="B1262" s="173" t="s">
        <v>49</v>
      </c>
      <c r="C1262" s="252" t="s">
        <v>2309</v>
      </c>
      <c r="D1262" s="252" t="s">
        <v>2238</v>
      </c>
      <c r="E1262" s="252" t="s">
        <v>2300</v>
      </c>
      <c r="F1262" s="252" t="s">
        <v>2223</v>
      </c>
      <c r="G1262" s="252" t="s">
        <v>2247</v>
      </c>
      <c r="H1262" s="252" t="s">
        <v>2228</v>
      </c>
      <c r="I1262" s="252" t="s">
        <v>2293</v>
      </c>
      <c r="J1262" s="174"/>
      <c r="K1262" s="252" t="s">
        <v>2220</v>
      </c>
      <c r="L1262" s="252" t="s">
        <v>2213</v>
      </c>
      <c r="M1262" s="174"/>
      <c r="N1262" s="174"/>
      <c r="O1262" s="253" t="s">
        <v>2307</v>
      </c>
    </row>
    <row r="1263" spans="1:15" ht="16.149999999999999" customHeight="1" x14ac:dyDescent="0.25">
      <c r="A1263" s="172">
        <v>41632</v>
      </c>
      <c r="B1263" s="175" t="s">
        <v>49</v>
      </c>
      <c r="C1263" s="254" t="s">
        <v>2274</v>
      </c>
      <c r="D1263" s="254" t="s">
        <v>2300</v>
      </c>
      <c r="E1263" s="254" t="s">
        <v>2238</v>
      </c>
      <c r="F1263" s="254" t="s">
        <v>2220</v>
      </c>
      <c r="G1263" s="254" t="s">
        <v>2246</v>
      </c>
      <c r="H1263" s="254" t="s">
        <v>2228</v>
      </c>
      <c r="I1263" s="254" t="s">
        <v>2243</v>
      </c>
      <c r="J1263" s="176"/>
      <c r="K1263" s="254" t="s">
        <v>2246</v>
      </c>
      <c r="L1263" s="254" t="s">
        <v>2246</v>
      </c>
      <c r="M1263" s="176"/>
      <c r="N1263" s="176"/>
      <c r="O1263" s="255" t="s">
        <v>2306</v>
      </c>
    </row>
    <row r="1264" spans="1:15" ht="16.149999999999999" customHeight="1" x14ac:dyDescent="0.25">
      <c r="A1264" s="172">
        <v>41631</v>
      </c>
      <c r="B1264" s="173" t="s">
        <v>49</v>
      </c>
      <c r="C1264" s="252" t="s">
        <v>2310</v>
      </c>
      <c r="D1264" s="252" t="s">
        <v>2246</v>
      </c>
      <c r="E1264" s="252" t="s">
        <v>2238</v>
      </c>
      <c r="F1264" s="252" t="s">
        <v>2228</v>
      </c>
      <c r="G1264" s="252" t="s">
        <v>2246</v>
      </c>
      <c r="H1264" s="252" t="s">
        <v>2228</v>
      </c>
      <c r="I1264" s="252" t="s">
        <v>2311</v>
      </c>
      <c r="J1264" s="174"/>
      <c r="K1264" s="252" t="s">
        <v>2295</v>
      </c>
      <c r="L1264" s="252" t="s">
        <v>2246</v>
      </c>
      <c r="M1264" s="174"/>
      <c r="N1264" s="174"/>
      <c r="O1264" s="253" t="s">
        <v>2312</v>
      </c>
    </row>
    <row r="1265" spans="1:15" ht="16.149999999999999" customHeight="1" x14ac:dyDescent="0.25">
      <c r="A1265" s="172">
        <v>41628</v>
      </c>
      <c r="B1265" s="175" t="s">
        <v>49</v>
      </c>
      <c r="C1265" s="254" t="s">
        <v>2177</v>
      </c>
      <c r="D1265" s="254" t="s">
        <v>2301</v>
      </c>
      <c r="E1265" s="254" t="s">
        <v>2249</v>
      </c>
      <c r="F1265" s="254" t="s">
        <v>2246</v>
      </c>
      <c r="G1265" s="254" t="s">
        <v>2300</v>
      </c>
      <c r="H1265" s="254" t="s">
        <v>2246</v>
      </c>
      <c r="I1265" s="254" t="s">
        <v>2291</v>
      </c>
      <c r="J1265" s="176"/>
      <c r="K1265" s="254" t="s">
        <v>2253</v>
      </c>
      <c r="L1265" s="254" t="s">
        <v>2227</v>
      </c>
      <c r="M1265" s="176"/>
      <c r="N1265" s="176"/>
      <c r="O1265" s="255" t="s">
        <v>2313</v>
      </c>
    </row>
    <row r="1266" spans="1:15" ht="16.149999999999999" customHeight="1" x14ac:dyDescent="0.25">
      <c r="A1266" s="172">
        <v>41627</v>
      </c>
      <c r="B1266" s="173" t="s">
        <v>49</v>
      </c>
      <c r="C1266" s="252" t="s">
        <v>2265</v>
      </c>
      <c r="D1266" s="252" t="s">
        <v>2250</v>
      </c>
      <c r="E1266" s="252" t="s">
        <v>2314</v>
      </c>
      <c r="F1266" s="252" t="s">
        <v>2246</v>
      </c>
      <c r="G1266" s="252" t="s">
        <v>2250</v>
      </c>
      <c r="H1266" s="252" t="s">
        <v>2246</v>
      </c>
      <c r="I1266" s="252" t="s">
        <v>2293</v>
      </c>
      <c r="J1266" s="174"/>
      <c r="K1266" s="252" t="s">
        <v>2315</v>
      </c>
      <c r="L1266" s="252" t="s">
        <v>2316</v>
      </c>
      <c r="M1266" s="174"/>
      <c r="N1266" s="174"/>
      <c r="O1266" s="253" t="s">
        <v>2317</v>
      </c>
    </row>
    <row r="1267" spans="1:15" ht="16.149999999999999" customHeight="1" x14ac:dyDescent="0.25">
      <c r="A1267" s="172">
        <v>41626</v>
      </c>
      <c r="B1267" s="175" t="s">
        <v>49</v>
      </c>
      <c r="C1267" s="254" t="s">
        <v>2195</v>
      </c>
      <c r="D1267" s="254" t="s">
        <v>2305</v>
      </c>
      <c r="E1267" s="254" t="s">
        <v>2223</v>
      </c>
      <c r="F1267" s="254" t="s">
        <v>2223</v>
      </c>
      <c r="G1267" s="254" t="s">
        <v>2305</v>
      </c>
      <c r="H1267" s="254" t="s">
        <v>2246</v>
      </c>
      <c r="I1267" s="254" t="s">
        <v>2318</v>
      </c>
      <c r="J1267" s="176"/>
      <c r="K1267" s="254" t="s">
        <v>2306</v>
      </c>
      <c r="L1267" s="254" t="s">
        <v>2295</v>
      </c>
      <c r="M1267" s="176"/>
      <c r="N1267" s="176"/>
      <c r="O1267" s="255" t="s">
        <v>2319</v>
      </c>
    </row>
    <row r="1268" spans="1:15" ht="16.149999999999999" customHeight="1" x14ac:dyDescent="0.25">
      <c r="A1268" s="172">
        <v>41625</v>
      </c>
      <c r="B1268" s="173" t="s">
        <v>49</v>
      </c>
      <c r="C1268" s="252" t="s">
        <v>2289</v>
      </c>
      <c r="D1268" s="252" t="s">
        <v>2253</v>
      </c>
      <c r="E1268" s="252" t="s">
        <v>2238</v>
      </c>
      <c r="F1268" s="252" t="s">
        <v>2223</v>
      </c>
      <c r="G1268" s="252" t="s">
        <v>2249</v>
      </c>
      <c r="H1268" s="252" t="s">
        <v>2246</v>
      </c>
      <c r="I1268" s="252" t="s">
        <v>2320</v>
      </c>
      <c r="J1268" s="174"/>
      <c r="K1268" s="252" t="s">
        <v>2321</v>
      </c>
      <c r="L1268" s="252" t="s">
        <v>2316</v>
      </c>
      <c r="M1268" s="174"/>
      <c r="N1268" s="174"/>
      <c r="O1268" s="253" t="s">
        <v>2321</v>
      </c>
    </row>
    <row r="1269" spans="1:15" ht="16.149999999999999" customHeight="1" x14ac:dyDescent="0.25">
      <c r="A1269" s="172">
        <v>41624</v>
      </c>
      <c r="B1269" s="175" t="s">
        <v>49</v>
      </c>
      <c r="C1269" s="254" t="s">
        <v>2322</v>
      </c>
      <c r="D1269" s="254" t="s">
        <v>2247</v>
      </c>
      <c r="E1269" s="254" t="s">
        <v>2220</v>
      </c>
      <c r="F1269" s="254" t="s">
        <v>2301</v>
      </c>
      <c r="G1269" s="254" t="s">
        <v>2323</v>
      </c>
      <c r="H1269" s="254" t="s">
        <v>2302</v>
      </c>
      <c r="I1269" s="254" t="s">
        <v>2236</v>
      </c>
      <c r="J1269" s="176"/>
      <c r="K1269" s="254" t="s">
        <v>2324</v>
      </c>
      <c r="L1269" s="254" t="s">
        <v>2246</v>
      </c>
      <c r="M1269" s="176"/>
      <c r="N1269" s="176"/>
      <c r="O1269" s="255" t="s">
        <v>2325</v>
      </c>
    </row>
    <row r="1270" spans="1:15" ht="16.149999999999999" customHeight="1" x14ac:dyDescent="0.25">
      <c r="A1270" s="172">
        <v>41621</v>
      </c>
      <c r="B1270" s="173" t="s">
        <v>49</v>
      </c>
      <c r="C1270" s="252" t="s">
        <v>2310</v>
      </c>
      <c r="D1270" s="252" t="s">
        <v>2246</v>
      </c>
      <c r="E1270" s="252" t="s">
        <v>2246</v>
      </c>
      <c r="F1270" s="252" t="s">
        <v>2246</v>
      </c>
      <c r="G1270" s="252" t="s">
        <v>2323</v>
      </c>
      <c r="H1270" s="252" t="s">
        <v>2302</v>
      </c>
      <c r="I1270" s="252" t="s">
        <v>2298</v>
      </c>
      <c r="J1270" s="174"/>
      <c r="K1270" s="252" t="s">
        <v>2246</v>
      </c>
      <c r="L1270" s="252" t="s">
        <v>2196</v>
      </c>
      <c r="M1270" s="174"/>
      <c r="N1270" s="174"/>
      <c r="O1270" s="253" t="s">
        <v>2324</v>
      </c>
    </row>
    <row r="1271" spans="1:15" ht="16.149999999999999" customHeight="1" x14ac:dyDescent="0.25">
      <c r="A1271" s="172">
        <v>41620</v>
      </c>
      <c r="B1271" s="175" t="s">
        <v>49</v>
      </c>
      <c r="C1271" s="254" t="s">
        <v>2184</v>
      </c>
      <c r="D1271" s="254" t="s">
        <v>2314</v>
      </c>
      <c r="E1271" s="254" t="s">
        <v>2295</v>
      </c>
      <c r="F1271" s="254" t="s">
        <v>2223</v>
      </c>
      <c r="G1271" s="254" t="s">
        <v>2247</v>
      </c>
      <c r="H1271" s="254" t="s">
        <v>2302</v>
      </c>
      <c r="I1271" s="254" t="s">
        <v>2326</v>
      </c>
      <c r="J1271" s="176"/>
      <c r="K1271" s="254" t="s">
        <v>2248</v>
      </c>
      <c r="L1271" s="254" t="s">
        <v>2214</v>
      </c>
      <c r="M1271" s="176"/>
      <c r="N1271" s="176"/>
      <c r="O1271" s="255" t="s">
        <v>2318</v>
      </c>
    </row>
    <row r="1272" spans="1:15" ht="16.149999999999999" customHeight="1" x14ac:dyDescent="0.25">
      <c r="A1272" s="172">
        <v>41619</v>
      </c>
      <c r="B1272" s="173" t="s">
        <v>49</v>
      </c>
      <c r="C1272" s="252" t="s">
        <v>2184</v>
      </c>
      <c r="D1272" s="252" t="s">
        <v>2314</v>
      </c>
      <c r="E1272" s="252" t="s">
        <v>2295</v>
      </c>
      <c r="F1272" s="252" t="s">
        <v>2248</v>
      </c>
      <c r="G1272" s="252" t="s">
        <v>2246</v>
      </c>
      <c r="H1272" s="252" t="s">
        <v>2244</v>
      </c>
      <c r="I1272" s="252" t="s">
        <v>2244</v>
      </c>
      <c r="J1272" s="174"/>
      <c r="K1272" s="252" t="s">
        <v>2327</v>
      </c>
      <c r="L1272" s="252" t="s">
        <v>2213</v>
      </c>
      <c r="M1272" s="174"/>
      <c r="N1272" s="174"/>
      <c r="O1272" s="253" t="s">
        <v>2328</v>
      </c>
    </row>
    <row r="1273" spans="1:15" ht="16.149999999999999" customHeight="1" x14ac:dyDescent="0.25">
      <c r="A1273" s="172">
        <v>41618</v>
      </c>
      <c r="B1273" s="175" t="s">
        <v>49</v>
      </c>
      <c r="C1273" s="254" t="s">
        <v>2329</v>
      </c>
      <c r="D1273" s="254" t="s">
        <v>2326</v>
      </c>
      <c r="E1273" s="254" t="s">
        <v>2253</v>
      </c>
      <c r="F1273" s="254" t="s">
        <v>2248</v>
      </c>
      <c r="G1273" s="254" t="s">
        <v>2323</v>
      </c>
      <c r="H1273" s="254" t="s">
        <v>2223</v>
      </c>
      <c r="I1273" s="254" t="s">
        <v>2330</v>
      </c>
      <c r="J1273" s="176"/>
      <c r="K1273" s="254" t="s">
        <v>2331</v>
      </c>
      <c r="L1273" s="254" t="s">
        <v>2227</v>
      </c>
      <c r="M1273" s="176"/>
      <c r="N1273" s="176"/>
      <c r="O1273" s="255" t="s">
        <v>2332</v>
      </c>
    </row>
    <row r="1274" spans="1:15" ht="16.149999999999999" customHeight="1" x14ac:dyDescent="0.25">
      <c r="A1274" s="172">
        <v>41617</v>
      </c>
      <c r="B1274" s="173" t="s">
        <v>49</v>
      </c>
      <c r="C1274" s="252" t="s">
        <v>2282</v>
      </c>
      <c r="D1274" s="252" t="s">
        <v>2295</v>
      </c>
      <c r="E1274" s="252" t="s">
        <v>2295</v>
      </c>
      <c r="F1274" s="252" t="s">
        <v>2295</v>
      </c>
      <c r="G1274" s="252" t="s">
        <v>2250</v>
      </c>
      <c r="H1274" s="252" t="s">
        <v>2302</v>
      </c>
      <c r="I1274" s="252" t="s">
        <v>2307</v>
      </c>
      <c r="J1274" s="174"/>
      <c r="K1274" s="252" t="s">
        <v>2306</v>
      </c>
      <c r="L1274" s="252" t="s">
        <v>2213</v>
      </c>
      <c r="M1274" s="174"/>
      <c r="N1274" s="174"/>
      <c r="O1274" s="253" t="s">
        <v>2333</v>
      </c>
    </row>
    <row r="1275" spans="1:15" ht="16.149999999999999" customHeight="1" x14ac:dyDescent="0.25">
      <c r="A1275" s="172">
        <v>41614</v>
      </c>
      <c r="B1275" s="175" t="s">
        <v>49</v>
      </c>
      <c r="C1275" s="254" t="s">
        <v>2310</v>
      </c>
      <c r="D1275" s="254" t="s">
        <v>2246</v>
      </c>
      <c r="E1275" s="254" t="s">
        <v>2238</v>
      </c>
      <c r="F1275" s="254" t="s">
        <v>2224</v>
      </c>
      <c r="G1275" s="254" t="s">
        <v>2220</v>
      </c>
      <c r="H1275" s="254" t="s">
        <v>2244</v>
      </c>
      <c r="I1275" s="254" t="s">
        <v>2334</v>
      </c>
      <c r="J1275" s="176"/>
      <c r="K1275" s="254" t="s">
        <v>2306</v>
      </c>
      <c r="L1275" s="254" t="s">
        <v>2253</v>
      </c>
      <c r="M1275" s="176"/>
      <c r="N1275" s="176"/>
      <c r="O1275" s="255" t="s">
        <v>2305</v>
      </c>
    </row>
    <row r="1276" spans="1:15" ht="16.149999999999999" customHeight="1" x14ac:dyDescent="0.25">
      <c r="A1276" s="172">
        <v>41613</v>
      </c>
      <c r="B1276" s="173" t="s">
        <v>49</v>
      </c>
      <c r="C1276" s="252" t="s">
        <v>2299</v>
      </c>
      <c r="D1276" s="252" t="s">
        <v>2236</v>
      </c>
      <c r="E1276" s="252" t="s">
        <v>2220</v>
      </c>
      <c r="F1276" s="252" t="s">
        <v>2220</v>
      </c>
      <c r="G1276" s="252" t="s">
        <v>2300</v>
      </c>
      <c r="H1276" s="252" t="s">
        <v>2236</v>
      </c>
      <c r="I1276" s="252" t="s">
        <v>2235</v>
      </c>
      <c r="J1276" s="174"/>
      <c r="K1276" s="252" t="s">
        <v>2224</v>
      </c>
      <c r="L1276" s="252" t="s">
        <v>2227</v>
      </c>
      <c r="M1276" s="174"/>
      <c r="N1276" s="174"/>
      <c r="O1276" s="253" t="s">
        <v>2250</v>
      </c>
    </row>
    <row r="1277" spans="1:15" ht="16.149999999999999" customHeight="1" x14ac:dyDescent="0.25">
      <c r="A1277" s="172">
        <v>41612</v>
      </c>
      <c r="B1277" s="175" t="s">
        <v>49</v>
      </c>
      <c r="C1277" s="254" t="s">
        <v>2176</v>
      </c>
      <c r="D1277" s="254" t="s">
        <v>2228</v>
      </c>
      <c r="E1277" s="254" t="s">
        <v>2223</v>
      </c>
      <c r="F1277" s="254" t="s">
        <v>2224</v>
      </c>
      <c r="G1277" s="254" t="s">
        <v>2301</v>
      </c>
      <c r="H1277" s="254" t="s">
        <v>2244</v>
      </c>
      <c r="I1277" s="254" t="s">
        <v>2230</v>
      </c>
      <c r="J1277" s="176"/>
      <c r="K1277" s="254" t="s">
        <v>2224</v>
      </c>
      <c r="L1277" s="254" t="s">
        <v>2191</v>
      </c>
      <c r="M1277" s="176"/>
      <c r="N1277" s="176"/>
      <c r="O1277" s="255" t="s">
        <v>2248</v>
      </c>
    </row>
    <row r="1278" spans="1:15" ht="16.149999999999999" customHeight="1" x14ac:dyDescent="0.25">
      <c r="A1278" s="172">
        <v>41611</v>
      </c>
      <c r="B1278" s="173" t="s">
        <v>49</v>
      </c>
      <c r="C1278" s="252" t="s">
        <v>2335</v>
      </c>
      <c r="D1278" s="252" t="s">
        <v>2220</v>
      </c>
      <c r="E1278" s="252" t="s">
        <v>2220</v>
      </c>
      <c r="F1278" s="252" t="s">
        <v>2223</v>
      </c>
      <c r="G1278" s="252" t="s">
        <v>2248</v>
      </c>
      <c r="H1278" s="252" t="s">
        <v>2244</v>
      </c>
      <c r="I1278" s="252" t="s">
        <v>2230</v>
      </c>
      <c r="J1278" s="174"/>
      <c r="K1278" s="252" t="s">
        <v>2293</v>
      </c>
      <c r="L1278" s="252" t="s">
        <v>2196</v>
      </c>
      <c r="M1278" s="174"/>
      <c r="N1278" s="174"/>
      <c r="O1278" s="253" t="s">
        <v>2336</v>
      </c>
    </row>
    <row r="1279" spans="1:15" ht="16.149999999999999" customHeight="1" x14ac:dyDescent="0.25">
      <c r="A1279" s="172">
        <v>41610</v>
      </c>
      <c r="B1279" s="175" t="s">
        <v>49</v>
      </c>
      <c r="C1279" s="254" t="s">
        <v>2193</v>
      </c>
      <c r="D1279" s="254" t="s">
        <v>2302</v>
      </c>
      <c r="E1279" s="254" t="s">
        <v>2295</v>
      </c>
      <c r="F1279" s="254" t="s">
        <v>2220</v>
      </c>
      <c r="G1279" s="254" t="s">
        <v>2248</v>
      </c>
      <c r="H1279" s="254" t="s">
        <v>2249</v>
      </c>
      <c r="I1279" s="254" t="s">
        <v>2242</v>
      </c>
      <c r="J1279" s="176"/>
      <c r="K1279" s="254" t="s">
        <v>2220</v>
      </c>
      <c r="L1279" s="254" t="s">
        <v>2196</v>
      </c>
      <c r="M1279" s="176"/>
      <c r="N1279" s="176"/>
      <c r="O1279" s="255" t="s">
        <v>2246</v>
      </c>
    </row>
    <row r="1280" spans="1:15" ht="16.149999999999999" customHeight="1" x14ac:dyDescent="0.25">
      <c r="A1280" s="172">
        <v>41607</v>
      </c>
      <c r="B1280" s="173" t="s">
        <v>49</v>
      </c>
      <c r="C1280" s="252" t="s">
        <v>2282</v>
      </c>
      <c r="D1280" s="252" t="s">
        <v>2295</v>
      </c>
      <c r="E1280" s="252" t="s">
        <v>2334</v>
      </c>
      <c r="F1280" s="252" t="s">
        <v>2246</v>
      </c>
      <c r="G1280" s="252" t="s">
        <v>2295</v>
      </c>
      <c r="H1280" s="252" t="s">
        <v>2302</v>
      </c>
      <c r="I1280" s="252" t="s">
        <v>2337</v>
      </c>
      <c r="J1280" s="174"/>
      <c r="K1280" s="252" t="s">
        <v>2295</v>
      </c>
      <c r="L1280" s="252" t="s">
        <v>2196</v>
      </c>
      <c r="M1280" s="174"/>
      <c r="N1280" s="174"/>
      <c r="O1280" s="253" t="s">
        <v>2331</v>
      </c>
    </row>
    <row r="1281" spans="1:15" ht="16.149999999999999" customHeight="1" x14ac:dyDescent="0.25">
      <c r="A1281" s="172">
        <v>41606</v>
      </c>
      <c r="B1281" s="175" t="s">
        <v>49</v>
      </c>
      <c r="C1281" s="254" t="s">
        <v>2200</v>
      </c>
      <c r="D1281" s="254" t="s">
        <v>2334</v>
      </c>
      <c r="E1281" s="254" t="s">
        <v>2334</v>
      </c>
      <c r="F1281" s="254" t="s">
        <v>2246</v>
      </c>
      <c r="G1281" s="254" t="s">
        <v>2302</v>
      </c>
      <c r="H1281" s="254" t="s">
        <v>2244</v>
      </c>
      <c r="I1281" s="254" t="s">
        <v>2326</v>
      </c>
      <c r="J1281" s="176"/>
      <c r="K1281" s="254" t="s">
        <v>2338</v>
      </c>
      <c r="L1281" s="254" t="s">
        <v>2306</v>
      </c>
      <c r="M1281" s="176"/>
      <c r="N1281" s="176"/>
      <c r="O1281" s="255" t="s">
        <v>2334</v>
      </c>
    </row>
    <row r="1282" spans="1:15" ht="16.149999999999999" customHeight="1" x14ac:dyDescent="0.25">
      <c r="A1282" s="172">
        <v>41605</v>
      </c>
      <c r="B1282" s="173" t="s">
        <v>49</v>
      </c>
      <c r="C1282" s="252" t="s">
        <v>2310</v>
      </c>
      <c r="D1282" s="252" t="s">
        <v>2246</v>
      </c>
      <c r="E1282" s="252" t="s">
        <v>2339</v>
      </c>
      <c r="F1282" s="252" t="s">
        <v>2246</v>
      </c>
      <c r="G1282" s="252" t="s">
        <v>2223</v>
      </c>
      <c r="H1282" s="252" t="s">
        <v>2244</v>
      </c>
      <c r="I1282" s="252" t="s">
        <v>2250</v>
      </c>
      <c r="J1282" s="174"/>
      <c r="K1282" s="252" t="s">
        <v>2338</v>
      </c>
      <c r="L1282" s="252" t="s">
        <v>2295</v>
      </c>
      <c r="M1282" s="174"/>
      <c r="N1282" s="174"/>
      <c r="O1282" s="253" t="s">
        <v>2222</v>
      </c>
    </row>
    <row r="1283" spans="1:15" ht="16.149999999999999" customHeight="1" x14ac:dyDescent="0.25">
      <c r="A1283" s="172">
        <v>41604</v>
      </c>
      <c r="B1283" s="175" t="s">
        <v>49</v>
      </c>
      <c r="C1283" s="254" t="s">
        <v>2274</v>
      </c>
      <c r="D1283" s="254" t="s">
        <v>2300</v>
      </c>
      <c r="E1283" s="254" t="s">
        <v>2248</v>
      </c>
      <c r="F1283" s="254" t="s">
        <v>2223</v>
      </c>
      <c r="G1283" s="254" t="s">
        <v>2228</v>
      </c>
      <c r="H1283" s="254" t="s">
        <v>2228</v>
      </c>
      <c r="I1283" s="254" t="s">
        <v>2255</v>
      </c>
      <c r="J1283" s="176"/>
      <c r="K1283" s="254" t="s">
        <v>2249</v>
      </c>
      <c r="L1283" s="254" t="s">
        <v>2295</v>
      </c>
      <c r="M1283" s="176"/>
      <c r="N1283" s="176"/>
      <c r="O1283" s="255" t="s">
        <v>2247</v>
      </c>
    </row>
    <row r="1284" spans="1:15" ht="16.149999999999999" customHeight="1" x14ac:dyDescent="0.25">
      <c r="A1284" s="172">
        <v>41603</v>
      </c>
      <c r="B1284" s="173" t="s">
        <v>49</v>
      </c>
      <c r="C1284" s="252" t="s">
        <v>2185</v>
      </c>
      <c r="D1284" s="252" t="s">
        <v>2220</v>
      </c>
      <c r="E1284" s="252" t="s">
        <v>2250</v>
      </c>
      <c r="F1284" s="252" t="s">
        <v>2220</v>
      </c>
      <c r="G1284" s="252" t="s">
        <v>2291</v>
      </c>
      <c r="H1284" s="252" t="s">
        <v>2224</v>
      </c>
      <c r="I1284" s="252" t="s">
        <v>2338</v>
      </c>
      <c r="J1284" s="174"/>
      <c r="K1284" s="252" t="s">
        <v>2220</v>
      </c>
      <c r="L1284" s="252" t="s">
        <v>2295</v>
      </c>
      <c r="M1284" s="174"/>
      <c r="N1284" s="174"/>
      <c r="O1284" s="253" t="s">
        <v>2230</v>
      </c>
    </row>
    <row r="1285" spans="1:15" ht="16.149999999999999" customHeight="1" x14ac:dyDescent="0.25">
      <c r="A1285" s="172">
        <v>41600</v>
      </c>
      <c r="B1285" s="175" t="s">
        <v>49</v>
      </c>
      <c r="C1285" s="254" t="s">
        <v>2186</v>
      </c>
      <c r="D1285" s="254" t="s">
        <v>2291</v>
      </c>
      <c r="E1285" s="254" t="s">
        <v>2251</v>
      </c>
      <c r="F1285" s="254" t="s">
        <v>2227</v>
      </c>
      <c r="G1285" s="254" t="s">
        <v>2254</v>
      </c>
      <c r="H1285" s="254" t="s">
        <v>2254</v>
      </c>
      <c r="I1285" s="254" t="s">
        <v>2235</v>
      </c>
      <c r="J1285" s="176"/>
      <c r="K1285" s="254" t="s">
        <v>2224</v>
      </c>
      <c r="L1285" s="254" t="s">
        <v>2246</v>
      </c>
      <c r="M1285" s="176"/>
      <c r="N1285" s="176"/>
      <c r="O1285" s="255" t="s">
        <v>2248</v>
      </c>
    </row>
    <row r="1286" spans="1:15" ht="16.149999999999999" customHeight="1" x14ac:dyDescent="0.25">
      <c r="A1286" s="172">
        <v>41599</v>
      </c>
      <c r="B1286" s="173" t="s">
        <v>49</v>
      </c>
      <c r="C1286" s="252" t="s">
        <v>2183</v>
      </c>
      <c r="D1286" s="252" t="s">
        <v>2291</v>
      </c>
      <c r="E1286" s="252" t="s">
        <v>2251</v>
      </c>
      <c r="F1286" s="252" t="s">
        <v>2255</v>
      </c>
      <c r="G1286" s="252" t="s">
        <v>2243</v>
      </c>
      <c r="H1286" s="252" t="s">
        <v>2291</v>
      </c>
      <c r="I1286" s="252" t="s">
        <v>2264</v>
      </c>
      <c r="J1286" s="174"/>
      <c r="K1286" s="252" t="s">
        <v>2293</v>
      </c>
      <c r="L1286" s="252" t="s">
        <v>2246</v>
      </c>
      <c r="M1286" s="174"/>
      <c r="N1286" s="174"/>
      <c r="O1286" s="253" t="s">
        <v>2230</v>
      </c>
    </row>
    <row r="1287" spans="1:15" ht="16.149999999999999" customHeight="1" x14ac:dyDescent="0.25">
      <c r="A1287" s="172">
        <v>41598</v>
      </c>
      <c r="B1287" s="175" t="s">
        <v>49</v>
      </c>
      <c r="C1287" s="254" t="s">
        <v>2340</v>
      </c>
      <c r="D1287" s="254" t="s">
        <v>2231</v>
      </c>
      <c r="E1287" s="254" t="s">
        <v>2251</v>
      </c>
      <c r="F1287" s="254" t="s">
        <v>2227</v>
      </c>
      <c r="G1287" s="254" t="s">
        <v>2254</v>
      </c>
      <c r="H1287" s="254" t="s">
        <v>2231</v>
      </c>
      <c r="I1287" s="254" t="s">
        <v>2264</v>
      </c>
      <c r="J1287" s="176"/>
      <c r="K1287" s="254" t="s">
        <v>2224</v>
      </c>
      <c r="L1287" s="254" t="s">
        <v>2220</v>
      </c>
      <c r="M1287" s="176"/>
      <c r="N1287" s="176"/>
      <c r="O1287" s="255" t="s">
        <v>2219</v>
      </c>
    </row>
    <row r="1288" spans="1:15" ht="16.149999999999999" customHeight="1" x14ac:dyDescent="0.25">
      <c r="A1288" s="172">
        <v>41597</v>
      </c>
      <c r="B1288" s="173" t="s">
        <v>49</v>
      </c>
      <c r="C1288" s="252" t="s">
        <v>2296</v>
      </c>
      <c r="D1288" s="252" t="s">
        <v>2227</v>
      </c>
      <c r="E1288" s="252" t="s">
        <v>2231</v>
      </c>
      <c r="F1288" s="252" t="s">
        <v>2213</v>
      </c>
      <c r="G1288" s="252" t="s">
        <v>2291</v>
      </c>
      <c r="H1288" s="252" t="s">
        <v>2255</v>
      </c>
      <c r="I1288" s="252" t="s">
        <v>2208</v>
      </c>
      <c r="J1288" s="174"/>
      <c r="K1288" s="252" t="s">
        <v>2227</v>
      </c>
      <c r="L1288" s="252" t="s">
        <v>2227</v>
      </c>
      <c r="M1288" s="174"/>
      <c r="N1288" s="174"/>
      <c r="O1288" s="253" t="s">
        <v>2223</v>
      </c>
    </row>
    <row r="1289" spans="1:15" ht="16.149999999999999" customHeight="1" x14ac:dyDescent="0.25">
      <c r="A1289" s="172">
        <v>41596</v>
      </c>
      <c r="B1289" s="175" t="s">
        <v>49</v>
      </c>
      <c r="C1289" s="254" t="s">
        <v>2233</v>
      </c>
      <c r="D1289" s="254" t="s">
        <v>2234</v>
      </c>
      <c r="E1289" s="254" t="s">
        <v>2254</v>
      </c>
      <c r="F1289" s="254" t="s">
        <v>2222</v>
      </c>
      <c r="G1289" s="254" t="s">
        <v>2243</v>
      </c>
      <c r="H1289" s="254" t="s">
        <v>2237</v>
      </c>
      <c r="I1289" s="254" t="s">
        <v>2341</v>
      </c>
      <c r="J1289" s="176"/>
      <c r="K1289" s="254" t="s">
        <v>2227</v>
      </c>
      <c r="L1289" s="254" t="s">
        <v>2184</v>
      </c>
      <c r="M1289" s="176"/>
      <c r="N1289" s="176"/>
      <c r="O1289" s="255" t="s">
        <v>2219</v>
      </c>
    </row>
    <row r="1290" spans="1:15" ht="16.149999999999999" customHeight="1" x14ac:dyDescent="0.25">
      <c r="A1290" s="172">
        <v>41593</v>
      </c>
      <c r="B1290" s="173" t="s">
        <v>49</v>
      </c>
      <c r="C1290" s="252" t="s">
        <v>2241</v>
      </c>
      <c r="D1290" s="252" t="s">
        <v>2242</v>
      </c>
      <c r="E1290" s="252" t="s">
        <v>2231</v>
      </c>
      <c r="F1290" s="252" t="s">
        <v>2213</v>
      </c>
      <c r="G1290" s="252" t="s">
        <v>2255</v>
      </c>
      <c r="H1290" s="252" t="s">
        <v>2237</v>
      </c>
      <c r="I1290" s="252" t="s">
        <v>2244</v>
      </c>
      <c r="J1290" s="174"/>
      <c r="K1290" s="252" t="s">
        <v>2222</v>
      </c>
      <c r="L1290" s="252" t="s">
        <v>2220</v>
      </c>
      <c r="M1290" s="174"/>
      <c r="N1290" s="174"/>
      <c r="O1290" s="253" t="s">
        <v>2250</v>
      </c>
    </row>
    <row r="1291" spans="1:15" ht="16.149999999999999" customHeight="1" x14ac:dyDescent="0.25">
      <c r="A1291" s="172">
        <v>41592</v>
      </c>
      <c r="B1291" s="175" t="s">
        <v>49</v>
      </c>
      <c r="C1291" s="254" t="s">
        <v>2178</v>
      </c>
      <c r="D1291" s="254" t="s">
        <v>2237</v>
      </c>
      <c r="E1291" s="254" t="s">
        <v>2258</v>
      </c>
      <c r="F1291" s="254" t="s">
        <v>2219</v>
      </c>
      <c r="G1291" s="254" t="s">
        <v>2222</v>
      </c>
      <c r="H1291" s="254" t="s">
        <v>2237</v>
      </c>
      <c r="I1291" s="254" t="s">
        <v>2264</v>
      </c>
      <c r="J1291" s="176"/>
      <c r="K1291" s="254" t="s">
        <v>2213</v>
      </c>
      <c r="L1291" s="254" t="s">
        <v>2220</v>
      </c>
      <c r="M1291" s="176"/>
      <c r="N1291" s="176"/>
      <c r="O1291" s="255" t="s">
        <v>2227</v>
      </c>
    </row>
    <row r="1292" spans="1:15" ht="16.149999999999999" customHeight="1" x14ac:dyDescent="0.25">
      <c r="A1292" s="172">
        <v>41591</v>
      </c>
      <c r="B1292" s="173" t="s">
        <v>49</v>
      </c>
      <c r="C1292" s="252" t="s">
        <v>2168</v>
      </c>
      <c r="D1292" s="252" t="s">
        <v>2230</v>
      </c>
      <c r="E1292" s="252" t="s">
        <v>2222</v>
      </c>
      <c r="F1292" s="252" t="s">
        <v>2219</v>
      </c>
      <c r="G1292" s="252" t="s">
        <v>2222</v>
      </c>
      <c r="H1292" s="252" t="s">
        <v>2237</v>
      </c>
      <c r="I1292" s="252" t="s">
        <v>2264</v>
      </c>
      <c r="J1292" s="174"/>
      <c r="K1292" s="252" t="s">
        <v>2213</v>
      </c>
      <c r="L1292" s="252" t="s">
        <v>2246</v>
      </c>
      <c r="M1292" s="174"/>
      <c r="N1292" s="174"/>
      <c r="O1292" s="253" t="s">
        <v>2240</v>
      </c>
    </row>
    <row r="1293" spans="1:15" ht="16.149999999999999" customHeight="1" x14ac:dyDescent="0.25">
      <c r="A1293" s="172">
        <v>41590</v>
      </c>
      <c r="B1293" s="175" t="s">
        <v>49</v>
      </c>
      <c r="C1293" s="254" t="s">
        <v>2257</v>
      </c>
      <c r="D1293" s="254" t="s">
        <v>2245</v>
      </c>
      <c r="E1293" s="254" t="s">
        <v>2242</v>
      </c>
      <c r="F1293" s="254" t="s">
        <v>2214</v>
      </c>
      <c r="G1293" s="254" t="s">
        <v>2239</v>
      </c>
      <c r="H1293" s="254" t="s">
        <v>2237</v>
      </c>
      <c r="I1293" s="254" t="s">
        <v>2210</v>
      </c>
      <c r="J1293" s="176"/>
      <c r="K1293" s="254" t="s">
        <v>2219</v>
      </c>
      <c r="L1293" s="254" t="s">
        <v>2246</v>
      </c>
      <c r="M1293" s="176"/>
      <c r="N1293" s="176"/>
      <c r="O1293" s="255" t="s">
        <v>2295</v>
      </c>
    </row>
    <row r="1294" spans="1:15" ht="16.149999999999999" customHeight="1" x14ac:dyDescent="0.25">
      <c r="A1294" s="172">
        <v>41586</v>
      </c>
      <c r="B1294" s="173" t="s">
        <v>49</v>
      </c>
      <c r="C1294" s="252" t="s">
        <v>2292</v>
      </c>
      <c r="D1294" s="252" t="s">
        <v>2222</v>
      </c>
      <c r="E1294" s="252" t="s">
        <v>2231</v>
      </c>
      <c r="F1294" s="252" t="s">
        <v>2214</v>
      </c>
      <c r="G1294" s="252" t="s">
        <v>2255</v>
      </c>
      <c r="H1294" s="252" t="s">
        <v>2237</v>
      </c>
      <c r="I1294" s="252" t="s">
        <v>2213</v>
      </c>
      <c r="J1294" s="174"/>
      <c r="K1294" s="252" t="s">
        <v>2214</v>
      </c>
      <c r="L1294" s="252" t="s">
        <v>2220</v>
      </c>
      <c r="M1294" s="174"/>
      <c r="N1294" s="174"/>
      <c r="O1294" s="253" t="s">
        <v>2326</v>
      </c>
    </row>
    <row r="1295" spans="1:15" ht="16.149999999999999" customHeight="1" x14ac:dyDescent="0.25">
      <c r="A1295" s="172">
        <v>41585</v>
      </c>
      <c r="B1295" s="175" t="s">
        <v>49</v>
      </c>
      <c r="C1295" s="254" t="s">
        <v>2297</v>
      </c>
      <c r="D1295" s="254" t="s">
        <v>2251</v>
      </c>
      <c r="E1295" s="254" t="s">
        <v>2238</v>
      </c>
      <c r="F1295" s="254" t="s">
        <v>2213</v>
      </c>
      <c r="G1295" s="254" t="s">
        <v>2255</v>
      </c>
      <c r="H1295" s="254" t="s">
        <v>2237</v>
      </c>
      <c r="I1295" s="254" t="s">
        <v>2326</v>
      </c>
      <c r="J1295" s="176"/>
      <c r="K1295" s="254" t="s">
        <v>2227</v>
      </c>
      <c r="L1295" s="254" t="s">
        <v>2306</v>
      </c>
      <c r="M1295" s="176"/>
      <c r="N1295" s="176"/>
      <c r="O1295" s="255" t="s">
        <v>2336</v>
      </c>
    </row>
    <row r="1296" spans="1:15" ht="16.149999999999999" customHeight="1" x14ac:dyDescent="0.25">
      <c r="A1296" s="172">
        <v>41584</v>
      </c>
      <c r="B1296" s="173" t="s">
        <v>49</v>
      </c>
      <c r="C1296" s="252" t="s">
        <v>2340</v>
      </c>
      <c r="D1296" s="252" t="s">
        <v>2231</v>
      </c>
      <c r="E1296" s="252" t="s">
        <v>2224</v>
      </c>
      <c r="F1296" s="252" t="s">
        <v>2204</v>
      </c>
      <c r="G1296" s="252" t="s">
        <v>2255</v>
      </c>
      <c r="H1296" s="252" t="s">
        <v>2237</v>
      </c>
      <c r="I1296" s="252" t="s">
        <v>2329</v>
      </c>
      <c r="J1296" s="174"/>
      <c r="K1296" s="252" t="s">
        <v>2246</v>
      </c>
      <c r="L1296" s="252" t="s">
        <v>2306</v>
      </c>
      <c r="M1296" s="174"/>
      <c r="N1296" s="174"/>
      <c r="O1296" s="253" t="s">
        <v>2301</v>
      </c>
    </row>
    <row r="1297" spans="1:15" ht="16.149999999999999" customHeight="1" x14ac:dyDescent="0.25">
      <c r="A1297" s="172">
        <v>41583</v>
      </c>
      <c r="B1297" s="175" t="s">
        <v>49</v>
      </c>
      <c r="C1297" s="254" t="s">
        <v>2342</v>
      </c>
      <c r="D1297" s="254" t="s">
        <v>2263</v>
      </c>
      <c r="E1297" s="254" t="s">
        <v>2242</v>
      </c>
      <c r="F1297" s="254" t="s">
        <v>2198</v>
      </c>
      <c r="G1297" s="254" t="s">
        <v>2242</v>
      </c>
      <c r="H1297" s="254" t="s">
        <v>2222</v>
      </c>
      <c r="I1297" s="254" t="s">
        <v>2329</v>
      </c>
      <c r="J1297" s="176"/>
      <c r="K1297" s="254" t="s">
        <v>2209</v>
      </c>
      <c r="L1297" s="254" t="s">
        <v>2246</v>
      </c>
      <c r="M1297" s="176"/>
      <c r="N1297" s="176"/>
      <c r="O1297" s="255" t="s">
        <v>2198</v>
      </c>
    </row>
    <row r="1298" spans="1:15" ht="16.149999999999999" customHeight="1" x14ac:dyDescent="0.25">
      <c r="A1298" s="172">
        <v>41579</v>
      </c>
      <c r="B1298" s="173" t="s">
        <v>49</v>
      </c>
      <c r="C1298" s="252" t="s">
        <v>2343</v>
      </c>
      <c r="D1298" s="252" t="s">
        <v>2266</v>
      </c>
      <c r="E1298" s="252" t="s">
        <v>2254</v>
      </c>
      <c r="F1298" s="252" t="s">
        <v>2204</v>
      </c>
      <c r="G1298" s="252" t="s">
        <v>2224</v>
      </c>
      <c r="H1298" s="252" t="s">
        <v>2234</v>
      </c>
      <c r="I1298" s="252" t="s">
        <v>2202</v>
      </c>
      <c r="J1298" s="174"/>
      <c r="K1298" s="252" t="s">
        <v>2196</v>
      </c>
      <c r="L1298" s="252" t="s">
        <v>2227</v>
      </c>
      <c r="M1298" s="174"/>
      <c r="N1298" s="174"/>
      <c r="O1298" s="253" t="s">
        <v>2191</v>
      </c>
    </row>
    <row r="1299" spans="1:15" ht="16.149999999999999" customHeight="1" x14ac:dyDescent="0.25">
      <c r="A1299" s="172">
        <v>41578</v>
      </c>
      <c r="B1299" s="175" t="s">
        <v>49</v>
      </c>
      <c r="C1299" s="254" t="s">
        <v>2344</v>
      </c>
      <c r="D1299" s="254" t="s">
        <v>2214</v>
      </c>
      <c r="E1299" s="254" t="s">
        <v>2238</v>
      </c>
      <c r="F1299" s="254" t="s">
        <v>2262</v>
      </c>
      <c r="G1299" s="254" t="s">
        <v>2220</v>
      </c>
      <c r="H1299" s="254" t="s">
        <v>2255</v>
      </c>
      <c r="I1299" s="254" t="s">
        <v>2264</v>
      </c>
      <c r="J1299" s="176"/>
      <c r="K1299" s="254" t="s">
        <v>2204</v>
      </c>
      <c r="L1299" s="254" t="s">
        <v>2196</v>
      </c>
      <c r="M1299" s="176"/>
      <c r="N1299" s="176"/>
      <c r="O1299" s="255" t="s">
        <v>2210</v>
      </c>
    </row>
    <row r="1300" spans="1:15" ht="16.149999999999999" customHeight="1" x14ac:dyDescent="0.25">
      <c r="A1300" s="172">
        <v>41577</v>
      </c>
      <c r="B1300" s="173" t="s">
        <v>49</v>
      </c>
      <c r="C1300" s="252" t="s">
        <v>2292</v>
      </c>
      <c r="D1300" s="252" t="s">
        <v>2222</v>
      </c>
      <c r="E1300" s="252" t="s">
        <v>2341</v>
      </c>
      <c r="F1300" s="252" t="s">
        <v>2232</v>
      </c>
      <c r="G1300" s="252" t="s">
        <v>2298</v>
      </c>
      <c r="H1300" s="252" t="s">
        <v>2231</v>
      </c>
      <c r="I1300" s="252" t="s">
        <v>2219</v>
      </c>
      <c r="J1300" s="174"/>
      <c r="K1300" s="252" t="s">
        <v>2262</v>
      </c>
      <c r="L1300" s="252" t="s">
        <v>2220</v>
      </c>
      <c r="M1300" s="174"/>
      <c r="N1300" s="174"/>
      <c r="O1300" s="253" t="s">
        <v>2213</v>
      </c>
    </row>
    <row r="1301" spans="1:15" ht="16.149999999999999" customHeight="1" x14ac:dyDescent="0.25">
      <c r="A1301" s="172">
        <v>41576</v>
      </c>
      <c r="B1301" s="175" t="s">
        <v>49</v>
      </c>
      <c r="C1301" s="254" t="s">
        <v>2299</v>
      </c>
      <c r="D1301" s="254" t="s">
        <v>2236</v>
      </c>
      <c r="E1301" s="254" t="s">
        <v>2303</v>
      </c>
      <c r="F1301" s="254" t="s">
        <v>2222</v>
      </c>
      <c r="G1301" s="254" t="s">
        <v>2248</v>
      </c>
      <c r="H1301" s="254" t="s">
        <v>2242</v>
      </c>
      <c r="I1301" s="254" t="s">
        <v>2295</v>
      </c>
      <c r="J1301" s="176"/>
      <c r="K1301" s="254" t="s">
        <v>2219</v>
      </c>
      <c r="L1301" s="254" t="s">
        <v>2246</v>
      </c>
      <c r="M1301" s="176"/>
      <c r="N1301" s="176"/>
      <c r="O1301" s="255" t="s">
        <v>2222</v>
      </c>
    </row>
    <row r="1302" spans="1:15" ht="16.149999999999999" customHeight="1" x14ac:dyDescent="0.25">
      <c r="A1302" s="172">
        <v>41575</v>
      </c>
      <c r="B1302" s="173" t="s">
        <v>49</v>
      </c>
      <c r="C1302" s="252" t="s">
        <v>2299</v>
      </c>
      <c r="D1302" s="252" t="s">
        <v>2236</v>
      </c>
      <c r="E1302" s="252" t="s">
        <v>2250</v>
      </c>
      <c r="F1302" s="252" t="s">
        <v>2227</v>
      </c>
      <c r="G1302" s="252" t="s">
        <v>2291</v>
      </c>
      <c r="H1302" s="252" t="s">
        <v>2242</v>
      </c>
      <c r="I1302" s="252" t="s">
        <v>2295</v>
      </c>
      <c r="J1302" s="174"/>
      <c r="K1302" s="252" t="s">
        <v>2227</v>
      </c>
      <c r="L1302" s="252" t="s">
        <v>2321</v>
      </c>
      <c r="M1302" s="174"/>
      <c r="N1302" s="174"/>
      <c r="O1302" s="253" t="s">
        <v>2223</v>
      </c>
    </row>
    <row r="1303" spans="1:15" ht="16.149999999999999" customHeight="1" x14ac:dyDescent="0.25">
      <c r="A1303" s="172">
        <v>41572</v>
      </c>
      <c r="B1303" s="175" t="s">
        <v>49</v>
      </c>
      <c r="C1303" s="254" t="s">
        <v>2340</v>
      </c>
      <c r="D1303" s="254" t="s">
        <v>2231</v>
      </c>
      <c r="E1303" s="254" t="s">
        <v>2249</v>
      </c>
      <c r="F1303" s="254" t="s">
        <v>2227</v>
      </c>
      <c r="G1303" s="254" t="s">
        <v>2291</v>
      </c>
      <c r="H1303" s="254" t="s">
        <v>2255</v>
      </c>
      <c r="I1303" s="254" t="s">
        <v>2242</v>
      </c>
      <c r="J1303" s="176"/>
      <c r="K1303" s="254" t="s">
        <v>2246</v>
      </c>
      <c r="L1303" s="254" t="s">
        <v>2295</v>
      </c>
      <c r="M1303" s="176"/>
      <c r="N1303" s="176"/>
      <c r="O1303" s="255" t="s">
        <v>2222</v>
      </c>
    </row>
    <row r="1304" spans="1:15" ht="16.149999999999999" customHeight="1" x14ac:dyDescent="0.25">
      <c r="A1304" s="172">
        <v>41571</v>
      </c>
      <c r="B1304" s="173" t="s">
        <v>49</v>
      </c>
      <c r="C1304" s="252" t="s">
        <v>2309</v>
      </c>
      <c r="D1304" s="252" t="s">
        <v>2244</v>
      </c>
      <c r="E1304" s="252" t="s">
        <v>2249</v>
      </c>
      <c r="F1304" s="252" t="s">
        <v>2224</v>
      </c>
      <c r="G1304" s="252" t="s">
        <v>2231</v>
      </c>
      <c r="H1304" s="252" t="s">
        <v>2242</v>
      </c>
      <c r="I1304" s="252" t="s">
        <v>2345</v>
      </c>
      <c r="J1304" s="174"/>
      <c r="K1304" s="252" t="s">
        <v>2227</v>
      </c>
      <c r="L1304" s="252" t="s">
        <v>2295</v>
      </c>
      <c r="M1304" s="174"/>
      <c r="N1304" s="174"/>
      <c r="O1304" s="253" t="s">
        <v>2248</v>
      </c>
    </row>
    <row r="1305" spans="1:15" ht="16.149999999999999" customHeight="1" x14ac:dyDescent="0.25">
      <c r="A1305" s="172">
        <v>41570</v>
      </c>
      <c r="B1305" s="175" t="s">
        <v>49</v>
      </c>
      <c r="C1305" s="254" t="s">
        <v>2185</v>
      </c>
      <c r="D1305" s="254" t="s">
        <v>2220</v>
      </c>
      <c r="E1305" s="254" t="s">
        <v>2249</v>
      </c>
      <c r="F1305" s="254" t="s">
        <v>2220</v>
      </c>
      <c r="G1305" s="254" t="s">
        <v>2255</v>
      </c>
      <c r="H1305" s="254" t="s">
        <v>2242</v>
      </c>
      <c r="I1305" s="254" t="s">
        <v>2345</v>
      </c>
      <c r="J1305" s="176"/>
      <c r="K1305" s="254" t="s">
        <v>2220</v>
      </c>
      <c r="L1305" s="254" t="s">
        <v>2321</v>
      </c>
      <c r="M1305" s="176"/>
      <c r="N1305" s="176"/>
      <c r="O1305" s="255" t="s">
        <v>2237</v>
      </c>
    </row>
    <row r="1306" spans="1:15" ht="16.149999999999999" customHeight="1" x14ac:dyDescent="0.25">
      <c r="A1306" s="172">
        <v>41569</v>
      </c>
      <c r="B1306" s="173" t="s">
        <v>49</v>
      </c>
      <c r="C1306" s="252" t="s">
        <v>2252</v>
      </c>
      <c r="D1306" s="252" t="s">
        <v>2224</v>
      </c>
      <c r="E1306" s="252" t="s">
        <v>2254</v>
      </c>
      <c r="F1306" s="252" t="s">
        <v>2222</v>
      </c>
      <c r="G1306" s="252" t="s">
        <v>2255</v>
      </c>
      <c r="H1306" s="252" t="s">
        <v>2234</v>
      </c>
      <c r="I1306" s="252" t="s">
        <v>2228</v>
      </c>
      <c r="J1306" s="174"/>
      <c r="K1306" s="252" t="s">
        <v>2220</v>
      </c>
      <c r="L1306" s="252" t="s">
        <v>2306</v>
      </c>
      <c r="M1306" s="174"/>
      <c r="N1306" s="174"/>
      <c r="O1306" s="253" t="s">
        <v>2246</v>
      </c>
    </row>
    <row r="1307" spans="1:15" ht="16.149999999999999" customHeight="1" x14ac:dyDescent="0.25">
      <c r="A1307" s="172">
        <v>41568</v>
      </c>
      <c r="B1307" s="175" t="s">
        <v>49</v>
      </c>
      <c r="C1307" s="254" t="s">
        <v>2292</v>
      </c>
      <c r="D1307" s="254" t="s">
        <v>2222</v>
      </c>
      <c r="E1307" s="254" t="s">
        <v>2293</v>
      </c>
      <c r="F1307" s="254" t="s">
        <v>2237</v>
      </c>
      <c r="G1307" s="254" t="s">
        <v>2255</v>
      </c>
      <c r="H1307" s="254" t="s">
        <v>2242</v>
      </c>
      <c r="I1307" s="254" t="s">
        <v>2230</v>
      </c>
      <c r="J1307" s="176"/>
      <c r="K1307" s="254" t="s">
        <v>2227</v>
      </c>
      <c r="L1307" s="254" t="s">
        <v>2193</v>
      </c>
      <c r="M1307" s="176"/>
      <c r="N1307" s="176"/>
      <c r="O1307" s="255" t="s">
        <v>2264</v>
      </c>
    </row>
    <row r="1308" spans="1:15" ht="16.149999999999999" customHeight="1" x14ac:dyDescent="0.25">
      <c r="A1308" s="172">
        <v>41565</v>
      </c>
      <c r="B1308" s="173" t="s">
        <v>49</v>
      </c>
      <c r="C1308" s="252" t="s">
        <v>2256</v>
      </c>
      <c r="D1308" s="252" t="s">
        <v>2255</v>
      </c>
      <c r="E1308" s="252" t="s">
        <v>2244</v>
      </c>
      <c r="F1308" s="252" t="s">
        <v>2224</v>
      </c>
      <c r="G1308" s="252" t="s">
        <v>2255</v>
      </c>
      <c r="H1308" s="252" t="s">
        <v>2255</v>
      </c>
      <c r="I1308" s="252" t="s">
        <v>2245</v>
      </c>
      <c r="J1308" s="174"/>
      <c r="K1308" s="252" t="s">
        <v>2222</v>
      </c>
      <c r="L1308" s="252" t="s">
        <v>2196</v>
      </c>
      <c r="M1308" s="174"/>
      <c r="N1308" s="174"/>
      <c r="O1308" s="253" t="s">
        <v>2249</v>
      </c>
    </row>
    <row r="1309" spans="1:15" ht="16.149999999999999" customHeight="1" x14ac:dyDescent="0.25">
      <c r="A1309" s="172">
        <v>41564</v>
      </c>
      <c r="B1309" s="175" t="s">
        <v>49</v>
      </c>
      <c r="C1309" s="254" t="s">
        <v>2294</v>
      </c>
      <c r="D1309" s="254" t="s">
        <v>2254</v>
      </c>
      <c r="E1309" s="254" t="s">
        <v>2293</v>
      </c>
      <c r="F1309" s="254" t="s">
        <v>2224</v>
      </c>
      <c r="G1309" s="254" t="s">
        <v>2255</v>
      </c>
      <c r="H1309" s="254" t="s">
        <v>2242</v>
      </c>
      <c r="I1309" s="254" t="s">
        <v>2236</v>
      </c>
      <c r="J1309" s="176"/>
      <c r="K1309" s="254" t="s">
        <v>2227</v>
      </c>
      <c r="L1309" s="254" t="s">
        <v>2246</v>
      </c>
      <c r="M1309" s="176"/>
      <c r="N1309" s="176"/>
      <c r="O1309" s="255" t="s">
        <v>2219</v>
      </c>
    </row>
    <row r="1310" spans="1:15" ht="16.149999999999999" customHeight="1" x14ac:dyDescent="0.25">
      <c r="A1310" s="172">
        <v>41563</v>
      </c>
      <c r="B1310" s="173" t="s">
        <v>49</v>
      </c>
      <c r="C1310" s="252" t="s">
        <v>2294</v>
      </c>
      <c r="D1310" s="252" t="s">
        <v>2254</v>
      </c>
      <c r="E1310" s="252" t="s">
        <v>2293</v>
      </c>
      <c r="F1310" s="252" t="s">
        <v>2224</v>
      </c>
      <c r="G1310" s="252" t="s">
        <v>2255</v>
      </c>
      <c r="H1310" s="252" t="s">
        <v>2242</v>
      </c>
      <c r="I1310" s="252" t="s">
        <v>2245</v>
      </c>
      <c r="J1310" s="174"/>
      <c r="K1310" s="252" t="s">
        <v>2222</v>
      </c>
      <c r="L1310" s="252" t="s">
        <v>2246</v>
      </c>
      <c r="M1310" s="174"/>
      <c r="N1310" s="174"/>
      <c r="O1310" s="253" t="s">
        <v>2224</v>
      </c>
    </row>
    <row r="1311" spans="1:15" ht="16.149999999999999" customHeight="1" x14ac:dyDescent="0.25">
      <c r="A1311" s="172">
        <v>41562</v>
      </c>
      <c r="B1311" s="175" t="s">
        <v>49</v>
      </c>
      <c r="C1311" s="254" t="s">
        <v>2241</v>
      </c>
      <c r="D1311" s="254" t="s">
        <v>2242</v>
      </c>
      <c r="E1311" s="254" t="s">
        <v>2238</v>
      </c>
      <c r="F1311" s="254" t="s">
        <v>2224</v>
      </c>
      <c r="G1311" s="254" t="s">
        <v>2242</v>
      </c>
      <c r="H1311" s="254" t="s">
        <v>2242</v>
      </c>
      <c r="I1311" s="254" t="s">
        <v>2222</v>
      </c>
      <c r="J1311" s="176"/>
      <c r="K1311" s="254" t="s">
        <v>2222</v>
      </c>
      <c r="L1311" s="254" t="s">
        <v>2306</v>
      </c>
      <c r="M1311" s="176"/>
      <c r="N1311" s="176"/>
      <c r="O1311" s="255" t="s">
        <v>2219</v>
      </c>
    </row>
    <row r="1312" spans="1:15" ht="16.149999999999999" customHeight="1" x14ac:dyDescent="0.25">
      <c r="A1312" s="172">
        <v>41558</v>
      </c>
      <c r="B1312" s="173" t="s">
        <v>49</v>
      </c>
      <c r="C1312" s="252" t="s">
        <v>2296</v>
      </c>
      <c r="D1312" s="252" t="s">
        <v>2227</v>
      </c>
      <c r="E1312" s="252" t="s">
        <v>2244</v>
      </c>
      <c r="F1312" s="252" t="s">
        <v>2224</v>
      </c>
      <c r="G1312" s="252" t="s">
        <v>2227</v>
      </c>
      <c r="H1312" s="252" t="s">
        <v>2260</v>
      </c>
      <c r="I1312" s="252" t="s">
        <v>2301</v>
      </c>
      <c r="J1312" s="174"/>
      <c r="K1312" s="252" t="s">
        <v>2227</v>
      </c>
      <c r="L1312" s="252" t="s">
        <v>2196</v>
      </c>
      <c r="M1312" s="174"/>
      <c r="N1312" s="174"/>
      <c r="O1312" s="253" t="s">
        <v>2213</v>
      </c>
    </row>
    <row r="1313" spans="1:15" ht="16.149999999999999" customHeight="1" x14ac:dyDescent="0.25">
      <c r="A1313" s="172">
        <v>41557</v>
      </c>
      <c r="B1313" s="175" t="s">
        <v>49</v>
      </c>
      <c r="C1313" s="254" t="s">
        <v>2256</v>
      </c>
      <c r="D1313" s="254" t="s">
        <v>2255</v>
      </c>
      <c r="E1313" s="254" t="s">
        <v>2231</v>
      </c>
      <c r="F1313" s="254" t="s">
        <v>2237</v>
      </c>
      <c r="G1313" s="254" t="s">
        <v>2234</v>
      </c>
      <c r="H1313" s="254" t="s">
        <v>2260</v>
      </c>
      <c r="I1313" s="254" t="s">
        <v>2301</v>
      </c>
      <c r="J1313" s="176"/>
      <c r="K1313" s="254" t="s">
        <v>2227</v>
      </c>
      <c r="L1313" s="254" t="s">
        <v>2321</v>
      </c>
      <c r="M1313" s="176"/>
      <c r="N1313" s="176"/>
      <c r="O1313" s="255" t="s">
        <v>2219</v>
      </c>
    </row>
    <row r="1314" spans="1:15" ht="16.149999999999999" customHeight="1" x14ac:dyDescent="0.25">
      <c r="A1314" s="172">
        <v>41556</v>
      </c>
      <c r="B1314" s="173" t="s">
        <v>49</v>
      </c>
      <c r="C1314" s="252" t="s">
        <v>2187</v>
      </c>
      <c r="D1314" s="252" t="s">
        <v>2258</v>
      </c>
      <c r="E1314" s="252" t="s">
        <v>2242</v>
      </c>
      <c r="F1314" s="252" t="s">
        <v>2213</v>
      </c>
      <c r="G1314" s="252" t="s">
        <v>2239</v>
      </c>
      <c r="H1314" s="252" t="s">
        <v>2262</v>
      </c>
      <c r="I1314" s="252" t="s">
        <v>2238</v>
      </c>
      <c r="J1314" s="174"/>
      <c r="K1314" s="252" t="s">
        <v>2227</v>
      </c>
      <c r="L1314" s="252" t="s">
        <v>2191</v>
      </c>
      <c r="M1314" s="174"/>
      <c r="N1314" s="174"/>
      <c r="O1314" s="253" t="s">
        <v>2219</v>
      </c>
    </row>
    <row r="1315" spans="1:15" ht="16.149999999999999" customHeight="1" x14ac:dyDescent="0.25">
      <c r="A1315" s="172">
        <v>41555</v>
      </c>
      <c r="B1315" s="175" t="s">
        <v>49</v>
      </c>
      <c r="C1315" s="254" t="s">
        <v>2259</v>
      </c>
      <c r="D1315" s="254" t="s">
        <v>2232</v>
      </c>
      <c r="E1315" s="254" t="s">
        <v>2220</v>
      </c>
      <c r="F1315" s="254" t="s">
        <v>2213</v>
      </c>
      <c r="G1315" s="254" t="s">
        <v>2234</v>
      </c>
      <c r="H1315" s="254" t="s">
        <v>2262</v>
      </c>
      <c r="I1315" s="254" t="s">
        <v>2229</v>
      </c>
      <c r="J1315" s="176"/>
      <c r="K1315" s="254" t="s">
        <v>2234</v>
      </c>
      <c r="L1315" s="254" t="s">
        <v>2191</v>
      </c>
      <c r="M1315" s="176"/>
      <c r="N1315" s="176"/>
      <c r="O1315" s="255" t="s">
        <v>2219</v>
      </c>
    </row>
    <row r="1316" spans="1:15" ht="16.149999999999999" customHeight="1" x14ac:dyDescent="0.25">
      <c r="A1316" s="172">
        <v>41554</v>
      </c>
      <c r="B1316" s="173" t="s">
        <v>49</v>
      </c>
      <c r="C1316" s="252" t="s">
        <v>2292</v>
      </c>
      <c r="D1316" s="252" t="s">
        <v>2222</v>
      </c>
      <c r="E1316" s="252" t="s">
        <v>2249</v>
      </c>
      <c r="F1316" s="252" t="s">
        <v>2213</v>
      </c>
      <c r="G1316" s="252" t="s">
        <v>2243</v>
      </c>
      <c r="H1316" s="252" t="s">
        <v>2262</v>
      </c>
      <c r="I1316" s="252" t="s">
        <v>2235</v>
      </c>
      <c r="J1316" s="174"/>
      <c r="K1316" s="252" t="s">
        <v>2227</v>
      </c>
      <c r="L1316" s="252" t="s">
        <v>2191</v>
      </c>
      <c r="M1316" s="174"/>
      <c r="N1316" s="174"/>
      <c r="O1316" s="253" t="s">
        <v>2246</v>
      </c>
    </row>
    <row r="1317" spans="1:15" ht="16.149999999999999" customHeight="1" x14ac:dyDescent="0.25">
      <c r="A1317" s="172">
        <v>41551</v>
      </c>
      <c r="B1317" s="175" t="s">
        <v>49</v>
      </c>
      <c r="C1317" s="254" t="s">
        <v>2185</v>
      </c>
      <c r="D1317" s="254" t="s">
        <v>2220</v>
      </c>
      <c r="E1317" s="254" t="s">
        <v>2220</v>
      </c>
      <c r="F1317" s="254" t="s">
        <v>2213</v>
      </c>
      <c r="G1317" s="254" t="s">
        <v>2254</v>
      </c>
      <c r="H1317" s="254" t="s">
        <v>2240</v>
      </c>
      <c r="I1317" s="254" t="s">
        <v>2244</v>
      </c>
      <c r="J1317" s="176"/>
      <c r="K1317" s="254" t="s">
        <v>2220</v>
      </c>
      <c r="L1317" s="254" t="s">
        <v>2321</v>
      </c>
      <c r="M1317" s="176"/>
      <c r="N1317" s="176"/>
      <c r="O1317" s="255" t="s">
        <v>2220</v>
      </c>
    </row>
    <row r="1318" spans="1:15" ht="16.149999999999999" customHeight="1" x14ac:dyDescent="0.25">
      <c r="A1318" s="172">
        <v>41550</v>
      </c>
      <c r="B1318" s="173" t="s">
        <v>49</v>
      </c>
      <c r="C1318" s="252" t="s">
        <v>2294</v>
      </c>
      <c r="D1318" s="252" t="s">
        <v>2254</v>
      </c>
      <c r="E1318" s="252" t="s">
        <v>2228</v>
      </c>
      <c r="F1318" s="252" t="s">
        <v>2227</v>
      </c>
      <c r="G1318" s="252" t="s">
        <v>2293</v>
      </c>
      <c r="H1318" s="252" t="s">
        <v>2262</v>
      </c>
      <c r="I1318" s="252" t="s">
        <v>2213</v>
      </c>
      <c r="J1318" s="174"/>
      <c r="K1318" s="252" t="s">
        <v>2220</v>
      </c>
      <c r="L1318" s="252" t="s">
        <v>2191</v>
      </c>
      <c r="M1318" s="174"/>
      <c r="N1318" s="174"/>
      <c r="O1318" s="253" t="s">
        <v>2224</v>
      </c>
    </row>
    <row r="1319" spans="1:15" ht="16.149999999999999" customHeight="1" x14ac:dyDescent="0.25">
      <c r="A1319" s="172">
        <v>41549</v>
      </c>
      <c r="B1319" s="175" t="s">
        <v>49</v>
      </c>
      <c r="C1319" s="254" t="s">
        <v>2292</v>
      </c>
      <c r="D1319" s="254" t="s">
        <v>2222</v>
      </c>
      <c r="E1319" s="254" t="s">
        <v>2239</v>
      </c>
      <c r="F1319" s="254" t="s">
        <v>2213</v>
      </c>
      <c r="G1319" s="254" t="s">
        <v>2293</v>
      </c>
      <c r="H1319" s="254" t="s">
        <v>2262</v>
      </c>
      <c r="I1319" s="254" t="s">
        <v>2231</v>
      </c>
      <c r="J1319" s="176"/>
      <c r="K1319" s="254" t="s">
        <v>2220</v>
      </c>
      <c r="L1319" s="254" t="s">
        <v>2196</v>
      </c>
      <c r="M1319" s="176"/>
      <c r="N1319" s="176"/>
      <c r="O1319" s="255" t="s">
        <v>2222</v>
      </c>
    </row>
    <row r="1320" spans="1:15" ht="16.149999999999999" customHeight="1" x14ac:dyDescent="0.25">
      <c r="A1320" s="172">
        <v>41548</v>
      </c>
      <c r="B1320" s="173" t="s">
        <v>49</v>
      </c>
      <c r="C1320" s="252" t="s">
        <v>2343</v>
      </c>
      <c r="D1320" s="252" t="s">
        <v>2266</v>
      </c>
      <c r="E1320" s="252" t="s">
        <v>2237</v>
      </c>
      <c r="F1320" s="252" t="s">
        <v>2262</v>
      </c>
      <c r="G1320" s="252" t="s">
        <v>2293</v>
      </c>
      <c r="H1320" s="252" t="s">
        <v>2214</v>
      </c>
      <c r="I1320" s="252" t="s">
        <v>2214</v>
      </c>
      <c r="J1320" s="174"/>
      <c r="K1320" s="252" t="s">
        <v>2237</v>
      </c>
      <c r="L1320" s="252" t="s">
        <v>2184</v>
      </c>
      <c r="M1320" s="174"/>
      <c r="N1320" s="174"/>
      <c r="O1320" s="253" t="s">
        <v>2213</v>
      </c>
    </row>
    <row r="1321" spans="1:15" ht="16.149999999999999" customHeight="1" x14ac:dyDescent="0.25">
      <c r="A1321" s="172">
        <v>41547</v>
      </c>
      <c r="B1321" s="175" t="s">
        <v>49</v>
      </c>
      <c r="C1321" s="254" t="s">
        <v>2179</v>
      </c>
      <c r="D1321" s="254" t="s">
        <v>2240</v>
      </c>
      <c r="E1321" s="254" t="s">
        <v>2263</v>
      </c>
      <c r="F1321" s="254" t="s">
        <v>2219</v>
      </c>
      <c r="G1321" s="254" t="s">
        <v>2238</v>
      </c>
      <c r="H1321" s="254" t="s">
        <v>2263</v>
      </c>
      <c r="I1321" s="254" t="s">
        <v>2240</v>
      </c>
      <c r="J1321" s="176"/>
      <c r="K1321" s="254" t="s">
        <v>2213</v>
      </c>
      <c r="L1321" s="254" t="s">
        <v>2196</v>
      </c>
      <c r="M1321" s="176"/>
      <c r="N1321" s="176"/>
      <c r="O1321" s="255" t="s">
        <v>2219</v>
      </c>
    </row>
    <row r="1322" spans="1:15" ht="16.149999999999999" customHeight="1" x14ac:dyDescent="0.25">
      <c r="A1322" s="172">
        <v>41544</v>
      </c>
      <c r="B1322" s="173" t="s">
        <v>49</v>
      </c>
      <c r="C1322" s="252" t="s">
        <v>2309</v>
      </c>
      <c r="D1322" s="252" t="s">
        <v>2238</v>
      </c>
      <c r="E1322" s="252" t="s">
        <v>2235</v>
      </c>
      <c r="F1322" s="252" t="s">
        <v>2223</v>
      </c>
      <c r="G1322" s="252" t="s">
        <v>2231</v>
      </c>
      <c r="H1322" s="252" t="s">
        <v>2220</v>
      </c>
      <c r="I1322" s="252" t="s">
        <v>2246</v>
      </c>
      <c r="J1322" s="174"/>
      <c r="K1322" s="252" t="s">
        <v>2295</v>
      </c>
      <c r="L1322" s="252" t="s">
        <v>2246</v>
      </c>
      <c r="M1322" s="174"/>
      <c r="N1322" s="174"/>
      <c r="O1322" s="253" t="s">
        <v>2219</v>
      </c>
    </row>
    <row r="1323" spans="1:15" ht="16.149999999999999" customHeight="1" x14ac:dyDescent="0.25">
      <c r="A1323" s="172">
        <v>41543</v>
      </c>
      <c r="B1323" s="175" t="s">
        <v>49</v>
      </c>
      <c r="C1323" s="254" t="s">
        <v>2256</v>
      </c>
      <c r="D1323" s="254" t="s">
        <v>2255</v>
      </c>
      <c r="E1323" s="254" t="s">
        <v>2234</v>
      </c>
      <c r="F1323" s="254" t="s">
        <v>2223</v>
      </c>
      <c r="G1323" s="254" t="s">
        <v>2242</v>
      </c>
      <c r="H1323" s="254" t="s">
        <v>2263</v>
      </c>
      <c r="I1323" s="254" t="s">
        <v>2224</v>
      </c>
      <c r="J1323" s="176"/>
      <c r="K1323" s="254" t="s">
        <v>2246</v>
      </c>
      <c r="L1323" s="254" t="s">
        <v>2214</v>
      </c>
      <c r="M1323" s="176"/>
      <c r="N1323" s="176"/>
      <c r="O1323" s="255" t="s">
        <v>2209</v>
      </c>
    </row>
    <row r="1324" spans="1:15" ht="16.149999999999999" customHeight="1" x14ac:dyDescent="0.25">
      <c r="A1324" s="172">
        <v>41542</v>
      </c>
      <c r="B1324" s="173" t="s">
        <v>49</v>
      </c>
      <c r="C1324" s="252" t="s">
        <v>2168</v>
      </c>
      <c r="D1324" s="252" t="s">
        <v>2230</v>
      </c>
      <c r="E1324" s="252" t="s">
        <v>2258</v>
      </c>
      <c r="F1324" s="252" t="s">
        <v>2213</v>
      </c>
      <c r="G1324" s="252" t="s">
        <v>2222</v>
      </c>
      <c r="H1324" s="252" t="s">
        <v>2262</v>
      </c>
      <c r="I1324" s="252" t="s">
        <v>2227</v>
      </c>
      <c r="J1324" s="174"/>
      <c r="K1324" s="252" t="s">
        <v>2220</v>
      </c>
      <c r="L1324" s="252" t="s">
        <v>2213</v>
      </c>
      <c r="M1324" s="174"/>
      <c r="N1324" s="174"/>
      <c r="O1324" s="253" t="s">
        <v>2196</v>
      </c>
    </row>
    <row r="1325" spans="1:15" ht="16.149999999999999" customHeight="1" x14ac:dyDescent="0.25">
      <c r="A1325" s="172">
        <v>41541</v>
      </c>
      <c r="B1325" s="175" t="s">
        <v>49</v>
      </c>
      <c r="C1325" s="254" t="s">
        <v>2346</v>
      </c>
      <c r="D1325" s="254" t="s">
        <v>2266</v>
      </c>
      <c r="E1325" s="254" t="s">
        <v>2234</v>
      </c>
      <c r="F1325" s="254" t="s">
        <v>2213</v>
      </c>
      <c r="G1325" s="254" t="s">
        <v>2338</v>
      </c>
      <c r="H1325" s="254" t="s">
        <v>2263</v>
      </c>
      <c r="I1325" s="254" t="s">
        <v>2204</v>
      </c>
      <c r="J1325" s="176"/>
      <c r="K1325" s="254" t="s">
        <v>2213</v>
      </c>
      <c r="L1325" s="254" t="s">
        <v>2191</v>
      </c>
      <c r="M1325" s="176"/>
      <c r="N1325" s="176"/>
      <c r="O1325" s="255" t="s">
        <v>2263</v>
      </c>
    </row>
    <row r="1326" spans="1:15" ht="16.149999999999999" customHeight="1" x14ac:dyDescent="0.25">
      <c r="A1326" s="172">
        <v>41540</v>
      </c>
      <c r="B1326" s="173" t="s">
        <v>49</v>
      </c>
      <c r="C1326" s="252" t="s">
        <v>2347</v>
      </c>
      <c r="D1326" s="252" t="s">
        <v>2239</v>
      </c>
      <c r="E1326" s="252" t="s">
        <v>2234</v>
      </c>
      <c r="F1326" s="252" t="s">
        <v>2222</v>
      </c>
      <c r="G1326" s="252" t="s">
        <v>2331</v>
      </c>
      <c r="H1326" s="252" t="s">
        <v>2260</v>
      </c>
      <c r="I1326" s="252" t="s">
        <v>2306</v>
      </c>
      <c r="J1326" s="174"/>
      <c r="K1326" s="252" t="s">
        <v>2227</v>
      </c>
      <c r="L1326" s="252" t="s">
        <v>2183</v>
      </c>
      <c r="M1326" s="174"/>
      <c r="N1326" s="174"/>
      <c r="O1326" s="253" t="s">
        <v>2229</v>
      </c>
    </row>
    <row r="1327" spans="1:15" ht="16.149999999999999" customHeight="1" x14ac:dyDescent="0.25">
      <c r="A1327" s="172">
        <v>41537</v>
      </c>
      <c r="B1327" s="175" t="s">
        <v>49</v>
      </c>
      <c r="C1327" s="254" t="s">
        <v>2197</v>
      </c>
      <c r="D1327" s="254" t="s">
        <v>2341</v>
      </c>
      <c r="E1327" s="254" t="s">
        <v>2253</v>
      </c>
      <c r="F1327" s="254" t="s">
        <v>2227</v>
      </c>
      <c r="G1327" s="254" t="s">
        <v>2348</v>
      </c>
      <c r="H1327" s="254" t="s">
        <v>2242</v>
      </c>
      <c r="I1327" s="254" t="s">
        <v>2222</v>
      </c>
      <c r="J1327" s="176"/>
      <c r="K1327" s="254" t="s">
        <v>2246</v>
      </c>
      <c r="L1327" s="254" t="s">
        <v>2316</v>
      </c>
      <c r="M1327" s="176"/>
      <c r="N1327" s="176"/>
      <c r="O1327" s="255" t="s">
        <v>2338</v>
      </c>
    </row>
    <row r="1328" spans="1:15" ht="16.149999999999999" customHeight="1" x14ac:dyDescent="0.25">
      <c r="A1328" s="172">
        <v>41536</v>
      </c>
      <c r="B1328" s="173" t="s">
        <v>49</v>
      </c>
      <c r="C1328" s="252" t="s">
        <v>2240</v>
      </c>
      <c r="D1328" s="252" t="s">
        <v>2324</v>
      </c>
      <c r="E1328" s="252" t="s">
        <v>2349</v>
      </c>
      <c r="F1328" s="252" t="s">
        <v>2196</v>
      </c>
      <c r="G1328" s="252" t="s">
        <v>2350</v>
      </c>
      <c r="H1328" s="252" t="s">
        <v>2253</v>
      </c>
      <c r="I1328" s="252" t="s">
        <v>2231</v>
      </c>
      <c r="J1328" s="174"/>
      <c r="K1328" s="252" t="s">
        <v>2253</v>
      </c>
      <c r="L1328" s="252" t="s">
        <v>2348</v>
      </c>
      <c r="M1328" s="174"/>
      <c r="N1328" s="174"/>
      <c r="O1328" s="253" t="s">
        <v>2351</v>
      </c>
    </row>
    <row r="1329" spans="1:15" ht="16.149999999999999" customHeight="1" x14ac:dyDescent="0.25">
      <c r="A1329" s="172">
        <v>41535</v>
      </c>
      <c r="B1329" s="175" t="s">
        <v>49</v>
      </c>
      <c r="C1329" s="254" t="s">
        <v>2300</v>
      </c>
      <c r="D1329" s="254" t="s">
        <v>2352</v>
      </c>
      <c r="E1329" s="254" t="s">
        <v>2353</v>
      </c>
      <c r="F1329" s="254" t="s">
        <v>2196</v>
      </c>
      <c r="G1329" s="254" t="s">
        <v>2332</v>
      </c>
      <c r="H1329" s="254" t="s">
        <v>2354</v>
      </c>
      <c r="I1329" s="254" t="s">
        <v>2321</v>
      </c>
      <c r="J1329" s="176"/>
      <c r="K1329" s="254" t="s">
        <v>2253</v>
      </c>
      <c r="L1329" s="254" t="s">
        <v>2353</v>
      </c>
      <c r="M1329" s="176"/>
      <c r="N1329" s="176"/>
      <c r="O1329" s="255" t="s">
        <v>2355</v>
      </c>
    </row>
    <row r="1330" spans="1:15" ht="16.149999999999999" customHeight="1" x14ac:dyDescent="0.25">
      <c r="A1330" s="172">
        <v>41534</v>
      </c>
      <c r="B1330" s="173" t="s">
        <v>49</v>
      </c>
      <c r="C1330" s="252" t="s">
        <v>2356</v>
      </c>
      <c r="D1330" s="252" t="s">
        <v>2351</v>
      </c>
      <c r="E1330" s="252" t="s">
        <v>2357</v>
      </c>
      <c r="F1330" s="252" t="s">
        <v>2358</v>
      </c>
      <c r="G1330" s="252" t="s">
        <v>2355</v>
      </c>
      <c r="H1330" s="252" t="s">
        <v>2359</v>
      </c>
      <c r="I1330" s="252" t="s">
        <v>2360</v>
      </c>
      <c r="J1330" s="174"/>
      <c r="K1330" s="252" t="s">
        <v>2350</v>
      </c>
      <c r="L1330" s="252" t="s">
        <v>2361</v>
      </c>
      <c r="M1330" s="174"/>
      <c r="N1330" s="174"/>
      <c r="O1330" s="253" t="s">
        <v>2316</v>
      </c>
    </row>
    <row r="1331" spans="1:15" ht="16.149999999999999" customHeight="1" x14ac:dyDescent="0.25">
      <c r="A1331" s="172">
        <v>41533</v>
      </c>
      <c r="B1331" s="175" t="s">
        <v>49</v>
      </c>
      <c r="C1331" s="254" t="s">
        <v>2362</v>
      </c>
      <c r="D1331" s="254" t="s">
        <v>2363</v>
      </c>
      <c r="E1331" s="254" t="s">
        <v>2364</v>
      </c>
      <c r="F1331" s="254" t="s">
        <v>2358</v>
      </c>
      <c r="G1331" s="254" t="s">
        <v>2365</v>
      </c>
      <c r="H1331" s="254" t="s">
        <v>2358</v>
      </c>
      <c r="I1331" s="254" t="s">
        <v>2360</v>
      </c>
      <c r="J1331" s="176"/>
      <c r="K1331" s="254" t="s">
        <v>2366</v>
      </c>
      <c r="L1331" s="254" t="s">
        <v>2367</v>
      </c>
      <c r="M1331" s="176"/>
      <c r="N1331" s="176"/>
      <c r="O1331" s="255" t="s">
        <v>2368</v>
      </c>
    </row>
    <row r="1332" spans="1:15" ht="16.149999999999999" customHeight="1" x14ac:dyDescent="0.25">
      <c r="A1332" s="172">
        <v>41530</v>
      </c>
      <c r="B1332" s="173" t="s">
        <v>49</v>
      </c>
      <c r="C1332" s="252" t="s">
        <v>2369</v>
      </c>
      <c r="D1332" s="252" t="s">
        <v>2370</v>
      </c>
      <c r="E1332" s="252" t="s">
        <v>2371</v>
      </c>
      <c r="F1332" s="252" t="s">
        <v>2351</v>
      </c>
      <c r="G1332" s="252" t="s">
        <v>2372</v>
      </c>
      <c r="H1332" s="252" t="s">
        <v>2373</v>
      </c>
      <c r="I1332" s="252" t="s">
        <v>2374</v>
      </c>
      <c r="J1332" s="174"/>
      <c r="K1332" s="252" t="s">
        <v>2375</v>
      </c>
      <c r="L1332" s="252" t="s">
        <v>2357</v>
      </c>
      <c r="M1332" s="174"/>
      <c r="N1332" s="174"/>
      <c r="O1332" s="253" t="s">
        <v>2376</v>
      </c>
    </row>
    <row r="1333" spans="1:15" ht="16.149999999999999" customHeight="1" x14ac:dyDescent="0.25">
      <c r="A1333" s="172">
        <v>41529</v>
      </c>
      <c r="B1333" s="175" t="s">
        <v>49</v>
      </c>
      <c r="C1333" s="254" t="s">
        <v>2377</v>
      </c>
      <c r="D1333" s="254" t="s">
        <v>2378</v>
      </c>
      <c r="E1333" s="254" t="s">
        <v>2379</v>
      </c>
      <c r="F1333" s="254" t="s">
        <v>2361</v>
      </c>
      <c r="G1333" s="254" t="s">
        <v>2365</v>
      </c>
      <c r="H1333" s="254" t="s">
        <v>2373</v>
      </c>
      <c r="I1333" s="254" t="s">
        <v>2380</v>
      </c>
      <c r="J1333" s="176"/>
      <c r="K1333" s="254" t="s">
        <v>2373</v>
      </c>
      <c r="L1333" s="254" t="s">
        <v>2367</v>
      </c>
      <c r="M1333" s="176"/>
      <c r="N1333" s="176"/>
      <c r="O1333" s="255" t="s">
        <v>2363</v>
      </c>
    </row>
    <row r="1334" spans="1:15" ht="16.149999999999999" customHeight="1" x14ac:dyDescent="0.25">
      <c r="A1334" s="172">
        <v>41528</v>
      </c>
      <c r="B1334" s="173" t="s">
        <v>49</v>
      </c>
      <c r="C1334" s="252" t="s">
        <v>2381</v>
      </c>
      <c r="D1334" s="252" t="s">
        <v>2382</v>
      </c>
      <c r="E1334" s="252" t="s">
        <v>2360</v>
      </c>
      <c r="F1334" s="252" t="s">
        <v>2353</v>
      </c>
      <c r="G1334" s="252" t="s">
        <v>2362</v>
      </c>
      <c r="H1334" s="252" t="s">
        <v>2351</v>
      </c>
      <c r="I1334" s="252" t="s">
        <v>2380</v>
      </c>
      <c r="J1334" s="174"/>
      <c r="K1334" s="252" t="s">
        <v>2373</v>
      </c>
      <c r="L1334" s="252" t="s">
        <v>2367</v>
      </c>
      <c r="M1334" s="174"/>
      <c r="N1334" s="174"/>
      <c r="O1334" s="253" t="s">
        <v>2383</v>
      </c>
    </row>
    <row r="1335" spans="1:15" ht="16.149999999999999" customHeight="1" x14ac:dyDescent="0.25">
      <c r="A1335" s="172">
        <v>41527</v>
      </c>
      <c r="B1335" s="175" t="s">
        <v>49</v>
      </c>
      <c r="C1335" s="254" t="s">
        <v>2384</v>
      </c>
      <c r="D1335" s="254" t="s">
        <v>2385</v>
      </c>
      <c r="E1335" s="254" t="s">
        <v>2373</v>
      </c>
      <c r="F1335" s="254" t="s">
        <v>2350</v>
      </c>
      <c r="G1335" s="254" t="s">
        <v>2355</v>
      </c>
      <c r="H1335" s="254" t="s">
        <v>2351</v>
      </c>
      <c r="I1335" s="254" t="s">
        <v>2386</v>
      </c>
      <c r="J1335" s="176"/>
      <c r="K1335" s="254" t="s">
        <v>2362</v>
      </c>
      <c r="L1335" s="254" t="s">
        <v>2375</v>
      </c>
      <c r="M1335" s="176"/>
      <c r="N1335" s="176"/>
      <c r="O1335" s="255" t="s">
        <v>2387</v>
      </c>
    </row>
    <row r="1336" spans="1:15" ht="16.149999999999999" customHeight="1" x14ac:dyDescent="0.25">
      <c r="A1336" s="172">
        <v>41526</v>
      </c>
      <c r="B1336" s="173" t="s">
        <v>49</v>
      </c>
      <c r="C1336" s="252" t="s">
        <v>2326</v>
      </c>
      <c r="D1336" s="252" t="s">
        <v>2388</v>
      </c>
      <c r="E1336" s="252" t="s">
        <v>2389</v>
      </c>
      <c r="F1336" s="252" t="s">
        <v>2332</v>
      </c>
      <c r="G1336" s="252" t="s">
        <v>2355</v>
      </c>
      <c r="H1336" s="252" t="s">
        <v>2353</v>
      </c>
      <c r="I1336" s="252" t="s">
        <v>2390</v>
      </c>
      <c r="J1336" s="174"/>
      <c r="K1336" s="252" t="s">
        <v>2386</v>
      </c>
      <c r="L1336" s="252" t="s">
        <v>2373</v>
      </c>
      <c r="M1336" s="174"/>
      <c r="N1336" s="174"/>
      <c r="O1336" s="253" t="s">
        <v>2373</v>
      </c>
    </row>
    <row r="1337" spans="1:15" ht="16.149999999999999" customHeight="1" x14ac:dyDescent="0.25">
      <c r="A1337" s="172">
        <v>41523</v>
      </c>
      <c r="B1337" s="175" t="s">
        <v>49</v>
      </c>
      <c r="C1337" s="254" t="s">
        <v>2391</v>
      </c>
      <c r="D1337" s="254" t="s">
        <v>2392</v>
      </c>
      <c r="E1337" s="254" t="s">
        <v>2351</v>
      </c>
      <c r="F1337" s="254" t="s">
        <v>2319</v>
      </c>
      <c r="G1337" s="254" t="s">
        <v>2393</v>
      </c>
      <c r="H1337" s="254" t="s">
        <v>2353</v>
      </c>
      <c r="I1337" s="254" t="s">
        <v>2388</v>
      </c>
      <c r="J1337" s="176"/>
      <c r="K1337" s="254" t="s">
        <v>2386</v>
      </c>
      <c r="L1337" s="254" t="s">
        <v>2363</v>
      </c>
      <c r="M1337" s="176"/>
      <c r="N1337" s="176"/>
      <c r="O1337" s="255" t="s">
        <v>2352</v>
      </c>
    </row>
    <row r="1338" spans="1:15" ht="16.149999999999999" customHeight="1" x14ac:dyDescent="0.25">
      <c r="A1338" s="172">
        <v>41522</v>
      </c>
      <c r="B1338" s="173" t="s">
        <v>49</v>
      </c>
      <c r="C1338" s="252" t="s">
        <v>2255</v>
      </c>
      <c r="D1338" s="252" t="s">
        <v>2394</v>
      </c>
      <c r="E1338" s="252" t="s">
        <v>2395</v>
      </c>
      <c r="F1338" s="252" t="s">
        <v>2306</v>
      </c>
      <c r="G1338" s="252" t="s">
        <v>2321</v>
      </c>
      <c r="H1338" s="252" t="s">
        <v>2396</v>
      </c>
      <c r="I1338" s="252" t="s">
        <v>2307</v>
      </c>
      <c r="J1338" s="174"/>
      <c r="K1338" s="252" t="s">
        <v>2324</v>
      </c>
      <c r="L1338" s="252" t="s">
        <v>2386</v>
      </c>
      <c r="M1338" s="174"/>
      <c r="N1338" s="174"/>
      <c r="O1338" s="253" t="s">
        <v>2350</v>
      </c>
    </row>
    <row r="1339" spans="1:15" ht="16.149999999999999" customHeight="1" x14ac:dyDescent="0.25">
      <c r="A1339" s="172">
        <v>41521</v>
      </c>
      <c r="B1339" s="175" t="s">
        <v>49</v>
      </c>
      <c r="C1339" s="254" t="s">
        <v>2230</v>
      </c>
      <c r="D1339" s="254" t="s">
        <v>2397</v>
      </c>
      <c r="E1339" s="254" t="s">
        <v>2398</v>
      </c>
      <c r="F1339" s="254" t="s">
        <v>2224</v>
      </c>
      <c r="G1339" s="254" t="s">
        <v>2399</v>
      </c>
      <c r="H1339" s="254" t="s">
        <v>2327</v>
      </c>
      <c r="I1339" s="254" t="s">
        <v>2316</v>
      </c>
      <c r="J1339" s="176"/>
      <c r="K1339" s="254" t="s">
        <v>2321</v>
      </c>
      <c r="L1339" s="254" t="s">
        <v>2353</v>
      </c>
      <c r="M1339" s="176"/>
      <c r="N1339" s="176"/>
      <c r="O1339" s="255" t="s">
        <v>2399</v>
      </c>
    </row>
    <row r="1340" spans="1:15" ht="16.149999999999999" customHeight="1" x14ac:dyDescent="0.25">
      <c r="A1340" s="172">
        <v>41520</v>
      </c>
      <c r="B1340" s="173" t="s">
        <v>49</v>
      </c>
      <c r="C1340" s="252" t="s">
        <v>2281</v>
      </c>
      <c r="D1340" s="252" t="s">
        <v>2336</v>
      </c>
      <c r="E1340" s="252" t="s">
        <v>2306</v>
      </c>
      <c r="F1340" s="252" t="s">
        <v>2213</v>
      </c>
      <c r="G1340" s="252" t="s">
        <v>2248</v>
      </c>
      <c r="H1340" s="252" t="s">
        <v>2254</v>
      </c>
      <c r="I1340" s="252" t="s">
        <v>2253</v>
      </c>
      <c r="J1340" s="174"/>
      <c r="K1340" s="252" t="s">
        <v>2324</v>
      </c>
      <c r="L1340" s="252" t="s">
        <v>2386</v>
      </c>
      <c r="M1340" s="174"/>
      <c r="N1340" s="174"/>
      <c r="O1340" s="253" t="s">
        <v>2400</v>
      </c>
    </row>
    <row r="1341" spans="1:15" ht="16.149999999999999" customHeight="1" x14ac:dyDescent="0.25">
      <c r="A1341" s="172">
        <v>41519</v>
      </c>
      <c r="B1341" s="175" t="s">
        <v>49</v>
      </c>
      <c r="C1341" s="254" t="s">
        <v>2176</v>
      </c>
      <c r="D1341" s="254" t="s">
        <v>2228</v>
      </c>
      <c r="E1341" s="254" t="s">
        <v>2298</v>
      </c>
      <c r="F1341" s="254" t="s">
        <v>2213</v>
      </c>
      <c r="G1341" s="254" t="s">
        <v>2248</v>
      </c>
      <c r="H1341" s="254" t="s">
        <v>2246</v>
      </c>
      <c r="I1341" s="254" t="s">
        <v>2213</v>
      </c>
      <c r="J1341" s="176"/>
      <c r="K1341" s="254" t="s">
        <v>2227</v>
      </c>
      <c r="L1341" s="254" t="s">
        <v>2253</v>
      </c>
      <c r="M1341" s="176"/>
      <c r="N1341" s="176"/>
      <c r="O1341" s="255" t="s">
        <v>2254</v>
      </c>
    </row>
    <row r="1342" spans="1:15" ht="16.149999999999999" customHeight="1" x14ac:dyDescent="0.25">
      <c r="A1342" s="172">
        <v>41516</v>
      </c>
      <c r="B1342" s="173" t="s">
        <v>49</v>
      </c>
      <c r="C1342" s="252" t="s">
        <v>2178</v>
      </c>
      <c r="D1342" s="252" t="s">
        <v>2237</v>
      </c>
      <c r="E1342" s="252" t="s">
        <v>2222</v>
      </c>
      <c r="F1342" s="252" t="s">
        <v>2219</v>
      </c>
      <c r="G1342" s="252" t="s">
        <v>2237</v>
      </c>
      <c r="H1342" s="252" t="s">
        <v>2213</v>
      </c>
      <c r="I1342" s="252" t="s">
        <v>2227</v>
      </c>
      <c r="J1342" s="174"/>
      <c r="K1342" s="252" t="s">
        <v>2237</v>
      </c>
      <c r="L1342" s="252" t="s">
        <v>2213</v>
      </c>
      <c r="M1342" s="174"/>
      <c r="N1342" s="174"/>
      <c r="O1342" s="253" t="s">
        <v>2243</v>
      </c>
    </row>
    <row r="1343" spans="1:15" ht="16.149999999999999" customHeight="1" x14ac:dyDescent="0.25">
      <c r="A1343" s="172">
        <v>41515</v>
      </c>
      <c r="B1343" s="175" t="s">
        <v>49</v>
      </c>
      <c r="C1343" s="254" t="s">
        <v>2168</v>
      </c>
      <c r="D1343" s="254" t="s">
        <v>2230</v>
      </c>
      <c r="E1343" s="254" t="s">
        <v>2227</v>
      </c>
      <c r="F1343" s="254" t="s">
        <v>2213</v>
      </c>
      <c r="G1343" s="254" t="s">
        <v>2237</v>
      </c>
      <c r="H1343" s="254" t="s">
        <v>2213</v>
      </c>
      <c r="I1343" s="254" t="s">
        <v>2266</v>
      </c>
      <c r="J1343" s="176"/>
      <c r="K1343" s="254" t="s">
        <v>2232</v>
      </c>
      <c r="L1343" s="254" t="s">
        <v>2227</v>
      </c>
      <c r="M1343" s="176"/>
      <c r="N1343" s="176"/>
      <c r="O1343" s="255" t="s">
        <v>2231</v>
      </c>
    </row>
    <row r="1344" spans="1:15" ht="16.149999999999999" customHeight="1" x14ac:dyDescent="0.25">
      <c r="A1344" s="172">
        <v>41514</v>
      </c>
      <c r="B1344" s="173" t="s">
        <v>49</v>
      </c>
      <c r="C1344" s="252" t="s">
        <v>2168</v>
      </c>
      <c r="D1344" s="252" t="s">
        <v>2230</v>
      </c>
      <c r="E1344" s="252" t="s">
        <v>2254</v>
      </c>
      <c r="F1344" s="252" t="s">
        <v>2214</v>
      </c>
      <c r="G1344" s="252" t="s">
        <v>2258</v>
      </c>
      <c r="H1344" s="252" t="s">
        <v>2235</v>
      </c>
      <c r="I1344" s="252" t="s">
        <v>2266</v>
      </c>
      <c r="J1344" s="174"/>
      <c r="K1344" s="252" t="s">
        <v>2213</v>
      </c>
      <c r="L1344" s="252" t="s">
        <v>2227</v>
      </c>
      <c r="M1344" s="174"/>
      <c r="N1344" s="174"/>
      <c r="O1344" s="253" t="s">
        <v>2254</v>
      </c>
    </row>
    <row r="1345" spans="1:15" ht="16.149999999999999" customHeight="1" x14ac:dyDescent="0.25">
      <c r="A1345" s="172">
        <v>41513</v>
      </c>
      <c r="B1345" s="175" t="s">
        <v>49</v>
      </c>
      <c r="C1345" s="254" t="s">
        <v>2187</v>
      </c>
      <c r="D1345" s="254" t="s">
        <v>2258</v>
      </c>
      <c r="E1345" s="254" t="s">
        <v>2245</v>
      </c>
      <c r="F1345" s="254" t="s">
        <v>2214</v>
      </c>
      <c r="G1345" s="254" t="s">
        <v>2237</v>
      </c>
      <c r="H1345" s="254" t="s">
        <v>2235</v>
      </c>
      <c r="I1345" s="254" t="s">
        <v>2227</v>
      </c>
      <c r="J1345" s="176"/>
      <c r="K1345" s="254" t="s">
        <v>2219</v>
      </c>
      <c r="L1345" s="254" t="s">
        <v>2227</v>
      </c>
      <c r="M1345" s="176"/>
      <c r="N1345" s="176"/>
      <c r="O1345" s="255" t="s">
        <v>2293</v>
      </c>
    </row>
    <row r="1346" spans="1:15" ht="16.149999999999999" customHeight="1" x14ac:dyDescent="0.25">
      <c r="A1346" s="172">
        <v>41512</v>
      </c>
      <c r="B1346" s="173" t="s">
        <v>49</v>
      </c>
      <c r="C1346" s="252" t="s">
        <v>2168</v>
      </c>
      <c r="D1346" s="252" t="s">
        <v>2230</v>
      </c>
      <c r="E1346" s="252" t="s">
        <v>2234</v>
      </c>
      <c r="F1346" s="252" t="s">
        <v>2219</v>
      </c>
      <c r="G1346" s="252" t="s">
        <v>2230</v>
      </c>
      <c r="H1346" s="252" t="s">
        <v>2237</v>
      </c>
      <c r="I1346" s="252" t="s">
        <v>2227</v>
      </c>
      <c r="J1346" s="174"/>
      <c r="K1346" s="252" t="s">
        <v>2219</v>
      </c>
      <c r="L1346" s="252" t="s">
        <v>2227</v>
      </c>
      <c r="M1346" s="174"/>
      <c r="N1346" s="174"/>
      <c r="O1346" s="253" t="s">
        <v>2214</v>
      </c>
    </row>
    <row r="1347" spans="1:15" ht="16.149999999999999" customHeight="1" x14ac:dyDescent="0.25">
      <c r="A1347" s="172">
        <v>41509</v>
      </c>
      <c r="B1347" s="175" t="s">
        <v>49</v>
      </c>
      <c r="C1347" s="254" t="s">
        <v>2181</v>
      </c>
      <c r="D1347" s="254" t="s">
        <v>2213</v>
      </c>
      <c r="E1347" s="254" t="s">
        <v>2227</v>
      </c>
      <c r="F1347" s="254" t="s">
        <v>2213</v>
      </c>
      <c r="G1347" s="254" t="s">
        <v>2234</v>
      </c>
      <c r="H1347" s="254" t="s">
        <v>2219</v>
      </c>
      <c r="I1347" s="254" t="s">
        <v>2240</v>
      </c>
      <c r="J1347" s="176"/>
      <c r="K1347" s="254" t="s">
        <v>2213</v>
      </c>
      <c r="L1347" s="254" t="s">
        <v>2220</v>
      </c>
      <c r="M1347" s="176"/>
      <c r="N1347" s="176"/>
      <c r="O1347" s="255" t="s">
        <v>2240</v>
      </c>
    </row>
    <row r="1348" spans="1:15" ht="16.149999999999999" customHeight="1" x14ac:dyDescent="0.25">
      <c r="A1348" s="172">
        <v>41508</v>
      </c>
      <c r="B1348" s="173" t="s">
        <v>49</v>
      </c>
      <c r="C1348" s="252" t="s">
        <v>2257</v>
      </c>
      <c r="D1348" s="252" t="s">
        <v>2245</v>
      </c>
      <c r="E1348" s="252" t="s">
        <v>2254</v>
      </c>
      <c r="F1348" s="252" t="s">
        <v>2219</v>
      </c>
      <c r="G1348" s="252" t="s">
        <v>2213</v>
      </c>
      <c r="H1348" s="252" t="s">
        <v>2255</v>
      </c>
      <c r="I1348" s="252" t="s">
        <v>2242</v>
      </c>
      <c r="J1348" s="174"/>
      <c r="K1348" s="252" t="s">
        <v>2213</v>
      </c>
      <c r="L1348" s="252" t="s">
        <v>2246</v>
      </c>
      <c r="M1348" s="174"/>
      <c r="N1348" s="174"/>
      <c r="O1348" s="253" t="s">
        <v>2240</v>
      </c>
    </row>
    <row r="1349" spans="1:15" ht="16.149999999999999" customHeight="1" x14ac:dyDescent="0.25">
      <c r="A1349" s="172">
        <v>41507</v>
      </c>
      <c r="B1349" s="175" t="s">
        <v>49</v>
      </c>
      <c r="C1349" s="254" t="s">
        <v>2178</v>
      </c>
      <c r="D1349" s="254" t="s">
        <v>2237</v>
      </c>
      <c r="E1349" s="254" t="s">
        <v>2231</v>
      </c>
      <c r="F1349" s="254" t="s">
        <v>2213</v>
      </c>
      <c r="G1349" s="254" t="s">
        <v>2245</v>
      </c>
      <c r="H1349" s="254" t="s">
        <v>2227</v>
      </c>
      <c r="I1349" s="254" t="s">
        <v>2266</v>
      </c>
      <c r="J1349" s="176"/>
      <c r="K1349" s="254" t="s">
        <v>2260</v>
      </c>
      <c r="L1349" s="254" t="s">
        <v>2227</v>
      </c>
      <c r="M1349" s="176"/>
      <c r="N1349" s="176"/>
      <c r="O1349" s="255" t="s">
        <v>2263</v>
      </c>
    </row>
    <row r="1350" spans="1:15" ht="16.149999999999999" customHeight="1" x14ac:dyDescent="0.25">
      <c r="A1350" s="172">
        <v>41506</v>
      </c>
      <c r="B1350" s="173" t="s">
        <v>49</v>
      </c>
      <c r="C1350" s="252" t="s">
        <v>2187</v>
      </c>
      <c r="D1350" s="252" t="s">
        <v>2258</v>
      </c>
      <c r="E1350" s="252" t="s">
        <v>2239</v>
      </c>
      <c r="F1350" s="252" t="s">
        <v>2219</v>
      </c>
      <c r="G1350" s="252" t="s">
        <v>2230</v>
      </c>
      <c r="H1350" s="252" t="s">
        <v>2227</v>
      </c>
      <c r="I1350" s="252" t="s">
        <v>2222</v>
      </c>
      <c r="J1350" s="174"/>
      <c r="K1350" s="252" t="s">
        <v>2213</v>
      </c>
      <c r="L1350" s="252" t="s">
        <v>2295</v>
      </c>
      <c r="M1350" s="174"/>
      <c r="N1350" s="174"/>
      <c r="O1350" s="253" t="s">
        <v>2225</v>
      </c>
    </row>
    <row r="1351" spans="1:15" ht="16.149999999999999" customHeight="1" x14ac:dyDescent="0.25">
      <c r="A1351" s="172">
        <v>41502</v>
      </c>
      <c r="B1351" s="175" t="s">
        <v>49</v>
      </c>
      <c r="C1351" s="254" t="s">
        <v>2175</v>
      </c>
      <c r="D1351" s="254" t="s">
        <v>2235</v>
      </c>
      <c r="E1351" s="254" t="s">
        <v>2237</v>
      </c>
      <c r="F1351" s="254" t="s">
        <v>2262</v>
      </c>
      <c r="G1351" s="254" t="s">
        <v>2235</v>
      </c>
      <c r="H1351" s="254" t="s">
        <v>2242</v>
      </c>
      <c r="I1351" s="254" t="s">
        <v>2235</v>
      </c>
      <c r="J1351" s="176"/>
      <c r="K1351" s="254" t="s">
        <v>2213</v>
      </c>
      <c r="L1351" s="254" t="s">
        <v>2220</v>
      </c>
      <c r="M1351" s="176"/>
      <c r="N1351" s="176"/>
      <c r="O1351" s="255" t="s">
        <v>2262</v>
      </c>
    </row>
    <row r="1352" spans="1:15" ht="16.149999999999999" customHeight="1" x14ac:dyDescent="0.25">
      <c r="A1352" s="172">
        <v>41501</v>
      </c>
      <c r="B1352" s="173" t="s">
        <v>49</v>
      </c>
      <c r="C1352" s="252" t="s">
        <v>2175</v>
      </c>
      <c r="D1352" s="252" t="s">
        <v>2235</v>
      </c>
      <c r="E1352" s="252" t="s">
        <v>2263</v>
      </c>
      <c r="F1352" s="252" t="s">
        <v>2262</v>
      </c>
      <c r="G1352" s="252" t="s">
        <v>2230</v>
      </c>
      <c r="H1352" s="252" t="s">
        <v>2227</v>
      </c>
      <c r="I1352" s="252" t="s">
        <v>2235</v>
      </c>
      <c r="J1352" s="174"/>
      <c r="K1352" s="252" t="s">
        <v>2213</v>
      </c>
      <c r="L1352" s="252" t="s">
        <v>2227</v>
      </c>
      <c r="M1352" s="174"/>
      <c r="N1352" s="174"/>
      <c r="O1352" s="253" t="s">
        <v>2229</v>
      </c>
    </row>
    <row r="1353" spans="1:15" ht="16.149999999999999" customHeight="1" x14ac:dyDescent="0.25">
      <c r="A1353" s="172">
        <v>41500</v>
      </c>
      <c r="B1353" s="175" t="s">
        <v>49</v>
      </c>
      <c r="C1353" s="254" t="s">
        <v>2175</v>
      </c>
      <c r="D1353" s="254" t="s">
        <v>2235</v>
      </c>
      <c r="E1353" s="254" t="s">
        <v>2219</v>
      </c>
      <c r="F1353" s="254" t="s">
        <v>2262</v>
      </c>
      <c r="G1353" s="254" t="s">
        <v>2230</v>
      </c>
      <c r="H1353" s="254" t="s">
        <v>2254</v>
      </c>
      <c r="I1353" s="254" t="s">
        <v>2231</v>
      </c>
      <c r="J1353" s="176"/>
      <c r="K1353" s="254" t="s">
        <v>2260</v>
      </c>
      <c r="L1353" s="254" t="s">
        <v>2246</v>
      </c>
      <c r="M1353" s="176"/>
      <c r="N1353" s="176"/>
      <c r="O1353" s="255" t="s">
        <v>2268</v>
      </c>
    </row>
    <row r="1354" spans="1:15" ht="16.149999999999999" customHeight="1" x14ac:dyDescent="0.25">
      <c r="A1354" s="172">
        <v>41499</v>
      </c>
      <c r="B1354" s="173" t="s">
        <v>49</v>
      </c>
      <c r="C1354" s="252" t="s">
        <v>2346</v>
      </c>
      <c r="D1354" s="252" t="s">
        <v>2219</v>
      </c>
      <c r="E1354" s="252" t="s">
        <v>2229</v>
      </c>
      <c r="F1354" s="252" t="s">
        <v>2219</v>
      </c>
      <c r="G1354" s="252" t="s">
        <v>2230</v>
      </c>
      <c r="H1354" s="252" t="s">
        <v>2254</v>
      </c>
      <c r="I1354" s="252" t="s">
        <v>2263</v>
      </c>
      <c r="J1354" s="174"/>
      <c r="K1354" s="252" t="s">
        <v>2219</v>
      </c>
      <c r="L1354" s="252" t="s">
        <v>2227</v>
      </c>
      <c r="M1354" s="174"/>
      <c r="N1354" s="174"/>
      <c r="O1354" s="253" t="s">
        <v>2229</v>
      </c>
    </row>
    <row r="1355" spans="1:15" ht="16.149999999999999" customHeight="1" x14ac:dyDescent="0.25">
      <c r="A1355" s="172">
        <v>41498</v>
      </c>
      <c r="B1355" s="175" t="s">
        <v>49</v>
      </c>
      <c r="C1355" s="254" t="s">
        <v>2181</v>
      </c>
      <c r="D1355" s="254" t="s">
        <v>2213</v>
      </c>
      <c r="E1355" s="254" t="s">
        <v>2264</v>
      </c>
      <c r="F1355" s="254" t="s">
        <v>2214</v>
      </c>
      <c r="G1355" s="254" t="s">
        <v>2230</v>
      </c>
      <c r="H1355" s="254" t="s">
        <v>2254</v>
      </c>
      <c r="I1355" s="254" t="s">
        <v>2231</v>
      </c>
      <c r="J1355" s="176"/>
      <c r="K1355" s="254" t="s">
        <v>2213</v>
      </c>
      <c r="L1355" s="254" t="s">
        <v>2227</v>
      </c>
      <c r="M1355" s="176"/>
      <c r="N1355" s="176"/>
      <c r="O1355" s="255" t="s">
        <v>2263</v>
      </c>
    </row>
    <row r="1356" spans="1:15" ht="16.149999999999999" customHeight="1" x14ac:dyDescent="0.25">
      <c r="A1356" s="172">
        <v>41495</v>
      </c>
      <c r="B1356" s="173" t="s">
        <v>49</v>
      </c>
      <c r="C1356" s="252" t="s">
        <v>2181</v>
      </c>
      <c r="D1356" s="252" t="s">
        <v>2213</v>
      </c>
      <c r="E1356" s="252" t="s">
        <v>2262</v>
      </c>
      <c r="F1356" s="252" t="s">
        <v>2214</v>
      </c>
      <c r="G1356" s="252" t="s">
        <v>2227</v>
      </c>
      <c r="H1356" s="252" t="s">
        <v>2228</v>
      </c>
      <c r="I1356" s="252" t="s">
        <v>2224</v>
      </c>
      <c r="J1356" s="174"/>
      <c r="K1356" s="252" t="s">
        <v>2213</v>
      </c>
      <c r="L1356" s="252" t="s">
        <v>1493</v>
      </c>
      <c r="M1356" s="174"/>
      <c r="N1356" s="174"/>
      <c r="O1356" s="253" t="s">
        <v>2266</v>
      </c>
    </row>
    <row r="1357" spans="1:15" ht="16.149999999999999" customHeight="1" x14ac:dyDescent="0.25">
      <c r="A1357" s="172">
        <v>41494</v>
      </c>
      <c r="B1357" s="175" t="s">
        <v>49</v>
      </c>
      <c r="C1357" s="254" t="s">
        <v>2292</v>
      </c>
      <c r="D1357" s="254" t="s">
        <v>2222</v>
      </c>
      <c r="E1357" s="254" t="s">
        <v>2262</v>
      </c>
      <c r="F1357" s="254" t="s">
        <v>2219</v>
      </c>
      <c r="G1357" s="254" t="s">
        <v>2227</v>
      </c>
      <c r="H1357" s="254" t="s">
        <v>2236</v>
      </c>
      <c r="I1357" s="254" t="s">
        <v>2254</v>
      </c>
      <c r="J1357" s="176"/>
      <c r="K1357" s="254" t="s">
        <v>2213</v>
      </c>
      <c r="L1357" s="254" t="s">
        <v>2295</v>
      </c>
      <c r="M1357" s="176"/>
      <c r="N1357" s="176"/>
      <c r="O1357" s="255" t="s">
        <v>2260</v>
      </c>
    </row>
    <row r="1358" spans="1:15" ht="16.149999999999999" customHeight="1" x14ac:dyDescent="0.25">
      <c r="A1358" s="172">
        <v>41492</v>
      </c>
      <c r="B1358" s="173" t="s">
        <v>49</v>
      </c>
      <c r="C1358" s="252" t="s">
        <v>2292</v>
      </c>
      <c r="D1358" s="252" t="s">
        <v>2222</v>
      </c>
      <c r="E1358" s="252" t="s">
        <v>2219</v>
      </c>
      <c r="F1358" s="252" t="s">
        <v>2214</v>
      </c>
      <c r="G1358" s="252" t="s">
        <v>2227</v>
      </c>
      <c r="H1358" s="252" t="s">
        <v>2223</v>
      </c>
      <c r="I1358" s="252" t="s">
        <v>2251</v>
      </c>
      <c r="J1358" s="174"/>
      <c r="K1358" s="252" t="s">
        <v>2213</v>
      </c>
      <c r="L1358" s="252" t="s">
        <v>2227</v>
      </c>
      <c r="M1358" s="174"/>
      <c r="N1358" s="174"/>
      <c r="O1358" s="253" t="s">
        <v>2219</v>
      </c>
    </row>
    <row r="1359" spans="1:15" ht="16.149999999999999" customHeight="1" x14ac:dyDescent="0.25">
      <c r="A1359" s="172">
        <v>41491</v>
      </c>
      <c r="B1359" s="175" t="s">
        <v>49</v>
      </c>
      <c r="C1359" s="254" t="s">
        <v>2178</v>
      </c>
      <c r="D1359" s="254" t="s">
        <v>2237</v>
      </c>
      <c r="E1359" s="254" t="s">
        <v>2227</v>
      </c>
      <c r="F1359" s="254" t="s">
        <v>2214</v>
      </c>
      <c r="G1359" s="254" t="s">
        <v>2245</v>
      </c>
      <c r="H1359" s="254" t="s">
        <v>2223</v>
      </c>
      <c r="I1359" s="254" t="s">
        <v>2240</v>
      </c>
      <c r="J1359" s="176"/>
      <c r="K1359" s="254" t="s">
        <v>2213</v>
      </c>
      <c r="L1359" s="254" t="s">
        <v>2227</v>
      </c>
      <c r="M1359" s="176"/>
      <c r="N1359" s="176"/>
      <c r="O1359" s="255" t="s">
        <v>2240</v>
      </c>
    </row>
    <row r="1360" spans="1:15" ht="16.149999999999999" customHeight="1" x14ac:dyDescent="0.25">
      <c r="A1360" s="172">
        <v>41488</v>
      </c>
      <c r="B1360" s="173" t="s">
        <v>49</v>
      </c>
      <c r="C1360" s="252" t="s">
        <v>2257</v>
      </c>
      <c r="D1360" s="252" t="s">
        <v>2245</v>
      </c>
      <c r="E1360" s="252" t="s">
        <v>2213</v>
      </c>
      <c r="F1360" s="252" t="s">
        <v>2219</v>
      </c>
      <c r="G1360" s="252" t="s">
        <v>2255</v>
      </c>
      <c r="H1360" s="252" t="s">
        <v>2247</v>
      </c>
      <c r="I1360" s="252" t="s">
        <v>2224</v>
      </c>
      <c r="J1360" s="174"/>
      <c r="K1360" s="252" t="s">
        <v>2219</v>
      </c>
      <c r="L1360" s="252" t="s">
        <v>2220</v>
      </c>
      <c r="M1360" s="174"/>
      <c r="N1360" s="174"/>
      <c r="O1360" s="253" t="s">
        <v>2219</v>
      </c>
    </row>
    <row r="1361" spans="1:15" ht="16.149999999999999" customHeight="1" x14ac:dyDescent="0.25">
      <c r="A1361" s="172">
        <v>41487</v>
      </c>
      <c r="B1361" s="175" t="s">
        <v>49</v>
      </c>
      <c r="C1361" s="254" t="s">
        <v>2257</v>
      </c>
      <c r="D1361" s="254" t="s">
        <v>2245</v>
      </c>
      <c r="E1361" s="254" t="s">
        <v>2232</v>
      </c>
      <c r="F1361" s="254" t="s">
        <v>2219</v>
      </c>
      <c r="G1361" s="254" t="s">
        <v>2255</v>
      </c>
      <c r="H1361" s="254" t="s">
        <v>2301</v>
      </c>
      <c r="I1361" s="254" t="s">
        <v>2231</v>
      </c>
      <c r="J1361" s="176"/>
      <c r="K1361" s="254" t="s">
        <v>2213</v>
      </c>
      <c r="L1361" s="254" t="s">
        <v>2246</v>
      </c>
      <c r="M1361" s="176"/>
      <c r="N1361" s="176"/>
      <c r="O1361" s="255" t="s">
        <v>2263</v>
      </c>
    </row>
    <row r="1362" spans="1:15" ht="16.149999999999999" customHeight="1" x14ac:dyDescent="0.25">
      <c r="A1362" s="172">
        <v>41486</v>
      </c>
      <c r="B1362" s="173" t="s">
        <v>49</v>
      </c>
      <c r="C1362" s="252" t="s">
        <v>2259</v>
      </c>
      <c r="D1362" s="252" t="s">
        <v>2232</v>
      </c>
      <c r="E1362" s="252" t="s">
        <v>2213</v>
      </c>
      <c r="F1362" s="252" t="s">
        <v>2214</v>
      </c>
      <c r="G1362" s="252" t="s">
        <v>2255</v>
      </c>
      <c r="H1362" s="252" t="s">
        <v>2224</v>
      </c>
      <c r="I1362" s="252" t="s">
        <v>2219</v>
      </c>
      <c r="J1362" s="174"/>
      <c r="K1362" s="252" t="s">
        <v>2219</v>
      </c>
      <c r="L1362" s="252" t="s">
        <v>2227</v>
      </c>
      <c r="M1362" s="174"/>
      <c r="N1362" s="174"/>
      <c r="O1362" s="253" t="s">
        <v>2214</v>
      </c>
    </row>
    <row r="1363" spans="1:15" ht="16.149999999999999" customHeight="1" x14ac:dyDescent="0.25">
      <c r="A1363" s="172">
        <v>41485</v>
      </c>
      <c r="B1363" s="175" t="s">
        <v>49</v>
      </c>
      <c r="C1363" s="254" t="s">
        <v>2168</v>
      </c>
      <c r="D1363" s="254" t="s">
        <v>2230</v>
      </c>
      <c r="E1363" s="254" t="s">
        <v>2219</v>
      </c>
      <c r="F1363" s="254" t="s">
        <v>2219</v>
      </c>
      <c r="G1363" s="254" t="s">
        <v>2222</v>
      </c>
      <c r="H1363" s="254" t="s">
        <v>2224</v>
      </c>
      <c r="I1363" s="254" t="s">
        <v>2236</v>
      </c>
      <c r="J1363" s="176"/>
      <c r="K1363" s="254" t="s">
        <v>2232</v>
      </c>
      <c r="L1363" s="254" t="s">
        <v>2220</v>
      </c>
      <c r="M1363" s="176"/>
      <c r="N1363" s="176"/>
      <c r="O1363" s="255" t="s">
        <v>2240</v>
      </c>
    </row>
    <row r="1364" spans="1:15" ht="16.149999999999999" customHeight="1" x14ac:dyDescent="0.25">
      <c r="A1364" s="172">
        <v>41484</v>
      </c>
      <c r="B1364" s="173" t="s">
        <v>49</v>
      </c>
      <c r="C1364" s="252" t="s">
        <v>2175</v>
      </c>
      <c r="D1364" s="252" t="s">
        <v>2235</v>
      </c>
      <c r="E1364" s="252" t="s">
        <v>2260</v>
      </c>
      <c r="F1364" s="252" t="s">
        <v>2214</v>
      </c>
      <c r="G1364" s="252" t="s">
        <v>2255</v>
      </c>
      <c r="H1364" s="252" t="s">
        <v>2291</v>
      </c>
      <c r="I1364" s="252" t="s">
        <v>2235</v>
      </c>
      <c r="J1364" s="174"/>
      <c r="K1364" s="252" t="s">
        <v>2213</v>
      </c>
      <c r="L1364" s="252" t="s">
        <v>2220</v>
      </c>
      <c r="M1364" s="174"/>
      <c r="N1364" s="174"/>
      <c r="O1364" s="253" t="s">
        <v>2232</v>
      </c>
    </row>
    <row r="1365" spans="1:15" ht="16.149999999999999" customHeight="1" x14ac:dyDescent="0.25">
      <c r="A1365" s="172">
        <v>41481</v>
      </c>
      <c r="B1365" s="175" t="s">
        <v>49</v>
      </c>
      <c r="C1365" s="254" t="s">
        <v>2292</v>
      </c>
      <c r="D1365" s="254" t="s">
        <v>2222</v>
      </c>
      <c r="E1365" s="254" t="s">
        <v>2237</v>
      </c>
      <c r="F1365" s="254" t="s">
        <v>2213</v>
      </c>
      <c r="G1365" s="254" t="s">
        <v>2255</v>
      </c>
      <c r="H1365" s="254" t="s">
        <v>2291</v>
      </c>
      <c r="I1365" s="254" t="s">
        <v>2213</v>
      </c>
      <c r="J1365" s="176"/>
      <c r="K1365" s="254" t="s">
        <v>2227</v>
      </c>
      <c r="L1365" s="254" t="s">
        <v>2220</v>
      </c>
      <c r="M1365" s="176"/>
      <c r="N1365" s="176"/>
      <c r="O1365" s="255" t="s">
        <v>2219</v>
      </c>
    </row>
    <row r="1366" spans="1:15" ht="16.149999999999999" customHeight="1" x14ac:dyDescent="0.25">
      <c r="A1366" s="172">
        <v>41480</v>
      </c>
      <c r="B1366" s="173" t="s">
        <v>49</v>
      </c>
      <c r="C1366" s="252" t="s">
        <v>2233</v>
      </c>
      <c r="D1366" s="252" t="s">
        <v>2234</v>
      </c>
      <c r="E1366" s="252" t="s">
        <v>2245</v>
      </c>
      <c r="F1366" s="252" t="s">
        <v>2219</v>
      </c>
      <c r="G1366" s="252" t="s">
        <v>2242</v>
      </c>
      <c r="H1366" s="252" t="s">
        <v>2301</v>
      </c>
      <c r="I1366" s="252" t="s">
        <v>2250</v>
      </c>
      <c r="J1366" s="174"/>
      <c r="K1366" s="252" t="s">
        <v>2222</v>
      </c>
      <c r="L1366" s="252" t="s">
        <v>2220</v>
      </c>
      <c r="M1366" s="174"/>
      <c r="N1366" s="174"/>
      <c r="O1366" s="253" t="s">
        <v>2219</v>
      </c>
    </row>
    <row r="1367" spans="1:15" ht="16.149999999999999" customHeight="1" x14ac:dyDescent="0.25">
      <c r="A1367" s="172">
        <v>41479</v>
      </c>
      <c r="B1367" s="175" t="s">
        <v>49</v>
      </c>
      <c r="C1367" s="254" t="s">
        <v>2241</v>
      </c>
      <c r="D1367" s="254" t="s">
        <v>2242</v>
      </c>
      <c r="E1367" s="254" t="s">
        <v>2243</v>
      </c>
      <c r="F1367" s="254" t="s">
        <v>2222</v>
      </c>
      <c r="G1367" s="254" t="s">
        <v>2243</v>
      </c>
      <c r="H1367" s="254" t="s">
        <v>2336</v>
      </c>
      <c r="I1367" s="254" t="s">
        <v>2242</v>
      </c>
      <c r="J1367" s="176"/>
      <c r="K1367" s="254" t="s">
        <v>2222</v>
      </c>
      <c r="L1367" s="254" t="s">
        <v>2227</v>
      </c>
      <c r="M1367" s="176"/>
      <c r="N1367" s="176"/>
      <c r="O1367" s="255" t="s">
        <v>2222</v>
      </c>
    </row>
    <row r="1368" spans="1:15" ht="16.149999999999999" customHeight="1" x14ac:dyDescent="0.25">
      <c r="A1368" s="172">
        <v>41478</v>
      </c>
      <c r="B1368" s="173" t="s">
        <v>49</v>
      </c>
      <c r="C1368" s="252" t="s">
        <v>2176</v>
      </c>
      <c r="D1368" s="252" t="s">
        <v>2228</v>
      </c>
      <c r="E1368" s="252" t="s">
        <v>2238</v>
      </c>
      <c r="F1368" s="252" t="s">
        <v>2227</v>
      </c>
      <c r="G1368" s="252" t="s">
        <v>2339</v>
      </c>
      <c r="H1368" s="252" t="s">
        <v>2336</v>
      </c>
      <c r="I1368" s="252" t="s">
        <v>2243</v>
      </c>
      <c r="J1368" s="174"/>
      <c r="K1368" s="252" t="s">
        <v>2293</v>
      </c>
      <c r="L1368" s="252" t="s">
        <v>2220</v>
      </c>
      <c r="M1368" s="174"/>
      <c r="N1368" s="174"/>
      <c r="O1368" s="253" t="s">
        <v>2222</v>
      </c>
    </row>
    <row r="1369" spans="1:15" ht="16.149999999999999" customHeight="1" x14ac:dyDescent="0.25">
      <c r="A1369" s="172">
        <v>41477</v>
      </c>
      <c r="B1369" s="175" t="s">
        <v>49</v>
      </c>
      <c r="C1369" s="254" t="s">
        <v>2282</v>
      </c>
      <c r="D1369" s="254" t="s">
        <v>2295</v>
      </c>
      <c r="E1369" s="254" t="s">
        <v>2311</v>
      </c>
      <c r="F1369" s="254" t="s">
        <v>2224</v>
      </c>
      <c r="G1369" s="254" t="s">
        <v>2334</v>
      </c>
      <c r="H1369" s="254" t="s">
        <v>2330</v>
      </c>
      <c r="I1369" s="254" t="s">
        <v>2298</v>
      </c>
      <c r="J1369" s="176"/>
      <c r="K1369" s="254" t="s">
        <v>2220</v>
      </c>
      <c r="L1369" s="254" t="s">
        <v>2295</v>
      </c>
      <c r="M1369" s="176"/>
      <c r="N1369" s="176"/>
      <c r="O1369" s="255" t="s">
        <v>2331</v>
      </c>
    </row>
    <row r="1370" spans="1:15" ht="16.149999999999999" customHeight="1" x14ac:dyDescent="0.25">
      <c r="A1370" s="172">
        <v>41474</v>
      </c>
      <c r="B1370" s="173" t="s">
        <v>49</v>
      </c>
      <c r="C1370" s="252" t="s">
        <v>2196</v>
      </c>
      <c r="D1370" s="252" t="s">
        <v>2307</v>
      </c>
      <c r="E1370" s="252" t="s">
        <v>2307</v>
      </c>
      <c r="F1370" s="252" t="s">
        <v>2246</v>
      </c>
      <c r="G1370" s="252" t="s">
        <v>2312</v>
      </c>
      <c r="H1370" s="252" t="s">
        <v>1493</v>
      </c>
      <c r="I1370" s="252" t="s">
        <v>2325</v>
      </c>
      <c r="J1370" s="174"/>
      <c r="K1370" s="252" t="s">
        <v>2321</v>
      </c>
      <c r="L1370" s="252" t="s">
        <v>2246</v>
      </c>
      <c r="M1370" s="174"/>
      <c r="N1370" s="174"/>
      <c r="O1370" s="253" t="s">
        <v>2331</v>
      </c>
    </row>
    <row r="1371" spans="1:15" ht="16.149999999999999" customHeight="1" x14ac:dyDescent="0.25">
      <c r="A1371" s="172">
        <v>41473</v>
      </c>
      <c r="B1371" s="175" t="s">
        <v>49</v>
      </c>
      <c r="C1371" s="254" t="s">
        <v>2219</v>
      </c>
      <c r="D1371" s="254" t="s">
        <v>2324</v>
      </c>
      <c r="E1371" s="254" t="s">
        <v>2324</v>
      </c>
      <c r="F1371" s="254" t="s">
        <v>2319</v>
      </c>
      <c r="G1371" s="254" t="s">
        <v>2324</v>
      </c>
      <c r="H1371" s="254" t="s">
        <v>2321</v>
      </c>
      <c r="I1371" s="254" t="s">
        <v>2399</v>
      </c>
      <c r="J1371" s="176"/>
      <c r="K1371" s="254" t="s">
        <v>2324</v>
      </c>
      <c r="L1371" s="254" t="s">
        <v>2253</v>
      </c>
      <c r="M1371" s="176"/>
      <c r="N1371" s="176"/>
      <c r="O1371" s="255" t="s">
        <v>2332</v>
      </c>
    </row>
    <row r="1372" spans="1:15" ht="16.149999999999999" customHeight="1" x14ac:dyDescent="0.25">
      <c r="A1372" s="172">
        <v>41472</v>
      </c>
      <c r="B1372" s="173" t="s">
        <v>49</v>
      </c>
      <c r="C1372" s="252" t="s">
        <v>2219</v>
      </c>
      <c r="D1372" s="252" t="s">
        <v>2324</v>
      </c>
      <c r="E1372" s="252" t="s">
        <v>2381</v>
      </c>
      <c r="F1372" s="252" t="s">
        <v>2321</v>
      </c>
      <c r="G1372" s="252" t="s">
        <v>2401</v>
      </c>
      <c r="H1372" s="252" t="s">
        <v>2402</v>
      </c>
      <c r="I1372" s="252" t="s">
        <v>2320</v>
      </c>
      <c r="J1372" s="174"/>
      <c r="K1372" s="252" t="s">
        <v>2324</v>
      </c>
      <c r="L1372" s="252" t="s">
        <v>2306</v>
      </c>
      <c r="M1372" s="174"/>
      <c r="N1372" s="174"/>
      <c r="O1372" s="253" t="s">
        <v>2399</v>
      </c>
    </row>
    <row r="1373" spans="1:15" ht="16.149999999999999" customHeight="1" x14ac:dyDescent="0.25">
      <c r="A1373" s="172">
        <v>41471</v>
      </c>
      <c r="B1373" s="175" t="s">
        <v>49</v>
      </c>
      <c r="C1373" s="254" t="s">
        <v>2210</v>
      </c>
      <c r="D1373" s="254" t="s">
        <v>2401</v>
      </c>
      <c r="E1373" s="254" t="s">
        <v>2312</v>
      </c>
      <c r="F1373" s="254" t="s">
        <v>2324</v>
      </c>
      <c r="G1373" s="254" t="s">
        <v>2312</v>
      </c>
      <c r="H1373" s="254" t="s">
        <v>2330</v>
      </c>
      <c r="I1373" s="254" t="s">
        <v>2324</v>
      </c>
      <c r="J1373" s="176"/>
      <c r="K1373" s="254" t="s">
        <v>2321</v>
      </c>
      <c r="L1373" s="254" t="s">
        <v>2253</v>
      </c>
      <c r="M1373" s="176"/>
      <c r="N1373" s="176"/>
      <c r="O1373" s="255" t="s">
        <v>2402</v>
      </c>
    </row>
    <row r="1374" spans="1:15" ht="16.149999999999999" customHeight="1" x14ac:dyDescent="0.25">
      <c r="A1374" s="172">
        <v>41470</v>
      </c>
      <c r="B1374" s="173" t="s">
        <v>49</v>
      </c>
      <c r="C1374" s="252" t="s">
        <v>2277</v>
      </c>
      <c r="D1374" s="252" t="s">
        <v>2312</v>
      </c>
      <c r="E1374" s="252" t="s">
        <v>2312</v>
      </c>
      <c r="F1374" s="252" t="s">
        <v>2321</v>
      </c>
      <c r="G1374" s="252" t="s">
        <v>2312</v>
      </c>
      <c r="H1374" s="252" t="s">
        <v>2403</v>
      </c>
      <c r="I1374" s="252" t="s">
        <v>2316</v>
      </c>
      <c r="J1374" s="174"/>
      <c r="K1374" s="252" t="s">
        <v>2306</v>
      </c>
      <c r="L1374" s="252" t="s">
        <v>2246</v>
      </c>
      <c r="M1374" s="174"/>
      <c r="N1374" s="174"/>
      <c r="O1374" s="253" t="s">
        <v>2402</v>
      </c>
    </row>
    <row r="1375" spans="1:15" ht="16.149999999999999" customHeight="1" x14ac:dyDescent="0.25">
      <c r="A1375" s="172">
        <v>41467</v>
      </c>
      <c r="B1375" s="175" t="s">
        <v>49</v>
      </c>
      <c r="C1375" s="254" t="s">
        <v>2209</v>
      </c>
      <c r="D1375" s="254" t="s">
        <v>2312</v>
      </c>
      <c r="E1375" s="254" t="s">
        <v>2327</v>
      </c>
      <c r="F1375" s="254" t="s">
        <v>2295</v>
      </c>
      <c r="G1375" s="254" t="s">
        <v>2337</v>
      </c>
      <c r="H1375" s="254" t="s">
        <v>2399</v>
      </c>
      <c r="I1375" s="254" t="s">
        <v>2404</v>
      </c>
      <c r="J1375" s="176"/>
      <c r="K1375" s="254" t="s">
        <v>2326</v>
      </c>
      <c r="L1375" s="254" t="s">
        <v>2399</v>
      </c>
      <c r="M1375" s="176"/>
      <c r="N1375" s="176"/>
      <c r="O1375" s="255" t="s">
        <v>2324</v>
      </c>
    </row>
    <row r="1376" spans="1:15" ht="16.149999999999999" customHeight="1" x14ac:dyDescent="0.25">
      <c r="A1376" s="172">
        <v>41466</v>
      </c>
      <c r="B1376" s="173" t="s">
        <v>49</v>
      </c>
      <c r="C1376" s="252" t="s">
        <v>2200</v>
      </c>
      <c r="D1376" s="252" t="s">
        <v>2334</v>
      </c>
      <c r="E1376" s="252" t="s">
        <v>2326</v>
      </c>
      <c r="F1376" s="252" t="s">
        <v>2224</v>
      </c>
      <c r="G1376" s="252" t="s">
        <v>2405</v>
      </c>
      <c r="H1376" s="252" t="s">
        <v>2406</v>
      </c>
      <c r="I1376" s="252" t="s">
        <v>2334</v>
      </c>
      <c r="J1376" s="174"/>
      <c r="K1376" s="252" t="s">
        <v>2405</v>
      </c>
      <c r="L1376" s="252" t="s">
        <v>2316</v>
      </c>
      <c r="M1376" s="174"/>
      <c r="N1376" s="174"/>
      <c r="O1376" s="253" t="s">
        <v>2334</v>
      </c>
    </row>
    <row r="1377" spans="1:15" ht="16.149999999999999" customHeight="1" x14ac:dyDescent="0.25">
      <c r="A1377" s="172">
        <v>41465</v>
      </c>
      <c r="B1377" s="175" t="s">
        <v>49</v>
      </c>
      <c r="C1377" s="254" t="s">
        <v>2322</v>
      </c>
      <c r="D1377" s="254" t="s">
        <v>2247</v>
      </c>
      <c r="E1377" s="254" t="s">
        <v>2314</v>
      </c>
      <c r="F1377" s="254" t="s">
        <v>2246</v>
      </c>
      <c r="G1377" s="254" t="s">
        <v>2238</v>
      </c>
      <c r="H1377" s="254" t="s">
        <v>2403</v>
      </c>
      <c r="I1377" s="254" t="s">
        <v>2250</v>
      </c>
      <c r="J1377" s="176"/>
      <c r="K1377" s="254" t="s">
        <v>2301</v>
      </c>
      <c r="L1377" s="254" t="s">
        <v>2227</v>
      </c>
      <c r="M1377" s="176"/>
      <c r="N1377" s="176"/>
      <c r="O1377" s="255" t="s">
        <v>2238</v>
      </c>
    </row>
    <row r="1378" spans="1:15" ht="16.149999999999999" customHeight="1" x14ac:dyDescent="0.25">
      <c r="A1378" s="172">
        <v>41464</v>
      </c>
      <c r="B1378" s="173" t="s">
        <v>49</v>
      </c>
      <c r="C1378" s="252" t="s">
        <v>2193</v>
      </c>
      <c r="D1378" s="252" t="s">
        <v>2238</v>
      </c>
      <c r="E1378" s="252" t="s">
        <v>2228</v>
      </c>
      <c r="F1378" s="252" t="s">
        <v>2293</v>
      </c>
      <c r="G1378" s="252" t="s">
        <v>2220</v>
      </c>
      <c r="H1378" s="252" t="s">
        <v>2403</v>
      </c>
      <c r="I1378" s="252" t="s">
        <v>2248</v>
      </c>
      <c r="J1378" s="174"/>
      <c r="K1378" s="252" t="s">
        <v>2223</v>
      </c>
      <c r="L1378" s="252" t="s">
        <v>2246</v>
      </c>
      <c r="M1378" s="174"/>
      <c r="N1378" s="174"/>
      <c r="O1378" s="253" t="s">
        <v>2220</v>
      </c>
    </row>
    <row r="1379" spans="1:15" ht="16.149999999999999" customHeight="1" x14ac:dyDescent="0.25">
      <c r="A1379" s="172">
        <v>41463</v>
      </c>
      <c r="B1379" s="175" t="s">
        <v>49</v>
      </c>
      <c r="C1379" s="254" t="s">
        <v>2185</v>
      </c>
      <c r="D1379" s="254" t="s">
        <v>2220</v>
      </c>
      <c r="E1379" s="254" t="s">
        <v>2251</v>
      </c>
      <c r="F1379" s="254" t="s">
        <v>2293</v>
      </c>
      <c r="G1379" s="254" t="s">
        <v>2220</v>
      </c>
      <c r="H1379" s="254" t="s">
        <v>2321</v>
      </c>
      <c r="I1379" s="254" t="s">
        <v>2250</v>
      </c>
      <c r="J1379" s="176"/>
      <c r="K1379" s="254" t="s">
        <v>2224</v>
      </c>
      <c r="L1379" s="254" t="s">
        <v>2246</v>
      </c>
      <c r="M1379" s="176"/>
      <c r="N1379" s="176"/>
      <c r="O1379" s="255" t="s">
        <v>2220</v>
      </c>
    </row>
    <row r="1380" spans="1:15" ht="16.149999999999999" customHeight="1" x14ac:dyDescent="0.25">
      <c r="A1380" s="172">
        <v>41460</v>
      </c>
      <c r="B1380" s="173" t="s">
        <v>49</v>
      </c>
      <c r="C1380" s="252" t="s">
        <v>2185</v>
      </c>
      <c r="D1380" s="252" t="s">
        <v>2220</v>
      </c>
      <c r="E1380" s="252" t="s">
        <v>2251</v>
      </c>
      <c r="F1380" s="252" t="s">
        <v>2293</v>
      </c>
      <c r="G1380" s="252" t="s">
        <v>2244</v>
      </c>
      <c r="H1380" s="252" t="s">
        <v>2403</v>
      </c>
      <c r="I1380" s="252" t="s">
        <v>2250</v>
      </c>
      <c r="J1380" s="174"/>
      <c r="K1380" s="252" t="s">
        <v>2228</v>
      </c>
      <c r="L1380" s="252" t="s">
        <v>2220</v>
      </c>
      <c r="M1380" s="174"/>
      <c r="N1380" s="174"/>
      <c r="O1380" s="253" t="s">
        <v>2220</v>
      </c>
    </row>
    <row r="1381" spans="1:15" ht="16.149999999999999" customHeight="1" x14ac:dyDescent="0.25">
      <c r="A1381" s="172">
        <v>41459</v>
      </c>
      <c r="B1381" s="175" t="s">
        <v>49</v>
      </c>
      <c r="C1381" s="254" t="s">
        <v>2185</v>
      </c>
      <c r="D1381" s="254" t="s">
        <v>2220</v>
      </c>
      <c r="E1381" s="254" t="s">
        <v>2243</v>
      </c>
      <c r="F1381" s="254" t="s">
        <v>2224</v>
      </c>
      <c r="G1381" s="254" t="s">
        <v>2238</v>
      </c>
      <c r="H1381" s="254" t="s">
        <v>2403</v>
      </c>
      <c r="I1381" s="254" t="s">
        <v>2250</v>
      </c>
      <c r="J1381" s="176"/>
      <c r="K1381" s="254" t="s">
        <v>2293</v>
      </c>
      <c r="L1381" s="254" t="s">
        <v>2220</v>
      </c>
      <c r="M1381" s="176"/>
      <c r="N1381" s="176"/>
      <c r="O1381" s="255" t="s">
        <v>2244</v>
      </c>
    </row>
    <row r="1382" spans="1:15" ht="16.149999999999999" customHeight="1" x14ac:dyDescent="0.25">
      <c r="A1382" s="172">
        <v>41458</v>
      </c>
      <c r="B1382" s="173" t="s">
        <v>49</v>
      </c>
      <c r="C1382" s="252" t="s">
        <v>2309</v>
      </c>
      <c r="D1382" s="252" t="s">
        <v>2244</v>
      </c>
      <c r="E1382" s="252" t="s">
        <v>2251</v>
      </c>
      <c r="F1382" s="252" t="s">
        <v>2254</v>
      </c>
      <c r="G1382" s="252" t="s">
        <v>2244</v>
      </c>
      <c r="H1382" s="252" t="s">
        <v>2403</v>
      </c>
      <c r="I1382" s="252" t="s">
        <v>2250</v>
      </c>
      <c r="J1382" s="174"/>
      <c r="K1382" s="252" t="s">
        <v>2224</v>
      </c>
      <c r="L1382" s="252" t="s">
        <v>2246</v>
      </c>
      <c r="M1382" s="174"/>
      <c r="N1382" s="174"/>
      <c r="O1382" s="253" t="s">
        <v>2244</v>
      </c>
    </row>
    <row r="1383" spans="1:15" ht="16.149999999999999" customHeight="1" x14ac:dyDescent="0.25">
      <c r="A1383" s="172">
        <v>41457</v>
      </c>
      <c r="B1383" s="175" t="s">
        <v>49</v>
      </c>
      <c r="C1383" s="254" t="s">
        <v>2309</v>
      </c>
      <c r="D1383" s="254" t="s">
        <v>2244</v>
      </c>
      <c r="E1383" s="254" t="s">
        <v>2238</v>
      </c>
      <c r="F1383" s="254" t="s">
        <v>2220</v>
      </c>
      <c r="G1383" s="254" t="s">
        <v>2223</v>
      </c>
      <c r="H1383" s="254" t="s">
        <v>2403</v>
      </c>
      <c r="I1383" s="254" t="s">
        <v>2228</v>
      </c>
      <c r="J1383" s="176"/>
      <c r="K1383" s="254" t="s">
        <v>2220</v>
      </c>
      <c r="L1383" s="254" t="s">
        <v>2220</v>
      </c>
      <c r="M1383" s="176"/>
      <c r="N1383" s="176"/>
      <c r="O1383" s="255" t="s">
        <v>2223</v>
      </c>
    </row>
    <row r="1384" spans="1:15" ht="16.149999999999999" customHeight="1" x14ac:dyDescent="0.25">
      <c r="A1384" s="172">
        <v>41453</v>
      </c>
      <c r="B1384" s="173" t="s">
        <v>49</v>
      </c>
      <c r="C1384" s="252" t="s">
        <v>2304</v>
      </c>
      <c r="D1384" s="252" t="s">
        <v>2223</v>
      </c>
      <c r="E1384" s="252" t="s">
        <v>2301</v>
      </c>
      <c r="F1384" s="252" t="s">
        <v>2220</v>
      </c>
      <c r="G1384" s="252" t="s">
        <v>2223</v>
      </c>
      <c r="H1384" s="252" t="s">
        <v>2313</v>
      </c>
      <c r="I1384" s="252" t="s">
        <v>2250</v>
      </c>
      <c r="J1384" s="174"/>
      <c r="K1384" s="252" t="s">
        <v>2223</v>
      </c>
      <c r="L1384" s="252" t="s">
        <v>2220</v>
      </c>
      <c r="M1384" s="174"/>
      <c r="N1384" s="174"/>
      <c r="O1384" s="253" t="s">
        <v>2223</v>
      </c>
    </row>
    <row r="1385" spans="1:15" ht="16.149999999999999" customHeight="1" x14ac:dyDescent="0.25">
      <c r="A1385" s="172">
        <v>41452</v>
      </c>
      <c r="B1385" s="175" t="s">
        <v>49</v>
      </c>
      <c r="C1385" s="254" t="s">
        <v>2304</v>
      </c>
      <c r="D1385" s="254" t="s">
        <v>2223</v>
      </c>
      <c r="E1385" s="254" t="s">
        <v>2223</v>
      </c>
      <c r="F1385" s="254" t="s">
        <v>2220</v>
      </c>
      <c r="G1385" s="254" t="s">
        <v>2249</v>
      </c>
      <c r="H1385" s="254" t="s">
        <v>2319</v>
      </c>
      <c r="I1385" s="254" t="s">
        <v>2244</v>
      </c>
      <c r="J1385" s="176"/>
      <c r="K1385" s="254" t="s">
        <v>2302</v>
      </c>
      <c r="L1385" s="254" t="s">
        <v>2246</v>
      </c>
      <c r="M1385" s="176"/>
      <c r="N1385" s="176"/>
      <c r="O1385" s="255" t="s">
        <v>2223</v>
      </c>
    </row>
    <row r="1386" spans="1:15" ht="16.149999999999999" customHeight="1" x14ac:dyDescent="0.25">
      <c r="A1386" s="172">
        <v>41451</v>
      </c>
      <c r="B1386" s="173" t="s">
        <v>49</v>
      </c>
      <c r="C1386" s="252" t="s">
        <v>2193</v>
      </c>
      <c r="D1386" s="252" t="s">
        <v>2238</v>
      </c>
      <c r="E1386" s="252" t="s">
        <v>2244</v>
      </c>
      <c r="F1386" s="252" t="s">
        <v>2220</v>
      </c>
      <c r="G1386" s="252" t="s">
        <v>2298</v>
      </c>
      <c r="H1386" s="252" t="s">
        <v>2321</v>
      </c>
      <c r="I1386" s="252" t="s">
        <v>2227</v>
      </c>
      <c r="J1386" s="174"/>
      <c r="K1386" s="252" t="s">
        <v>2298</v>
      </c>
      <c r="L1386" s="252" t="s">
        <v>2246</v>
      </c>
      <c r="M1386" s="174"/>
      <c r="N1386" s="174"/>
      <c r="O1386" s="253" t="s">
        <v>2220</v>
      </c>
    </row>
    <row r="1387" spans="1:15" ht="16.149999999999999" customHeight="1" x14ac:dyDescent="0.25">
      <c r="A1387" s="172">
        <v>41450</v>
      </c>
      <c r="B1387" s="175" t="s">
        <v>49</v>
      </c>
      <c r="C1387" s="254" t="s">
        <v>2185</v>
      </c>
      <c r="D1387" s="254" t="s">
        <v>2220</v>
      </c>
      <c r="E1387" s="254" t="s">
        <v>2244</v>
      </c>
      <c r="F1387" s="254" t="s">
        <v>2224</v>
      </c>
      <c r="G1387" s="254" t="s">
        <v>2228</v>
      </c>
      <c r="H1387" s="254" t="s">
        <v>2403</v>
      </c>
      <c r="I1387" s="254" t="s">
        <v>2311</v>
      </c>
      <c r="J1387" s="176"/>
      <c r="K1387" s="254" t="s">
        <v>2220</v>
      </c>
      <c r="L1387" s="254" t="s">
        <v>2227</v>
      </c>
      <c r="M1387" s="176"/>
      <c r="N1387" s="176"/>
      <c r="O1387" s="255" t="s">
        <v>2223</v>
      </c>
    </row>
    <row r="1388" spans="1:15" ht="16.149999999999999" customHeight="1" x14ac:dyDescent="0.25">
      <c r="A1388" s="172">
        <v>41449</v>
      </c>
      <c r="B1388" s="173" t="s">
        <v>49</v>
      </c>
      <c r="C1388" s="252" t="s">
        <v>2176</v>
      </c>
      <c r="D1388" s="252" t="s">
        <v>2228</v>
      </c>
      <c r="E1388" s="252" t="s">
        <v>2300</v>
      </c>
      <c r="F1388" s="252" t="s">
        <v>2220</v>
      </c>
      <c r="G1388" s="252" t="s">
        <v>2231</v>
      </c>
      <c r="H1388" s="252" t="s">
        <v>2403</v>
      </c>
      <c r="I1388" s="252" t="s">
        <v>2231</v>
      </c>
      <c r="J1388" s="174"/>
      <c r="K1388" s="252" t="s">
        <v>2251</v>
      </c>
      <c r="L1388" s="252" t="s">
        <v>2196</v>
      </c>
      <c r="M1388" s="174"/>
      <c r="N1388" s="174"/>
      <c r="O1388" s="253" t="s">
        <v>2223</v>
      </c>
    </row>
    <row r="1389" spans="1:15" ht="16.149999999999999" customHeight="1" x14ac:dyDescent="0.25">
      <c r="A1389" s="172">
        <v>41446</v>
      </c>
      <c r="B1389" s="175" t="s">
        <v>49</v>
      </c>
      <c r="C1389" s="254" t="s">
        <v>2309</v>
      </c>
      <c r="D1389" s="254" t="s">
        <v>2244</v>
      </c>
      <c r="E1389" s="254" t="s">
        <v>2250</v>
      </c>
      <c r="F1389" s="254" t="s">
        <v>2220</v>
      </c>
      <c r="G1389" s="254" t="s">
        <v>2238</v>
      </c>
      <c r="H1389" s="254" t="s">
        <v>2384</v>
      </c>
      <c r="I1389" s="254" t="s">
        <v>2236</v>
      </c>
      <c r="J1389" s="176"/>
      <c r="K1389" s="254" t="s">
        <v>2220</v>
      </c>
      <c r="L1389" s="254" t="s">
        <v>2220</v>
      </c>
      <c r="M1389" s="176"/>
      <c r="N1389" s="176"/>
      <c r="O1389" s="255" t="s">
        <v>2223</v>
      </c>
    </row>
    <row r="1390" spans="1:15" ht="16.149999999999999" customHeight="1" x14ac:dyDescent="0.25">
      <c r="A1390" s="172">
        <v>41445</v>
      </c>
      <c r="B1390" s="173" t="s">
        <v>49</v>
      </c>
      <c r="C1390" s="252" t="s">
        <v>2304</v>
      </c>
      <c r="D1390" s="252" t="s">
        <v>2223</v>
      </c>
      <c r="E1390" s="252" t="s">
        <v>2314</v>
      </c>
      <c r="F1390" s="252" t="s">
        <v>2223</v>
      </c>
      <c r="G1390" s="252" t="s">
        <v>2298</v>
      </c>
      <c r="H1390" s="252" t="s">
        <v>2403</v>
      </c>
      <c r="I1390" s="252" t="s">
        <v>2246</v>
      </c>
      <c r="J1390" s="174"/>
      <c r="K1390" s="252" t="s">
        <v>2293</v>
      </c>
      <c r="L1390" s="252" t="s">
        <v>2196</v>
      </c>
      <c r="M1390" s="174"/>
      <c r="N1390" s="174"/>
      <c r="O1390" s="253" t="s">
        <v>2223</v>
      </c>
    </row>
    <row r="1391" spans="1:15" ht="16.149999999999999" customHeight="1" x14ac:dyDescent="0.25">
      <c r="A1391" s="172">
        <v>41444</v>
      </c>
      <c r="B1391" s="175" t="s">
        <v>49</v>
      </c>
      <c r="C1391" s="254" t="s">
        <v>2274</v>
      </c>
      <c r="D1391" s="254" t="s">
        <v>2300</v>
      </c>
      <c r="E1391" s="254" t="s">
        <v>2323</v>
      </c>
      <c r="F1391" s="254" t="s">
        <v>2223</v>
      </c>
      <c r="G1391" s="254" t="s">
        <v>2301</v>
      </c>
      <c r="H1391" s="254" t="s">
        <v>2403</v>
      </c>
      <c r="I1391" s="254" t="s">
        <v>2236</v>
      </c>
      <c r="J1391" s="176"/>
      <c r="K1391" s="254" t="s">
        <v>2223</v>
      </c>
      <c r="L1391" s="254" t="s">
        <v>2246</v>
      </c>
      <c r="M1391" s="176"/>
      <c r="N1391" s="176"/>
      <c r="O1391" s="255" t="s">
        <v>2223</v>
      </c>
    </row>
    <row r="1392" spans="1:15" ht="16.149999999999999" customHeight="1" x14ac:dyDescent="0.25">
      <c r="A1392" s="172">
        <v>41443</v>
      </c>
      <c r="B1392" s="173" t="s">
        <v>49</v>
      </c>
      <c r="C1392" s="252" t="s">
        <v>2280</v>
      </c>
      <c r="D1392" s="252" t="s">
        <v>2249</v>
      </c>
      <c r="E1392" s="252" t="s">
        <v>2391</v>
      </c>
      <c r="F1392" s="252" t="s">
        <v>2220</v>
      </c>
      <c r="G1392" s="252" t="s">
        <v>2246</v>
      </c>
      <c r="H1392" s="252" t="s">
        <v>2403</v>
      </c>
      <c r="I1392" s="252" t="s">
        <v>2246</v>
      </c>
      <c r="J1392" s="174"/>
      <c r="K1392" s="252" t="s">
        <v>2223</v>
      </c>
      <c r="L1392" s="252" t="s">
        <v>2220</v>
      </c>
      <c r="M1392" s="174"/>
      <c r="N1392" s="174"/>
      <c r="O1392" s="253" t="s">
        <v>2223</v>
      </c>
    </row>
    <row r="1393" spans="1:15" ht="16.149999999999999" customHeight="1" x14ac:dyDescent="0.25">
      <c r="A1393" s="172">
        <v>41442</v>
      </c>
      <c r="B1393" s="175" t="s">
        <v>49</v>
      </c>
      <c r="C1393" s="254" t="s">
        <v>2310</v>
      </c>
      <c r="D1393" s="254" t="s">
        <v>2246</v>
      </c>
      <c r="E1393" s="254" t="s">
        <v>2326</v>
      </c>
      <c r="F1393" s="254" t="s">
        <v>2220</v>
      </c>
      <c r="G1393" s="254" t="s">
        <v>2238</v>
      </c>
      <c r="H1393" s="254" t="s">
        <v>2403</v>
      </c>
      <c r="I1393" s="254" t="s">
        <v>2246</v>
      </c>
      <c r="J1393" s="176"/>
      <c r="K1393" s="254" t="s">
        <v>2246</v>
      </c>
      <c r="L1393" s="254" t="s">
        <v>2253</v>
      </c>
      <c r="M1393" s="176"/>
      <c r="N1393" s="176"/>
      <c r="O1393" s="255" t="s">
        <v>2223</v>
      </c>
    </row>
    <row r="1394" spans="1:15" ht="16.149999999999999" customHeight="1" x14ac:dyDescent="0.25">
      <c r="A1394" s="172">
        <v>41439</v>
      </c>
      <c r="B1394" s="173" t="s">
        <v>49</v>
      </c>
      <c r="C1394" s="252" t="s">
        <v>2280</v>
      </c>
      <c r="D1394" s="252" t="s">
        <v>2249</v>
      </c>
      <c r="E1394" s="252" t="s">
        <v>2323</v>
      </c>
      <c r="F1394" s="252" t="s">
        <v>2224</v>
      </c>
      <c r="G1394" s="252" t="s">
        <v>2298</v>
      </c>
      <c r="H1394" s="252" t="s">
        <v>2403</v>
      </c>
      <c r="I1394" s="252" t="s">
        <v>2244</v>
      </c>
      <c r="J1394" s="174"/>
      <c r="K1394" s="252" t="s">
        <v>2246</v>
      </c>
      <c r="L1394" s="252" t="s">
        <v>2246</v>
      </c>
      <c r="M1394" s="174"/>
      <c r="N1394" s="174"/>
      <c r="O1394" s="253" t="s">
        <v>2223</v>
      </c>
    </row>
    <row r="1395" spans="1:15" ht="16.149999999999999" customHeight="1" x14ac:dyDescent="0.25">
      <c r="A1395" s="172">
        <v>41438</v>
      </c>
      <c r="B1395" s="175" t="s">
        <v>49</v>
      </c>
      <c r="C1395" s="254" t="s">
        <v>2304</v>
      </c>
      <c r="D1395" s="254" t="s">
        <v>2223</v>
      </c>
      <c r="E1395" s="254" t="s">
        <v>2250</v>
      </c>
      <c r="F1395" s="254" t="s">
        <v>2224</v>
      </c>
      <c r="G1395" s="254" t="s">
        <v>2298</v>
      </c>
      <c r="H1395" s="254" t="s">
        <v>2403</v>
      </c>
      <c r="I1395" s="254" t="s">
        <v>2244</v>
      </c>
      <c r="J1395" s="176"/>
      <c r="K1395" s="254" t="s">
        <v>2223</v>
      </c>
      <c r="L1395" s="254" t="s">
        <v>2295</v>
      </c>
      <c r="M1395" s="176"/>
      <c r="N1395" s="176"/>
      <c r="O1395" s="255" t="s">
        <v>2223</v>
      </c>
    </row>
    <row r="1396" spans="1:15" ht="16.149999999999999" customHeight="1" x14ac:dyDescent="0.25">
      <c r="A1396" s="172">
        <v>41437</v>
      </c>
      <c r="B1396" s="173" t="s">
        <v>49</v>
      </c>
      <c r="C1396" s="252" t="s">
        <v>2304</v>
      </c>
      <c r="D1396" s="252" t="s">
        <v>2223</v>
      </c>
      <c r="E1396" s="252" t="s">
        <v>2303</v>
      </c>
      <c r="F1396" s="252" t="s">
        <v>2220</v>
      </c>
      <c r="G1396" s="252" t="s">
        <v>2300</v>
      </c>
      <c r="H1396" s="252" t="s">
        <v>2403</v>
      </c>
      <c r="I1396" s="252" t="s">
        <v>2244</v>
      </c>
      <c r="J1396" s="174"/>
      <c r="K1396" s="252" t="s">
        <v>2223</v>
      </c>
      <c r="L1396" s="252" t="s">
        <v>2220</v>
      </c>
      <c r="M1396" s="174"/>
      <c r="N1396" s="174"/>
      <c r="O1396" s="253" t="s">
        <v>2223</v>
      </c>
    </row>
    <row r="1397" spans="1:15" ht="16.149999999999999" customHeight="1" x14ac:dyDescent="0.25">
      <c r="A1397" s="172">
        <v>41436</v>
      </c>
      <c r="B1397" s="175" t="s">
        <v>49</v>
      </c>
      <c r="C1397" s="254" t="s">
        <v>2280</v>
      </c>
      <c r="D1397" s="254" t="s">
        <v>2249</v>
      </c>
      <c r="E1397" s="254" t="s">
        <v>2339</v>
      </c>
      <c r="F1397" s="254" t="s">
        <v>2220</v>
      </c>
      <c r="G1397" s="254" t="s">
        <v>2248</v>
      </c>
      <c r="H1397" s="254" t="s">
        <v>2319</v>
      </c>
      <c r="I1397" s="254" t="s">
        <v>2244</v>
      </c>
      <c r="J1397" s="176"/>
      <c r="K1397" s="254" t="s">
        <v>2246</v>
      </c>
      <c r="L1397" s="254" t="s">
        <v>2213</v>
      </c>
      <c r="M1397" s="176"/>
      <c r="N1397" s="176"/>
      <c r="O1397" s="255" t="s">
        <v>2223</v>
      </c>
    </row>
    <row r="1398" spans="1:15" ht="16.149999999999999" customHeight="1" x14ac:dyDescent="0.25">
      <c r="A1398" s="172">
        <v>41432</v>
      </c>
      <c r="B1398" s="173" t="s">
        <v>49</v>
      </c>
      <c r="C1398" s="252" t="s">
        <v>2310</v>
      </c>
      <c r="D1398" s="252" t="s">
        <v>2246</v>
      </c>
      <c r="E1398" s="252" t="s">
        <v>2250</v>
      </c>
      <c r="F1398" s="252" t="s">
        <v>2220</v>
      </c>
      <c r="G1398" s="252" t="s">
        <v>2248</v>
      </c>
      <c r="H1398" s="252" t="s">
        <v>2316</v>
      </c>
      <c r="I1398" s="252" t="s">
        <v>2253</v>
      </c>
      <c r="J1398" s="174"/>
      <c r="K1398" s="252" t="s">
        <v>2246</v>
      </c>
      <c r="L1398" s="252" t="s">
        <v>2246</v>
      </c>
      <c r="M1398" s="174"/>
      <c r="N1398" s="174"/>
      <c r="O1398" s="253" t="s">
        <v>2223</v>
      </c>
    </row>
    <row r="1399" spans="1:15" ht="16.149999999999999" customHeight="1" x14ac:dyDescent="0.25">
      <c r="A1399" s="172">
        <v>41431</v>
      </c>
      <c r="B1399" s="175" t="s">
        <v>49</v>
      </c>
      <c r="C1399" s="254" t="s">
        <v>2304</v>
      </c>
      <c r="D1399" s="254" t="s">
        <v>2223</v>
      </c>
      <c r="E1399" s="254" t="s">
        <v>2405</v>
      </c>
      <c r="F1399" s="254" t="s">
        <v>2222</v>
      </c>
      <c r="G1399" s="254" t="s">
        <v>2248</v>
      </c>
      <c r="H1399" s="254" t="s">
        <v>2321</v>
      </c>
      <c r="I1399" s="254" t="s">
        <v>2220</v>
      </c>
      <c r="J1399" s="176"/>
      <c r="K1399" s="254" t="s">
        <v>2223</v>
      </c>
      <c r="L1399" s="254" t="s">
        <v>2220</v>
      </c>
      <c r="M1399" s="176"/>
      <c r="N1399" s="176"/>
      <c r="O1399" s="255" t="s">
        <v>2223</v>
      </c>
    </row>
    <row r="1400" spans="1:15" ht="16.149999999999999" customHeight="1" x14ac:dyDescent="0.25">
      <c r="A1400" s="172">
        <v>41430</v>
      </c>
      <c r="B1400" s="173" t="s">
        <v>49</v>
      </c>
      <c r="C1400" s="252" t="s">
        <v>2177</v>
      </c>
      <c r="D1400" s="252" t="s">
        <v>2301</v>
      </c>
      <c r="E1400" s="252" t="s">
        <v>2249</v>
      </c>
      <c r="F1400" s="252" t="s">
        <v>2220</v>
      </c>
      <c r="G1400" s="252" t="s">
        <v>2248</v>
      </c>
      <c r="H1400" s="252" t="s">
        <v>2321</v>
      </c>
      <c r="I1400" s="252" t="s">
        <v>2220</v>
      </c>
      <c r="J1400" s="174"/>
      <c r="K1400" s="252" t="s">
        <v>2246</v>
      </c>
      <c r="L1400" s="252" t="s">
        <v>2246</v>
      </c>
      <c r="M1400" s="174"/>
      <c r="N1400" s="174"/>
      <c r="O1400" s="253" t="s">
        <v>2223</v>
      </c>
    </row>
    <row r="1401" spans="1:15" ht="16.149999999999999" customHeight="1" x14ac:dyDescent="0.25">
      <c r="A1401" s="172">
        <v>41429</v>
      </c>
      <c r="B1401" s="175" t="s">
        <v>49</v>
      </c>
      <c r="C1401" s="254" t="s">
        <v>2192</v>
      </c>
      <c r="D1401" s="254" t="s">
        <v>2298</v>
      </c>
      <c r="E1401" s="254" t="s">
        <v>2250</v>
      </c>
      <c r="F1401" s="254" t="s">
        <v>2220</v>
      </c>
      <c r="G1401" s="254" t="s">
        <v>2248</v>
      </c>
      <c r="H1401" s="254" t="s">
        <v>2316</v>
      </c>
      <c r="I1401" s="254" t="s">
        <v>2291</v>
      </c>
      <c r="J1401" s="176"/>
      <c r="K1401" s="254" t="s">
        <v>2298</v>
      </c>
      <c r="L1401" s="254" t="s">
        <v>2220</v>
      </c>
      <c r="M1401" s="176"/>
      <c r="N1401" s="176"/>
      <c r="O1401" s="255" t="s">
        <v>2223</v>
      </c>
    </row>
    <row r="1402" spans="1:15" ht="16.149999999999999" customHeight="1" x14ac:dyDescent="0.25">
      <c r="A1402" s="172">
        <v>41425</v>
      </c>
      <c r="B1402" s="173" t="s">
        <v>49</v>
      </c>
      <c r="C1402" s="252" t="s">
        <v>2322</v>
      </c>
      <c r="D1402" s="252" t="s">
        <v>2247</v>
      </c>
      <c r="E1402" s="252" t="s">
        <v>2405</v>
      </c>
      <c r="F1402" s="252" t="s">
        <v>2220</v>
      </c>
      <c r="G1402" s="252" t="s">
        <v>2407</v>
      </c>
      <c r="H1402" s="252" t="s">
        <v>2316</v>
      </c>
      <c r="I1402" s="252" t="s">
        <v>2264</v>
      </c>
      <c r="J1402" s="174"/>
      <c r="K1402" s="252" t="s">
        <v>2220</v>
      </c>
      <c r="L1402" s="252" t="s">
        <v>2295</v>
      </c>
      <c r="M1402" s="174"/>
      <c r="N1402" s="174"/>
      <c r="O1402" s="253" t="s">
        <v>2223</v>
      </c>
    </row>
    <row r="1403" spans="1:15" ht="16.149999999999999" customHeight="1" x14ac:dyDescent="0.25">
      <c r="A1403" s="172">
        <v>41424</v>
      </c>
      <c r="B1403" s="175" t="s">
        <v>49</v>
      </c>
      <c r="C1403" s="254" t="s">
        <v>2189</v>
      </c>
      <c r="D1403" s="254" t="s">
        <v>2302</v>
      </c>
      <c r="E1403" s="254" t="s">
        <v>2341</v>
      </c>
      <c r="F1403" s="254" t="s">
        <v>2220</v>
      </c>
      <c r="G1403" s="254" t="s">
        <v>404</v>
      </c>
      <c r="H1403" s="254" t="s">
        <v>2316</v>
      </c>
      <c r="I1403" s="254" t="s">
        <v>2244</v>
      </c>
      <c r="J1403" s="176"/>
      <c r="K1403" s="254" t="s">
        <v>2223</v>
      </c>
      <c r="L1403" s="254" t="s">
        <v>2214</v>
      </c>
      <c r="M1403" s="176"/>
      <c r="N1403" s="176"/>
      <c r="O1403" s="255" t="s">
        <v>2223</v>
      </c>
    </row>
    <row r="1404" spans="1:15" ht="16.149999999999999" customHeight="1" x14ac:dyDescent="0.25">
      <c r="A1404" s="172">
        <v>41423</v>
      </c>
      <c r="B1404" s="173" t="s">
        <v>49</v>
      </c>
      <c r="C1404" s="252" t="s">
        <v>2310</v>
      </c>
      <c r="D1404" s="252" t="s">
        <v>2246</v>
      </c>
      <c r="E1404" s="252" t="s">
        <v>2400</v>
      </c>
      <c r="F1404" s="252" t="s">
        <v>2220</v>
      </c>
      <c r="G1404" s="252" t="s">
        <v>2250</v>
      </c>
      <c r="H1404" s="252" t="s">
        <v>2316</v>
      </c>
      <c r="I1404" s="252" t="s">
        <v>2244</v>
      </c>
      <c r="J1404" s="174"/>
      <c r="K1404" s="252" t="s">
        <v>2223</v>
      </c>
      <c r="L1404" s="252" t="s">
        <v>2246</v>
      </c>
      <c r="M1404" s="174"/>
      <c r="N1404" s="174"/>
      <c r="O1404" s="253" t="s">
        <v>2246</v>
      </c>
    </row>
    <row r="1405" spans="1:15" ht="16.149999999999999" customHeight="1" x14ac:dyDescent="0.25">
      <c r="A1405" s="172">
        <v>41422</v>
      </c>
      <c r="B1405" s="175" t="s">
        <v>49</v>
      </c>
      <c r="C1405" s="254" t="s">
        <v>2265</v>
      </c>
      <c r="D1405" s="254" t="s">
        <v>2250</v>
      </c>
      <c r="E1405" s="254" t="s">
        <v>2311</v>
      </c>
      <c r="F1405" s="254" t="s">
        <v>2223</v>
      </c>
      <c r="G1405" s="254" t="s">
        <v>2405</v>
      </c>
      <c r="H1405" s="254" t="s">
        <v>2316</v>
      </c>
      <c r="I1405" s="254" t="s">
        <v>2250</v>
      </c>
      <c r="J1405" s="176"/>
      <c r="K1405" s="254" t="s">
        <v>2250</v>
      </c>
      <c r="L1405" s="254" t="s">
        <v>2214</v>
      </c>
      <c r="M1405" s="176"/>
      <c r="N1405" s="176"/>
      <c r="O1405" s="255" t="s">
        <v>2246</v>
      </c>
    </row>
    <row r="1406" spans="1:15" ht="16.149999999999999" customHeight="1" x14ac:dyDescent="0.25">
      <c r="A1406" s="172">
        <v>41421</v>
      </c>
      <c r="B1406" s="173" t="s">
        <v>49</v>
      </c>
      <c r="C1406" s="252" t="s">
        <v>2408</v>
      </c>
      <c r="D1406" s="252" t="s">
        <v>2407</v>
      </c>
      <c r="E1406" s="252" t="s">
        <v>2409</v>
      </c>
      <c r="F1406" s="252" t="s">
        <v>2246</v>
      </c>
      <c r="G1406" s="252" t="s">
        <v>2248</v>
      </c>
      <c r="H1406" s="252" t="s">
        <v>2399</v>
      </c>
      <c r="I1406" s="252" t="s">
        <v>2337</v>
      </c>
      <c r="J1406" s="174"/>
      <c r="K1406" s="252" t="s">
        <v>2405</v>
      </c>
      <c r="L1406" s="252" t="s">
        <v>2214</v>
      </c>
      <c r="M1406" s="174"/>
      <c r="N1406" s="174"/>
      <c r="O1406" s="253" t="s">
        <v>2246</v>
      </c>
    </row>
    <row r="1407" spans="1:15" ht="16.149999999999999" customHeight="1" x14ac:dyDescent="0.25">
      <c r="A1407" s="172">
        <v>41418</v>
      </c>
      <c r="B1407" s="175" t="s">
        <v>49</v>
      </c>
      <c r="C1407" s="254" t="s">
        <v>2410</v>
      </c>
      <c r="D1407" s="254" t="s">
        <v>2248</v>
      </c>
      <c r="E1407" s="254" t="s">
        <v>2400</v>
      </c>
      <c r="F1407" s="254" t="s">
        <v>2248</v>
      </c>
      <c r="G1407" s="254" t="s">
        <v>2323</v>
      </c>
      <c r="H1407" s="254" t="s">
        <v>2399</v>
      </c>
      <c r="I1407" s="254" t="s">
        <v>2250</v>
      </c>
      <c r="J1407" s="176"/>
      <c r="K1407" s="254" t="s">
        <v>2248</v>
      </c>
      <c r="L1407" s="254" t="s">
        <v>2246</v>
      </c>
      <c r="M1407" s="176"/>
      <c r="N1407" s="176"/>
      <c r="O1407" s="255" t="s">
        <v>2249</v>
      </c>
    </row>
    <row r="1408" spans="1:15" ht="16.149999999999999" customHeight="1" x14ac:dyDescent="0.25">
      <c r="A1408" s="172">
        <v>41417</v>
      </c>
      <c r="B1408" s="173" t="s">
        <v>49</v>
      </c>
      <c r="C1408" s="252" t="s">
        <v>2285</v>
      </c>
      <c r="D1408" s="252" t="s">
        <v>2338</v>
      </c>
      <c r="E1408" s="252" t="s">
        <v>2311</v>
      </c>
      <c r="F1408" s="252" t="s">
        <v>2248</v>
      </c>
      <c r="G1408" s="252" t="s">
        <v>2323</v>
      </c>
      <c r="H1408" s="252" t="s">
        <v>2411</v>
      </c>
      <c r="I1408" s="252" t="s">
        <v>2345</v>
      </c>
      <c r="J1408" s="174"/>
      <c r="K1408" s="252" t="s">
        <v>2248</v>
      </c>
      <c r="L1408" s="252" t="s">
        <v>2306</v>
      </c>
      <c r="M1408" s="174"/>
      <c r="N1408" s="174"/>
      <c r="O1408" s="253" t="s">
        <v>2249</v>
      </c>
    </row>
    <row r="1409" spans="1:15" ht="16.149999999999999" customHeight="1" x14ac:dyDescent="0.25">
      <c r="A1409" s="172">
        <v>41416</v>
      </c>
      <c r="B1409" s="175" t="s">
        <v>49</v>
      </c>
      <c r="C1409" s="254" t="s">
        <v>2206</v>
      </c>
      <c r="D1409" s="254" t="s">
        <v>2391</v>
      </c>
      <c r="E1409" s="254" t="s">
        <v>2412</v>
      </c>
      <c r="F1409" s="254" t="s">
        <v>2248</v>
      </c>
      <c r="G1409" s="254" t="s">
        <v>2338</v>
      </c>
      <c r="H1409" s="254" t="s">
        <v>2332</v>
      </c>
      <c r="I1409" s="254" t="s">
        <v>2341</v>
      </c>
      <c r="J1409" s="176"/>
      <c r="K1409" s="254" t="s">
        <v>2295</v>
      </c>
      <c r="L1409" s="254" t="s">
        <v>2316</v>
      </c>
      <c r="M1409" s="176"/>
      <c r="N1409" s="176"/>
      <c r="O1409" s="255" t="s">
        <v>2334</v>
      </c>
    </row>
    <row r="1410" spans="1:15" ht="16.149999999999999" customHeight="1" x14ac:dyDescent="0.25">
      <c r="A1410" s="172">
        <v>41415</v>
      </c>
      <c r="B1410" s="173" t="s">
        <v>49</v>
      </c>
      <c r="C1410" s="252" t="s">
        <v>2281</v>
      </c>
      <c r="D1410" s="252" t="s">
        <v>2400</v>
      </c>
      <c r="E1410" s="252" t="s">
        <v>2412</v>
      </c>
      <c r="F1410" s="252" t="s">
        <v>2405</v>
      </c>
      <c r="G1410" s="252" t="s">
        <v>2391</v>
      </c>
      <c r="H1410" s="252" t="s">
        <v>2348</v>
      </c>
      <c r="I1410" s="252" t="s">
        <v>2307</v>
      </c>
      <c r="J1410" s="174"/>
      <c r="K1410" s="252" t="s">
        <v>2295</v>
      </c>
      <c r="L1410" s="252" t="s">
        <v>2348</v>
      </c>
      <c r="M1410" s="174"/>
      <c r="N1410" s="174"/>
      <c r="O1410" s="253" t="s">
        <v>2334</v>
      </c>
    </row>
    <row r="1411" spans="1:15" ht="16.149999999999999" customHeight="1" x14ac:dyDescent="0.25">
      <c r="A1411" s="172">
        <v>41414</v>
      </c>
      <c r="B1411" s="175" t="s">
        <v>49</v>
      </c>
      <c r="C1411" s="254" t="s">
        <v>2206</v>
      </c>
      <c r="D1411" s="254" t="s">
        <v>2391</v>
      </c>
      <c r="E1411" s="254" t="s">
        <v>2326</v>
      </c>
      <c r="F1411" s="254" t="s">
        <v>2405</v>
      </c>
      <c r="G1411" s="254" t="s">
        <v>2306</v>
      </c>
      <c r="H1411" s="254" t="s">
        <v>2413</v>
      </c>
      <c r="I1411" s="254" t="s">
        <v>2250</v>
      </c>
      <c r="J1411" s="176"/>
      <c r="K1411" s="254" t="s">
        <v>2248</v>
      </c>
      <c r="L1411" s="254" t="s">
        <v>2316</v>
      </c>
      <c r="M1411" s="176"/>
      <c r="N1411" s="176"/>
      <c r="O1411" s="255" t="s">
        <v>2334</v>
      </c>
    </row>
    <row r="1412" spans="1:15" ht="16.149999999999999" customHeight="1" x14ac:dyDescent="0.25">
      <c r="A1412" s="172">
        <v>41411</v>
      </c>
      <c r="B1412" s="173" t="s">
        <v>49</v>
      </c>
      <c r="C1412" s="252" t="s">
        <v>2195</v>
      </c>
      <c r="D1412" s="252" t="s">
        <v>2339</v>
      </c>
      <c r="E1412" s="252" t="s">
        <v>2303</v>
      </c>
      <c r="F1412" s="252" t="s">
        <v>2248</v>
      </c>
      <c r="G1412" s="252" t="s">
        <v>2253</v>
      </c>
      <c r="H1412" s="252" t="s">
        <v>2334</v>
      </c>
      <c r="I1412" s="252" t="s">
        <v>2303</v>
      </c>
      <c r="J1412" s="174"/>
      <c r="K1412" s="252" t="s">
        <v>2248</v>
      </c>
      <c r="L1412" s="252" t="s">
        <v>2306</v>
      </c>
      <c r="M1412" s="174"/>
      <c r="N1412" s="174"/>
      <c r="O1412" s="253" t="s">
        <v>2323</v>
      </c>
    </row>
    <row r="1413" spans="1:15" ht="16.149999999999999" customHeight="1" x14ac:dyDescent="0.25">
      <c r="A1413" s="172">
        <v>41410</v>
      </c>
      <c r="B1413" s="175" t="s">
        <v>49</v>
      </c>
      <c r="C1413" s="254" t="s">
        <v>2282</v>
      </c>
      <c r="D1413" s="254" t="s">
        <v>2295</v>
      </c>
      <c r="E1413" s="254" t="s">
        <v>2305</v>
      </c>
      <c r="F1413" s="254" t="s">
        <v>2295</v>
      </c>
      <c r="G1413" s="254" t="s">
        <v>2331</v>
      </c>
      <c r="H1413" s="254" t="s">
        <v>2339</v>
      </c>
      <c r="I1413" s="254" t="s">
        <v>2305</v>
      </c>
      <c r="J1413" s="176"/>
      <c r="K1413" s="254" t="s">
        <v>2295</v>
      </c>
      <c r="L1413" s="254" t="s">
        <v>2253</v>
      </c>
      <c r="M1413" s="176"/>
      <c r="N1413" s="176"/>
      <c r="O1413" s="255" t="s">
        <v>2323</v>
      </c>
    </row>
    <row r="1414" spans="1:15" ht="16.149999999999999" customHeight="1" x14ac:dyDescent="0.25">
      <c r="A1414" s="172">
        <v>41409</v>
      </c>
      <c r="B1414" s="173" t="s">
        <v>49</v>
      </c>
      <c r="C1414" s="252" t="s">
        <v>2206</v>
      </c>
      <c r="D1414" s="252" t="s">
        <v>2391</v>
      </c>
      <c r="E1414" s="252" t="s">
        <v>2334</v>
      </c>
      <c r="F1414" s="252" t="s">
        <v>2295</v>
      </c>
      <c r="G1414" s="252" t="s">
        <v>2319</v>
      </c>
      <c r="H1414" s="252" t="s">
        <v>2339</v>
      </c>
      <c r="I1414" s="252" t="s">
        <v>2317</v>
      </c>
      <c r="J1414" s="174"/>
      <c r="K1414" s="252" t="s">
        <v>2391</v>
      </c>
      <c r="L1414" s="252" t="s">
        <v>2321</v>
      </c>
      <c r="M1414" s="174"/>
      <c r="N1414" s="174"/>
      <c r="O1414" s="253" t="s">
        <v>2409</v>
      </c>
    </row>
    <row r="1415" spans="1:15" ht="16.149999999999999" customHeight="1" x14ac:dyDescent="0.25">
      <c r="A1415" s="172">
        <v>41408</v>
      </c>
      <c r="B1415" s="175" t="s">
        <v>49</v>
      </c>
      <c r="C1415" s="254" t="s">
        <v>2281</v>
      </c>
      <c r="D1415" s="254" t="s">
        <v>2400</v>
      </c>
      <c r="E1415" s="254" t="s">
        <v>2334</v>
      </c>
      <c r="F1415" s="254" t="s">
        <v>2338</v>
      </c>
      <c r="G1415" s="254" t="s">
        <v>2337</v>
      </c>
      <c r="H1415" s="254" t="s">
        <v>2414</v>
      </c>
      <c r="I1415" s="254" t="s">
        <v>2323</v>
      </c>
      <c r="J1415" s="176"/>
      <c r="K1415" s="254" t="s">
        <v>2253</v>
      </c>
      <c r="L1415" s="254" t="s">
        <v>2253</v>
      </c>
      <c r="M1415" s="176"/>
      <c r="N1415" s="176"/>
      <c r="O1415" s="255" t="s">
        <v>2409</v>
      </c>
    </row>
    <row r="1416" spans="1:15" ht="16.149999999999999" customHeight="1" x14ac:dyDescent="0.25">
      <c r="A1416" s="172">
        <v>41404</v>
      </c>
      <c r="B1416" s="173" t="s">
        <v>49</v>
      </c>
      <c r="C1416" s="252" t="s">
        <v>2191</v>
      </c>
      <c r="D1416" s="252" t="s">
        <v>2337</v>
      </c>
      <c r="E1416" s="252" t="s">
        <v>2305</v>
      </c>
      <c r="F1416" s="252" t="s">
        <v>2338</v>
      </c>
      <c r="G1416" s="252" t="s">
        <v>2306</v>
      </c>
      <c r="H1416" s="252" t="s">
        <v>2337</v>
      </c>
      <c r="I1416" s="252" t="s">
        <v>1493</v>
      </c>
      <c r="J1416" s="174"/>
      <c r="K1416" s="252" t="s">
        <v>2306</v>
      </c>
      <c r="L1416" s="252" t="s">
        <v>2321</v>
      </c>
      <c r="M1416" s="174"/>
      <c r="N1416" s="174"/>
      <c r="O1416" s="253" t="s">
        <v>2338</v>
      </c>
    </row>
    <row r="1417" spans="1:15" ht="16.149999999999999" customHeight="1" x14ac:dyDescent="0.25">
      <c r="A1417" s="172">
        <v>41403</v>
      </c>
      <c r="B1417" s="175" t="s">
        <v>49</v>
      </c>
      <c r="C1417" s="254" t="s">
        <v>2204</v>
      </c>
      <c r="D1417" s="254" t="s">
        <v>2317</v>
      </c>
      <c r="E1417" s="254" t="s">
        <v>2402</v>
      </c>
      <c r="F1417" s="254" t="s">
        <v>2306</v>
      </c>
      <c r="G1417" s="254" t="s">
        <v>2319</v>
      </c>
      <c r="H1417" s="254" t="s">
        <v>2250</v>
      </c>
      <c r="I1417" s="254" t="s">
        <v>2318</v>
      </c>
      <c r="J1417" s="176"/>
      <c r="K1417" s="254" t="s">
        <v>2330</v>
      </c>
      <c r="L1417" s="254" t="s">
        <v>2348</v>
      </c>
      <c r="M1417" s="176"/>
      <c r="N1417" s="176"/>
      <c r="O1417" s="255" t="s">
        <v>2338</v>
      </c>
    </row>
    <row r="1418" spans="1:15" ht="16.149999999999999" customHeight="1" x14ac:dyDescent="0.25">
      <c r="A1418" s="172">
        <v>41402</v>
      </c>
      <c r="B1418" s="173" t="s">
        <v>49</v>
      </c>
      <c r="C1418" s="252" t="s">
        <v>2264</v>
      </c>
      <c r="D1418" s="252" t="s">
        <v>2321</v>
      </c>
      <c r="E1418" s="252" t="s">
        <v>2330</v>
      </c>
      <c r="F1418" s="252" t="s">
        <v>2319</v>
      </c>
      <c r="G1418" s="252" t="s">
        <v>2325</v>
      </c>
      <c r="H1418" s="252" t="s">
        <v>2415</v>
      </c>
      <c r="I1418" s="252" t="s">
        <v>2384</v>
      </c>
      <c r="J1418" s="174"/>
      <c r="K1418" s="252" t="s">
        <v>2356</v>
      </c>
      <c r="L1418" s="252" t="s">
        <v>2316</v>
      </c>
      <c r="M1418" s="174"/>
      <c r="N1418" s="174"/>
      <c r="O1418" s="253" t="s">
        <v>2400</v>
      </c>
    </row>
    <row r="1419" spans="1:15" ht="16.149999999999999" customHeight="1" x14ac:dyDescent="0.25">
      <c r="A1419" s="172">
        <v>41401</v>
      </c>
      <c r="B1419" s="175" t="s">
        <v>49</v>
      </c>
      <c r="C1419" s="254" t="s">
        <v>2240</v>
      </c>
      <c r="D1419" s="254" t="s">
        <v>2325</v>
      </c>
      <c r="E1419" s="254" t="s">
        <v>2404</v>
      </c>
      <c r="F1419" s="254" t="s">
        <v>2319</v>
      </c>
      <c r="G1419" s="254" t="s">
        <v>2350</v>
      </c>
      <c r="H1419" s="254" t="s">
        <v>2352</v>
      </c>
      <c r="I1419" s="254" t="s">
        <v>2325</v>
      </c>
      <c r="J1419" s="176"/>
      <c r="K1419" s="254" t="s">
        <v>2325</v>
      </c>
      <c r="L1419" s="254" t="s">
        <v>2316</v>
      </c>
      <c r="M1419" s="176"/>
      <c r="N1419" s="176"/>
      <c r="O1419" s="255" t="s">
        <v>2400</v>
      </c>
    </row>
    <row r="1420" spans="1:15" ht="16.149999999999999" customHeight="1" x14ac:dyDescent="0.25">
      <c r="A1420" s="172">
        <v>41400</v>
      </c>
      <c r="B1420" s="173" t="s">
        <v>49</v>
      </c>
      <c r="C1420" s="252" t="s">
        <v>2232</v>
      </c>
      <c r="D1420" s="252" t="s">
        <v>2381</v>
      </c>
      <c r="E1420" s="252" t="s">
        <v>2316</v>
      </c>
      <c r="F1420" s="252" t="s">
        <v>2312</v>
      </c>
      <c r="G1420" s="252" t="s">
        <v>2350</v>
      </c>
      <c r="H1420" s="252" t="s">
        <v>2416</v>
      </c>
      <c r="I1420" s="252" t="s">
        <v>2413</v>
      </c>
      <c r="J1420" s="174"/>
      <c r="K1420" s="252" t="s">
        <v>2324</v>
      </c>
      <c r="L1420" s="252" t="s">
        <v>2295</v>
      </c>
      <c r="M1420" s="174"/>
      <c r="N1420" s="174"/>
      <c r="O1420" s="253" t="s">
        <v>2316</v>
      </c>
    </row>
    <row r="1421" spans="1:15" ht="16.149999999999999" customHeight="1" x14ac:dyDescent="0.25">
      <c r="A1421" s="172">
        <v>41397</v>
      </c>
      <c r="B1421" s="175" t="s">
        <v>49</v>
      </c>
      <c r="C1421" s="254" t="s">
        <v>2213</v>
      </c>
      <c r="D1421" s="254" t="s">
        <v>2316</v>
      </c>
      <c r="E1421" s="254" t="s">
        <v>2330</v>
      </c>
      <c r="F1421" s="254" t="s">
        <v>2321</v>
      </c>
      <c r="G1421" s="254" t="s">
        <v>2352</v>
      </c>
      <c r="H1421" s="254" t="s">
        <v>2397</v>
      </c>
      <c r="I1421" s="254" t="s">
        <v>2406</v>
      </c>
      <c r="J1421" s="176"/>
      <c r="K1421" s="254" t="s">
        <v>2316</v>
      </c>
      <c r="L1421" s="254" t="s">
        <v>2348</v>
      </c>
      <c r="M1421" s="176"/>
      <c r="N1421" s="176"/>
      <c r="O1421" s="255" t="s">
        <v>2316</v>
      </c>
    </row>
    <row r="1422" spans="1:15" ht="16.149999999999999" customHeight="1" x14ac:dyDescent="0.25">
      <c r="A1422" s="172">
        <v>41396</v>
      </c>
      <c r="B1422" s="173" t="s">
        <v>49</v>
      </c>
      <c r="C1422" s="252" t="s">
        <v>2213</v>
      </c>
      <c r="D1422" s="252" t="s">
        <v>2316</v>
      </c>
      <c r="E1422" s="252" t="s">
        <v>2324</v>
      </c>
      <c r="F1422" s="252" t="s">
        <v>2324</v>
      </c>
      <c r="G1422" s="252" t="s">
        <v>2348</v>
      </c>
      <c r="H1422" s="252" t="s">
        <v>2394</v>
      </c>
      <c r="I1422" s="252" t="s">
        <v>2386</v>
      </c>
      <c r="J1422" s="174"/>
      <c r="K1422" s="252" t="s">
        <v>2316</v>
      </c>
      <c r="L1422" s="252" t="s">
        <v>2316</v>
      </c>
      <c r="M1422" s="174"/>
      <c r="N1422" s="174"/>
      <c r="O1422" s="253" t="s">
        <v>2319</v>
      </c>
    </row>
    <row r="1423" spans="1:15" ht="16.149999999999999" customHeight="1" x14ac:dyDescent="0.25">
      <c r="A1423" s="172">
        <v>41394</v>
      </c>
      <c r="B1423" s="175" t="s">
        <v>49</v>
      </c>
      <c r="C1423" s="254" t="s">
        <v>2227</v>
      </c>
      <c r="D1423" s="254" t="s">
        <v>2399</v>
      </c>
      <c r="E1423" s="254" t="s">
        <v>2330</v>
      </c>
      <c r="F1423" s="254" t="s">
        <v>2316</v>
      </c>
      <c r="G1423" s="254" t="s">
        <v>2316</v>
      </c>
      <c r="H1423" s="254" t="s">
        <v>2350</v>
      </c>
      <c r="I1423" s="254" t="s">
        <v>2375</v>
      </c>
      <c r="J1423" s="176"/>
      <c r="K1423" s="254" t="s">
        <v>2316</v>
      </c>
      <c r="L1423" s="254" t="s">
        <v>2348</v>
      </c>
      <c r="M1423" s="176"/>
      <c r="N1423" s="176"/>
      <c r="O1423" s="255" t="s">
        <v>2348</v>
      </c>
    </row>
    <row r="1424" spans="1:15" ht="16.149999999999999" customHeight="1" x14ac:dyDescent="0.25">
      <c r="A1424" s="172">
        <v>41393</v>
      </c>
      <c r="B1424" s="173" t="s">
        <v>49</v>
      </c>
      <c r="C1424" s="252" t="s">
        <v>2224</v>
      </c>
      <c r="D1424" s="252" t="s">
        <v>2332</v>
      </c>
      <c r="E1424" s="252" t="s">
        <v>2417</v>
      </c>
      <c r="F1424" s="252" t="s">
        <v>2316</v>
      </c>
      <c r="G1424" s="252" t="s">
        <v>2316</v>
      </c>
      <c r="H1424" s="252" t="s">
        <v>2399</v>
      </c>
      <c r="I1424" s="252" t="s">
        <v>2375</v>
      </c>
      <c r="J1424" s="174"/>
      <c r="K1424" s="252" t="s">
        <v>2316</v>
      </c>
      <c r="L1424" s="252" t="s">
        <v>2348</v>
      </c>
      <c r="M1424" s="174"/>
      <c r="N1424" s="174"/>
      <c r="O1424" s="253" t="s">
        <v>2348</v>
      </c>
    </row>
    <row r="1425" spans="1:15" ht="16.149999999999999" customHeight="1" x14ac:dyDescent="0.25">
      <c r="A1425" s="172">
        <v>41390</v>
      </c>
      <c r="B1425" s="175" t="s">
        <v>49</v>
      </c>
      <c r="C1425" s="254" t="s">
        <v>2418</v>
      </c>
      <c r="D1425" s="254" t="s">
        <v>2360</v>
      </c>
      <c r="E1425" s="254" t="s">
        <v>2419</v>
      </c>
      <c r="F1425" s="254" t="s">
        <v>2420</v>
      </c>
      <c r="G1425" s="254" t="s">
        <v>2369</v>
      </c>
      <c r="H1425" s="254" t="s">
        <v>2421</v>
      </c>
      <c r="I1425" s="254" t="s">
        <v>2422</v>
      </c>
      <c r="J1425" s="176"/>
      <c r="K1425" s="254" t="s">
        <v>2354</v>
      </c>
      <c r="L1425" s="254" t="s">
        <v>2351</v>
      </c>
      <c r="M1425" s="176"/>
      <c r="N1425" s="176"/>
      <c r="O1425" s="255" t="s">
        <v>2373</v>
      </c>
    </row>
    <row r="1426" spans="1:15" ht="16.149999999999999" customHeight="1" x14ac:dyDescent="0.25">
      <c r="A1426" s="172">
        <v>41389</v>
      </c>
      <c r="B1426" s="173" t="s">
        <v>49</v>
      </c>
      <c r="C1426" s="252" t="s">
        <v>2330</v>
      </c>
      <c r="D1426" s="252" t="s">
        <v>2365</v>
      </c>
      <c r="E1426" s="252" t="s">
        <v>2423</v>
      </c>
      <c r="F1426" s="252" t="s">
        <v>2420</v>
      </c>
      <c r="G1426" s="252" t="s">
        <v>2392</v>
      </c>
      <c r="H1426" s="252" t="s">
        <v>2424</v>
      </c>
      <c r="I1426" s="252" t="s">
        <v>2425</v>
      </c>
      <c r="J1426" s="174"/>
      <c r="K1426" s="252" t="s">
        <v>2362</v>
      </c>
      <c r="L1426" s="252" t="s">
        <v>2386</v>
      </c>
      <c r="M1426" s="174"/>
      <c r="N1426" s="174"/>
      <c r="O1426" s="253" t="s">
        <v>2375</v>
      </c>
    </row>
    <row r="1427" spans="1:15" ht="16.149999999999999" customHeight="1" x14ac:dyDescent="0.25">
      <c r="A1427" s="172">
        <v>41388</v>
      </c>
      <c r="B1427" s="175" t="s">
        <v>49</v>
      </c>
      <c r="C1427" s="254" t="s">
        <v>2356</v>
      </c>
      <c r="D1427" s="254" t="s">
        <v>2351</v>
      </c>
      <c r="E1427" s="254" t="s">
        <v>2426</v>
      </c>
      <c r="F1427" s="254" t="s">
        <v>2351</v>
      </c>
      <c r="G1427" s="254" t="s">
        <v>2355</v>
      </c>
      <c r="H1427" s="254" t="s">
        <v>2427</v>
      </c>
      <c r="I1427" s="254" t="s">
        <v>2428</v>
      </c>
      <c r="J1427" s="176"/>
      <c r="K1427" s="254" t="s">
        <v>2386</v>
      </c>
      <c r="L1427" s="254" t="s">
        <v>2386</v>
      </c>
      <c r="M1427" s="176"/>
      <c r="N1427" s="176"/>
      <c r="O1427" s="255" t="s">
        <v>2375</v>
      </c>
    </row>
    <row r="1428" spans="1:15" ht="16.149999999999999" customHeight="1" x14ac:dyDescent="0.25">
      <c r="A1428" s="172">
        <v>41387</v>
      </c>
      <c r="B1428" s="173" t="s">
        <v>49</v>
      </c>
      <c r="C1428" s="252" t="s">
        <v>2429</v>
      </c>
      <c r="D1428" s="252" t="s">
        <v>2430</v>
      </c>
      <c r="E1428" s="252" t="s">
        <v>2423</v>
      </c>
      <c r="F1428" s="252" t="s">
        <v>2351</v>
      </c>
      <c r="G1428" s="252" t="s">
        <v>2355</v>
      </c>
      <c r="H1428" s="252" t="s">
        <v>2427</v>
      </c>
      <c r="I1428" s="252" t="s">
        <v>2431</v>
      </c>
      <c r="J1428" s="174"/>
      <c r="K1428" s="252" t="s">
        <v>2432</v>
      </c>
      <c r="L1428" s="252" t="s">
        <v>2348</v>
      </c>
      <c r="M1428" s="174"/>
      <c r="N1428" s="174"/>
      <c r="O1428" s="253" t="s">
        <v>2375</v>
      </c>
    </row>
    <row r="1429" spans="1:15" ht="16.149999999999999" customHeight="1" x14ac:dyDescent="0.25">
      <c r="A1429" s="172">
        <v>41386</v>
      </c>
      <c r="B1429" s="175" t="s">
        <v>49</v>
      </c>
      <c r="C1429" s="254" t="s">
        <v>2336</v>
      </c>
      <c r="D1429" s="254" t="s">
        <v>2433</v>
      </c>
      <c r="E1429" s="254" t="s">
        <v>2434</v>
      </c>
      <c r="F1429" s="254" t="s">
        <v>2435</v>
      </c>
      <c r="G1429" s="254" t="s">
        <v>2436</v>
      </c>
      <c r="H1429" s="254" t="s">
        <v>2376</v>
      </c>
      <c r="I1429" s="254" t="s">
        <v>2417</v>
      </c>
      <c r="J1429" s="176"/>
      <c r="K1429" s="254" t="s">
        <v>2355</v>
      </c>
      <c r="L1429" s="254" t="s">
        <v>2348</v>
      </c>
      <c r="M1429" s="176"/>
      <c r="N1429" s="176"/>
      <c r="O1429" s="255" t="s">
        <v>2358</v>
      </c>
    </row>
    <row r="1430" spans="1:15" ht="16.149999999999999" customHeight="1" x14ac:dyDescent="0.25">
      <c r="A1430" s="172">
        <v>41383</v>
      </c>
      <c r="B1430" s="173" t="s">
        <v>49</v>
      </c>
      <c r="C1430" s="252" t="s">
        <v>2246</v>
      </c>
      <c r="D1430" s="252" t="s">
        <v>2436</v>
      </c>
      <c r="E1430" s="252" t="s">
        <v>2437</v>
      </c>
      <c r="F1430" s="252" t="s">
        <v>2438</v>
      </c>
      <c r="G1430" s="252" t="s">
        <v>2350</v>
      </c>
      <c r="H1430" s="252" t="s">
        <v>2353</v>
      </c>
      <c r="I1430" s="252" t="s">
        <v>2436</v>
      </c>
      <c r="J1430" s="174"/>
      <c r="K1430" s="252" t="s">
        <v>2350</v>
      </c>
      <c r="L1430" s="252" t="s">
        <v>2316</v>
      </c>
      <c r="M1430" s="174"/>
      <c r="N1430" s="174"/>
      <c r="O1430" s="253" t="s">
        <v>2348</v>
      </c>
    </row>
    <row r="1431" spans="1:15" ht="16.149999999999999" customHeight="1" x14ac:dyDescent="0.25">
      <c r="A1431" s="172">
        <v>41382</v>
      </c>
      <c r="B1431" s="175" t="s">
        <v>49</v>
      </c>
      <c r="C1431" s="254" t="s">
        <v>2248</v>
      </c>
      <c r="D1431" s="254" t="s">
        <v>2439</v>
      </c>
      <c r="E1431" s="254" t="s">
        <v>2436</v>
      </c>
      <c r="F1431" s="254" t="s">
        <v>2361</v>
      </c>
      <c r="G1431" s="254" t="s">
        <v>2438</v>
      </c>
      <c r="H1431" s="254" t="s">
        <v>2440</v>
      </c>
      <c r="I1431" s="254" t="s">
        <v>2441</v>
      </c>
      <c r="J1431" s="176"/>
      <c r="K1431" s="254" t="s">
        <v>2388</v>
      </c>
      <c r="L1431" s="254" t="s">
        <v>2306</v>
      </c>
      <c r="M1431" s="176"/>
      <c r="N1431" s="176"/>
      <c r="O1431" s="255" t="s">
        <v>2321</v>
      </c>
    </row>
    <row r="1432" spans="1:15" ht="16.149999999999999" customHeight="1" x14ac:dyDescent="0.25">
      <c r="A1432" s="172">
        <v>41381</v>
      </c>
      <c r="B1432" s="173" t="s">
        <v>49</v>
      </c>
      <c r="C1432" s="252" t="s">
        <v>2311</v>
      </c>
      <c r="D1432" s="252" t="s">
        <v>2438</v>
      </c>
      <c r="E1432" s="252" t="s">
        <v>2438</v>
      </c>
      <c r="F1432" s="252" t="s">
        <v>2351</v>
      </c>
      <c r="G1432" s="252" t="s">
        <v>2386</v>
      </c>
      <c r="H1432" s="252" t="s">
        <v>2442</v>
      </c>
      <c r="I1432" s="252" t="s">
        <v>2443</v>
      </c>
      <c r="J1432" s="174"/>
      <c r="K1432" s="252" t="s">
        <v>2386</v>
      </c>
      <c r="L1432" s="252" t="s">
        <v>2399</v>
      </c>
      <c r="M1432" s="174"/>
      <c r="N1432" s="174"/>
      <c r="O1432" s="253" t="s">
        <v>2348</v>
      </c>
    </row>
    <row r="1433" spans="1:15" ht="16.149999999999999" customHeight="1" x14ac:dyDescent="0.25">
      <c r="A1433" s="172">
        <v>41380</v>
      </c>
      <c r="B1433" s="175" t="s">
        <v>49</v>
      </c>
      <c r="C1433" s="254" t="s">
        <v>2315</v>
      </c>
      <c r="D1433" s="254" t="s">
        <v>2362</v>
      </c>
      <c r="E1433" s="254" t="s">
        <v>2362</v>
      </c>
      <c r="F1433" s="254" t="s">
        <v>2351</v>
      </c>
      <c r="G1433" s="254" t="s">
        <v>2361</v>
      </c>
      <c r="H1433" s="254" t="s">
        <v>2443</v>
      </c>
      <c r="I1433" s="254" t="s">
        <v>2444</v>
      </c>
      <c r="J1433" s="176"/>
      <c r="K1433" s="254" t="s">
        <v>2362</v>
      </c>
      <c r="L1433" s="254" t="s">
        <v>2316</v>
      </c>
      <c r="M1433" s="176"/>
      <c r="N1433" s="176"/>
      <c r="O1433" s="255" t="s">
        <v>2445</v>
      </c>
    </row>
    <row r="1434" spans="1:15" ht="16.149999999999999" customHeight="1" x14ac:dyDescent="0.25">
      <c r="A1434" s="172">
        <v>41379</v>
      </c>
      <c r="B1434" s="173" t="s">
        <v>49</v>
      </c>
      <c r="C1434" s="252" t="s">
        <v>2403</v>
      </c>
      <c r="D1434" s="252" t="s">
        <v>2446</v>
      </c>
      <c r="E1434" s="252" t="s">
        <v>2362</v>
      </c>
      <c r="F1434" s="252" t="s">
        <v>2427</v>
      </c>
      <c r="G1434" s="252" t="s">
        <v>2447</v>
      </c>
      <c r="H1434" s="252" t="s">
        <v>2443</v>
      </c>
      <c r="I1434" s="252" t="s">
        <v>2354</v>
      </c>
      <c r="J1434" s="174"/>
      <c r="K1434" s="252" t="s">
        <v>2361</v>
      </c>
      <c r="L1434" s="252" t="s">
        <v>2350</v>
      </c>
      <c r="M1434" s="174"/>
      <c r="N1434" s="174"/>
      <c r="O1434" s="253" t="s">
        <v>2382</v>
      </c>
    </row>
    <row r="1435" spans="1:15" ht="16.149999999999999" customHeight="1" x14ac:dyDescent="0.25">
      <c r="A1435" s="172">
        <v>41376</v>
      </c>
      <c r="B1435" s="175" t="s">
        <v>49</v>
      </c>
      <c r="C1435" s="254" t="s">
        <v>2313</v>
      </c>
      <c r="D1435" s="254" t="s">
        <v>2435</v>
      </c>
      <c r="E1435" s="254" t="s">
        <v>2351</v>
      </c>
      <c r="F1435" s="254" t="s">
        <v>2435</v>
      </c>
      <c r="G1435" s="254" t="s">
        <v>2351</v>
      </c>
      <c r="H1435" s="254" t="s">
        <v>2443</v>
      </c>
      <c r="I1435" s="254" t="s">
        <v>2351</v>
      </c>
      <c r="J1435" s="176"/>
      <c r="K1435" s="254" t="s">
        <v>2361</v>
      </c>
      <c r="L1435" s="254" t="s">
        <v>2348</v>
      </c>
      <c r="M1435" s="176"/>
      <c r="N1435" s="176"/>
      <c r="O1435" s="255" t="s">
        <v>2435</v>
      </c>
    </row>
    <row r="1436" spans="1:15" ht="16.149999999999999" customHeight="1" x14ac:dyDescent="0.25">
      <c r="A1436" s="172">
        <v>41375</v>
      </c>
      <c r="B1436" s="173" t="s">
        <v>49</v>
      </c>
      <c r="C1436" s="252" t="s">
        <v>2312</v>
      </c>
      <c r="D1436" s="252" t="s">
        <v>2361</v>
      </c>
      <c r="E1436" s="252" t="s">
        <v>2385</v>
      </c>
      <c r="F1436" s="252" t="s">
        <v>2361</v>
      </c>
      <c r="G1436" s="252" t="s">
        <v>2351</v>
      </c>
      <c r="H1436" s="252" t="s">
        <v>1493</v>
      </c>
      <c r="I1436" s="252" t="s">
        <v>2443</v>
      </c>
      <c r="J1436" s="174"/>
      <c r="K1436" s="252" t="s">
        <v>2447</v>
      </c>
      <c r="L1436" s="252" t="s">
        <v>2316</v>
      </c>
      <c r="M1436" s="174"/>
      <c r="N1436" s="174"/>
      <c r="O1436" s="253" t="s">
        <v>2430</v>
      </c>
    </row>
    <row r="1437" spans="1:15" ht="16.149999999999999" customHeight="1" x14ac:dyDescent="0.25">
      <c r="A1437" s="172">
        <v>41374</v>
      </c>
      <c r="B1437" s="175" t="s">
        <v>49</v>
      </c>
      <c r="C1437" s="254" t="s">
        <v>2331</v>
      </c>
      <c r="D1437" s="254" t="s">
        <v>2448</v>
      </c>
      <c r="E1437" s="254" t="s">
        <v>2449</v>
      </c>
      <c r="F1437" s="254" t="s">
        <v>2362</v>
      </c>
      <c r="G1437" s="254" t="s">
        <v>2351</v>
      </c>
      <c r="H1437" s="254" t="s">
        <v>2441</v>
      </c>
      <c r="I1437" s="254" t="s">
        <v>2446</v>
      </c>
      <c r="J1437" s="176"/>
      <c r="K1437" s="254" t="s">
        <v>2388</v>
      </c>
      <c r="L1437" s="254" t="s">
        <v>2316</v>
      </c>
      <c r="M1437" s="176"/>
      <c r="N1437" s="176"/>
      <c r="O1437" s="255" t="s">
        <v>2362</v>
      </c>
    </row>
    <row r="1438" spans="1:15" ht="16.149999999999999" customHeight="1" x14ac:dyDescent="0.25">
      <c r="A1438" s="172">
        <v>41373</v>
      </c>
      <c r="B1438" s="173" t="s">
        <v>49</v>
      </c>
      <c r="C1438" s="252" t="s">
        <v>2391</v>
      </c>
      <c r="D1438" s="252" t="s">
        <v>2392</v>
      </c>
      <c r="E1438" s="252" t="s">
        <v>2440</v>
      </c>
      <c r="F1438" s="252" t="s">
        <v>2388</v>
      </c>
      <c r="G1438" s="252" t="s">
        <v>2435</v>
      </c>
      <c r="H1438" s="252" t="s">
        <v>2330</v>
      </c>
      <c r="I1438" s="252" t="s">
        <v>2350</v>
      </c>
      <c r="J1438" s="174"/>
      <c r="K1438" s="252" t="s">
        <v>2352</v>
      </c>
      <c r="L1438" s="252" t="s">
        <v>2361</v>
      </c>
      <c r="M1438" s="174"/>
      <c r="N1438" s="174"/>
      <c r="O1438" s="253" t="s">
        <v>2386</v>
      </c>
    </row>
    <row r="1439" spans="1:15" ht="16.149999999999999" customHeight="1" x14ac:dyDescent="0.25">
      <c r="A1439" s="172">
        <v>41372</v>
      </c>
      <c r="B1439" s="175" t="s">
        <v>49</v>
      </c>
      <c r="C1439" s="254" t="s">
        <v>2250</v>
      </c>
      <c r="D1439" s="254" t="s">
        <v>2350</v>
      </c>
      <c r="E1439" s="254" t="s">
        <v>2440</v>
      </c>
      <c r="F1439" s="254" t="s">
        <v>2350</v>
      </c>
      <c r="G1439" s="254" t="s">
        <v>2348</v>
      </c>
      <c r="H1439" s="254" t="s">
        <v>2441</v>
      </c>
      <c r="I1439" s="254" t="s">
        <v>2350</v>
      </c>
      <c r="J1439" s="176"/>
      <c r="K1439" s="254" t="s">
        <v>2350</v>
      </c>
      <c r="L1439" s="254" t="s">
        <v>2399</v>
      </c>
      <c r="M1439" s="176"/>
      <c r="N1439" s="176"/>
      <c r="O1439" s="255" t="s">
        <v>2350</v>
      </c>
    </row>
    <row r="1440" spans="1:15" ht="16.149999999999999" customHeight="1" x14ac:dyDescent="0.25">
      <c r="A1440" s="172">
        <v>41369</v>
      </c>
      <c r="B1440" s="173" t="s">
        <v>49</v>
      </c>
      <c r="C1440" s="252" t="s">
        <v>2228</v>
      </c>
      <c r="D1440" s="252" t="s">
        <v>2406</v>
      </c>
      <c r="E1440" s="252" t="s">
        <v>2450</v>
      </c>
      <c r="F1440" s="252" t="s">
        <v>2352</v>
      </c>
      <c r="G1440" s="252" t="s">
        <v>2316</v>
      </c>
      <c r="H1440" s="252" t="s">
        <v>2441</v>
      </c>
      <c r="I1440" s="252" t="s">
        <v>2348</v>
      </c>
      <c r="J1440" s="174"/>
      <c r="K1440" s="252" t="s">
        <v>2352</v>
      </c>
      <c r="L1440" s="252" t="s">
        <v>2321</v>
      </c>
      <c r="M1440" s="174"/>
      <c r="N1440" s="174"/>
      <c r="O1440" s="253" t="s">
        <v>2321</v>
      </c>
    </row>
    <row r="1441" spans="1:15" ht="16.149999999999999" customHeight="1" x14ac:dyDescent="0.25">
      <c r="A1441" s="172">
        <v>41368</v>
      </c>
      <c r="B1441" s="175" t="s">
        <v>49</v>
      </c>
      <c r="C1441" s="254" t="s">
        <v>2234</v>
      </c>
      <c r="D1441" s="254" t="s">
        <v>2451</v>
      </c>
      <c r="E1441" s="254" t="s">
        <v>2452</v>
      </c>
      <c r="F1441" s="254" t="s">
        <v>2399</v>
      </c>
      <c r="G1441" s="254" t="s">
        <v>2332</v>
      </c>
      <c r="H1441" s="254" t="s">
        <v>2402</v>
      </c>
      <c r="I1441" s="254" t="s">
        <v>2328</v>
      </c>
      <c r="J1441" s="176"/>
      <c r="K1441" s="254" t="s">
        <v>2332</v>
      </c>
      <c r="L1441" s="254" t="s">
        <v>2295</v>
      </c>
      <c r="M1441" s="176"/>
      <c r="N1441" s="176"/>
      <c r="O1441" s="255" t="s">
        <v>2331</v>
      </c>
    </row>
    <row r="1442" spans="1:15" ht="16.149999999999999" customHeight="1" x14ac:dyDescent="0.25">
      <c r="A1442" s="172">
        <v>41367</v>
      </c>
      <c r="B1442" s="173" t="s">
        <v>49</v>
      </c>
      <c r="C1442" s="252" t="s">
        <v>2263</v>
      </c>
      <c r="D1442" s="252" t="s">
        <v>2325</v>
      </c>
      <c r="E1442" s="252" t="s">
        <v>2348</v>
      </c>
      <c r="F1442" s="252" t="s">
        <v>2399</v>
      </c>
      <c r="G1442" s="252" t="s">
        <v>2332</v>
      </c>
      <c r="H1442" s="252" t="s">
        <v>2414</v>
      </c>
      <c r="I1442" s="252" t="s">
        <v>2311</v>
      </c>
      <c r="J1442" s="174"/>
      <c r="K1442" s="252" t="s">
        <v>2399</v>
      </c>
      <c r="L1442" s="252" t="s">
        <v>2253</v>
      </c>
      <c r="M1442" s="174"/>
      <c r="N1442" s="174"/>
      <c r="O1442" s="253" t="s">
        <v>2331</v>
      </c>
    </row>
    <row r="1443" spans="1:15" ht="16.149999999999999" customHeight="1" x14ac:dyDescent="0.25">
      <c r="A1443" s="172">
        <v>41366</v>
      </c>
      <c r="B1443" s="175" t="s">
        <v>49</v>
      </c>
      <c r="C1443" s="254" t="s">
        <v>2213</v>
      </c>
      <c r="D1443" s="254" t="s">
        <v>2316</v>
      </c>
      <c r="E1443" s="254" t="s">
        <v>2453</v>
      </c>
      <c r="F1443" s="254" t="s">
        <v>2399</v>
      </c>
      <c r="G1443" s="254" t="s">
        <v>2402</v>
      </c>
      <c r="H1443" s="254" t="s">
        <v>2399</v>
      </c>
      <c r="I1443" s="254" t="s">
        <v>2332</v>
      </c>
      <c r="J1443" s="176"/>
      <c r="K1443" s="254" t="s">
        <v>2306</v>
      </c>
      <c r="L1443" s="254" t="s">
        <v>2253</v>
      </c>
      <c r="M1443" s="176"/>
      <c r="N1443" s="176"/>
      <c r="O1443" s="255" t="s">
        <v>2338</v>
      </c>
    </row>
    <row r="1444" spans="1:15" ht="16.149999999999999" customHeight="1" x14ac:dyDescent="0.25">
      <c r="A1444" s="172">
        <v>41365</v>
      </c>
      <c r="B1444" s="173" t="s">
        <v>49</v>
      </c>
      <c r="C1444" s="252" t="s">
        <v>2208</v>
      </c>
      <c r="D1444" s="252" t="s">
        <v>2412</v>
      </c>
      <c r="E1444" s="252" t="s">
        <v>2450</v>
      </c>
      <c r="F1444" s="252" t="s">
        <v>2399</v>
      </c>
      <c r="G1444" s="174"/>
      <c r="H1444" s="252" t="s">
        <v>2253</v>
      </c>
      <c r="I1444" s="252" t="s">
        <v>2409</v>
      </c>
      <c r="J1444" s="252" t="s">
        <v>2306</v>
      </c>
      <c r="K1444" s="252" t="s">
        <v>2331</v>
      </c>
      <c r="L1444" s="252" t="s">
        <v>2205</v>
      </c>
      <c r="M1444" s="174"/>
      <c r="N1444" s="174"/>
      <c r="O1444" s="253" t="s">
        <v>2253</v>
      </c>
    </row>
    <row r="1445" spans="1:15" ht="16.149999999999999" customHeight="1" x14ac:dyDescent="0.25">
      <c r="A1445" s="172">
        <v>41360</v>
      </c>
      <c r="B1445" s="175" t="s">
        <v>49</v>
      </c>
      <c r="C1445" s="254" t="s">
        <v>2288</v>
      </c>
      <c r="D1445" s="254" t="s">
        <v>2306</v>
      </c>
      <c r="E1445" s="254" t="s">
        <v>2348</v>
      </c>
      <c r="F1445" s="254" t="s">
        <v>2351</v>
      </c>
      <c r="G1445" s="176"/>
      <c r="H1445" s="254" t="s">
        <v>2336</v>
      </c>
      <c r="I1445" s="254" t="s">
        <v>2390</v>
      </c>
      <c r="J1445" s="254" t="s">
        <v>2401</v>
      </c>
      <c r="K1445" s="254" t="s">
        <v>2253</v>
      </c>
      <c r="L1445" s="254" t="s">
        <v>2295</v>
      </c>
      <c r="M1445" s="176"/>
      <c r="N1445" s="176"/>
      <c r="O1445" s="255" t="s">
        <v>2412</v>
      </c>
    </row>
    <row r="1446" spans="1:15" ht="16.149999999999999" customHeight="1" x14ac:dyDescent="0.25">
      <c r="A1446" s="172">
        <v>41359</v>
      </c>
      <c r="B1446" s="173" t="s">
        <v>49</v>
      </c>
      <c r="C1446" s="252" t="s">
        <v>2210</v>
      </c>
      <c r="D1446" s="252" t="s">
        <v>2401</v>
      </c>
      <c r="E1446" s="252" t="s">
        <v>2454</v>
      </c>
      <c r="F1446" s="252" t="s">
        <v>2253</v>
      </c>
      <c r="G1446" s="174"/>
      <c r="H1446" s="252" t="s">
        <v>2330</v>
      </c>
      <c r="I1446" s="252" t="s">
        <v>2306</v>
      </c>
      <c r="J1446" s="252" t="s">
        <v>2399</v>
      </c>
      <c r="K1446" s="252" t="s">
        <v>2350</v>
      </c>
      <c r="L1446" s="252" t="s">
        <v>2321</v>
      </c>
      <c r="M1446" s="174"/>
      <c r="N1446" s="174"/>
      <c r="O1446" s="253" t="s">
        <v>2250</v>
      </c>
    </row>
    <row r="1447" spans="1:15" ht="16.149999999999999" customHeight="1" x14ac:dyDescent="0.25">
      <c r="A1447" s="172">
        <v>41355</v>
      </c>
      <c r="B1447" s="175" t="s">
        <v>49</v>
      </c>
      <c r="C1447" s="254" t="s">
        <v>2455</v>
      </c>
      <c r="D1447" s="254" t="s">
        <v>2456</v>
      </c>
      <c r="E1447" s="254" t="s">
        <v>2457</v>
      </c>
      <c r="F1447" s="254" t="s">
        <v>1871</v>
      </c>
      <c r="G1447" s="176"/>
      <c r="H1447" s="254" t="s">
        <v>2458</v>
      </c>
      <c r="I1447" s="254" t="s">
        <v>2459</v>
      </c>
      <c r="J1447" s="254" t="s">
        <v>2460</v>
      </c>
      <c r="K1447" s="254" t="s">
        <v>2461</v>
      </c>
      <c r="L1447" s="254" t="s">
        <v>2462</v>
      </c>
      <c r="M1447" s="176"/>
      <c r="N1447" s="176"/>
      <c r="O1447" s="255" t="s">
        <v>2463</v>
      </c>
    </row>
    <row r="1448" spans="1:15" ht="16.149999999999999" customHeight="1" x14ac:dyDescent="0.25">
      <c r="A1448" s="172">
        <v>41354</v>
      </c>
      <c r="B1448" s="173" t="s">
        <v>49</v>
      </c>
      <c r="C1448" s="252" t="s">
        <v>2464</v>
      </c>
      <c r="D1448" s="252" t="s">
        <v>2460</v>
      </c>
      <c r="E1448" s="252" t="s">
        <v>2465</v>
      </c>
      <c r="F1448" s="252" t="s">
        <v>2466</v>
      </c>
      <c r="G1448" s="174"/>
      <c r="H1448" s="252" t="s">
        <v>2271</v>
      </c>
      <c r="I1448" s="252" t="s">
        <v>2467</v>
      </c>
      <c r="J1448" s="252" t="s">
        <v>2468</v>
      </c>
      <c r="K1448" s="252" t="s">
        <v>2460</v>
      </c>
      <c r="L1448" s="252" t="s">
        <v>2469</v>
      </c>
      <c r="M1448" s="174"/>
      <c r="N1448" s="174"/>
      <c r="O1448" s="253" t="s">
        <v>2460</v>
      </c>
    </row>
    <row r="1449" spans="1:15" ht="16.149999999999999" customHeight="1" x14ac:dyDescent="0.25">
      <c r="A1449" s="172">
        <v>41353</v>
      </c>
      <c r="B1449" s="175" t="s">
        <v>49</v>
      </c>
      <c r="C1449" s="254" t="s">
        <v>2470</v>
      </c>
      <c r="D1449" s="254" t="s">
        <v>2468</v>
      </c>
      <c r="E1449" s="254" t="s">
        <v>2457</v>
      </c>
      <c r="F1449" s="254" t="s">
        <v>2466</v>
      </c>
      <c r="G1449" s="176"/>
      <c r="H1449" s="254" t="s">
        <v>2161</v>
      </c>
      <c r="I1449" s="254" t="s">
        <v>2471</v>
      </c>
      <c r="J1449" s="254" t="s">
        <v>2472</v>
      </c>
      <c r="K1449" s="254" t="s">
        <v>2461</v>
      </c>
      <c r="L1449" s="254" t="s">
        <v>2469</v>
      </c>
      <c r="M1449" s="176"/>
      <c r="N1449" s="176"/>
      <c r="O1449" s="255" t="s">
        <v>2473</v>
      </c>
    </row>
    <row r="1450" spans="1:15" ht="16.149999999999999" customHeight="1" x14ac:dyDescent="0.25">
      <c r="A1450" s="172">
        <v>41352</v>
      </c>
      <c r="B1450" s="173" t="s">
        <v>49</v>
      </c>
      <c r="C1450" s="252" t="s">
        <v>2474</v>
      </c>
      <c r="D1450" s="252" t="s">
        <v>2475</v>
      </c>
      <c r="E1450" s="252" t="s">
        <v>2476</v>
      </c>
      <c r="F1450" s="252" t="s">
        <v>2466</v>
      </c>
      <c r="G1450" s="174"/>
      <c r="H1450" s="252" t="s">
        <v>2477</v>
      </c>
      <c r="I1450" s="252" t="s">
        <v>2478</v>
      </c>
      <c r="J1450" s="252" t="s">
        <v>2479</v>
      </c>
      <c r="K1450" s="252" t="s">
        <v>2480</v>
      </c>
      <c r="L1450" s="252" t="s">
        <v>2461</v>
      </c>
      <c r="M1450" s="174"/>
      <c r="N1450" s="174"/>
      <c r="O1450" s="253" t="s">
        <v>2481</v>
      </c>
    </row>
    <row r="1451" spans="1:15" ht="16.149999999999999" customHeight="1" x14ac:dyDescent="0.25">
      <c r="A1451" s="172">
        <v>41351</v>
      </c>
      <c r="B1451" s="175" t="s">
        <v>49</v>
      </c>
      <c r="C1451" s="254" t="s">
        <v>2482</v>
      </c>
      <c r="D1451" s="254" t="s">
        <v>2479</v>
      </c>
      <c r="E1451" s="254" t="s">
        <v>2468</v>
      </c>
      <c r="F1451" s="254" t="s">
        <v>2461</v>
      </c>
      <c r="G1451" s="176"/>
      <c r="H1451" s="254" t="s">
        <v>2483</v>
      </c>
      <c r="I1451" s="254" t="s">
        <v>2484</v>
      </c>
      <c r="J1451" s="254" t="s">
        <v>2463</v>
      </c>
      <c r="K1451" s="254" t="s">
        <v>2461</v>
      </c>
      <c r="L1451" s="254" t="s">
        <v>2472</v>
      </c>
      <c r="M1451" s="176"/>
      <c r="N1451" s="176"/>
      <c r="O1451" s="255" t="s">
        <v>2485</v>
      </c>
    </row>
    <row r="1452" spans="1:15" ht="16.149999999999999" customHeight="1" x14ac:dyDescent="0.25">
      <c r="A1452" s="172">
        <v>41348</v>
      </c>
      <c r="B1452" s="173" t="s">
        <v>49</v>
      </c>
      <c r="C1452" s="252" t="s">
        <v>2486</v>
      </c>
      <c r="D1452" s="252" t="s">
        <v>2487</v>
      </c>
      <c r="E1452" s="252" t="s">
        <v>2488</v>
      </c>
      <c r="F1452" s="252" t="s">
        <v>2489</v>
      </c>
      <c r="G1452" s="174"/>
      <c r="H1452" s="252" t="s">
        <v>2490</v>
      </c>
      <c r="I1452" s="252" t="s">
        <v>2491</v>
      </c>
      <c r="J1452" s="252" t="s">
        <v>2469</v>
      </c>
      <c r="K1452" s="252" t="s">
        <v>2479</v>
      </c>
      <c r="L1452" s="252" t="s">
        <v>2483</v>
      </c>
      <c r="M1452" s="174"/>
      <c r="N1452" s="174"/>
      <c r="O1452" s="253" t="s">
        <v>2492</v>
      </c>
    </row>
    <row r="1453" spans="1:15" ht="16.149999999999999" customHeight="1" x14ac:dyDescent="0.25">
      <c r="A1453" s="172">
        <v>41347</v>
      </c>
      <c r="B1453" s="175" t="s">
        <v>49</v>
      </c>
      <c r="C1453" s="254" t="s">
        <v>2493</v>
      </c>
      <c r="D1453" s="254" t="s">
        <v>2472</v>
      </c>
      <c r="E1453" s="254" t="s">
        <v>2488</v>
      </c>
      <c r="F1453" s="254" t="s">
        <v>2489</v>
      </c>
      <c r="G1453" s="176"/>
      <c r="H1453" s="254" t="s">
        <v>2475</v>
      </c>
      <c r="I1453" s="254" t="s">
        <v>2487</v>
      </c>
      <c r="J1453" s="254" t="s">
        <v>2469</v>
      </c>
      <c r="K1453" s="254" t="s">
        <v>2494</v>
      </c>
      <c r="L1453" s="254" t="s">
        <v>2483</v>
      </c>
      <c r="M1453" s="176"/>
      <c r="N1453" s="176"/>
      <c r="O1453" s="255" t="s">
        <v>2495</v>
      </c>
    </row>
    <row r="1454" spans="1:15" ht="16.149999999999999" customHeight="1" x14ac:dyDescent="0.25">
      <c r="A1454" s="172">
        <v>41346</v>
      </c>
      <c r="B1454" s="173" t="s">
        <v>49</v>
      </c>
      <c r="C1454" s="252" t="s">
        <v>2496</v>
      </c>
      <c r="D1454" s="252" t="s">
        <v>2497</v>
      </c>
      <c r="E1454" s="252" t="s">
        <v>2467</v>
      </c>
      <c r="F1454" s="252" t="s">
        <v>2489</v>
      </c>
      <c r="G1454" s="174"/>
      <c r="H1454" s="252" t="s">
        <v>2498</v>
      </c>
      <c r="I1454" s="252" t="s">
        <v>2485</v>
      </c>
      <c r="J1454" s="252" t="s">
        <v>2462</v>
      </c>
      <c r="K1454" s="252" t="s">
        <v>2494</v>
      </c>
      <c r="L1454" s="252" t="s">
        <v>2499</v>
      </c>
      <c r="M1454" s="174"/>
      <c r="N1454" s="174"/>
      <c r="O1454" s="253" t="s">
        <v>2495</v>
      </c>
    </row>
    <row r="1455" spans="1:15" ht="16.149999999999999" customHeight="1" x14ac:dyDescent="0.25">
      <c r="A1455" s="172">
        <v>41345</v>
      </c>
      <c r="B1455" s="175" t="s">
        <v>49</v>
      </c>
      <c r="C1455" s="254" t="s">
        <v>2496</v>
      </c>
      <c r="D1455" s="254" t="s">
        <v>2497</v>
      </c>
      <c r="E1455" s="254" t="s">
        <v>2500</v>
      </c>
      <c r="F1455" s="254" t="s">
        <v>2489</v>
      </c>
      <c r="G1455" s="176"/>
      <c r="H1455" s="254" t="s">
        <v>2501</v>
      </c>
      <c r="I1455" s="254" t="s">
        <v>2502</v>
      </c>
      <c r="J1455" s="254" t="s">
        <v>2463</v>
      </c>
      <c r="K1455" s="254" t="s">
        <v>2503</v>
      </c>
      <c r="L1455" s="254" t="s">
        <v>2504</v>
      </c>
      <c r="M1455" s="176"/>
      <c r="N1455" s="176"/>
      <c r="O1455" s="255" t="s">
        <v>2505</v>
      </c>
    </row>
    <row r="1456" spans="1:15" ht="16.149999999999999" customHeight="1" x14ac:dyDescent="0.25">
      <c r="A1456" s="172">
        <v>41344</v>
      </c>
      <c r="B1456" s="173" t="s">
        <v>49</v>
      </c>
      <c r="C1456" s="252" t="s">
        <v>2506</v>
      </c>
      <c r="D1456" s="252" t="s">
        <v>2507</v>
      </c>
      <c r="E1456" s="252" t="s">
        <v>2479</v>
      </c>
      <c r="F1456" s="252" t="s">
        <v>2461</v>
      </c>
      <c r="G1456" s="174"/>
      <c r="H1456" s="252" t="s">
        <v>2507</v>
      </c>
      <c r="I1456" s="252" t="s">
        <v>2485</v>
      </c>
      <c r="J1456" s="252" t="s">
        <v>2462</v>
      </c>
      <c r="K1456" s="252" t="s">
        <v>2507</v>
      </c>
      <c r="L1456" s="252" t="s">
        <v>2462</v>
      </c>
      <c r="M1456" s="174"/>
      <c r="N1456" s="174"/>
      <c r="O1456" s="253" t="s">
        <v>2508</v>
      </c>
    </row>
    <row r="1457" spans="1:15" ht="16.149999999999999" customHeight="1" x14ac:dyDescent="0.25">
      <c r="A1457" s="172">
        <v>41341</v>
      </c>
      <c r="B1457" s="175" t="s">
        <v>49</v>
      </c>
      <c r="C1457" s="254" t="s">
        <v>2509</v>
      </c>
      <c r="D1457" s="254" t="s">
        <v>2510</v>
      </c>
      <c r="E1457" s="254" t="s">
        <v>2502</v>
      </c>
      <c r="F1457" s="254" t="s">
        <v>2461</v>
      </c>
      <c r="G1457" s="176"/>
      <c r="H1457" s="254" t="s">
        <v>2511</v>
      </c>
      <c r="I1457" s="254" t="s">
        <v>2477</v>
      </c>
      <c r="J1457" s="254" t="s">
        <v>2504</v>
      </c>
      <c r="K1457" s="254" t="s">
        <v>2472</v>
      </c>
      <c r="L1457" s="254" t="s">
        <v>2504</v>
      </c>
      <c r="M1457" s="176"/>
      <c r="N1457" s="176"/>
      <c r="O1457" s="255" t="s">
        <v>2512</v>
      </c>
    </row>
    <row r="1458" spans="1:15" ht="16.149999999999999" customHeight="1" x14ac:dyDescent="0.25">
      <c r="A1458" s="172">
        <v>41340</v>
      </c>
      <c r="B1458" s="173" t="s">
        <v>49</v>
      </c>
      <c r="C1458" s="252" t="s">
        <v>2513</v>
      </c>
      <c r="D1458" s="252" t="s">
        <v>2514</v>
      </c>
      <c r="E1458" s="252" t="s">
        <v>2469</v>
      </c>
      <c r="F1458" s="252" t="s">
        <v>2461</v>
      </c>
      <c r="G1458" s="174"/>
      <c r="H1458" s="252" t="s">
        <v>2515</v>
      </c>
      <c r="I1458" s="252" t="s">
        <v>2500</v>
      </c>
      <c r="J1458" s="252" t="s">
        <v>2516</v>
      </c>
      <c r="K1458" s="252" t="s">
        <v>2472</v>
      </c>
      <c r="L1458" s="252" t="s">
        <v>2499</v>
      </c>
      <c r="M1458" s="174"/>
      <c r="N1458" s="174"/>
      <c r="O1458" s="253" t="s">
        <v>2517</v>
      </c>
    </row>
    <row r="1459" spans="1:15" ht="16.149999999999999" customHeight="1" x14ac:dyDescent="0.25">
      <c r="A1459" s="172">
        <v>41339</v>
      </c>
      <c r="B1459" s="175" t="s">
        <v>49</v>
      </c>
      <c r="C1459" s="254" t="s">
        <v>2518</v>
      </c>
      <c r="D1459" s="254" t="s">
        <v>2517</v>
      </c>
      <c r="E1459" s="254" t="s">
        <v>2472</v>
      </c>
      <c r="F1459" s="254" t="s">
        <v>2462</v>
      </c>
      <c r="G1459" s="176"/>
      <c r="H1459" s="254" t="s">
        <v>2519</v>
      </c>
      <c r="I1459" s="254" t="s">
        <v>2467</v>
      </c>
      <c r="J1459" s="254" t="s">
        <v>2492</v>
      </c>
      <c r="K1459" s="254" t="s">
        <v>2512</v>
      </c>
      <c r="L1459" s="254" t="s">
        <v>2504</v>
      </c>
      <c r="M1459" s="176"/>
      <c r="N1459" s="176"/>
      <c r="O1459" s="255" t="s">
        <v>2520</v>
      </c>
    </row>
    <row r="1460" spans="1:15" ht="16.149999999999999" customHeight="1" x14ac:dyDescent="0.25">
      <c r="A1460" s="172">
        <v>41338</v>
      </c>
      <c r="B1460" s="173" t="s">
        <v>49</v>
      </c>
      <c r="C1460" s="252" t="s">
        <v>2521</v>
      </c>
      <c r="D1460" s="252" t="s">
        <v>2522</v>
      </c>
      <c r="E1460" s="252" t="s">
        <v>2523</v>
      </c>
      <c r="F1460" s="252" t="s">
        <v>2524</v>
      </c>
      <c r="G1460" s="174"/>
      <c r="H1460" s="252" t="s">
        <v>2525</v>
      </c>
      <c r="I1460" s="252" t="s">
        <v>2526</v>
      </c>
      <c r="J1460" s="252" t="s">
        <v>2492</v>
      </c>
      <c r="K1460" s="252" t="s">
        <v>2527</v>
      </c>
      <c r="L1460" s="252" t="s">
        <v>2528</v>
      </c>
      <c r="M1460" s="174"/>
      <c r="N1460" s="174"/>
      <c r="O1460" s="253" t="s">
        <v>2499</v>
      </c>
    </row>
    <row r="1461" spans="1:15" ht="16.149999999999999" customHeight="1" x14ac:dyDescent="0.25">
      <c r="A1461" s="172">
        <v>41337</v>
      </c>
      <c r="B1461" s="175" t="s">
        <v>49</v>
      </c>
      <c r="C1461" s="254" t="s">
        <v>2529</v>
      </c>
      <c r="D1461" s="254" t="s">
        <v>2530</v>
      </c>
      <c r="E1461" s="254" t="s">
        <v>2531</v>
      </c>
      <c r="F1461" s="254" t="s">
        <v>2532</v>
      </c>
      <c r="G1461" s="176"/>
      <c r="H1461" s="254" t="s">
        <v>2533</v>
      </c>
      <c r="I1461" s="254" t="s">
        <v>2534</v>
      </c>
      <c r="J1461" s="254" t="s">
        <v>2492</v>
      </c>
      <c r="K1461" s="254" t="s">
        <v>2535</v>
      </c>
      <c r="L1461" s="254" t="s">
        <v>2469</v>
      </c>
      <c r="M1461" s="176"/>
      <c r="N1461" s="176"/>
      <c r="O1461" s="255" t="s">
        <v>2536</v>
      </c>
    </row>
    <row r="1462" spans="1:15" ht="16.149999999999999" customHeight="1" x14ac:dyDescent="0.25">
      <c r="A1462" s="172">
        <v>41334</v>
      </c>
      <c r="B1462" s="173" t="s">
        <v>49</v>
      </c>
      <c r="C1462" s="252" t="s">
        <v>2537</v>
      </c>
      <c r="D1462" s="252" t="s">
        <v>2538</v>
      </c>
      <c r="E1462" s="252" t="s">
        <v>2538</v>
      </c>
      <c r="F1462" s="252" t="s">
        <v>2492</v>
      </c>
      <c r="G1462" s="174"/>
      <c r="H1462" s="252" t="s">
        <v>2539</v>
      </c>
      <c r="I1462" s="252" t="s">
        <v>2538</v>
      </c>
      <c r="J1462" s="252" t="s">
        <v>2528</v>
      </c>
      <c r="K1462" s="252" t="s">
        <v>2492</v>
      </c>
      <c r="L1462" s="252" t="s">
        <v>2540</v>
      </c>
      <c r="M1462" s="174"/>
      <c r="N1462" s="174"/>
      <c r="O1462" s="253" t="s">
        <v>2486</v>
      </c>
    </row>
    <row r="1463" spans="1:15" ht="16.149999999999999" customHeight="1" x14ac:dyDescent="0.25">
      <c r="A1463" s="172">
        <v>41333</v>
      </c>
      <c r="B1463" s="175" t="s">
        <v>49</v>
      </c>
      <c r="C1463" s="254" t="s">
        <v>2541</v>
      </c>
      <c r="D1463" s="254" t="s">
        <v>2542</v>
      </c>
      <c r="E1463" s="254" t="s">
        <v>2543</v>
      </c>
      <c r="F1463" s="254" t="s">
        <v>2492</v>
      </c>
      <c r="G1463" s="176"/>
      <c r="H1463" s="254" t="s">
        <v>2544</v>
      </c>
      <c r="I1463" s="254" t="s">
        <v>2545</v>
      </c>
      <c r="J1463" s="254" t="s">
        <v>2528</v>
      </c>
      <c r="K1463" s="254" t="s">
        <v>2492</v>
      </c>
      <c r="L1463" s="254" t="s">
        <v>2528</v>
      </c>
      <c r="M1463" s="176"/>
      <c r="N1463" s="176"/>
      <c r="O1463" s="255" t="s">
        <v>2496</v>
      </c>
    </row>
    <row r="1464" spans="1:15" ht="16.149999999999999" customHeight="1" x14ac:dyDescent="0.25">
      <c r="A1464" s="172">
        <v>41332</v>
      </c>
      <c r="B1464" s="173" t="s">
        <v>49</v>
      </c>
      <c r="C1464" s="252" t="s">
        <v>2546</v>
      </c>
      <c r="D1464" s="252" t="s">
        <v>2547</v>
      </c>
      <c r="E1464" s="252" t="s">
        <v>2548</v>
      </c>
      <c r="F1464" s="252" t="s">
        <v>2492</v>
      </c>
      <c r="G1464" s="174"/>
      <c r="H1464" s="252" t="s">
        <v>2544</v>
      </c>
      <c r="I1464" s="252" t="s">
        <v>2549</v>
      </c>
      <c r="J1464" s="252" t="s">
        <v>2540</v>
      </c>
      <c r="K1464" s="252" t="s">
        <v>2506</v>
      </c>
      <c r="L1464" s="252" t="s">
        <v>2550</v>
      </c>
      <c r="M1464" s="174"/>
      <c r="N1464" s="174"/>
      <c r="O1464" s="253" t="s">
        <v>2513</v>
      </c>
    </row>
    <row r="1465" spans="1:15" ht="16.149999999999999" customHeight="1" x14ac:dyDescent="0.25">
      <c r="A1465" s="172">
        <v>41331</v>
      </c>
      <c r="B1465" s="175" t="s">
        <v>49</v>
      </c>
      <c r="C1465" s="254" t="s">
        <v>2147</v>
      </c>
      <c r="D1465" s="254" t="s">
        <v>2513</v>
      </c>
      <c r="E1465" s="254" t="s">
        <v>2551</v>
      </c>
      <c r="F1465" s="254" t="s">
        <v>2492</v>
      </c>
      <c r="G1465" s="176"/>
      <c r="H1465" s="254" t="s">
        <v>2520</v>
      </c>
      <c r="I1465" s="254" t="s">
        <v>2549</v>
      </c>
      <c r="J1465" s="254" t="s">
        <v>2540</v>
      </c>
      <c r="K1465" s="254" t="s">
        <v>2506</v>
      </c>
      <c r="L1465" s="254" t="s">
        <v>2552</v>
      </c>
      <c r="M1465" s="176"/>
      <c r="N1465" s="176"/>
      <c r="O1465" s="255" t="s">
        <v>2553</v>
      </c>
    </row>
    <row r="1466" spans="1:15" ht="16.149999999999999" customHeight="1" x14ac:dyDescent="0.25">
      <c r="A1466" s="172">
        <v>41330</v>
      </c>
      <c r="B1466" s="173" t="s">
        <v>49</v>
      </c>
      <c r="C1466" s="252" t="s">
        <v>2554</v>
      </c>
      <c r="D1466" s="252" t="s">
        <v>2550</v>
      </c>
      <c r="E1466" s="252" t="s">
        <v>2555</v>
      </c>
      <c r="F1466" s="252" t="s">
        <v>2133</v>
      </c>
      <c r="G1466" s="174"/>
      <c r="H1466" s="252" t="s">
        <v>2556</v>
      </c>
      <c r="I1466" s="252" t="s">
        <v>2557</v>
      </c>
      <c r="J1466" s="252" t="s">
        <v>2552</v>
      </c>
      <c r="K1466" s="252" t="s">
        <v>2492</v>
      </c>
      <c r="L1466" s="252" t="s">
        <v>2540</v>
      </c>
      <c r="M1466" s="174"/>
      <c r="N1466" s="174"/>
      <c r="O1466" s="253" t="s">
        <v>2528</v>
      </c>
    </row>
    <row r="1467" spans="1:15" ht="16.149999999999999" customHeight="1" x14ac:dyDescent="0.25">
      <c r="A1467" s="172">
        <v>41327</v>
      </c>
      <c r="B1467" s="175" t="s">
        <v>49</v>
      </c>
      <c r="C1467" s="254" t="s">
        <v>2105</v>
      </c>
      <c r="D1467" s="254" t="s">
        <v>2139</v>
      </c>
      <c r="E1467" s="254" t="s">
        <v>2558</v>
      </c>
      <c r="F1467" s="254" t="s">
        <v>2559</v>
      </c>
      <c r="G1467" s="176"/>
      <c r="H1467" s="254" t="s">
        <v>2133</v>
      </c>
      <c r="I1467" s="254" t="s">
        <v>2134</v>
      </c>
      <c r="J1467" s="254" t="s">
        <v>2144</v>
      </c>
      <c r="K1467" s="254" t="s">
        <v>2139</v>
      </c>
      <c r="L1467" s="254" t="s">
        <v>2516</v>
      </c>
      <c r="M1467" s="176"/>
      <c r="N1467" s="176"/>
      <c r="O1467" s="255" t="s">
        <v>2558</v>
      </c>
    </row>
    <row r="1468" spans="1:15" ht="16.149999999999999" customHeight="1" x14ac:dyDescent="0.25">
      <c r="A1468" s="172">
        <v>41326</v>
      </c>
      <c r="B1468" s="173" t="s">
        <v>49</v>
      </c>
      <c r="C1468" s="252" t="s">
        <v>2107</v>
      </c>
      <c r="D1468" s="252" t="s">
        <v>2144</v>
      </c>
      <c r="E1468" s="252" t="s">
        <v>2144</v>
      </c>
      <c r="F1468" s="252" t="s">
        <v>2559</v>
      </c>
      <c r="G1468" s="174"/>
      <c r="H1468" s="252" t="s">
        <v>2150</v>
      </c>
      <c r="I1468" s="252" t="s">
        <v>2560</v>
      </c>
      <c r="J1468" s="252" t="s">
        <v>2144</v>
      </c>
      <c r="K1468" s="252" t="s">
        <v>2561</v>
      </c>
      <c r="L1468" s="252" t="s">
        <v>2117</v>
      </c>
      <c r="M1468" s="174"/>
      <c r="N1468" s="174"/>
      <c r="O1468" s="253" t="s">
        <v>2139</v>
      </c>
    </row>
    <row r="1469" spans="1:15" ht="16.149999999999999" customHeight="1" x14ac:dyDescent="0.25">
      <c r="A1469" s="172">
        <v>41325</v>
      </c>
      <c r="B1469" s="175" t="s">
        <v>49</v>
      </c>
      <c r="C1469" s="254" t="s">
        <v>2562</v>
      </c>
      <c r="D1469" s="254" t="s">
        <v>2563</v>
      </c>
      <c r="E1469" s="254" t="s">
        <v>2564</v>
      </c>
      <c r="F1469" s="254" t="s">
        <v>2565</v>
      </c>
      <c r="G1469" s="176"/>
      <c r="H1469" s="254" t="s">
        <v>2147</v>
      </c>
      <c r="I1469" s="254" t="s">
        <v>2560</v>
      </c>
      <c r="J1469" s="254" t="s">
        <v>2147</v>
      </c>
      <c r="K1469" s="254" t="s">
        <v>2144</v>
      </c>
      <c r="L1469" s="254" t="s">
        <v>2147</v>
      </c>
      <c r="M1469" s="176"/>
      <c r="N1469" s="176"/>
      <c r="O1469" s="255" t="s">
        <v>2566</v>
      </c>
    </row>
    <row r="1470" spans="1:15" ht="16.149999999999999" customHeight="1" x14ac:dyDescent="0.25">
      <c r="A1470" s="172">
        <v>41324</v>
      </c>
      <c r="B1470" s="173" t="s">
        <v>49</v>
      </c>
      <c r="C1470" s="252" t="s">
        <v>2567</v>
      </c>
      <c r="D1470" s="252" t="s">
        <v>2146</v>
      </c>
      <c r="E1470" s="252" t="s">
        <v>2134</v>
      </c>
      <c r="F1470" s="252" t="s">
        <v>2559</v>
      </c>
      <c r="G1470" s="174"/>
      <c r="H1470" s="252" t="s">
        <v>2568</v>
      </c>
      <c r="I1470" s="252" t="s">
        <v>2147</v>
      </c>
      <c r="J1470" s="252" t="s">
        <v>2147</v>
      </c>
      <c r="K1470" s="252" t="s">
        <v>2144</v>
      </c>
      <c r="L1470" s="252" t="s">
        <v>2110</v>
      </c>
      <c r="M1470" s="174"/>
      <c r="N1470" s="174"/>
      <c r="O1470" s="253" t="s">
        <v>2569</v>
      </c>
    </row>
    <row r="1471" spans="1:15" ht="16.149999999999999" customHeight="1" x14ac:dyDescent="0.25">
      <c r="A1471" s="172">
        <v>41323</v>
      </c>
      <c r="B1471" s="175" t="s">
        <v>49</v>
      </c>
      <c r="C1471" s="254" t="s">
        <v>2570</v>
      </c>
      <c r="D1471" s="254" t="s">
        <v>2561</v>
      </c>
      <c r="E1471" s="254" t="s">
        <v>2130</v>
      </c>
      <c r="F1471" s="254" t="s">
        <v>2144</v>
      </c>
      <c r="G1471" s="176"/>
      <c r="H1471" s="254" t="s">
        <v>2558</v>
      </c>
      <c r="I1471" s="254" t="s">
        <v>2147</v>
      </c>
      <c r="J1471" s="254" t="s">
        <v>2147</v>
      </c>
      <c r="K1471" s="254" t="s">
        <v>2144</v>
      </c>
      <c r="L1471" s="254" t="s">
        <v>2117</v>
      </c>
      <c r="M1471" s="176"/>
      <c r="N1471" s="176"/>
      <c r="O1471" s="255" t="s">
        <v>2144</v>
      </c>
    </row>
    <row r="1472" spans="1:15" ht="16.149999999999999" customHeight="1" x14ac:dyDescent="0.25">
      <c r="A1472" s="172">
        <v>41320</v>
      </c>
      <c r="B1472" s="173" t="s">
        <v>49</v>
      </c>
      <c r="C1472" s="252" t="s">
        <v>2570</v>
      </c>
      <c r="D1472" s="252" t="s">
        <v>2561</v>
      </c>
      <c r="E1472" s="252" t="s">
        <v>2133</v>
      </c>
      <c r="F1472" s="252" t="s">
        <v>2139</v>
      </c>
      <c r="G1472" s="174"/>
      <c r="H1472" s="252" t="s">
        <v>2144</v>
      </c>
      <c r="I1472" s="252" t="s">
        <v>2138</v>
      </c>
      <c r="J1472" s="252" t="s">
        <v>2134</v>
      </c>
      <c r="K1472" s="252" t="s">
        <v>2146</v>
      </c>
      <c r="L1472" s="252" t="s">
        <v>2147</v>
      </c>
      <c r="M1472" s="174"/>
      <c r="N1472" s="174"/>
      <c r="O1472" s="253" t="s">
        <v>2571</v>
      </c>
    </row>
    <row r="1473" spans="1:15" ht="16.149999999999999" customHeight="1" x14ac:dyDescent="0.25">
      <c r="A1473" s="172">
        <v>41319</v>
      </c>
      <c r="B1473" s="175" t="s">
        <v>49</v>
      </c>
      <c r="C1473" s="254" t="s">
        <v>2572</v>
      </c>
      <c r="D1473" s="254" t="s">
        <v>2573</v>
      </c>
      <c r="E1473" s="254" t="s">
        <v>2560</v>
      </c>
      <c r="F1473" s="254" t="s">
        <v>2134</v>
      </c>
      <c r="G1473" s="176"/>
      <c r="H1473" s="254" t="s">
        <v>2574</v>
      </c>
      <c r="I1473" s="254" t="s">
        <v>2138</v>
      </c>
      <c r="J1473" s="254" t="s">
        <v>2132</v>
      </c>
      <c r="K1473" s="254" t="s">
        <v>2144</v>
      </c>
      <c r="L1473" s="254" t="s">
        <v>2110</v>
      </c>
      <c r="M1473" s="176"/>
      <c r="N1473" s="176"/>
      <c r="O1473" s="255" t="s">
        <v>2561</v>
      </c>
    </row>
    <row r="1474" spans="1:15" ht="16.149999999999999" customHeight="1" x14ac:dyDescent="0.25">
      <c r="A1474" s="172">
        <v>41318</v>
      </c>
      <c r="B1474" s="173" t="s">
        <v>49</v>
      </c>
      <c r="C1474" s="252" t="s">
        <v>2128</v>
      </c>
      <c r="D1474" s="252" t="s">
        <v>2129</v>
      </c>
      <c r="E1474" s="252" t="s">
        <v>2147</v>
      </c>
      <c r="F1474" s="252" t="s">
        <v>2134</v>
      </c>
      <c r="G1474" s="174"/>
      <c r="H1474" s="252" t="s">
        <v>2135</v>
      </c>
      <c r="I1474" s="252" t="s">
        <v>2560</v>
      </c>
      <c r="J1474" s="252" t="s">
        <v>2132</v>
      </c>
      <c r="K1474" s="252" t="s">
        <v>2134</v>
      </c>
      <c r="L1474" s="252" t="s">
        <v>2117</v>
      </c>
      <c r="M1474" s="174"/>
      <c r="N1474" s="174"/>
      <c r="O1474" s="253" t="s">
        <v>2541</v>
      </c>
    </row>
    <row r="1475" spans="1:15" ht="16.149999999999999" customHeight="1" x14ac:dyDescent="0.25">
      <c r="A1475" s="172">
        <v>41317</v>
      </c>
      <c r="B1475" s="175" t="s">
        <v>49</v>
      </c>
      <c r="C1475" s="254" t="s">
        <v>2136</v>
      </c>
      <c r="D1475" s="254" t="s">
        <v>2131</v>
      </c>
      <c r="E1475" s="254" t="s">
        <v>2575</v>
      </c>
      <c r="F1475" s="254" t="s">
        <v>2576</v>
      </c>
      <c r="G1475" s="176"/>
      <c r="H1475" s="254" t="s">
        <v>2577</v>
      </c>
      <c r="I1475" s="254" t="s">
        <v>2560</v>
      </c>
      <c r="J1475" s="254" t="s">
        <v>2147</v>
      </c>
      <c r="K1475" s="254" t="s">
        <v>2134</v>
      </c>
      <c r="L1475" s="254" t="s">
        <v>2117</v>
      </c>
      <c r="M1475" s="176"/>
      <c r="N1475" s="176"/>
      <c r="O1475" s="255" t="s">
        <v>2144</v>
      </c>
    </row>
    <row r="1476" spans="1:15" ht="16.149999999999999" customHeight="1" x14ac:dyDescent="0.25">
      <c r="A1476" s="172">
        <v>41316</v>
      </c>
      <c r="B1476" s="173" t="s">
        <v>49</v>
      </c>
      <c r="C1476" s="252" t="s">
        <v>2080</v>
      </c>
      <c r="D1476" s="252" t="s">
        <v>2577</v>
      </c>
      <c r="E1476" s="252" t="s">
        <v>2134</v>
      </c>
      <c r="F1476" s="252" t="s">
        <v>2122</v>
      </c>
      <c r="G1476" s="174"/>
      <c r="H1476" s="252" t="s">
        <v>2144</v>
      </c>
      <c r="I1476" s="252" t="s">
        <v>2560</v>
      </c>
      <c r="J1476" s="252" t="s">
        <v>2117</v>
      </c>
      <c r="K1476" s="252" t="s">
        <v>2134</v>
      </c>
      <c r="L1476" s="252" t="s">
        <v>2133</v>
      </c>
      <c r="M1476" s="174"/>
      <c r="N1476" s="174"/>
      <c r="O1476" s="253" t="s">
        <v>2578</v>
      </c>
    </row>
    <row r="1477" spans="1:15" ht="16.149999999999999" customHeight="1" x14ac:dyDescent="0.25">
      <c r="A1477" s="172">
        <v>41313</v>
      </c>
      <c r="B1477" s="175" t="s">
        <v>49</v>
      </c>
      <c r="C1477" s="254" t="s">
        <v>2058</v>
      </c>
      <c r="D1477" s="254" t="s">
        <v>2579</v>
      </c>
      <c r="E1477" s="254" t="s">
        <v>2138</v>
      </c>
      <c r="F1477" s="254" t="s">
        <v>2101</v>
      </c>
      <c r="G1477" s="176"/>
      <c r="H1477" s="254" t="s">
        <v>2580</v>
      </c>
      <c r="I1477" s="254" t="s">
        <v>2581</v>
      </c>
      <c r="J1477" s="254" t="s">
        <v>2110</v>
      </c>
      <c r="K1477" s="254" t="s">
        <v>2147</v>
      </c>
      <c r="L1477" s="254" t="s">
        <v>2122</v>
      </c>
      <c r="M1477" s="176"/>
      <c r="N1477" s="176"/>
      <c r="O1477" s="255" t="s">
        <v>2582</v>
      </c>
    </row>
    <row r="1478" spans="1:15" ht="16.149999999999999" customHeight="1" x14ac:dyDescent="0.25">
      <c r="A1478" s="172">
        <v>41312</v>
      </c>
      <c r="B1478" s="173" t="s">
        <v>49</v>
      </c>
      <c r="C1478" s="252" t="s">
        <v>2583</v>
      </c>
      <c r="D1478" s="252" t="s">
        <v>2584</v>
      </c>
      <c r="E1478" s="252" t="s">
        <v>2127</v>
      </c>
      <c r="F1478" s="252" t="s">
        <v>2101</v>
      </c>
      <c r="G1478" s="174"/>
      <c r="H1478" s="252" t="s">
        <v>2585</v>
      </c>
      <c r="I1478" s="252" t="s">
        <v>2105</v>
      </c>
      <c r="J1478" s="252" t="s">
        <v>2110</v>
      </c>
      <c r="K1478" s="252" t="s">
        <v>2144</v>
      </c>
      <c r="L1478" s="252" t="s">
        <v>2125</v>
      </c>
      <c r="M1478" s="174"/>
      <c r="N1478" s="174"/>
      <c r="O1478" s="253" t="s">
        <v>2586</v>
      </c>
    </row>
    <row r="1479" spans="1:15" ht="16.149999999999999" customHeight="1" x14ac:dyDescent="0.25">
      <c r="A1479" s="172">
        <v>41311</v>
      </c>
      <c r="B1479" s="175" t="s">
        <v>49</v>
      </c>
      <c r="C1479" s="254" t="s">
        <v>2587</v>
      </c>
      <c r="D1479" s="254" t="s">
        <v>2588</v>
      </c>
      <c r="E1479" s="254" t="s">
        <v>2105</v>
      </c>
      <c r="F1479" s="254" t="s">
        <v>2101</v>
      </c>
      <c r="G1479" s="176"/>
      <c r="H1479" s="254" t="s">
        <v>2125</v>
      </c>
      <c r="I1479" s="254" t="s">
        <v>2101</v>
      </c>
      <c r="J1479" s="254" t="s">
        <v>2125</v>
      </c>
      <c r="K1479" s="254" t="s">
        <v>2117</v>
      </c>
      <c r="L1479" s="254" t="s">
        <v>2144</v>
      </c>
      <c r="M1479" s="176"/>
      <c r="N1479" s="176"/>
      <c r="O1479" s="255" t="s">
        <v>2567</v>
      </c>
    </row>
    <row r="1480" spans="1:15" ht="16.149999999999999" customHeight="1" x14ac:dyDescent="0.25">
      <c r="A1480" s="172">
        <v>41310</v>
      </c>
      <c r="B1480" s="173" t="s">
        <v>49</v>
      </c>
      <c r="C1480" s="252" t="s">
        <v>2589</v>
      </c>
      <c r="D1480" s="252" t="s">
        <v>2590</v>
      </c>
      <c r="E1480" s="252" t="s">
        <v>2058</v>
      </c>
      <c r="F1480" s="252" t="s">
        <v>2068</v>
      </c>
      <c r="G1480" s="174"/>
      <c r="H1480" s="252" t="s">
        <v>2053</v>
      </c>
      <c r="I1480" s="252" t="s">
        <v>2057</v>
      </c>
      <c r="J1480" s="252" t="s">
        <v>2046</v>
      </c>
      <c r="K1480" s="252" t="s">
        <v>2069</v>
      </c>
      <c r="L1480" s="252" t="s">
        <v>2053</v>
      </c>
      <c r="M1480" s="174"/>
      <c r="N1480" s="174"/>
      <c r="O1480" s="253" t="s">
        <v>2591</v>
      </c>
    </row>
    <row r="1481" spans="1:15" ht="16.149999999999999" customHeight="1" x14ac:dyDescent="0.25">
      <c r="A1481" s="172">
        <v>41309</v>
      </c>
      <c r="B1481" s="175" t="s">
        <v>49</v>
      </c>
      <c r="C1481" s="254" t="s">
        <v>2592</v>
      </c>
      <c r="D1481" s="254" t="s">
        <v>2096</v>
      </c>
      <c r="E1481" s="254" t="s">
        <v>2069</v>
      </c>
      <c r="F1481" s="254" t="s">
        <v>2068</v>
      </c>
      <c r="G1481" s="176"/>
      <c r="H1481" s="254" t="s">
        <v>2053</v>
      </c>
      <c r="I1481" s="254" t="s">
        <v>2089</v>
      </c>
      <c r="J1481" s="254" t="s">
        <v>2046</v>
      </c>
      <c r="K1481" s="254" t="s">
        <v>2069</v>
      </c>
      <c r="L1481" s="254" t="s">
        <v>2046</v>
      </c>
      <c r="M1481" s="176"/>
      <c r="N1481" s="176"/>
      <c r="O1481" s="255" t="s">
        <v>2587</v>
      </c>
    </row>
    <row r="1482" spans="1:15" ht="16.149999999999999" customHeight="1" x14ac:dyDescent="0.25">
      <c r="A1482" s="172">
        <v>41306</v>
      </c>
      <c r="B1482" s="173" t="s">
        <v>49</v>
      </c>
      <c r="C1482" s="252" t="s">
        <v>2593</v>
      </c>
      <c r="D1482" s="252" t="s">
        <v>2053</v>
      </c>
      <c r="E1482" s="252" t="s">
        <v>2053</v>
      </c>
      <c r="F1482" s="252" t="s">
        <v>2053</v>
      </c>
      <c r="G1482" s="174"/>
      <c r="H1482" s="252" t="s">
        <v>2101</v>
      </c>
      <c r="I1482" s="252" t="s">
        <v>2089</v>
      </c>
      <c r="J1482" s="252" t="s">
        <v>2046</v>
      </c>
      <c r="K1482" s="252" t="s">
        <v>2053</v>
      </c>
      <c r="L1482" s="252" t="s">
        <v>2053</v>
      </c>
      <c r="M1482" s="174"/>
      <c r="N1482" s="174"/>
      <c r="O1482" s="253" t="s">
        <v>2061</v>
      </c>
    </row>
    <row r="1483" spans="1:15" ht="16.149999999999999" customHeight="1" x14ac:dyDescent="0.25">
      <c r="A1483" s="172">
        <v>41305</v>
      </c>
      <c r="B1483" s="175" t="s">
        <v>49</v>
      </c>
      <c r="C1483" s="254" t="s">
        <v>2594</v>
      </c>
      <c r="D1483" s="254" t="s">
        <v>2119</v>
      </c>
      <c r="E1483" s="254" t="s">
        <v>2053</v>
      </c>
      <c r="F1483" s="254" t="s">
        <v>2056</v>
      </c>
      <c r="G1483" s="176"/>
      <c r="H1483" s="254" t="s">
        <v>2595</v>
      </c>
      <c r="I1483" s="254" t="s">
        <v>2089</v>
      </c>
      <c r="J1483" s="254" t="s">
        <v>2046</v>
      </c>
      <c r="K1483" s="254" t="s">
        <v>2053</v>
      </c>
      <c r="L1483" s="254" t="s">
        <v>2046</v>
      </c>
      <c r="M1483" s="176"/>
      <c r="N1483" s="176"/>
      <c r="O1483" s="255" t="s">
        <v>2596</v>
      </c>
    </row>
    <row r="1484" spans="1:15" ht="16.149999999999999" customHeight="1" x14ac:dyDescent="0.25">
      <c r="A1484" s="172">
        <v>41304</v>
      </c>
      <c r="B1484" s="173" t="s">
        <v>49</v>
      </c>
      <c r="C1484" s="252" t="s">
        <v>2597</v>
      </c>
      <c r="D1484" s="252" t="s">
        <v>2598</v>
      </c>
      <c r="E1484" s="252" t="s">
        <v>2587</v>
      </c>
      <c r="F1484" s="252" t="s">
        <v>2050</v>
      </c>
      <c r="G1484" s="174"/>
      <c r="H1484" s="252" t="s">
        <v>2046</v>
      </c>
      <c r="I1484" s="252" t="s">
        <v>2096</v>
      </c>
      <c r="J1484" s="252" t="s">
        <v>2046</v>
      </c>
      <c r="K1484" s="252" t="s">
        <v>2056</v>
      </c>
      <c r="L1484" s="252" t="s">
        <v>2046</v>
      </c>
      <c r="M1484" s="174"/>
      <c r="N1484" s="174"/>
      <c r="O1484" s="253" t="s">
        <v>2065</v>
      </c>
    </row>
    <row r="1485" spans="1:15" ht="16.149999999999999" customHeight="1" x14ac:dyDescent="0.25">
      <c r="A1485" s="172">
        <v>41303</v>
      </c>
      <c r="B1485" s="175" t="s">
        <v>49</v>
      </c>
      <c r="C1485" s="254" t="s">
        <v>2087</v>
      </c>
      <c r="D1485" s="254" t="s">
        <v>2088</v>
      </c>
      <c r="E1485" s="254" t="s">
        <v>2046</v>
      </c>
      <c r="F1485" s="254" t="s">
        <v>2065</v>
      </c>
      <c r="G1485" s="176"/>
      <c r="H1485" s="254" t="s">
        <v>2050</v>
      </c>
      <c r="I1485" s="254" t="s">
        <v>2069</v>
      </c>
      <c r="J1485" s="254" t="s">
        <v>2046</v>
      </c>
      <c r="K1485" s="254" t="s">
        <v>2053</v>
      </c>
      <c r="L1485" s="254" t="s">
        <v>2039</v>
      </c>
      <c r="M1485" s="176"/>
      <c r="N1485" s="176"/>
      <c r="O1485" s="255" t="s">
        <v>2599</v>
      </c>
    </row>
    <row r="1486" spans="1:15" ht="16.149999999999999" customHeight="1" x14ac:dyDescent="0.25">
      <c r="A1486" s="172">
        <v>41302</v>
      </c>
      <c r="B1486" s="173" t="s">
        <v>49</v>
      </c>
      <c r="C1486" s="252" t="s">
        <v>2600</v>
      </c>
      <c r="D1486" s="252" t="s">
        <v>2601</v>
      </c>
      <c r="E1486" s="252" t="s">
        <v>2046</v>
      </c>
      <c r="F1486" s="252" t="s">
        <v>2054</v>
      </c>
      <c r="G1486" s="174"/>
      <c r="H1486" s="252" t="s">
        <v>2048</v>
      </c>
      <c r="I1486" s="252" t="s">
        <v>2046</v>
      </c>
      <c r="J1486" s="252" t="s">
        <v>2069</v>
      </c>
      <c r="K1486" s="252" t="s">
        <v>2046</v>
      </c>
      <c r="L1486" s="252" t="s">
        <v>2043</v>
      </c>
      <c r="M1486" s="174"/>
      <c r="N1486" s="174"/>
      <c r="O1486" s="253" t="s">
        <v>2602</v>
      </c>
    </row>
    <row r="1487" spans="1:15" ht="16.149999999999999" customHeight="1" x14ac:dyDescent="0.25">
      <c r="A1487" s="172">
        <v>41299</v>
      </c>
      <c r="B1487" s="175" t="s">
        <v>49</v>
      </c>
      <c r="C1487" s="254" t="s">
        <v>2603</v>
      </c>
      <c r="D1487" s="254" t="s">
        <v>2604</v>
      </c>
      <c r="E1487" s="254" t="s">
        <v>2605</v>
      </c>
      <c r="F1487" s="254" t="s">
        <v>2054</v>
      </c>
      <c r="G1487" s="176"/>
      <c r="H1487" s="254" t="s">
        <v>2054</v>
      </c>
      <c r="I1487" s="254" t="s">
        <v>2048</v>
      </c>
      <c r="J1487" s="254" t="s">
        <v>2039</v>
      </c>
      <c r="K1487" s="254" t="s">
        <v>2047</v>
      </c>
      <c r="L1487" s="254" t="s">
        <v>2053</v>
      </c>
      <c r="M1487" s="176"/>
      <c r="N1487" s="176"/>
      <c r="O1487" s="255" t="s">
        <v>2602</v>
      </c>
    </row>
    <row r="1488" spans="1:15" ht="16.149999999999999" customHeight="1" x14ac:dyDescent="0.25">
      <c r="A1488" s="172">
        <v>41298</v>
      </c>
      <c r="B1488" s="173" t="s">
        <v>49</v>
      </c>
      <c r="C1488" s="252" t="s">
        <v>2016</v>
      </c>
      <c r="D1488" s="252" t="s">
        <v>2048</v>
      </c>
      <c r="E1488" s="252" t="s">
        <v>2048</v>
      </c>
      <c r="F1488" s="252" t="s">
        <v>2046</v>
      </c>
      <c r="G1488" s="174"/>
      <c r="H1488" s="252" t="s">
        <v>2048</v>
      </c>
      <c r="I1488" s="252" t="s">
        <v>2048</v>
      </c>
      <c r="J1488" s="252" t="s">
        <v>2039</v>
      </c>
      <c r="K1488" s="252" t="s">
        <v>2048</v>
      </c>
      <c r="L1488" s="252" t="s">
        <v>2589</v>
      </c>
      <c r="M1488" s="174"/>
      <c r="N1488" s="174"/>
      <c r="O1488" s="253" t="s">
        <v>2606</v>
      </c>
    </row>
    <row r="1489" spans="1:15" ht="16.149999999999999" customHeight="1" x14ac:dyDescent="0.25">
      <c r="A1489" s="172">
        <v>41297</v>
      </c>
      <c r="B1489" s="175" t="s">
        <v>49</v>
      </c>
      <c r="C1489" s="254" t="s">
        <v>2607</v>
      </c>
      <c r="D1489" s="254" t="s">
        <v>2608</v>
      </c>
      <c r="E1489" s="254" t="s">
        <v>2052</v>
      </c>
      <c r="F1489" s="254" t="s">
        <v>2069</v>
      </c>
      <c r="G1489" s="176"/>
      <c r="H1489" s="254" t="s">
        <v>2048</v>
      </c>
      <c r="I1489" s="254" t="s">
        <v>2604</v>
      </c>
      <c r="J1489" s="254" t="s">
        <v>2043</v>
      </c>
      <c r="K1489" s="254" t="s">
        <v>2049</v>
      </c>
      <c r="L1489" s="254" t="s">
        <v>2034</v>
      </c>
      <c r="M1489" s="176"/>
      <c r="N1489" s="176"/>
      <c r="O1489" s="255" t="s">
        <v>2039</v>
      </c>
    </row>
    <row r="1490" spans="1:15" ht="16.149999999999999" customHeight="1" x14ac:dyDescent="0.25">
      <c r="A1490" s="172">
        <v>41296</v>
      </c>
      <c r="B1490" s="173" t="s">
        <v>49</v>
      </c>
      <c r="C1490" s="252" t="s">
        <v>2609</v>
      </c>
      <c r="D1490" s="252" t="s">
        <v>2610</v>
      </c>
      <c r="E1490" s="252" t="s">
        <v>2611</v>
      </c>
      <c r="F1490" s="252" t="s">
        <v>2046</v>
      </c>
      <c r="G1490" s="174"/>
      <c r="H1490" s="252" t="s">
        <v>2047</v>
      </c>
      <c r="I1490" s="252" t="s">
        <v>2604</v>
      </c>
      <c r="J1490" s="252" t="s">
        <v>2043</v>
      </c>
      <c r="K1490" s="252" t="s">
        <v>2043</v>
      </c>
      <c r="L1490" s="252" t="s">
        <v>2059</v>
      </c>
      <c r="M1490" s="174"/>
      <c r="N1490" s="174"/>
      <c r="O1490" s="253" t="s">
        <v>2100</v>
      </c>
    </row>
    <row r="1491" spans="1:15" ht="16.149999999999999" customHeight="1" x14ac:dyDescent="0.25">
      <c r="A1491" s="172">
        <v>41295</v>
      </c>
      <c r="B1491" s="175" t="s">
        <v>49</v>
      </c>
      <c r="C1491" s="254" t="s">
        <v>2612</v>
      </c>
      <c r="D1491" s="254" t="s">
        <v>2043</v>
      </c>
      <c r="E1491" s="254" t="s">
        <v>2049</v>
      </c>
      <c r="F1491" s="254" t="s">
        <v>2046</v>
      </c>
      <c r="G1491" s="176"/>
      <c r="H1491" s="254" t="s">
        <v>2613</v>
      </c>
      <c r="I1491" s="254" t="s">
        <v>2049</v>
      </c>
      <c r="J1491" s="254" t="s">
        <v>2589</v>
      </c>
      <c r="K1491" s="254" t="s">
        <v>2046</v>
      </c>
      <c r="L1491" s="254" t="s">
        <v>2059</v>
      </c>
      <c r="M1491" s="176"/>
      <c r="N1491" s="176"/>
      <c r="O1491" s="255" t="s">
        <v>2047</v>
      </c>
    </row>
    <row r="1492" spans="1:15" ht="16.149999999999999" customHeight="1" x14ac:dyDescent="0.25">
      <c r="A1492" s="172">
        <v>41292</v>
      </c>
      <c r="B1492" s="173" t="s">
        <v>49</v>
      </c>
      <c r="C1492" s="252" t="s">
        <v>2614</v>
      </c>
      <c r="D1492" s="252" t="s">
        <v>2615</v>
      </c>
      <c r="E1492" s="252" t="s">
        <v>2616</v>
      </c>
      <c r="F1492" s="252" t="s">
        <v>2049</v>
      </c>
      <c r="G1492" s="174"/>
      <c r="H1492" s="252" t="s">
        <v>2613</v>
      </c>
      <c r="I1492" s="252" t="s">
        <v>2617</v>
      </c>
      <c r="J1492" s="252" t="s">
        <v>2589</v>
      </c>
      <c r="K1492" s="252" t="s">
        <v>2054</v>
      </c>
      <c r="L1492" s="252" t="s">
        <v>2054</v>
      </c>
      <c r="M1492" s="174"/>
      <c r="N1492" s="174"/>
      <c r="O1492" s="253" t="s">
        <v>2079</v>
      </c>
    </row>
    <row r="1493" spans="1:15" ht="16.149999999999999" customHeight="1" x14ac:dyDescent="0.25">
      <c r="A1493" s="172">
        <v>41291</v>
      </c>
      <c r="B1493" s="175" t="s">
        <v>49</v>
      </c>
      <c r="C1493" s="254" t="s">
        <v>2019</v>
      </c>
      <c r="D1493" s="254" t="s">
        <v>2589</v>
      </c>
      <c r="E1493" s="254" t="s">
        <v>2589</v>
      </c>
      <c r="F1493" s="254" t="s">
        <v>2617</v>
      </c>
      <c r="G1493" s="176"/>
      <c r="H1493" s="254" t="s">
        <v>2616</v>
      </c>
      <c r="I1493" s="254" t="s">
        <v>2589</v>
      </c>
      <c r="J1493" s="254" t="s">
        <v>2589</v>
      </c>
      <c r="K1493" s="254" t="s">
        <v>2035</v>
      </c>
      <c r="L1493" s="254" t="s">
        <v>2050</v>
      </c>
      <c r="M1493" s="176"/>
      <c r="N1493" s="176"/>
      <c r="O1493" s="255" t="s">
        <v>2034</v>
      </c>
    </row>
    <row r="1494" spans="1:15" ht="16.149999999999999" customHeight="1" x14ac:dyDescent="0.25">
      <c r="A1494" s="172">
        <v>41290</v>
      </c>
      <c r="B1494" s="173" t="s">
        <v>49</v>
      </c>
      <c r="C1494" s="252" t="s">
        <v>2021</v>
      </c>
      <c r="D1494" s="252" t="s">
        <v>2618</v>
      </c>
      <c r="E1494" s="252" t="s">
        <v>2619</v>
      </c>
      <c r="F1494" s="252" t="s">
        <v>2617</v>
      </c>
      <c r="G1494" s="174"/>
      <c r="H1494" s="252" t="s">
        <v>2613</v>
      </c>
      <c r="I1494" s="252" t="s">
        <v>2620</v>
      </c>
      <c r="J1494" s="252" t="s">
        <v>2589</v>
      </c>
      <c r="K1494" s="252" t="s">
        <v>2038</v>
      </c>
      <c r="L1494" s="252" t="s">
        <v>2043</v>
      </c>
      <c r="M1494" s="174"/>
      <c r="N1494" s="174"/>
      <c r="O1494" s="253" t="s">
        <v>2621</v>
      </c>
    </row>
    <row r="1495" spans="1:15" ht="16.149999999999999" customHeight="1" x14ac:dyDescent="0.25">
      <c r="A1495" s="172">
        <v>41289</v>
      </c>
      <c r="B1495" s="175" t="s">
        <v>49</v>
      </c>
      <c r="C1495" s="254" t="s">
        <v>2622</v>
      </c>
      <c r="D1495" s="254" t="s">
        <v>2623</v>
      </c>
      <c r="E1495" s="254" t="s">
        <v>2624</v>
      </c>
      <c r="F1495" s="254" t="s">
        <v>2617</v>
      </c>
      <c r="G1495" s="176"/>
      <c r="H1495" s="254" t="s">
        <v>2625</v>
      </c>
      <c r="I1495" s="254" t="s">
        <v>2620</v>
      </c>
      <c r="J1495" s="254" t="s">
        <v>2589</v>
      </c>
      <c r="K1495" s="254" t="s">
        <v>2620</v>
      </c>
      <c r="L1495" s="254" t="s">
        <v>2043</v>
      </c>
      <c r="M1495" s="176"/>
      <c r="N1495" s="176"/>
      <c r="O1495" s="255" t="s">
        <v>2626</v>
      </c>
    </row>
    <row r="1496" spans="1:15" ht="16.149999999999999" customHeight="1" x14ac:dyDescent="0.25">
      <c r="A1496" s="172">
        <v>41288</v>
      </c>
      <c r="B1496" s="173" t="s">
        <v>49</v>
      </c>
      <c r="C1496" s="252" t="s">
        <v>2007</v>
      </c>
      <c r="D1496" s="252" t="s">
        <v>2627</v>
      </c>
      <c r="E1496" s="252" t="s">
        <v>2032</v>
      </c>
      <c r="F1496" s="252" t="s">
        <v>2628</v>
      </c>
      <c r="G1496" s="174"/>
      <c r="H1496" s="252" t="s">
        <v>2629</v>
      </c>
      <c r="I1496" s="252" t="s">
        <v>2016</v>
      </c>
      <c r="J1496" s="252" t="s">
        <v>2589</v>
      </c>
      <c r="K1496" s="252" t="s">
        <v>2035</v>
      </c>
      <c r="L1496" s="252" t="s">
        <v>2043</v>
      </c>
      <c r="M1496" s="174"/>
      <c r="N1496" s="174"/>
      <c r="O1496" s="253" t="s">
        <v>2630</v>
      </c>
    </row>
    <row r="1497" spans="1:15" ht="16.149999999999999" customHeight="1" x14ac:dyDescent="0.25">
      <c r="A1497" s="172">
        <v>41285</v>
      </c>
      <c r="B1497" s="175" t="s">
        <v>49</v>
      </c>
      <c r="C1497" s="254" t="s">
        <v>2631</v>
      </c>
      <c r="D1497" s="254" t="s">
        <v>2038</v>
      </c>
      <c r="E1497" s="254" t="s">
        <v>2020</v>
      </c>
      <c r="F1497" s="254" t="s">
        <v>2039</v>
      </c>
      <c r="G1497" s="176"/>
      <c r="H1497" s="254" t="s">
        <v>2034</v>
      </c>
      <c r="I1497" s="254" t="s">
        <v>2589</v>
      </c>
      <c r="J1497" s="254" t="s">
        <v>2589</v>
      </c>
      <c r="K1497" s="254" t="s">
        <v>2016</v>
      </c>
      <c r="L1497" s="254" t="s">
        <v>2035</v>
      </c>
      <c r="M1497" s="176"/>
      <c r="N1497" s="176"/>
      <c r="O1497" s="255" t="s">
        <v>2607</v>
      </c>
    </row>
    <row r="1498" spans="1:15" ht="16.149999999999999" customHeight="1" x14ac:dyDescent="0.25">
      <c r="A1498" s="172">
        <v>41284</v>
      </c>
      <c r="B1498" s="173" t="s">
        <v>49</v>
      </c>
      <c r="C1498" s="252" t="s">
        <v>2011</v>
      </c>
      <c r="D1498" s="252" t="s">
        <v>2624</v>
      </c>
      <c r="E1498" s="252" t="s">
        <v>2620</v>
      </c>
      <c r="F1498" s="252" t="s">
        <v>2020</v>
      </c>
      <c r="G1498" s="174"/>
      <c r="H1498" s="252" t="s">
        <v>2034</v>
      </c>
      <c r="I1498" s="252" t="s">
        <v>2046</v>
      </c>
      <c r="J1498" s="252" t="s">
        <v>2049</v>
      </c>
      <c r="K1498" s="252" t="s">
        <v>2009</v>
      </c>
      <c r="L1498" s="252" t="s">
        <v>2009</v>
      </c>
      <c r="M1498" s="174"/>
      <c r="N1498" s="174"/>
      <c r="O1498" s="253" t="s">
        <v>2032</v>
      </c>
    </row>
    <row r="1499" spans="1:15" ht="16.149999999999999" customHeight="1" x14ac:dyDescent="0.25">
      <c r="A1499" s="172">
        <v>41283</v>
      </c>
      <c r="B1499" s="175" t="s">
        <v>49</v>
      </c>
      <c r="C1499" s="254" t="s">
        <v>2632</v>
      </c>
      <c r="D1499" s="254" t="s">
        <v>2619</v>
      </c>
      <c r="E1499" s="254" t="s">
        <v>2016</v>
      </c>
      <c r="F1499" s="254" t="s">
        <v>2046</v>
      </c>
      <c r="G1499" s="176"/>
      <c r="H1499" s="254" t="s">
        <v>2456</v>
      </c>
      <c r="I1499" s="254" t="s">
        <v>2043</v>
      </c>
      <c r="J1499" s="254" t="s">
        <v>2035</v>
      </c>
      <c r="K1499" s="254" t="s">
        <v>2009</v>
      </c>
      <c r="L1499" s="254" t="s">
        <v>2043</v>
      </c>
      <c r="M1499" s="176"/>
      <c r="N1499" s="176"/>
      <c r="O1499" s="255" t="s">
        <v>2620</v>
      </c>
    </row>
    <row r="1500" spans="1:15" ht="16.149999999999999" customHeight="1" x14ac:dyDescent="0.25">
      <c r="A1500" s="172">
        <v>41282</v>
      </c>
      <c r="B1500" s="173" t="s">
        <v>49</v>
      </c>
      <c r="C1500" s="252" t="s">
        <v>2633</v>
      </c>
      <c r="D1500" s="252" t="s">
        <v>2620</v>
      </c>
      <c r="E1500" s="252" t="s">
        <v>2016</v>
      </c>
      <c r="F1500" s="252" t="s">
        <v>2046</v>
      </c>
      <c r="G1500" s="174"/>
      <c r="H1500" s="252" t="s">
        <v>2589</v>
      </c>
      <c r="I1500" s="252" t="s">
        <v>2634</v>
      </c>
      <c r="J1500" s="252" t="s">
        <v>2005</v>
      </c>
      <c r="K1500" s="252" t="s">
        <v>2032</v>
      </c>
      <c r="L1500" s="252" t="s">
        <v>2039</v>
      </c>
      <c r="M1500" s="174"/>
      <c r="N1500" s="174"/>
      <c r="O1500" s="253" t="s">
        <v>2009</v>
      </c>
    </row>
    <row r="1501" spans="1:15" ht="16.149999999999999" customHeight="1" x14ac:dyDescent="0.25">
      <c r="A1501" s="172">
        <v>41278</v>
      </c>
      <c r="B1501" s="175" t="s">
        <v>49</v>
      </c>
      <c r="C1501" s="254" t="s">
        <v>2635</v>
      </c>
      <c r="D1501" s="254" t="s">
        <v>1995</v>
      </c>
      <c r="E1501" s="254" t="s">
        <v>2636</v>
      </c>
      <c r="F1501" s="254" t="s">
        <v>1986</v>
      </c>
      <c r="G1501" s="176"/>
      <c r="H1501" s="254" t="s">
        <v>1995</v>
      </c>
      <c r="I1501" s="254" t="s">
        <v>1985</v>
      </c>
      <c r="J1501" s="254" t="s">
        <v>1995</v>
      </c>
      <c r="K1501" s="254" t="s">
        <v>1995</v>
      </c>
      <c r="L1501" s="254" t="s">
        <v>1997</v>
      </c>
      <c r="M1501" s="176"/>
      <c r="N1501" s="176"/>
      <c r="O1501" s="255" t="s">
        <v>2637</v>
      </c>
    </row>
    <row r="1502" spans="1:15" ht="16.149999999999999" customHeight="1" x14ac:dyDescent="0.25">
      <c r="A1502" s="172">
        <v>41277</v>
      </c>
      <c r="B1502" s="173" t="s">
        <v>49</v>
      </c>
      <c r="C1502" s="252" t="s">
        <v>2638</v>
      </c>
      <c r="D1502" s="252" t="s">
        <v>2639</v>
      </c>
      <c r="E1502" s="252" t="s">
        <v>2639</v>
      </c>
      <c r="F1502" s="252" t="s">
        <v>2639</v>
      </c>
      <c r="G1502" s="174"/>
      <c r="H1502" s="252" t="s">
        <v>2639</v>
      </c>
      <c r="I1502" s="252" t="s">
        <v>1973</v>
      </c>
      <c r="J1502" s="252" t="s">
        <v>1981</v>
      </c>
      <c r="K1502" s="252" t="s">
        <v>1981</v>
      </c>
      <c r="L1502" s="252" t="s">
        <v>2002</v>
      </c>
      <c r="M1502" s="174"/>
      <c r="N1502" s="174"/>
      <c r="O1502" s="253" t="s">
        <v>1989</v>
      </c>
    </row>
    <row r="1503" spans="1:15" ht="16.149999999999999" customHeight="1" x14ac:dyDescent="0.25">
      <c r="A1503" s="172">
        <v>41276</v>
      </c>
      <c r="B1503" s="175" t="s">
        <v>49</v>
      </c>
      <c r="C1503" s="254" t="s">
        <v>1917</v>
      </c>
      <c r="D1503" s="254" t="s">
        <v>2640</v>
      </c>
      <c r="E1503" s="254" t="s">
        <v>2640</v>
      </c>
      <c r="F1503" s="254" t="s">
        <v>2639</v>
      </c>
      <c r="G1503" s="176"/>
      <c r="H1503" s="254" t="s">
        <v>1973</v>
      </c>
      <c r="I1503" s="254" t="s">
        <v>1964</v>
      </c>
      <c r="J1503" s="254" t="s">
        <v>1981</v>
      </c>
      <c r="K1503" s="254" t="s">
        <v>1985</v>
      </c>
      <c r="L1503" s="254" t="s">
        <v>1995</v>
      </c>
      <c r="M1503" s="176"/>
      <c r="N1503" s="176"/>
      <c r="O1503" s="255" t="s">
        <v>2640</v>
      </c>
    </row>
    <row r="1504" spans="1:15" ht="16.149999999999999" customHeight="1" x14ac:dyDescent="0.25">
      <c r="A1504" s="172">
        <v>41271</v>
      </c>
      <c r="B1504" s="173" t="s">
        <v>49</v>
      </c>
      <c r="C1504" s="252" t="s">
        <v>1918</v>
      </c>
      <c r="D1504" s="252" t="s">
        <v>1985</v>
      </c>
      <c r="E1504" s="252" t="s">
        <v>2641</v>
      </c>
      <c r="F1504" s="252" t="s">
        <v>1981</v>
      </c>
      <c r="G1504" s="252" t="s">
        <v>1964</v>
      </c>
      <c r="H1504" s="252" t="s">
        <v>1937</v>
      </c>
      <c r="I1504" s="174"/>
      <c r="J1504" s="252" t="s">
        <v>1933</v>
      </c>
      <c r="K1504" s="252" t="s">
        <v>1981</v>
      </c>
      <c r="L1504" s="252" t="s">
        <v>1986</v>
      </c>
      <c r="M1504" s="174"/>
      <c r="N1504" s="174"/>
      <c r="O1504" s="253" t="s">
        <v>2642</v>
      </c>
    </row>
    <row r="1505" spans="1:15" ht="16.149999999999999" customHeight="1" x14ac:dyDescent="0.25">
      <c r="A1505" s="172">
        <v>41270</v>
      </c>
      <c r="B1505" s="175" t="s">
        <v>49</v>
      </c>
      <c r="C1505" s="254" t="s">
        <v>1908</v>
      </c>
      <c r="D1505" s="254" t="s">
        <v>2643</v>
      </c>
      <c r="E1505" s="254" t="s">
        <v>2644</v>
      </c>
      <c r="F1505" s="254" t="s">
        <v>2639</v>
      </c>
      <c r="G1505" s="254" t="s">
        <v>2645</v>
      </c>
      <c r="H1505" s="254" t="s">
        <v>1933</v>
      </c>
      <c r="I1505" s="176"/>
      <c r="J1505" s="254" t="s">
        <v>1933</v>
      </c>
      <c r="K1505" s="254" t="s">
        <v>1973</v>
      </c>
      <c r="L1505" s="254" t="s">
        <v>1995</v>
      </c>
      <c r="M1505" s="176"/>
      <c r="N1505" s="176"/>
      <c r="O1505" s="255" t="s">
        <v>2642</v>
      </c>
    </row>
    <row r="1506" spans="1:15" ht="16.149999999999999" customHeight="1" x14ac:dyDescent="0.25">
      <c r="A1506" s="172">
        <v>41269</v>
      </c>
      <c r="B1506" s="173" t="s">
        <v>49</v>
      </c>
      <c r="C1506" s="252" t="s">
        <v>2646</v>
      </c>
      <c r="D1506" s="252" t="s">
        <v>2645</v>
      </c>
      <c r="E1506" s="252" t="s">
        <v>1973</v>
      </c>
      <c r="F1506" s="252" t="s">
        <v>1937</v>
      </c>
      <c r="G1506" s="252" t="s">
        <v>1940</v>
      </c>
      <c r="H1506" s="252" t="s">
        <v>2006</v>
      </c>
      <c r="I1506" s="174"/>
      <c r="J1506" s="252" t="s">
        <v>1933</v>
      </c>
      <c r="K1506" s="252" t="s">
        <v>1940</v>
      </c>
      <c r="L1506" s="252" t="s">
        <v>1986</v>
      </c>
      <c r="M1506" s="174"/>
      <c r="N1506" s="174"/>
      <c r="O1506" s="253" t="s">
        <v>2647</v>
      </c>
    </row>
    <row r="1507" spans="1:15" ht="16.149999999999999" customHeight="1" x14ac:dyDescent="0.25">
      <c r="A1507" s="172">
        <v>41267</v>
      </c>
      <c r="B1507" s="175" t="s">
        <v>49</v>
      </c>
      <c r="C1507" s="254" t="s">
        <v>1977</v>
      </c>
      <c r="D1507" s="254" t="s">
        <v>1951</v>
      </c>
      <c r="E1507" s="254" t="s">
        <v>1940</v>
      </c>
      <c r="F1507" s="254" t="s">
        <v>1973</v>
      </c>
      <c r="G1507" s="254" t="s">
        <v>1915</v>
      </c>
      <c r="H1507" s="254" t="s">
        <v>1951</v>
      </c>
      <c r="I1507" s="176"/>
      <c r="J1507" s="254" t="s">
        <v>1907</v>
      </c>
      <c r="K1507" s="254" t="s">
        <v>1939</v>
      </c>
      <c r="L1507" s="254" t="s">
        <v>1986</v>
      </c>
      <c r="M1507" s="176"/>
      <c r="N1507" s="176"/>
      <c r="O1507" s="255" t="s">
        <v>2642</v>
      </c>
    </row>
    <row r="1508" spans="1:15" ht="16.149999999999999" customHeight="1" x14ac:dyDescent="0.25">
      <c r="A1508" s="172">
        <v>41264</v>
      </c>
      <c r="B1508" s="173" t="s">
        <v>49</v>
      </c>
      <c r="C1508" s="252" t="s">
        <v>1825</v>
      </c>
      <c r="D1508" s="252" t="s">
        <v>1914</v>
      </c>
      <c r="E1508" s="252" t="s">
        <v>1767</v>
      </c>
      <c r="F1508" s="252" t="s">
        <v>1912</v>
      </c>
      <c r="G1508" s="252" t="s">
        <v>1778</v>
      </c>
      <c r="H1508" s="252" t="s">
        <v>1921</v>
      </c>
      <c r="I1508" s="174"/>
      <c r="J1508" s="252" t="s">
        <v>1907</v>
      </c>
      <c r="K1508" s="252" t="s">
        <v>1926</v>
      </c>
      <c r="L1508" s="252" t="s">
        <v>1921</v>
      </c>
      <c r="M1508" s="174"/>
      <c r="N1508" s="174"/>
      <c r="O1508" s="253" t="s">
        <v>1876</v>
      </c>
    </row>
    <row r="1509" spans="1:15" ht="16.149999999999999" customHeight="1" x14ac:dyDescent="0.25">
      <c r="A1509" s="172">
        <v>41263</v>
      </c>
      <c r="B1509" s="175" t="s">
        <v>49</v>
      </c>
      <c r="C1509" s="254" t="s">
        <v>1838</v>
      </c>
      <c r="D1509" s="254" t="s">
        <v>1741</v>
      </c>
      <c r="E1509" s="254" t="s">
        <v>1776</v>
      </c>
      <c r="F1509" s="254" t="s">
        <v>1745</v>
      </c>
      <c r="G1509" s="254" t="s">
        <v>1741</v>
      </c>
      <c r="H1509" s="254" t="s">
        <v>1725</v>
      </c>
      <c r="I1509" s="176"/>
      <c r="J1509" s="254" t="s">
        <v>1744</v>
      </c>
      <c r="K1509" s="254" t="s">
        <v>1810</v>
      </c>
      <c r="L1509" s="254" t="s">
        <v>1745</v>
      </c>
      <c r="M1509" s="176"/>
      <c r="N1509" s="176"/>
      <c r="O1509" s="255" t="s">
        <v>1795</v>
      </c>
    </row>
    <row r="1510" spans="1:15" ht="16.149999999999999" customHeight="1" x14ac:dyDescent="0.25">
      <c r="A1510" s="172">
        <v>41262</v>
      </c>
      <c r="B1510" s="173" t="s">
        <v>49</v>
      </c>
      <c r="C1510" s="252" t="s">
        <v>1816</v>
      </c>
      <c r="D1510" s="252" t="s">
        <v>1814</v>
      </c>
      <c r="E1510" s="252" t="s">
        <v>1765</v>
      </c>
      <c r="F1510" s="252" t="s">
        <v>1745</v>
      </c>
      <c r="G1510" s="252" t="s">
        <v>1745</v>
      </c>
      <c r="H1510" s="252" t="s">
        <v>1713</v>
      </c>
      <c r="I1510" s="174"/>
      <c r="J1510" s="252" t="s">
        <v>1744</v>
      </c>
      <c r="K1510" s="252" t="s">
        <v>1775</v>
      </c>
      <c r="L1510" s="252" t="s">
        <v>1745</v>
      </c>
      <c r="M1510" s="174"/>
      <c r="N1510" s="174"/>
      <c r="O1510" s="253" t="s">
        <v>1776</v>
      </c>
    </row>
    <row r="1511" spans="1:15" ht="16.149999999999999" customHeight="1" x14ac:dyDescent="0.25">
      <c r="A1511" s="172">
        <v>41261</v>
      </c>
      <c r="B1511" s="175" t="s">
        <v>49</v>
      </c>
      <c r="C1511" s="254" t="s">
        <v>1589</v>
      </c>
      <c r="D1511" s="254" t="s">
        <v>1745</v>
      </c>
      <c r="E1511" s="254" t="s">
        <v>1745</v>
      </c>
      <c r="F1511" s="254" t="s">
        <v>1737</v>
      </c>
      <c r="G1511" s="254" t="s">
        <v>1745</v>
      </c>
      <c r="H1511" s="254" t="s">
        <v>1757</v>
      </c>
      <c r="I1511" s="176"/>
      <c r="J1511" s="254" t="s">
        <v>1744</v>
      </c>
      <c r="K1511" s="254" t="s">
        <v>1765</v>
      </c>
      <c r="L1511" s="254" t="s">
        <v>1737</v>
      </c>
      <c r="M1511" s="176"/>
      <c r="N1511" s="176"/>
      <c r="O1511" s="255" t="s">
        <v>1776</v>
      </c>
    </row>
    <row r="1512" spans="1:15" ht="16.149999999999999" customHeight="1" x14ac:dyDescent="0.25">
      <c r="A1512" s="172">
        <v>41260</v>
      </c>
      <c r="B1512" s="173" t="s">
        <v>49</v>
      </c>
      <c r="C1512" s="252" t="s">
        <v>1589</v>
      </c>
      <c r="D1512" s="252" t="s">
        <v>1745</v>
      </c>
      <c r="E1512" s="252" t="s">
        <v>1792</v>
      </c>
      <c r="F1512" s="252" t="s">
        <v>1737</v>
      </c>
      <c r="G1512" s="252" t="s">
        <v>1737</v>
      </c>
      <c r="H1512" s="252" t="s">
        <v>1713</v>
      </c>
      <c r="I1512" s="174"/>
      <c r="J1512" s="252" t="s">
        <v>1744</v>
      </c>
      <c r="K1512" s="252" t="s">
        <v>1767</v>
      </c>
      <c r="L1512" s="252" t="s">
        <v>1737</v>
      </c>
      <c r="M1512" s="174"/>
      <c r="N1512" s="174"/>
      <c r="O1512" s="253" t="s">
        <v>1834</v>
      </c>
    </row>
    <row r="1513" spans="1:15" ht="16.149999999999999" customHeight="1" x14ac:dyDescent="0.25">
      <c r="A1513" s="172">
        <v>41257</v>
      </c>
      <c r="B1513" s="175" t="s">
        <v>49</v>
      </c>
      <c r="C1513" s="254" t="s">
        <v>1766</v>
      </c>
      <c r="D1513" s="254" t="s">
        <v>1746</v>
      </c>
      <c r="E1513" s="254" t="s">
        <v>1792</v>
      </c>
      <c r="F1513" s="254" t="s">
        <v>1737</v>
      </c>
      <c r="G1513" s="254" t="s">
        <v>1748</v>
      </c>
      <c r="H1513" s="254" t="s">
        <v>1725</v>
      </c>
      <c r="I1513" s="176"/>
      <c r="J1513" s="254" t="s">
        <v>1744</v>
      </c>
      <c r="K1513" s="254" t="s">
        <v>1737</v>
      </c>
      <c r="L1513" s="254" t="s">
        <v>1737</v>
      </c>
      <c r="M1513" s="176"/>
      <c r="N1513" s="176"/>
      <c r="O1513" s="255" t="s">
        <v>1774</v>
      </c>
    </row>
    <row r="1514" spans="1:15" ht="16.149999999999999" customHeight="1" x14ac:dyDescent="0.25">
      <c r="A1514" s="172">
        <v>41256</v>
      </c>
      <c r="B1514" s="173" t="s">
        <v>49</v>
      </c>
      <c r="C1514" s="252" t="s">
        <v>1589</v>
      </c>
      <c r="D1514" s="252" t="s">
        <v>1745</v>
      </c>
      <c r="E1514" s="252" t="s">
        <v>1744</v>
      </c>
      <c r="F1514" s="252" t="s">
        <v>1737</v>
      </c>
      <c r="G1514" s="252" t="s">
        <v>1774</v>
      </c>
      <c r="H1514" s="252" t="s">
        <v>1713</v>
      </c>
      <c r="I1514" s="174"/>
      <c r="J1514" s="252" t="s">
        <v>1744</v>
      </c>
      <c r="K1514" s="252" t="s">
        <v>1737</v>
      </c>
      <c r="L1514" s="252" t="s">
        <v>1737</v>
      </c>
      <c r="M1514" s="174"/>
      <c r="N1514" s="174"/>
      <c r="O1514" s="253" t="s">
        <v>1774</v>
      </c>
    </row>
    <row r="1515" spans="1:15" ht="16.149999999999999" customHeight="1" x14ac:dyDescent="0.25">
      <c r="A1515" s="172">
        <v>41255</v>
      </c>
      <c r="B1515" s="175" t="s">
        <v>49</v>
      </c>
      <c r="C1515" s="254" t="s">
        <v>1813</v>
      </c>
      <c r="D1515" s="254" t="s">
        <v>1773</v>
      </c>
      <c r="E1515" s="254" t="s">
        <v>1757</v>
      </c>
      <c r="F1515" s="254" t="s">
        <v>1728</v>
      </c>
      <c r="G1515" s="254" t="s">
        <v>1744</v>
      </c>
      <c r="H1515" s="254" t="s">
        <v>1725</v>
      </c>
      <c r="I1515" s="176"/>
      <c r="J1515" s="254" t="s">
        <v>1744</v>
      </c>
      <c r="K1515" s="254" t="s">
        <v>1744</v>
      </c>
      <c r="L1515" s="254" t="s">
        <v>1737</v>
      </c>
      <c r="M1515" s="176"/>
      <c r="N1515" s="176"/>
      <c r="O1515" s="255" t="s">
        <v>1874</v>
      </c>
    </row>
    <row r="1516" spans="1:15" ht="16.149999999999999" customHeight="1" x14ac:dyDescent="0.25">
      <c r="A1516" s="172">
        <v>41254</v>
      </c>
      <c r="B1516" s="173" t="s">
        <v>49</v>
      </c>
      <c r="C1516" s="252" t="s">
        <v>1585</v>
      </c>
      <c r="D1516" s="252" t="s">
        <v>1758</v>
      </c>
      <c r="E1516" s="252" t="s">
        <v>1748</v>
      </c>
      <c r="F1516" s="252" t="s">
        <v>1728</v>
      </c>
      <c r="G1516" s="252" t="s">
        <v>1744</v>
      </c>
      <c r="H1516" s="252" t="s">
        <v>1725</v>
      </c>
      <c r="I1516" s="174"/>
      <c r="J1516" s="252" t="s">
        <v>1744</v>
      </c>
      <c r="K1516" s="252" t="s">
        <v>1745</v>
      </c>
      <c r="L1516" s="252" t="s">
        <v>1735</v>
      </c>
      <c r="M1516" s="174"/>
      <c r="N1516" s="174"/>
      <c r="O1516" s="253" t="s">
        <v>2648</v>
      </c>
    </row>
    <row r="1517" spans="1:15" ht="16.149999999999999" customHeight="1" x14ac:dyDescent="0.25">
      <c r="A1517" s="172">
        <v>41253</v>
      </c>
      <c r="B1517" s="175" t="s">
        <v>49</v>
      </c>
      <c r="C1517" s="254" t="s">
        <v>1763</v>
      </c>
      <c r="D1517" s="254" t="s">
        <v>1748</v>
      </c>
      <c r="E1517" s="254" t="s">
        <v>1745</v>
      </c>
      <c r="F1517" s="254" t="s">
        <v>1728</v>
      </c>
      <c r="G1517" s="254" t="s">
        <v>1743</v>
      </c>
      <c r="H1517" s="254" t="s">
        <v>1751</v>
      </c>
      <c r="I1517" s="176"/>
      <c r="J1517" s="254" t="s">
        <v>1744</v>
      </c>
      <c r="K1517" s="254" t="s">
        <v>1737</v>
      </c>
      <c r="L1517" s="254" t="s">
        <v>1744</v>
      </c>
      <c r="M1517" s="176"/>
      <c r="N1517" s="176"/>
      <c r="O1517" s="255" t="s">
        <v>1888</v>
      </c>
    </row>
    <row r="1518" spans="1:15" ht="16.149999999999999" customHeight="1" x14ac:dyDescent="0.25">
      <c r="A1518" s="172">
        <v>41250</v>
      </c>
      <c r="B1518" s="173" t="s">
        <v>49</v>
      </c>
      <c r="C1518" s="252" t="s">
        <v>1815</v>
      </c>
      <c r="D1518" s="252" t="s">
        <v>1757</v>
      </c>
      <c r="E1518" s="252" t="s">
        <v>1744</v>
      </c>
      <c r="F1518" s="252" t="s">
        <v>1728</v>
      </c>
      <c r="G1518" s="252" t="s">
        <v>1734</v>
      </c>
      <c r="H1518" s="252" t="s">
        <v>1717</v>
      </c>
      <c r="I1518" s="174"/>
      <c r="J1518" s="252" t="s">
        <v>1744</v>
      </c>
      <c r="K1518" s="252" t="s">
        <v>1748</v>
      </c>
      <c r="L1518" s="252" t="s">
        <v>1744</v>
      </c>
      <c r="M1518" s="174"/>
      <c r="N1518" s="174"/>
      <c r="O1518" s="253" t="s">
        <v>2649</v>
      </c>
    </row>
    <row r="1519" spans="1:15" ht="16.149999999999999" customHeight="1" x14ac:dyDescent="0.25">
      <c r="A1519" s="172">
        <v>41249</v>
      </c>
      <c r="B1519" s="175" t="s">
        <v>49</v>
      </c>
      <c r="C1519" s="254" t="s">
        <v>1763</v>
      </c>
      <c r="D1519" s="254" t="s">
        <v>1748</v>
      </c>
      <c r="E1519" s="254" t="s">
        <v>1737</v>
      </c>
      <c r="F1519" s="254" t="s">
        <v>1728</v>
      </c>
      <c r="G1519" s="254" t="s">
        <v>1734</v>
      </c>
      <c r="H1519" s="254" t="s">
        <v>1726</v>
      </c>
      <c r="I1519" s="176"/>
      <c r="J1519" s="254" t="s">
        <v>1765</v>
      </c>
      <c r="K1519" s="254" t="s">
        <v>1745</v>
      </c>
      <c r="L1519" s="254" t="s">
        <v>1744</v>
      </c>
      <c r="M1519" s="176"/>
      <c r="N1519" s="176"/>
      <c r="O1519" s="255" t="s">
        <v>1744</v>
      </c>
    </row>
    <row r="1520" spans="1:15" ht="16.149999999999999" customHeight="1" x14ac:dyDescent="0.25">
      <c r="A1520" s="172">
        <v>41248</v>
      </c>
      <c r="B1520" s="173" t="s">
        <v>49</v>
      </c>
      <c r="C1520" s="252" t="s">
        <v>1768</v>
      </c>
      <c r="D1520" s="252" t="s">
        <v>1737</v>
      </c>
      <c r="E1520" s="252" t="s">
        <v>1737</v>
      </c>
      <c r="F1520" s="252" t="s">
        <v>1728</v>
      </c>
      <c r="G1520" s="252" t="s">
        <v>1735</v>
      </c>
      <c r="H1520" s="252" t="s">
        <v>1493</v>
      </c>
      <c r="I1520" s="174"/>
      <c r="J1520" s="252" t="s">
        <v>1765</v>
      </c>
      <c r="K1520" s="252" t="s">
        <v>1726</v>
      </c>
      <c r="L1520" s="252" t="s">
        <v>1737</v>
      </c>
      <c r="M1520" s="174"/>
      <c r="N1520" s="174"/>
      <c r="O1520" s="253" t="s">
        <v>1745</v>
      </c>
    </row>
    <row r="1521" spans="1:15" ht="16.149999999999999" customHeight="1" x14ac:dyDescent="0.25">
      <c r="A1521" s="172">
        <v>41247</v>
      </c>
      <c r="B1521" s="175" t="s">
        <v>49</v>
      </c>
      <c r="C1521" s="254" t="s">
        <v>1763</v>
      </c>
      <c r="D1521" s="254" t="s">
        <v>1748</v>
      </c>
      <c r="E1521" s="254" t="s">
        <v>1741</v>
      </c>
      <c r="F1521" s="254" t="s">
        <v>1745</v>
      </c>
      <c r="G1521" s="254" t="s">
        <v>1745</v>
      </c>
      <c r="H1521" s="254" t="s">
        <v>1743</v>
      </c>
      <c r="I1521" s="176"/>
      <c r="J1521" s="254" t="s">
        <v>1737</v>
      </c>
      <c r="K1521" s="254" t="s">
        <v>1737</v>
      </c>
      <c r="L1521" s="254" t="s">
        <v>1694</v>
      </c>
      <c r="M1521" s="176"/>
      <c r="N1521" s="176"/>
      <c r="O1521" s="255" t="s">
        <v>1745</v>
      </c>
    </row>
    <row r="1522" spans="1:15" ht="16.149999999999999" customHeight="1" x14ac:dyDescent="0.25">
      <c r="A1522" s="172">
        <v>41246</v>
      </c>
      <c r="B1522" s="173" t="s">
        <v>49</v>
      </c>
      <c r="C1522" s="252" t="s">
        <v>1777</v>
      </c>
      <c r="D1522" s="252" t="s">
        <v>1744</v>
      </c>
      <c r="E1522" s="252" t="s">
        <v>1744</v>
      </c>
      <c r="F1522" s="252" t="s">
        <v>1765</v>
      </c>
      <c r="G1522" s="252" t="s">
        <v>1748</v>
      </c>
      <c r="H1522" s="252" t="s">
        <v>1773</v>
      </c>
      <c r="I1522" s="174"/>
      <c r="J1522" s="252" t="s">
        <v>1765</v>
      </c>
      <c r="K1522" s="252" t="s">
        <v>1744</v>
      </c>
      <c r="L1522" s="252" t="s">
        <v>1744</v>
      </c>
      <c r="M1522" s="174"/>
      <c r="N1522" s="174"/>
      <c r="O1522" s="253" t="s">
        <v>1745</v>
      </c>
    </row>
    <row r="1523" spans="1:15" ht="16.149999999999999" customHeight="1" x14ac:dyDescent="0.25">
      <c r="A1523" s="172">
        <v>41243</v>
      </c>
      <c r="B1523" s="175" t="s">
        <v>49</v>
      </c>
      <c r="C1523" s="254" t="s">
        <v>1763</v>
      </c>
      <c r="D1523" s="254" t="s">
        <v>1748</v>
      </c>
      <c r="E1523" s="254" t="s">
        <v>1748</v>
      </c>
      <c r="F1523" s="254" t="s">
        <v>1765</v>
      </c>
      <c r="G1523" s="254" t="s">
        <v>1728</v>
      </c>
      <c r="H1523" s="254" t="s">
        <v>1728</v>
      </c>
      <c r="I1523" s="176"/>
      <c r="J1523" s="254" t="s">
        <v>1765</v>
      </c>
      <c r="K1523" s="254" t="s">
        <v>1758</v>
      </c>
      <c r="L1523" s="254" t="s">
        <v>1694</v>
      </c>
      <c r="M1523" s="176"/>
      <c r="N1523" s="176"/>
      <c r="O1523" s="255" t="s">
        <v>1745</v>
      </c>
    </row>
    <row r="1524" spans="1:15" ht="16.149999999999999" customHeight="1" x14ac:dyDescent="0.25">
      <c r="A1524" s="172">
        <v>41242</v>
      </c>
      <c r="B1524" s="173" t="s">
        <v>49</v>
      </c>
      <c r="C1524" s="252" t="s">
        <v>1763</v>
      </c>
      <c r="D1524" s="252" t="s">
        <v>1748</v>
      </c>
      <c r="E1524" s="252" t="s">
        <v>1737</v>
      </c>
      <c r="F1524" s="252" t="s">
        <v>1765</v>
      </c>
      <c r="G1524" s="252" t="s">
        <v>1728</v>
      </c>
      <c r="H1524" s="252" t="s">
        <v>1726</v>
      </c>
      <c r="I1524" s="174"/>
      <c r="J1524" s="252" t="s">
        <v>1765</v>
      </c>
      <c r="K1524" s="252" t="s">
        <v>1744</v>
      </c>
      <c r="L1524" s="252" t="s">
        <v>1737</v>
      </c>
      <c r="M1524" s="174"/>
      <c r="N1524" s="174"/>
      <c r="O1524" s="253" t="s">
        <v>1745</v>
      </c>
    </row>
    <row r="1525" spans="1:15" ht="16.149999999999999" customHeight="1" x14ac:dyDescent="0.25">
      <c r="A1525" s="172">
        <v>41241</v>
      </c>
      <c r="B1525" s="175" t="s">
        <v>49</v>
      </c>
      <c r="C1525" s="254" t="s">
        <v>1768</v>
      </c>
      <c r="D1525" s="254" t="s">
        <v>1737</v>
      </c>
      <c r="E1525" s="254" t="s">
        <v>1737</v>
      </c>
      <c r="F1525" s="254" t="s">
        <v>1765</v>
      </c>
      <c r="G1525" s="254" t="s">
        <v>1726</v>
      </c>
      <c r="H1525" s="254" t="s">
        <v>1713</v>
      </c>
      <c r="I1525" s="176"/>
      <c r="J1525" s="254" t="s">
        <v>1765</v>
      </c>
      <c r="K1525" s="254" t="s">
        <v>1737</v>
      </c>
      <c r="L1525" s="254" t="s">
        <v>1737</v>
      </c>
      <c r="M1525" s="176"/>
      <c r="N1525" s="176"/>
      <c r="O1525" s="255" t="s">
        <v>1745</v>
      </c>
    </row>
    <row r="1526" spans="1:15" ht="16.149999999999999" customHeight="1" x14ac:dyDescent="0.25">
      <c r="A1526" s="172">
        <v>41240</v>
      </c>
      <c r="B1526" s="173" t="s">
        <v>49</v>
      </c>
      <c r="C1526" s="252" t="s">
        <v>1750</v>
      </c>
      <c r="D1526" s="252" t="s">
        <v>1738</v>
      </c>
      <c r="E1526" s="252" t="s">
        <v>1726</v>
      </c>
      <c r="F1526" s="252" t="s">
        <v>1765</v>
      </c>
      <c r="G1526" s="252" t="s">
        <v>1713</v>
      </c>
      <c r="H1526" s="252" t="s">
        <v>1713</v>
      </c>
      <c r="I1526" s="174"/>
      <c r="J1526" s="252" t="s">
        <v>1765</v>
      </c>
      <c r="K1526" s="252" t="s">
        <v>1744</v>
      </c>
      <c r="L1526" s="252" t="s">
        <v>1726</v>
      </c>
      <c r="M1526" s="174"/>
      <c r="N1526" s="174"/>
      <c r="O1526" s="253" t="s">
        <v>1745</v>
      </c>
    </row>
    <row r="1527" spans="1:15" ht="16.149999999999999" customHeight="1" x14ac:dyDescent="0.25">
      <c r="A1527" s="172">
        <v>41239</v>
      </c>
      <c r="B1527" s="175" t="s">
        <v>49</v>
      </c>
      <c r="C1527" s="254" t="s">
        <v>1750</v>
      </c>
      <c r="D1527" s="254" t="s">
        <v>1738</v>
      </c>
      <c r="E1527" s="254" t="s">
        <v>1767</v>
      </c>
      <c r="F1527" s="254" t="s">
        <v>1778</v>
      </c>
      <c r="G1527" s="254" t="s">
        <v>1717</v>
      </c>
      <c r="H1527" s="254" t="s">
        <v>1744</v>
      </c>
      <c r="I1527" s="176"/>
      <c r="J1527" s="254" t="s">
        <v>1769</v>
      </c>
      <c r="K1527" s="254" t="s">
        <v>1726</v>
      </c>
      <c r="L1527" s="254" t="s">
        <v>1726</v>
      </c>
      <c r="M1527" s="176"/>
      <c r="N1527" s="176"/>
      <c r="O1527" s="255" t="s">
        <v>1745</v>
      </c>
    </row>
    <row r="1528" spans="1:15" ht="16.149999999999999" customHeight="1" x14ac:dyDescent="0.25">
      <c r="A1528" s="172">
        <v>41236</v>
      </c>
      <c r="B1528" s="173" t="s">
        <v>49</v>
      </c>
      <c r="C1528" s="252" t="s">
        <v>2650</v>
      </c>
      <c r="D1528" s="252" t="s">
        <v>1577</v>
      </c>
      <c r="E1528" s="252" t="s">
        <v>1645</v>
      </c>
      <c r="F1528" s="252" t="s">
        <v>1564</v>
      </c>
      <c r="G1528" s="252" t="s">
        <v>1637</v>
      </c>
      <c r="H1528" s="252" t="s">
        <v>1586</v>
      </c>
      <c r="I1528" s="174"/>
      <c r="J1528" s="252" t="s">
        <v>1564</v>
      </c>
      <c r="K1528" s="252" t="s">
        <v>1566</v>
      </c>
      <c r="L1528" s="252" t="s">
        <v>1566</v>
      </c>
      <c r="M1528" s="174"/>
      <c r="N1528" s="174"/>
      <c r="O1528" s="253" t="s">
        <v>1645</v>
      </c>
    </row>
    <row r="1529" spans="1:15" ht="16.149999999999999" customHeight="1" x14ac:dyDescent="0.25">
      <c r="A1529" s="172">
        <v>41235</v>
      </c>
      <c r="B1529" s="175" t="s">
        <v>49</v>
      </c>
      <c r="C1529" s="254" t="s">
        <v>2651</v>
      </c>
      <c r="D1529" s="254" t="s">
        <v>1566</v>
      </c>
      <c r="E1529" s="254" t="s">
        <v>1566</v>
      </c>
      <c r="F1529" s="254" t="s">
        <v>1566</v>
      </c>
      <c r="G1529" s="254" t="s">
        <v>1583</v>
      </c>
      <c r="H1529" s="254" t="s">
        <v>1577</v>
      </c>
      <c r="I1529" s="176"/>
      <c r="J1529" s="254" t="s">
        <v>1564</v>
      </c>
      <c r="K1529" s="254" t="s">
        <v>1566</v>
      </c>
      <c r="L1529" s="254" t="s">
        <v>1566</v>
      </c>
      <c r="M1529" s="176"/>
      <c r="N1529" s="176"/>
      <c r="O1529" s="255" t="s">
        <v>1642</v>
      </c>
    </row>
    <row r="1530" spans="1:15" ht="16.149999999999999" customHeight="1" x14ac:dyDescent="0.25">
      <c r="A1530" s="172">
        <v>41234</v>
      </c>
      <c r="B1530" s="173" t="s">
        <v>49</v>
      </c>
      <c r="C1530" s="252" t="s">
        <v>2652</v>
      </c>
      <c r="D1530" s="252" t="s">
        <v>2653</v>
      </c>
      <c r="E1530" s="252" t="s">
        <v>1577</v>
      </c>
      <c r="F1530" s="252" t="s">
        <v>1566</v>
      </c>
      <c r="G1530" s="252" t="s">
        <v>1568</v>
      </c>
      <c r="H1530" s="252" t="s">
        <v>1577</v>
      </c>
      <c r="I1530" s="174"/>
      <c r="J1530" s="252" t="s">
        <v>1564</v>
      </c>
      <c r="K1530" s="252" t="s">
        <v>1566</v>
      </c>
      <c r="L1530" s="252" t="s">
        <v>1639</v>
      </c>
      <c r="M1530" s="174"/>
      <c r="N1530" s="174"/>
      <c r="O1530" s="253" t="s">
        <v>1642</v>
      </c>
    </row>
    <row r="1531" spans="1:15" ht="16.149999999999999" customHeight="1" x14ac:dyDescent="0.25">
      <c r="A1531" s="172">
        <v>41233</v>
      </c>
      <c r="B1531" s="175" t="s">
        <v>49</v>
      </c>
      <c r="C1531" s="254" t="s">
        <v>2654</v>
      </c>
      <c r="D1531" s="254" t="s">
        <v>1632</v>
      </c>
      <c r="E1531" s="254" t="s">
        <v>1577</v>
      </c>
      <c r="F1531" s="254" t="s">
        <v>1566</v>
      </c>
      <c r="G1531" s="254" t="s">
        <v>1564</v>
      </c>
      <c r="H1531" s="254" t="s">
        <v>1568</v>
      </c>
      <c r="I1531" s="176"/>
      <c r="J1531" s="254" t="s">
        <v>1564</v>
      </c>
      <c r="K1531" s="254" t="s">
        <v>2653</v>
      </c>
      <c r="L1531" s="254" t="s">
        <v>1586</v>
      </c>
      <c r="M1531" s="176"/>
      <c r="N1531" s="176"/>
      <c r="O1531" s="255" t="s">
        <v>1566</v>
      </c>
    </row>
    <row r="1532" spans="1:15" ht="16.149999999999999" customHeight="1" x14ac:dyDescent="0.25">
      <c r="A1532" s="172">
        <v>41232</v>
      </c>
      <c r="B1532" s="173" t="s">
        <v>49</v>
      </c>
      <c r="C1532" s="252" t="s">
        <v>2655</v>
      </c>
      <c r="D1532" s="252" t="s">
        <v>1586</v>
      </c>
      <c r="E1532" s="252" t="s">
        <v>1577</v>
      </c>
      <c r="F1532" s="252" t="s">
        <v>1566</v>
      </c>
      <c r="G1532" s="252" t="s">
        <v>1568</v>
      </c>
      <c r="H1532" s="252" t="s">
        <v>1586</v>
      </c>
      <c r="I1532" s="174"/>
      <c r="J1532" s="252" t="s">
        <v>1564</v>
      </c>
      <c r="K1532" s="252" t="s">
        <v>1577</v>
      </c>
      <c r="L1532" s="252" t="s">
        <v>1586</v>
      </c>
      <c r="M1532" s="174"/>
      <c r="N1532" s="174"/>
      <c r="O1532" s="253" t="s">
        <v>1582</v>
      </c>
    </row>
    <row r="1533" spans="1:15" ht="16.149999999999999" customHeight="1" x14ac:dyDescent="0.25">
      <c r="A1533" s="172">
        <v>41229</v>
      </c>
      <c r="B1533" s="175" t="s">
        <v>49</v>
      </c>
      <c r="C1533" s="254" t="s">
        <v>1633</v>
      </c>
      <c r="D1533" s="254" t="s">
        <v>1576</v>
      </c>
      <c r="E1533" s="254" t="s">
        <v>1637</v>
      </c>
      <c r="F1533" s="254" t="s">
        <v>1566</v>
      </c>
      <c r="G1533" s="254" t="s">
        <v>1564</v>
      </c>
      <c r="H1533" s="254" t="s">
        <v>1586</v>
      </c>
      <c r="I1533" s="176"/>
      <c r="J1533" s="254" t="s">
        <v>1564</v>
      </c>
      <c r="K1533" s="254" t="s">
        <v>1847</v>
      </c>
      <c r="L1533" s="254" t="s">
        <v>1577</v>
      </c>
      <c r="M1533" s="176"/>
      <c r="N1533" s="176"/>
      <c r="O1533" s="255" t="s">
        <v>2656</v>
      </c>
    </row>
    <row r="1534" spans="1:15" ht="16.149999999999999" customHeight="1" x14ac:dyDescent="0.25">
      <c r="A1534" s="172">
        <v>41228</v>
      </c>
      <c r="B1534" s="173" t="s">
        <v>49</v>
      </c>
      <c r="C1534" s="252" t="s">
        <v>1640</v>
      </c>
      <c r="D1534" s="252" t="s">
        <v>1637</v>
      </c>
      <c r="E1534" s="252" t="s">
        <v>1586</v>
      </c>
      <c r="F1534" s="252" t="s">
        <v>1568</v>
      </c>
      <c r="G1534" s="252" t="s">
        <v>1578</v>
      </c>
      <c r="H1534" s="252" t="s">
        <v>1568</v>
      </c>
      <c r="I1534" s="174"/>
      <c r="J1534" s="252" t="s">
        <v>1564</v>
      </c>
      <c r="K1534" s="252" t="s">
        <v>1586</v>
      </c>
      <c r="L1534" s="252" t="s">
        <v>1586</v>
      </c>
      <c r="M1534" s="174"/>
      <c r="N1534" s="174"/>
      <c r="O1534" s="253" t="s">
        <v>1577</v>
      </c>
    </row>
    <row r="1535" spans="1:15" ht="16.149999999999999" customHeight="1" x14ac:dyDescent="0.25">
      <c r="A1535" s="172">
        <v>41227</v>
      </c>
      <c r="B1535" s="175" t="s">
        <v>49</v>
      </c>
      <c r="C1535" s="254" t="s">
        <v>1640</v>
      </c>
      <c r="D1535" s="254" t="s">
        <v>1637</v>
      </c>
      <c r="E1535" s="254" t="s">
        <v>1577</v>
      </c>
      <c r="F1535" s="254" t="s">
        <v>1568</v>
      </c>
      <c r="G1535" s="254" t="s">
        <v>1579</v>
      </c>
      <c r="H1535" s="254" t="s">
        <v>1579</v>
      </c>
      <c r="I1535" s="176"/>
      <c r="J1535" s="254" t="s">
        <v>1564</v>
      </c>
      <c r="K1535" s="254" t="s">
        <v>1577</v>
      </c>
      <c r="L1535" s="254" t="s">
        <v>1586</v>
      </c>
      <c r="M1535" s="176"/>
      <c r="N1535" s="176"/>
      <c r="O1535" s="255" t="s">
        <v>2656</v>
      </c>
    </row>
    <row r="1536" spans="1:15" ht="16.149999999999999" customHeight="1" x14ac:dyDescent="0.25">
      <c r="A1536" s="172">
        <v>41226</v>
      </c>
      <c r="B1536" s="173" t="s">
        <v>49</v>
      </c>
      <c r="C1536" s="252" t="s">
        <v>1633</v>
      </c>
      <c r="D1536" s="252" t="s">
        <v>1634</v>
      </c>
      <c r="E1536" s="252" t="s">
        <v>1577</v>
      </c>
      <c r="F1536" s="252" t="s">
        <v>1564</v>
      </c>
      <c r="G1536" s="252" t="s">
        <v>2656</v>
      </c>
      <c r="H1536" s="252" t="s">
        <v>1568</v>
      </c>
      <c r="I1536" s="174"/>
      <c r="J1536" s="252" t="s">
        <v>1564</v>
      </c>
      <c r="K1536" s="252" t="s">
        <v>1577</v>
      </c>
      <c r="L1536" s="252" t="s">
        <v>1586</v>
      </c>
      <c r="M1536" s="174"/>
      <c r="N1536" s="174"/>
      <c r="O1536" s="253" t="s">
        <v>1666</v>
      </c>
    </row>
    <row r="1537" spans="1:15" ht="16.149999999999999" customHeight="1" x14ac:dyDescent="0.25">
      <c r="A1537" s="172">
        <v>41222</v>
      </c>
      <c r="B1537" s="175" t="s">
        <v>49</v>
      </c>
      <c r="C1537" s="254" t="s">
        <v>1633</v>
      </c>
      <c r="D1537" s="254" t="s">
        <v>1576</v>
      </c>
      <c r="E1537" s="254" t="s">
        <v>1577</v>
      </c>
      <c r="F1537" s="254" t="s">
        <v>1564</v>
      </c>
      <c r="G1537" s="254" t="s">
        <v>1586</v>
      </c>
      <c r="H1537" s="254" t="s">
        <v>1586</v>
      </c>
      <c r="I1537" s="176"/>
      <c r="J1537" s="254" t="s">
        <v>1564</v>
      </c>
      <c r="K1537" s="254" t="s">
        <v>1634</v>
      </c>
      <c r="L1537" s="254" t="s">
        <v>1576</v>
      </c>
      <c r="M1537" s="176"/>
      <c r="N1537" s="176"/>
      <c r="O1537" s="255" t="s">
        <v>1576</v>
      </c>
    </row>
    <row r="1538" spans="1:15" ht="16.149999999999999" customHeight="1" x14ac:dyDescent="0.25">
      <c r="A1538" s="172">
        <v>41221</v>
      </c>
      <c r="B1538" s="173" t="s">
        <v>49</v>
      </c>
      <c r="C1538" s="252" t="s">
        <v>2657</v>
      </c>
      <c r="D1538" s="252" t="s">
        <v>2658</v>
      </c>
      <c r="E1538" s="252" t="s">
        <v>1566</v>
      </c>
      <c r="F1538" s="252" t="s">
        <v>1648</v>
      </c>
      <c r="G1538" s="252" t="s">
        <v>1586</v>
      </c>
      <c r="H1538" s="252" t="s">
        <v>2658</v>
      </c>
      <c r="I1538" s="174"/>
      <c r="J1538" s="252" t="s">
        <v>1564</v>
      </c>
      <c r="K1538" s="252" t="s">
        <v>1576</v>
      </c>
      <c r="L1538" s="252" t="s">
        <v>1566</v>
      </c>
      <c r="M1538" s="174"/>
      <c r="N1538" s="174"/>
      <c r="O1538" s="253" t="s">
        <v>1564</v>
      </c>
    </row>
    <row r="1539" spans="1:15" ht="16.149999999999999" customHeight="1" x14ac:dyDescent="0.25">
      <c r="A1539" s="172">
        <v>41220</v>
      </c>
      <c r="B1539" s="175" t="s">
        <v>49</v>
      </c>
      <c r="C1539" s="254" t="s">
        <v>2655</v>
      </c>
      <c r="D1539" s="254" t="s">
        <v>1586</v>
      </c>
      <c r="E1539" s="254" t="s">
        <v>1566</v>
      </c>
      <c r="F1539" s="254" t="s">
        <v>1648</v>
      </c>
      <c r="G1539" s="254" t="s">
        <v>1586</v>
      </c>
      <c r="H1539" s="254" t="s">
        <v>1586</v>
      </c>
      <c r="I1539" s="176"/>
      <c r="J1539" s="254" t="s">
        <v>1564</v>
      </c>
      <c r="K1539" s="254" t="s">
        <v>1586</v>
      </c>
      <c r="L1539" s="254" t="s">
        <v>1566</v>
      </c>
      <c r="M1539" s="176"/>
      <c r="N1539" s="176"/>
      <c r="O1539" s="255" t="s">
        <v>1580</v>
      </c>
    </row>
    <row r="1540" spans="1:15" ht="16.149999999999999" customHeight="1" x14ac:dyDescent="0.25">
      <c r="A1540" s="172">
        <v>41219</v>
      </c>
      <c r="B1540" s="173" t="s">
        <v>49</v>
      </c>
      <c r="C1540" s="252" t="s">
        <v>2650</v>
      </c>
      <c r="D1540" s="252" t="s">
        <v>1577</v>
      </c>
      <c r="E1540" s="252" t="s">
        <v>1648</v>
      </c>
      <c r="F1540" s="252" t="s">
        <v>1648</v>
      </c>
      <c r="G1540" s="252" t="s">
        <v>1566</v>
      </c>
      <c r="H1540" s="252" t="s">
        <v>1577</v>
      </c>
      <c r="I1540" s="174"/>
      <c r="J1540" s="252" t="s">
        <v>1564</v>
      </c>
      <c r="K1540" s="252" t="s">
        <v>1577</v>
      </c>
      <c r="L1540" s="252" t="s">
        <v>1586</v>
      </c>
      <c r="M1540" s="174"/>
      <c r="N1540" s="174"/>
      <c r="O1540" s="253" t="s">
        <v>1664</v>
      </c>
    </row>
    <row r="1541" spans="1:15" ht="16.149999999999999" customHeight="1" x14ac:dyDescent="0.25">
      <c r="A1541" s="172">
        <v>41215</v>
      </c>
      <c r="B1541" s="175" t="s">
        <v>49</v>
      </c>
      <c r="C1541" s="254" t="s">
        <v>2651</v>
      </c>
      <c r="D1541" s="254" t="s">
        <v>1566</v>
      </c>
      <c r="E1541" s="254" t="s">
        <v>1648</v>
      </c>
      <c r="F1541" s="254" t="s">
        <v>1578</v>
      </c>
      <c r="G1541" s="254" t="s">
        <v>1566</v>
      </c>
      <c r="H1541" s="254" t="s">
        <v>1566</v>
      </c>
      <c r="I1541" s="176"/>
      <c r="J1541" s="254" t="s">
        <v>1564</v>
      </c>
      <c r="K1541" s="254" t="s">
        <v>1566</v>
      </c>
      <c r="L1541" s="254" t="s">
        <v>1566</v>
      </c>
      <c r="M1541" s="176"/>
      <c r="N1541" s="176"/>
      <c r="O1541" s="255" t="s">
        <v>1641</v>
      </c>
    </row>
    <row r="1542" spans="1:15" ht="16.149999999999999" customHeight="1" x14ac:dyDescent="0.25">
      <c r="A1542" s="172">
        <v>41214</v>
      </c>
      <c r="B1542" s="173" t="s">
        <v>49</v>
      </c>
      <c r="C1542" s="252" t="s">
        <v>2659</v>
      </c>
      <c r="D1542" s="252" t="s">
        <v>1641</v>
      </c>
      <c r="E1542" s="252" t="s">
        <v>1566</v>
      </c>
      <c r="F1542" s="252" t="s">
        <v>1583</v>
      </c>
      <c r="G1542" s="252" t="s">
        <v>1566</v>
      </c>
      <c r="H1542" s="252" t="s">
        <v>1586</v>
      </c>
      <c r="I1542" s="174"/>
      <c r="J1542" s="252" t="s">
        <v>1564</v>
      </c>
      <c r="K1542" s="252" t="s">
        <v>1577</v>
      </c>
      <c r="L1542" s="252" t="s">
        <v>1566</v>
      </c>
      <c r="M1542" s="174"/>
      <c r="N1542" s="174"/>
      <c r="O1542" s="253" t="s">
        <v>2653</v>
      </c>
    </row>
    <row r="1543" spans="1:15" ht="16.149999999999999" customHeight="1" x14ac:dyDescent="0.25">
      <c r="A1543" s="172">
        <v>41213</v>
      </c>
      <c r="B1543" s="175" t="s">
        <v>49</v>
      </c>
      <c r="C1543" s="254" t="s">
        <v>2652</v>
      </c>
      <c r="D1543" s="254" t="s">
        <v>2653</v>
      </c>
      <c r="E1543" s="254" t="s">
        <v>1563</v>
      </c>
      <c r="F1543" s="254" t="s">
        <v>1578</v>
      </c>
      <c r="G1543" s="254" t="s">
        <v>1577</v>
      </c>
      <c r="H1543" s="254" t="s">
        <v>1586</v>
      </c>
      <c r="I1543" s="176"/>
      <c r="J1543" s="254" t="s">
        <v>1564</v>
      </c>
      <c r="K1543" s="254" t="s">
        <v>1571</v>
      </c>
      <c r="L1543" s="254" t="s">
        <v>1648</v>
      </c>
      <c r="M1543" s="176"/>
      <c r="N1543" s="176"/>
      <c r="O1543" s="255" t="s">
        <v>1639</v>
      </c>
    </row>
    <row r="1544" spans="1:15" ht="16.149999999999999" customHeight="1" x14ac:dyDescent="0.25">
      <c r="A1544" s="172">
        <v>41212</v>
      </c>
      <c r="B1544" s="173" t="s">
        <v>49</v>
      </c>
      <c r="C1544" s="252" t="s">
        <v>2651</v>
      </c>
      <c r="D1544" s="252" t="s">
        <v>1566</v>
      </c>
      <c r="E1544" s="252" t="s">
        <v>1648</v>
      </c>
      <c r="F1544" s="252" t="s">
        <v>1578</v>
      </c>
      <c r="G1544" s="252" t="s">
        <v>1586</v>
      </c>
      <c r="H1544" s="252" t="s">
        <v>1566</v>
      </c>
      <c r="I1544" s="174"/>
      <c r="J1544" s="252" t="s">
        <v>1579</v>
      </c>
      <c r="K1544" s="252" t="s">
        <v>1566</v>
      </c>
      <c r="L1544" s="252" t="s">
        <v>1566</v>
      </c>
      <c r="M1544" s="174"/>
      <c r="N1544" s="174"/>
      <c r="O1544" s="253" t="s">
        <v>1565</v>
      </c>
    </row>
    <row r="1545" spans="1:15" ht="16.149999999999999" customHeight="1" x14ac:dyDescent="0.25">
      <c r="A1545" s="172">
        <v>41211</v>
      </c>
      <c r="B1545" s="175" t="s">
        <v>49</v>
      </c>
      <c r="C1545" s="254" t="s">
        <v>2654</v>
      </c>
      <c r="D1545" s="254" t="s">
        <v>1632</v>
      </c>
      <c r="E1545" s="254" t="s">
        <v>1563</v>
      </c>
      <c r="F1545" s="254" t="s">
        <v>1578</v>
      </c>
      <c r="G1545" s="254" t="s">
        <v>1589</v>
      </c>
      <c r="H1545" s="254" t="s">
        <v>1577</v>
      </c>
      <c r="I1545" s="176"/>
      <c r="J1545" s="254" t="s">
        <v>1584</v>
      </c>
      <c r="K1545" s="254" t="s">
        <v>1586</v>
      </c>
      <c r="L1545" s="254" t="s">
        <v>1566</v>
      </c>
      <c r="M1545" s="176"/>
      <c r="N1545" s="176"/>
      <c r="O1545" s="255" t="s">
        <v>1592</v>
      </c>
    </row>
    <row r="1546" spans="1:15" ht="16.149999999999999" customHeight="1" x14ac:dyDescent="0.25">
      <c r="A1546" s="172">
        <v>41208</v>
      </c>
      <c r="B1546" s="173" t="s">
        <v>49</v>
      </c>
      <c r="C1546" s="252" t="s">
        <v>1561</v>
      </c>
      <c r="D1546" s="252" t="s">
        <v>1634</v>
      </c>
      <c r="E1546" s="252" t="s">
        <v>1586</v>
      </c>
      <c r="F1546" s="252" t="s">
        <v>1577</v>
      </c>
      <c r="G1546" s="252" t="s">
        <v>1578</v>
      </c>
      <c r="H1546" s="252" t="s">
        <v>1577</v>
      </c>
      <c r="I1546" s="174"/>
      <c r="J1546" s="252" t="s">
        <v>1584</v>
      </c>
      <c r="K1546" s="252" t="s">
        <v>1568</v>
      </c>
      <c r="L1546" s="252" t="s">
        <v>1586</v>
      </c>
      <c r="M1546" s="174"/>
      <c r="N1546" s="174"/>
      <c r="O1546" s="253" t="s">
        <v>1669</v>
      </c>
    </row>
    <row r="1547" spans="1:15" ht="16.149999999999999" customHeight="1" x14ac:dyDescent="0.25">
      <c r="A1547" s="172">
        <v>41207</v>
      </c>
      <c r="B1547" s="175" t="s">
        <v>49</v>
      </c>
      <c r="C1547" s="254" t="s">
        <v>1640</v>
      </c>
      <c r="D1547" s="254" t="s">
        <v>1637</v>
      </c>
      <c r="E1547" s="254" t="s">
        <v>1586</v>
      </c>
      <c r="F1547" s="254" t="s">
        <v>1586</v>
      </c>
      <c r="G1547" s="254" t="s">
        <v>1579</v>
      </c>
      <c r="H1547" s="254" t="s">
        <v>2658</v>
      </c>
      <c r="I1547" s="176"/>
      <c r="J1547" s="254" t="s">
        <v>1579</v>
      </c>
      <c r="K1547" s="254" t="s">
        <v>1564</v>
      </c>
      <c r="L1547" s="254" t="s">
        <v>1586</v>
      </c>
      <c r="M1547" s="176"/>
      <c r="N1547" s="176"/>
      <c r="O1547" s="255" t="s">
        <v>1564</v>
      </c>
    </row>
    <row r="1548" spans="1:15" ht="16.149999999999999" customHeight="1" x14ac:dyDescent="0.25">
      <c r="A1548" s="172">
        <v>41206</v>
      </c>
      <c r="B1548" s="173" t="s">
        <v>49</v>
      </c>
      <c r="C1548" s="252" t="s">
        <v>2660</v>
      </c>
      <c r="D1548" s="252" t="s">
        <v>2661</v>
      </c>
      <c r="E1548" s="252" t="s">
        <v>1580</v>
      </c>
      <c r="F1548" s="252" t="s">
        <v>1586</v>
      </c>
      <c r="G1548" s="252" t="s">
        <v>1584</v>
      </c>
      <c r="H1548" s="252" t="s">
        <v>2658</v>
      </c>
      <c r="I1548" s="174"/>
      <c r="J1548" s="252" t="s">
        <v>1579</v>
      </c>
      <c r="K1548" s="252" t="s">
        <v>1579</v>
      </c>
      <c r="L1548" s="252" t="s">
        <v>1568</v>
      </c>
      <c r="M1548" s="174"/>
      <c r="N1548" s="174"/>
      <c r="O1548" s="253" t="s">
        <v>2656</v>
      </c>
    </row>
    <row r="1549" spans="1:15" ht="16.149999999999999" customHeight="1" x14ac:dyDescent="0.25">
      <c r="A1549" s="172">
        <v>41205</v>
      </c>
      <c r="B1549" s="175" t="s">
        <v>49</v>
      </c>
      <c r="C1549" s="254" t="s">
        <v>2662</v>
      </c>
      <c r="D1549" s="254" t="s">
        <v>2663</v>
      </c>
      <c r="E1549" s="254" t="s">
        <v>1631</v>
      </c>
      <c r="F1549" s="254" t="s">
        <v>1840</v>
      </c>
      <c r="G1549" s="254" t="s">
        <v>1867</v>
      </c>
      <c r="H1549" s="254" t="s">
        <v>1579</v>
      </c>
      <c r="I1549" s="176"/>
      <c r="J1549" s="254" t="s">
        <v>1568</v>
      </c>
      <c r="K1549" s="254" t="s">
        <v>1564</v>
      </c>
      <c r="L1549" s="254" t="s">
        <v>1564</v>
      </c>
      <c r="M1549" s="176"/>
      <c r="N1549" s="176"/>
      <c r="O1549" s="255" t="s">
        <v>1577</v>
      </c>
    </row>
    <row r="1550" spans="1:15" ht="16.149999999999999" customHeight="1" x14ac:dyDescent="0.25">
      <c r="A1550" s="172">
        <v>41204</v>
      </c>
      <c r="B1550" s="173" t="s">
        <v>49</v>
      </c>
      <c r="C1550" s="252" t="s">
        <v>2664</v>
      </c>
      <c r="D1550" s="252" t="s">
        <v>1739</v>
      </c>
      <c r="E1550" s="252" t="s">
        <v>1564</v>
      </c>
      <c r="F1550" s="252" t="s">
        <v>1589</v>
      </c>
      <c r="G1550" s="252" t="s">
        <v>1689</v>
      </c>
      <c r="H1550" s="252" t="s">
        <v>1588</v>
      </c>
      <c r="I1550" s="174"/>
      <c r="J1550" s="252" t="s">
        <v>1568</v>
      </c>
      <c r="K1550" s="252" t="s">
        <v>1578</v>
      </c>
      <c r="L1550" s="252" t="s">
        <v>1589</v>
      </c>
      <c r="M1550" s="174"/>
      <c r="N1550" s="174"/>
      <c r="O1550" s="253" t="s">
        <v>1641</v>
      </c>
    </row>
    <row r="1551" spans="1:15" ht="16.149999999999999" customHeight="1" x14ac:dyDescent="0.25">
      <c r="A1551" s="172">
        <v>41201</v>
      </c>
      <c r="B1551" s="175" t="s">
        <v>49</v>
      </c>
      <c r="C1551" s="254" t="s">
        <v>2665</v>
      </c>
      <c r="D1551" s="254" t="s">
        <v>1718</v>
      </c>
      <c r="E1551" s="254" t="s">
        <v>1590</v>
      </c>
      <c r="F1551" s="254" t="s">
        <v>1589</v>
      </c>
      <c r="G1551" s="254" t="s">
        <v>1589</v>
      </c>
      <c r="H1551" s="254" t="s">
        <v>1739</v>
      </c>
      <c r="I1551" s="176"/>
      <c r="J1551" s="254" t="s">
        <v>1568</v>
      </c>
      <c r="K1551" s="254" t="s">
        <v>1564</v>
      </c>
      <c r="L1551" s="254" t="s">
        <v>1589</v>
      </c>
      <c r="M1551" s="176"/>
      <c r="N1551" s="176"/>
      <c r="O1551" s="255" t="s">
        <v>1647</v>
      </c>
    </row>
    <row r="1552" spans="1:15" ht="16.149999999999999" customHeight="1" x14ac:dyDescent="0.25">
      <c r="A1552" s="172">
        <v>41200</v>
      </c>
      <c r="B1552" s="173" t="s">
        <v>49</v>
      </c>
      <c r="C1552" s="252" t="s">
        <v>1656</v>
      </c>
      <c r="D1552" s="252" t="s">
        <v>1592</v>
      </c>
      <c r="E1552" s="252" t="s">
        <v>1653</v>
      </c>
      <c r="F1552" s="252" t="s">
        <v>1590</v>
      </c>
      <c r="G1552" s="252" t="s">
        <v>1578</v>
      </c>
      <c r="H1552" s="252" t="s">
        <v>1563</v>
      </c>
      <c r="I1552" s="174"/>
      <c r="J1552" s="252" t="s">
        <v>1564</v>
      </c>
      <c r="K1552" s="252" t="s">
        <v>1590</v>
      </c>
      <c r="L1552" s="252" t="s">
        <v>1569</v>
      </c>
      <c r="M1552" s="174"/>
      <c r="N1552" s="174"/>
      <c r="O1552" s="253" t="s">
        <v>1569</v>
      </c>
    </row>
    <row r="1553" spans="1:15" ht="16.149999999999999" customHeight="1" x14ac:dyDescent="0.25">
      <c r="A1553" s="172">
        <v>41199</v>
      </c>
      <c r="B1553" s="175" t="s">
        <v>49</v>
      </c>
      <c r="C1553" s="254" t="s">
        <v>2666</v>
      </c>
      <c r="D1553" s="254" t="s">
        <v>1655</v>
      </c>
      <c r="E1553" s="254" t="s">
        <v>1655</v>
      </c>
      <c r="F1553" s="254" t="s">
        <v>1590</v>
      </c>
      <c r="G1553" s="254" t="s">
        <v>1578</v>
      </c>
      <c r="H1553" s="254" t="s">
        <v>1586</v>
      </c>
      <c r="I1553" s="176"/>
      <c r="J1553" s="254" t="s">
        <v>1564</v>
      </c>
      <c r="K1553" s="254" t="s">
        <v>1590</v>
      </c>
      <c r="L1553" s="254" t="s">
        <v>1590</v>
      </c>
      <c r="M1553" s="176"/>
      <c r="N1553" s="176"/>
      <c r="O1553" s="255" t="s">
        <v>1563</v>
      </c>
    </row>
    <row r="1554" spans="1:15" ht="16.149999999999999" customHeight="1" x14ac:dyDescent="0.25">
      <c r="A1554" s="172">
        <v>41198</v>
      </c>
      <c r="B1554" s="173" t="s">
        <v>49</v>
      </c>
      <c r="C1554" s="252" t="s">
        <v>1646</v>
      </c>
      <c r="D1554" s="252" t="s">
        <v>1853</v>
      </c>
      <c r="E1554" s="252" t="s">
        <v>1563</v>
      </c>
      <c r="F1554" s="252" t="s">
        <v>1590</v>
      </c>
      <c r="G1554" s="252" t="s">
        <v>1651</v>
      </c>
      <c r="H1554" s="252" t="s">
        <v>1648</v>
      </c>
      <c r="I1554" s="174"/>
      <c r="J1554" s="252" t="s">
        <v>1564</v>
      </c>
      <c r="K1554" s="252" t="s">
        <v>1590</v>
      </c>
      <c r="L1554" s="252" t="s">
        <v>1564</v>
      </c>
      <c r="M1554" s="174"/>
      <c r="N1554" s="174"/>
      <c r="O1554" s="253" t="s">
        <v>1563</v>
      </c>
    </row>
    <row r="1555" spans="1:15" ht="16.149999999999999" customHeight="1" x14ac:dyDescent="0.25">
      <c r="A1555" s="172">
        <v>41194</v>
      </c>
      <c r="B1555" s="175" t="s">
        <v>49</v>
      </c>
      <c r="C1555" s="254" t="s">
        <v>2667</v>
      </c>
      <c r="D1555" s="254" t="s">
        <v>1642</v>
      </c>
      <c r="E1555" s="254" t="s">
        <v>1571</v>
      </c>
      <c r="F1555" s="254" t="s">
        <v>1590</v>
      </c>
      <c r="G1555" s="254" t="s">
        <v>1851</v>
      </c>
      <c r="H1555" s="254" t="s">
        <v>2668</v>
      </c>
      <c r="I1555" s="176"/>
      <c r="J1555" s="254" t="s">
        <v>1564</v>
      </c>
      <c r="K1555" s="254" t="s">
        <v>1590</v>
      </c>
      <c r="L1555" s="254" t="s">
        <v>1568</v>
      </c>
      <c r="M1555" s="176"/>
      <c r="N1555" s="176"/>
      <c r="O1555" s="255" t="s">
        <v>1649</v>
      </c>
    </row>
    <row r="1556" spans="1:15" ht="16.149999999999999" customHeight="1" x14ac:dyDescent="0.25">
      <c r="A1556" s="172">
        <v>41193</v>
      </c>
      <c r="B1556" s="173" t="s">
        <v>49</v>
      </c>
      <c r="C1556" s="252" t="s">
        <v>2652</v>
      </c>
      <c r="D1556" s="252" t="s">
        <v>2653</v>
      </c>
      <c r="E1556" s="252" t="s">
        <v>1571</v>
      </c>
      <c r="F1556" s="252" t="s">
        <v>1569</v>
      </c>
      <c r="G1556" s="252" t="s">
        <v>1851</v>
      </c>
      <c r="H1556" s="252" t="s">
        <v>1588</v>
      </c>
      <c r="I1556" s="174"/>
      <c r="J1556" s="252" t="s">
        <v>1564</v>
      </c>
      <c r="K1556" s="252" t="s">
        <v>1590</v>
      </c>
      <c r="L1556" s="252" t="s">
        <v>1568</v>
      </c>
      <c r="M1556" s="174"/>
      <c r="N1556" s="174"/>
      <c r="O1556" s="253" t="s">
        <v>2669</v>
      </c>
    </row>
    <row r="1557" spans="1:15" ht="16.149999999999999" customHeight="1" x14ac:dyDescent="0.25">
      <c r="A1557" s="172">
        <v>41192</v>
      </c>
      <c r="B1557" s="175" t="s">
        <v>49</v>
      </c>
      <c r="C1557" s="254" t="s">
        <v>2650</v>
      </c>
      <c r="D1557" s="254" t="s">
        <v>1577</v>
      </c>
      <c r="E1557" s="254" t="s">
        <v>1655</v>
      </c>
      <c r="F1557" s="254" t="s">
        <v>1563</v>
      </c>
      <c r="G1557" s="254" t="s">
        <v>1851</v>
      </c>
      <c r="H1557" s="254" t="s">
        <v>1589</v>
      </c>
      <c r="I1557" s="176"/>
      <c r="J1557" s="254" t="s">
        <v>1564</v>
      </c>
      <c r="K1557" s="254" t="s">
        <v>1590</v>
      </c>
      <c r="L1557" s="254" t="s">
        <v>1584</v>
      </c>
      <c r="M1557" s="176"/>
      <c r="N1557" s="176"/>
      <c r="O1557" s="255" t="s">
        <v>1649</v>
      </c>
    </row>
    <row r="1558" spans="1:15" ht="16.149999999999999" customHeight="1" x14ac:dyDescent="0.25">
      <c r="A1558" s="172">
        <v>41191</v>
      </c>
      <c r="B1558" s="173" t="s">
        <v>49</v>
      </c>
      <c r="C1558" s="252" t="s">
        <v>1640</v>
      </c>
      <c r="D1558" s="252" t="s">
        <v>1637</v>
      </c>
      <c r="E1558" s="252" t="s">
        <v>1686</v>
      </c>
      <c r="F1558" s="252" t="s">
        <v>1589</v>
      </c>
      <c r="G1558" s="252" t="s">
        <v>1851</v>
      </c>
      <c r="H1558" s="252" t="s">
        <v>1847</v>
      </c>
      <c r="I1558" s="174"/>
      <c r="J1558" s="252" t="s">
        <v>1564</v>
      </c>
      <c r="K1558" s="252" t="s">
        <v>1590</v>
      </c>
      <c r="L1558" s="252" t="s">
        <v>1586</v>
      </c>
      <c r="M1558" s="174"/>
      <c r="N1558" s="174"/>
      <c r="O1558" s="253" t="s">
        <v>2669</v>
      </c>
    </row>
    <row r="1559" spans="1:15" ht="16.149999999999999" customHeight="1" x14ac:dyDescent="0.25">
      <c r="A1559" s="172">
        <v>41190</v>
      </c>
      <c r="B1559" s="175" t="s">
        <v>49</v>
      </c>
      <c r="C1559" s="254" t="s">
        <v>1587</v>
      </c>
      <c r="D1559" s="254" t="s">
        <v>1583</v>
      </c>
      <c r="E1559" s="254" t="s">
        <v>1577</v>
      </c>
      <c r="F1559" s="254" t="s">
        <v>1812</v>
      </c>
      <c r="G1559" s="254" t="s">
        <v>1851</v>
      </c>
      <c r="H1559" s="254" t="s">
        <v>1568</v>
      </c>
      <c r="I1559" s="176"/>
      <c r="J1559" s="254" t="s">
        <v>1564</v>
      </c>
      <c r="K1559" s="254" t="s">
        <v>1590</v>
      </c>
      <c r="L1559" s="254" t="s">
        <v>1579</v>
      </c>
      <c r="M1559" s="176"/>
      <c r="N1559" s="176"/>
      <c r="O1559" s="255" t="s">
        <v>2669</v>
      </c>
    </row>
    <row r="1560" spans="1:15" ht="16.149999999999999" customHeight="1" x14ac:dyDescent="0.25">
      <c r="A1560" s="172">
        <v>41187</v>
      </c>
      <c r="B1560" s="173" t="s">
        <v>49</v>
      </c>
      <c r="C1560" s="252" t="s">
        <v>1616</v>
      </c>
      <c r="D1560" s="252" t="s">
        <v>1736</v>
      </c>
      <c r="E1560" s="252" t="s">
        <v>1568</v>
      </c>
      <c r="F1560" s="252" t="s">
        <v>1564</v>
      </c>
      <c r="G1560" s="252" t="s">
        <v>1824</v>
      </c>
      <c r="H1560" s="252" t="s">
        <v>1840</v>
      </c>
      <c r="I1560" s="174"/>
      <c r="J1560" s="252" t="s">
        <v>1636</v>
      </c>
      <c r="K1560" s="252" t="s">
        <v>1670</v>
      </c>
      <c r="L1560" s="252" t="s">
        <v>1589</v>
      </c>
      <c r="M1560" s="174"/>
      <c r="N1560" s="174"/>
      <c r="O1560" s="253" t="s">
        <v>1641</v>
      </c>
    </row>
    <row r="1561" spans="1:15" ht="16.149999999999999" customHeight="1" x14ac:dyDescent="0.25">
      <c r="A1561" s="172">
        <v>41186</v>
      </c>
      <c r="B1561" s="175" t="s">
        <v>49</v>
      </c>
      <c r="C1561" s="254" t="s">
        <v>2670</v>
      </c>
      <c r="D1561" s="254" t="s">
        <v>1578</v>
      </c>
      <c r="E1561" s="254" t="s">
        <v>1493</v>
      </c>
      <c r="F1561" s="254" t="s">
        <v>1564</v>
      </c>
      <c r="G1561" s="254" t="s">
        <v>1824</v>
      </c>
      <c r="H1561" s="254" t="s">
        <v>1724</v>
      </c>
      <c r="I1561" s="176"/>
      <c r="J1561" s="254" t="s">
        <v>1636</v>
      </c>
      <c r="K1561" s="254" t="s">
        <v>1578</v>
      </c>
      <c r="L1561" s="254" t="s">
        <v>1589</v>
      </c>
      <c r="M1561" s="176"/>
      <c r="N1561" s="176"/>
      <c r="O1561" s="255" t="s">
        <v>2653</v>
      </c>
    </row>
    <row r="1562" spans="1:15" ht="16.149999999999999" customHeight="1" x14ac:dyDescent="0.25">
      <c r="A1562" s="172">
        <v>41185</v>
      </c>
      <c r="B1562" s="173" t="s">
        <v>49</v>
      </c>
      <c r="C1562" s="252" t="s">
        <v>2662</v>
      </c>
      <c r="D1562" s="252" t="s">
        <v>2663</v>
      </c>
      <c r="E1562" s="252" t="s">
        <v>1568</v>
      </c>
      <c r="F1562" s="252" t="s">
        <v>1568</v>
      </c>
      <c r="G1562" s="252" t="s">
        <v>1856</v>
      </c>
      <c r="H1562" s="252" t="s">
        <v>1584</v>
      </c>
      <c r="I1562" s="174"/>
      <c r="J1562" s="252" t="s">
        <v>1568</v>
      </c>
      <c r="K1562" s="252" t="s">
        <v>1579</v>
      </c>
      <c r="L1562" s="252" t="s">
        <v>1589</v>
      </c>
      <c r="M1562" s="174"/>
      <c r="N1562" s="174"/>
      <c r="O1562" s="253" t="s">
        <v>2653</v>
      </c>
    </row>
    <row r="1563" spans="1:15" ht="16.149999999999999" customHeight="1" x14ac:dyDescent="0.25">
      <c r="A1563" s="172">
        <v>41184</v>
      </c>
      <c r="B1563" s="175" t="s">
        <v>49</v>
      </c>
      <c r="C1563" s="254" t="s">
        <v>2671</v>
      </c>
      <c r="D1563" s="254" t="s">
        <v>1631</v>
      </c>
      <c r="E1563" s="254" t="s">
        <v>1584</v>
      </c>
      <c r="F1563" s="254" t="s">
        <v>1578</v>
      </c>
      <c r="G1563" s="254" t="s">
        <v>1856</v>
      </c>
      <c r="H1563" s="254" t="s">
        <v>1750</v>
      </c>
      <c r="I1563" s="176"/>
      <c r="J1563" s="254" t="s">
        <v>1636</v>
      </c>
      <c r="K1563" s="254" t="s">
        <v>1578</v>
      </c>
      <c r="L1563" s="254" t="s">
        <v>1578</v>
      </c>
      <c r="M1563" s="176"/>
      <c r="N1563" s="176"/>
      <c r="O1563" s="255" t="s">
        <v>1687</v>
      </c>
    </row>
    <row r="1564" spans="1:15" ht="16.149999999999999" customHeight="1" x14ac:dyDescent="0.25">
      <c r="A1564" s="172">
        <v>41183</v>
      </c>
      <c r="B1564" s="173" t="s">
        <v>49</v>
      </c>
      <c r="C1564" s="252" t="s">
        <v>1612</v>
      </c>
      <c r="D1564" s="252" t="s">
        <v>1589</v>
      </c>
      <c r="E1564" s="252" t="s">
        <v>1815</v>
      </c>
      <c r="F1564" s="252" t="s">
        <v>1769</v>
      </c>
      <c r="G1564" s="252" t="s">
        <v>1564</v>
      </c>
      <c r="H1564" s="252" t="s">
        <v>1820</v>
      </c>
      <c r="I1564" s="174"/>
      <c r="J1564" s="252" t="s">
        <v>1636</v>
      </c>
      <c r="K1564" s="252" t="s">
        <v>1589</v>
      </c>
      <c r="L1564" s="252" t="s">
        <v>1566</v>
      </c>
      <c r="M1564" s="174"/>
      <c r="N1564" s="174"/>
      <c r="O1564" s="253" t="s">
        <v>1853</v>
      </c>
    </row>
    <row r="1565" spans="1:15" ht="16.149999999999999" customHeight="1" x14ac:dyDescent="0.25">
      <c r="A1565" s="172">
        <v>41180</v>
      </c>
      <c r="B1565" s="175" t="s">
        <v>49</v>
      </c>
      <c r="C1565" s="254" t="s">
        <v>1639</v>
      </c>
      <c r="D1565" s="254" t="s">
        <v>1760</v>
      </c>
      <c r="E1565" s="254" t="s">
        <v>1762</v>
      </c>
      <c r="F1565" s="254" t="s">
        <v>1694</v>
      </c>
      <c r="G1565" s="254" t="s">
        <v>1771</v>
      </c>
      <c r="H1565" s="254" t="s">
        <v>1762</v>
      </c>
      <c r="I1565" s="176"/>
      <c r="J1565" s="254" t="s">
        <v>1762</v>
      </c>
      <c r="K1565" s="254" t="s">
        <v>1694</v>
      </c>
      <c r="L1565" s="254" t="s">
        <v>1769</v>
      </c>
      <c r="M1565" s="176"/>
      <c r="N1565" s="176"/>
      <c r="O1565" s="255" t="s">
        <v>2672</v>
      </c>
    </row>
    <row r="1566" spans="1:15" ht="16.149999999999999" customHeight="1" x14ac:dyDescent="0.25">
      <c r="A1566" s="172">
        <v>41179</v>
      </c>
      <c r="B1566" s="173" t="s">
        <v>49</v>
      </c>
      <c r="C1566" s="252" t="s">
        <v>1648</v>
      </c>
      <c r="D1566" s="252" t="s">
        <v>2673</v>
      </c>
      <c r="E1566" s="252" t="s">
        <v>1636</v>
      </c>
      <c r="F1566" s="252" t="s">
        <v>1762</v>
      </c>
      <c r="G1566" s="252" t="s">
        <v>2674</v>
      </c>
      <c r="H1566" s="252" t="s">
        <v>2675</v>
      </c>
      <c r="I1566" s="174"/>
      <c r="J1566" s="252" t="s">
        <v>1762</v>
      </c>
      <c r="K1566" s="252" t="s">
        <v>1693</v>
      </c>
      <c r="L1566" s="252" t="s">
        <v>1769</v>
      </c>
      <c r="M1566" s="174"/>
      <c r="N1566" s="174"/>
      <c r="O1566" s="253" t="s">
        <v>1689</v>
      </c>
    </row>
    <row r="1567" spans="1:15" ht="16.149999999999999" customHeight="1" x14ac:dyDescent="0.25">
      <c r="A1567" s="172">
        <v>41178</v>
      </c>
      <c r="B1567" s="175" t="s">
        <v>49</v>
      </c>
      <c r="C1567" s="254" t="s">
        <v>2676</v>
      </c>
      <c r="D1567" s="254" t="s">
        <v>1824</v>
      </c>
      <c r="E1567" s="254" t="s">
        <v>1636</v>
      </c>
      <c r="F1567" s="254" t="s">
        <v>1867</v>
      </c>
      <c r="G1567" s="254" t="s">
        <v>1704</v>
      </c>
      <c r="H1567" s="254" t="s">
        <v>1864</v>
      </c>
      <c r="I1567" s="176"/>
      <c r="J1567" s="254" t="s">
        <v>1564</v>
      </c>
      <c r="K1567" s="254" t="s">
        <v>1762</v>
      </c>
      <c r="L1567" s="254" t="s">
        <v>1760</v>
      </c>
      <c r="M1567" s="176"/>
      <c r="N1567" s="176"/>
      <c r="O1567" s="255" t="s">
        <v>1643</v>
      </c>
    </row>
    <row r="1568" spans="1:15" ht="16.149999999999999" customHeight="1" x14ac:dyDescent="0.25">
      <c r="A1568" s="172">
        <v>41177</v>
      </c>
      <c r="B1568" s="173" t="s">
        <v>49</v>
      </c>
      <c r="C1568" s="252" t="s">
        <v>2677</v>
      </c>
      <c r="D1568" s="252" t="s">
        <v>1854</v>
      </c>
      <c r="E1568" s="252" t="s">
        <v>1851</v>
      </c>
      <c r="F1568" s="252" t="s">
        <v>1651</v>
      </c>
      <c r="G1568" s="252" t="s">
        <v>1852</v>
      </c>
      <c r="H1568" s="252" t="s">
        <v>1855</v>
      </c>
      <c r="I1568" s="174"/>
      <c r="J1568" s="252" t="s">
        <v>1564</v>
      </c>
      <c r="K1568" s="252" t="s">
        <v>1704</v>
      </c>
      <c r="L1568" s="252" t="s">
        <v>1589</v>
      </c>
      <c r="M1568" s="174"/>
      <c r="N1568" s="174"/>
      <c r="O1568" s="253" t="s">
        <v>1636</v>
      </c>
    </row>
    <row r="1569" spans="1:15" ht="16.149999999999999" customHeight="1" x14ac:dyDescent="0.25">
      <c r="A1569" s="172">
        <v>41176</v>
      </c>
      <c r="B1569" s="175" t="s">
        <v>49</v>
      </c>
      <c r="C1569" s="254" t="s">
        <v>1592</v>
      </c>
      <c r="D1569" s="254" t="s">
        <v>2678</v>
      </c>
      <c r="E1569" s="254" t="s">
        <v>1769</v>
      </c>
      <c r="F1569" s="254" t="s">
        <v>1762</v>
      </c>
      <c r="G1569" s="254" t="s">
        <v>2679</v>
      </c>
      <c r="H1569" s="254" t="s">
        <v>1693</v>
      </c>
      <c r="I1569" s="176"/>
      <c r="J1569" s="254" t="s">
        <v>1564</v>
      </c>
      <c r="K1569" s="254" t="s">
        <v>1689</v>
      </c>
      <c r="L1569" s="254" t="s">
        <v>1589</v>
      </c>
      <c r="M1569" s="176"/>
      <c r="N1569" s="176"/>
      <c r="O1569" s="255" t="s">
        <v>1689</v>
      </c>
    </row>
    <row r="1570" spans="1:15" ht="16.149999999999999" customHeight="1" x14ac:dyDescent="0.25">
      <c r="A1570" s="172">
        <v>41173</v>
      </c>
      <c r="B1570" s="173" t="s">
        <v>49</v>
      </c>
      <c r="C1570" s="252" t="s">
        <v>2680</v>
      </c>
      <c r="D1570" s="252" t="s">
        <v>2681</v>
      </c>
      <c r="E1570" s="252" t="s">
        <v>1771</v>
      </c>
      <c r="F1570" s="252" t="s">
        <v>1760</v>
      </c>
      <c r="G1570" s="252" t="s">
        <v>2682</v>
      </c>
      <c r="H1570" s="252" t="s">
        <v>1769</v>
      </c>
      <c r="I1570" s="174"/>
      <c r="J1570" s="252" t="s">
        <v>1564</v>
      </c>
      <c r="K1570" s="252" t="s">
        <v>1651</v>
      </c>
      <c r="L1570" s="252" t="s">
        <v>1584</v>
      </c>
      <c r="M1570" s="174"/>
      <c r="N1570" s="174"/>
      <c r="O1570" s="253" t="s">
        <v>1689</v>
      </c>
    </row>
    <row r="1571" spans="1:15" ht="16.149999999999999" customHeight="1" x14ac:dyDescent="0.25">
      <c r="A1571" s="172">
        <v>41172</v>
      </c>
      <c r="B1571" s="175" t="s">
        <v>49</v>
      </c>
      <c r="C1571" s="254" t="s">
        <v>1868</v>
      </c>
      <c r="D1571" s="254" t="s">
        <v>1864</v>
      </c>
      <c r="E1571" s="254" t="s">
        <v>1851</v>
      </c>
      <c r="F1571" s="254" t="s">
        <v>1694</v>
      </c>
      <c r="G1571" s="254" t="s">
        <v>2682</v>
      </c>
      <c r="H1571" s="254" t="s">
        <v>1769</v>
      </c>
      <c r="I1571" s="176"/>
      <c r="J1571" s="254" t="s">
        <v>1689</v>
      </c>
      <c r="K1571" s="254" t="s">
        <v>1693</v>
      </c>
      <c r="L1571" s="254" t="s">
        <v>1769</v>
      </c>
      <c r="M1571" s="176"/>
      <c r="N1571" s="176"/>
      <c r="O1571" s="255" t="s">
        <v>1851</v>
      </c>
    </row>
    <row r="1572" spans="1:15" ht="16.149999999999999" customHeight="1" x14ac:dyDescent="0.25">
      <c r="A1572" s="172">
        <v>41171</v>
      </c>
      <c r="B1572" s="173" t="s">
        <v>49</v>
      </c>
      <c r="C1572" s="252" t="s">
        <v>1567</v>
      </c>
      <c r="D1572" s="252" t="s">
        <v>2683</v>
      </c>
      <c r="E1572" s="252" t="s">
        <v>1689</v>
      </c>
      <c r="F1572" s="252" t="s">
        <v>1694</v>
      </c>
      <c r="G1572" s="252" t="s">
        <v>2684</v>
      </c>
      <c r="H1572" s="252" t="s">
        <v>1820</v>
      </c>
      <c r="I1572" s="174"/>
      <c r="J1572" s="252" t="s">
        <v>1651</v>
      </c>
      <c r="K1572" s="252" t="s">
        <v>1651</v>
      </c>
      <c r="L1572" s="252" t="s">
        <v>1589</v>
      </c>
      <c r="M1572" s="174"/>
      <c r="N1572" s="174"/>
      <c r="O1572" s="253" t="s">
        <v>1566</v>
      </c>
    </row>
    <row r="1573" spans="1:15" ht="16.149999999999999" customHeight="1" x14ac:dyDescent="0.25">
      <c r="A1573" s="172">
        <v>41170</v>
      </c>
      <c r="B1573" s="175" t="s">
        <v>49</v>
      </c>
      <c r="C1573" s="254" t="s">
        <v>1571</v>
      </c>
      <c r="D1573" s="254" t="s">
        <v>2685</v>
      </c>
      <c r="E1573" s="254" t="s">
        <v>2686</v>
      </c>
      <c r="F1573" s="254" t="s">
        <v>1854</v>
      </c>
      <c r="G1573" s="254" t="s">
        <v>1851</v>
      </c>
      <c r="H1573" s="254" t="s">
        <v>1846</v>
      </c>
      <c r="I1573" s="176"/>
      <c r="J1573" s="254" t="s">
        <v>1689</v>
      </c>
      <c r="K1573" s="254" t="s">
        <v>1760</v>
      </c>
      <c r="L1573" s="254" t="s">
        <v>1760</v>
      </c>
      <c r="M1573" s="176"/>
      <c r="N1573" s="176"/>
      <c r="O1573" s="255" t="s">
        <v>1586</v>
      </c>
    </row>
    <row r="1574" spans="1:15" ht="16.149999999999999" customHeight="1" x14ac:dyDescent="0.25">
      <c r="A1574" s="172">
        <v>41169</v>
      </c>
      <c r="B1574" s="173" t="s">
        <v>49</v>
      </c>
      <c r="C1574" s="252" t="s">
        <v>1572</v>
      </c>
      <c r="D1574" s="252" t="s">
        <v>1689</v>
      </c>
      <c r="E1574" s="252" t="s">
        <v>1840</v>
      </c>
      <c r="F1574" s="252" t="s">
        <v>1851</v>
      </c>
      <c r="G1574" s="252" t="s">
        <v>1762</v>
      </c>
      <c r="H1574" s="252" t="s">
        <v>1854</v>
      </c>
      <c r="I1574" s="174"/>
      <c r="J1574" s="252" t="s">
        <v>1760</v>
      </c>
      <c r="K1574" s="252" t="s">
        <v>1760</v>
      </c>
      <c r="L1574" s="252" t="s">
        <v>1762</v>
      </c>
      <c r="M1574" s="174"/>
      <c r="N1574" s="174"/>
      <c r="O1574" s="253" t="s">
        <v>1589</v>
      </c>
    </row>
    <row r="1575" spans="1:15" ht="16.149999999999999" customHeight="1" x14ac:dyDescent="0.25">
      <c r="A1575" s="172">
        <v>41166</v>
      </c>
      <c r="B1575" s="175" t="s">
        <v>49</v>
      </c>
      <c r="C1575" s="254" t="s">
        <v>1863</v>
      </c>
      <c r="D1575" s="254" t="s">
        <v>1850</v>
      </c>
      <c r="E1575" s="254" t="s">
        <v>1866</v>
      </c>
      <c r="F1575" s="254" t="s">
        <v>1651</v>
      </c>
      <c r="G1575" s="254" t="s">
        <v>1762</v>
      </c>
      <c r="H1575" s="254" t="s">
        <v>1704</v>
      </c>
      <c r="I1575" s="176"/>
      <c r="J1575" s="254" t="s">
        <v>1689</v>
      </c>
      <c r="K1575" s="254" t="s">
        <v>1760</v>
      </c>
      <c r="L1575" s="254" t="s">
        <v>1851</v>
      </c>
      <c r="M1575" s="176"/>
      <c r="N1575" s="176"/>
      <c r="O1575" s="255" t="s">
        <v>1584</v>
      </c>
    </row>
    <row r="1576" spans="1:15" ht="16.149999999999999" customHeight="1" x14ac:dyDescent="0.25">
      <c r="A1576" s="172">
        <v>41165</v>
      </c>
      <c r="B1576" s="173" t="s">
        <v>49</v>
      </c>
      <c r="C1576" s="252" t="s">
        <v>1853</v>
      </c>
      <c r="D1576" s="252" t="s">
        <v>1762</v>
      </c>
      <c r="E1576" s="252" t="s">
        <v>1762</v>
      </c>
      <c r="F1576" s="252" t="s">
        <v>1689</v>
      </c>
      <c r="G1576" s="252" t="s">
        <v>1762</v>
      </c>
      <c r="H1576" s="252" t="s">
        <v>1866</v>
      </c>
      <c r="I1576" s="174"/>
      <c r="J1576" s="252" t="s">
        <v>1760</v>
      </c>
      <c r="K1576" s="252" t="s">
        <v>1769</v>
      </c>
      <c r="L1576" s="252" t="s">
        <v>1762</v>
      </c>
      <c r="M1576" s="174"/>
      <c r="N1576" s="174"/>
      <c r="O1576" s="253" t="s">
        <v>1689</v>
      </c>
    </row>
    <row r="1577" spans="1:15" ht="16.149999999999999" customHeight="1" x14ac:dyDescent="0.25">
      <c r="A1577" s="172">
        <v>41164</v>
      </c>
      <c r="B1577" s="175" t="s">
        <v>49</v>
      </c>
      <c r="C1577" s="254" t="s">
        <v>1632</v>
      </c>
      <c r="D1577" s="254" t="s">
        <v>1704</v>
      </c>
      <c r="E1577" s="254" t="s">
        <v>1696</v>
      </c>
      <c r="F1577" s="254" t="s">
        <v>1689</v>
      </c>
      <c r="G1577" s="254" t="s">
        <v>1695</v>
      </c>
      <c r="H1577" s="254" t="s">
        <v>1726</v>
      </c>
      <c r="I1577" s="176"/>
      <c r="J1577" s="254" t="s">
        <v>1689</v>
      </c>
      <c r="K1577" s="254" t="s">
        <v>1760</v>
      </c>
      <c r="L1577" s="254" t="s">
        <v>1769</v>
      </c>
      <c r="M1577" s="176"/>
      <c r="N1577" s="176"/>
      <c r="O1577" s="255" t="s">
        <v>1636</v>
      </c>
    </row>
    <row r="1578" spans="1:15" ht="16.149999999999999" customHeight="1" x14ac:dyDescent="0.25">
      <c r="A1578" s="172">
        <v>41163</v>
      </c>
      <c r="B1578" s="173" t="s">
        <v>49</v>
      </c>
      <c r="C1578" s="252" t="s">
        <v>1577</v>
      </c>
      <c r="D1578" s="252" t="s">
        <v>2687</v>
      </c>
      <c r="E1578" s="252" t="s">
        <v>1693</v>
      </c>
      <c r="F1578" s="252" t="s">
        <v>1694</v>
      </c>
      <c r="G1578" s="252" t="s">
        <v>2688</v>
      </c>
      <c r="H1578" s="252" t="s">
        <v>1851</v>
      </c>
      <c r="I1578" s="174"/>
      <c r="J1578" s="252" t="s">
        <v>1689</v>
      </c>
      <c r="K1578" s="252" t="s">
        <v>1693</v>
      </c>
      <c r="L1578" s="252" t="s">
        <v>1762</v>
      </c>
      <c r="M1578" s="174"/>
      <c r="N1578" s="174"/>
      <c r="O1578" s="253" t="s">
        <v>1651</v>
      </c>
    </row>
    <row r="1579" spans="1:15" ht="16.149999999999999" customHeight="1" x14ac:dyDescent="0.25">
      <c r="A1579" s="172">
        <v>41162</v>
      </c>
      <c r="B1579" s="175" t="s">
        <v>49</v>
      </c>
      <c r="C1579" s="254" t="s">
        <v>1572</v>
      </c>
      <c r="D1579" s="254" t="s">
        <v>1689</v>
      </c>
      <c r="E1579" s="254" t="s">
        <v>1865</v>
      </c>
      <c r="F1579" s="254" t="s">
        <v>1694</v>
      </c>
      <c r="G1579" s="254" t="s">
        <v>2689</v>
      </c>
      <c r="H1579" s="254" t="s">
        <v>1784</v>
      </c>
      <c r="I1579" s="176"/>
      <c r="J1579" s="254" t="s">
        <v>1689</v>
      </c>
      <c r="K1579" s="254" t="s">
        <v>1760</v>
      </c>
      <c r="L1579" s="254" t="s">
        <v>1689</v>
      </c>
      <c r="M1579" s="176"/>
      <c r="N1579" s="176"/>
      <c r="O1579" s="255" t="s">
        <v>1840</v>
      </c>
    </row>
    <row r="1580" spans="1:15" ht="16.149999999999999" customHeight="1" x14ac:dyDescent="0.25">
      <c r="A1580" s="172">
        <v>41159</v>
      </c>
      <c r="B1580" s="173" t="s">
        <v>49</v>
      </c>
      <c r="C1580" s="252" t="s">
        <v>1614</v>
      </c>
      <c r="D1580" s="252" t="s">
        <v>1867</v>
      </c>
      <c r="E1580" s="252" t="s">
        <v>1636</v>
      </c>
      <c r="F1580" s="252" t="s">
        <v>1726</v>
      </c>
      <c r="G1580" s="252" t="s">
        <v>1840</v>
      </c>
      <c r="H1580" s="252" t="s">
        <v>1765</v>
      </c>
      <c r="I1580" s="174"/>
      <c r="J1580" s="252" t="s">
        <v>1851</v>
      </c>
      <c r="K1580" s="252" t="s">
        <v>1651</v>
      </c>
      <c r="L1580" s="252" t="s">
        <v>1578</v>
      </c>
      <c r="M1580" s="174"/>
      <c r="N1580" s="174"/>
      <c r="O1580" s="253" t="s">
        <v>1564</v>
      </c>
    </row>
    <row r="1581" spans="1:15" ht="16.149999999999999" customHeight="1" x14ac:dyDescent="0.25">
      <c r="A1581" s="172">
        <v>41158</v>
      </c>
      <c r="B1581" s="175" t="s">
        <v>49</v>
      </c>
      <c r="C1581" s="254" t="s">
        <v>2671</v>
      </c>
      <c r="D1581" s="254" t="s">
        <v>1631</v>
      </c>
      <c r="E1581" s="254" t="s">
        <v>1742</v>
      </c>
      <c r="F1581" s="254" t="s">
        <v>1636</v>
      </c>
      <c r="G1581" s="254" t="s">
        <v>1563</v>
      </c>
      <c r="H1581" s="254" t="s">
        <v>1580</v>
      </c>
      <c r="I1581" s="176"/>
      <c r="J1581" s="254" t="s">
        <v>1651</v>
      </c>
      <c r="K1581" s="254" t="s">
        <v>1578</v>
      </c>
      <c r="L1581" s="254" t="s">
        <v>1589</v>
      </c>
      <c r="M1581" s="176"/>
      <c r="N1581" s="176"/>
      <c r="O1581" s="255" t="s">
        <v>1578</v>
      </c>
    </row>
    <row r="1582" spans="1:15" ht="16.149999999999999" customHeight="1" x14ac:dyDescent="0.25">
      <c r="A1582" s="172">
        <v>41157</v>
      </c>
      <c r="B1582" s="173" t="s">
        <v>49</v>
      </c>
      <c r="C1582" s="252" t="s">
        <v>2655</v>
      </c>
      <c r="D1582" s="252" t="s">
        <v>1586</v>
      </c>
      <c r="E1582" s="252" t="s">
        <v>1571</v>
      </c>
      <c r="F1582" s="252" t="s">
        <v>1579</v>
      </c>
      <c r="G1582" s="252" t="s">
        <v>1655</v>
      </c>
      <c r="H1582" s="252" t="s">
        <v>1564</v>
      </c>
      <c r="I1582" s="174"/>
      <c r="J1582" s="252" t="s">
        <v>1568</v>
      </c>
      <c r="K1582" s="252" t="s">
        <v>1586</v>
      </c>
      <c r="L1582" s="252" t="s">
        <v>1566</v>
      </c>
      <c r="M1582" s="174"/>
      <c r="N1582" s="174"/>
      <c r="O1582" s="253" t="s">
        <v>1586</v>
      </c>
    </row>
    <row r="1583" spans="1:15" ht="16.149999999999999" customHeight="1" x14ac:dyDescent="0.25">
      <c r="A1583" s="172">
        <v>41156</v>
      </c>
      <c r="B1583" s="175" t="s">
        <v>49</v>
      </c>
      <c r="C1583" s="254" t="s">
        <v>1663</v>
      </c>
      <c r="D1583" s="254" t="s">
        <v>1648</v>
      </c>
      <c r="E1583" s="254" t="s">
        <v>1590</v>
      </c>
      <c r="F1583" s="254" t="s">
        <v>1563</v>
      </c>
      <c r="G1583" s="254" t="s">
        <v>2690</v>
      </c>
      <c r="H1583" s="254" t="s">
        <v>1566</v>
      </c>
      <c r="I1583" s="176"/>
      <c r="J1583" s="254" t="s">
        <v>1586</v>
      </c>
      <c r="K1583" s="254" t="s">
        <v>1564</v>
      </c>
      <c r="L1583" s="254" t="s">
        <v>1642</v>
      </c>
      <c r="M1583" s="176"/>
      <c r="N1583" s="176"/>
      <c r="O1583" s="255" t="s">
        <v>1563</v>
      </c>
    </row>
    <row r="1584" spans="1:15" ht="16.149999999999999" customHeight="1" x14ac:dyDescent="0.25">
      <c r="A1584" s="172">
        <v>41155</v>
      </c>
      <c r="B1584" s="173" t="s">
        <v>49</v>
      </c>
      <c r="C1584" s="252" t="s">
        <v>1684</v>
      </c>
      <c r="D1584" s="252" t="s">
        <v>1609</v>
      </c>
      <c r="E1584" s="252" t="s">
        <v>1560</v>
      </c>
      <c r="F1584" s="252" t="s">
        <v>1609</v>
      </c>
      <c r="G1584" s="252" t="s">
        <v>2691</v>
      </c>
      <c r="H1584" s="252" t="s">
        <v>2692</v>
      </c>
      <c r="I1584" s="174"/>
      <c r="J1584" s="252" t="s">
        <v>1569</v>
      </c>
      <c r="K1584" s="252" t="s">
        <v>1563</v>
      </c>
      <c r="L1584" s="252" t="s">
        <v>1569</v>
      </c>
      <c r="M1584" s="174"/>
      <c r="N1584" s="174"/>
      <c r="O1584" s="253" t="s">
        <v>1609</v>
      </c>
    </row>
    <row r="1585" spans="1:15" ht="16.149999999999999" customHeight="1" x14ac:dyDescent="0.25">
      <c r="A1585" s="172">
        <v>41152</v>
      </c>
      <c r="B1585" s="175" t="s">
        <v>49</v>
      </c>
      <c r="C1585" s="254" t="s">
        <v>2693</v>
      </c>
      <c r="D1585" s="254" t="s">
        <v>2694</v>
      </c>
      <c r="E1585" s="254" t="s">
        <v>1560</v>
      </c>
      <c r="F1585" s="254" t="s">
        <v>1569</v>
      </c>
      <c r="G1585" s="254" t="s">
        <v>2695</v>
      </c>
      <c r="H1585" s="254" t="s">
        <v>1593</v>
      </c>
      <c r="I1585" s="176"/>
      <c r="J1585" s="254" t="s">
        <v>1574</v>
      </c>
      <c r="K1585" s="254" t="s">
        <v>1574</v>
      </c>
      <c r="L1585" s="254" t="s">
        <v>1596</v>
      </c>
      <c r="M1585" s="176"/>
      <c r="N1585" s="176"/>
      <c r="O1585" s="255" t="s">
        <v>1596</v>
      </c>
    </row>
    <row r="1586" spans="1:15" ht="16.149999999999999" customHeight="1" x14ac:dyDescent="0.25">
      <c r="A1586" s="172">
        <v>41151</v>
      </c>
      <c r="B1586" s="173" t="s">
        <v>49</v>
      </c>
      <c r="C1586" s="252" t="s">
        <v>2696</v>
      </c>
      <c r="D1586" s="252" t="s">
        <v>1560</v>
      </c>
      <c r="E1586" s="252" t="s">
        <v>2697</v>
      </c>
      <c r="F1586" s="252" t="s">
        <v>1603</v>
      </c>
      <c r="G1586" s="252" t="s">
        <v>1611</v>
      </c>
      <c r="H1586" s="252" t="s">
        <v>2698</v>
      </c>
      <c r="I1586" s="174"/>
      <c r="J1586" s="252" t="s">
        <v>1574</v>
      </c>
      <c r="K1586" s="252" t="s">
        <v>1609</v>
      </c>
      <c r="L1586" s="252" t="s">
        <v>1609</v>
      </c>
      <c r="M1586" s="174"/>
      <c r="N1586" s="174"/>
      <c r="O1586" s="253" t="s">
        <v>1596</v>
      </c>
    </row>
    <row r="1587" spans="1:15" ht="16.149999999999999" customHeight="1" x14ac:dyDescent="0.25">
      <c r="A1587" s="172">
        <v>41150</v>
      </c>
      <c r="B1587" s="175" t="s">
        <v>49</v>
      </c>
      <c r="C1587" s="254" t="s">
        <v>2699</v>
      </c>
      <c r="D1587" s="254" t="s">
        <v>2700</v>
      </c>
      <c r="E1587" s="254" t="s">
        <v>1593</v>
      </c>
      <c r="F1587" s="254" t="s">
        <v>1603</v>
      </c>
      <c r="G1587" s="254" t="s">
        <v>1623</v>
      </c>
      <c r="H1587" s="254" t="s">
        <v>2701</v>
      </c>
      <c r="I1587" s="176"/>
      <c r="J1587" s="254" t="s">
        <v>1609</v>
      </c>
      <c r="K1587" s="254" t="s">
        <v>1574</v>
      </c>
      <c r="L1587" s="254" t="s">
        <v>1667</v>
      </c>
      <c r="M1587" s="176"/>
      <c r="N1587" s="176"/>
      <c r="O1587" s="255" t="s">
        <v>1596</v>
      </c>
    </row>
    <row r="1588" spans="1:15" ht="16.149999999999999" customHeight="1" x14ac:dyDescent="0.25">
      <c r="A1588" s="172">
        <v>41149</v>
      </c>
      <c r="B1588" s="173" t="s">
        <v>49</v>
      </c>
      <c r="C1588" s="252" t="s">
        <v>1617</v>
      </c>
      <c r="D1588" s="252" t="s">
        <v>1574</v>
      </c>
      <c r="E1588" s="252" t="s">
        <v>1560</v>
      </c>
      <c r="F1588" s="252" t="s">
        <v>1609</v>
      </c>
      <c r="G1588" s="252" t="s">
        <v>1560</v>
      </c>
      <c r="H1588" s="252" t="s">
        <v>2668</v>
      </c>
      <c r="I1588" s="174"/>
      <c r="J1588" s="252" t="s">
        <v>1574</v>
      </c>
      <c r="K1588" s="252" t="s">
        <v>1609</v>
      </c>
      <c r="L1588" s="252" t="s">
        <v>1574</v>
      </c>
      <c r="M1588" s="174"/>
      <c r="N1588" s="174"/>
      <c r="O1588" s="253" t="s">
        <v>1603</v>
      </c>
    </row>
    <row r="1589" spans="1:15" ht="16.149999999999999" customHeight="1" x14ac:dyDescent="0.25">
      <c r="A1589" s="172">
        <v>41148</v>
      </c>
      <c r="B1589" s="175" t="s">
        <v>49</v>
      </c>
      <c r="C1589" s="254" t="s">
        <v>2702</v>
      </c>
      <c r="D1589" s="254" t="s">
        <v>1686</v>
      </c>
      <c r="E1589" s="254" t="s">
        <v>1609</v>
      </c>
      <c r="F1589" s="254" t="s">
        <v>1596</v>
      </c>
      <c r="G1589" s="254" t="s">
        <v>1659</v>
      </c>
      <c r="H1589" s="254" t="s">
        <v>1697</v>
      </c>
      <c r="I1589" s="176"/>
      <c r="J1589" s="254" t="s">
        <v>1564</v>
      </c>
      <c r="K1589" s="254" t="s">
        <v>1566</v>
      </c>
      <c r="L1589" s="254" t="s">
        <v>1563</v>
      </c>
      <c r="M1589" s="176"/>
      <c r="N1589" s="176"/>
      <c r="O1589" s="255" t="s">
        <v>2703</v>
      </c>
    </row>
    <row r="1590" spans="1:15" ht="16.149999999999999" customHeight="1" x14ac:dyDescent="0.25">
      <c r="A1590" s="172">
        <v>41145</v>
      </c>
      <c r="B1590" s="173" t="s">
        <v>49</v>
      </c>
      <c r="C1590" s="252" t="s">
        <v>2704</v>
      </c>
      <c r="D1590" s="252" t="s">
        <v>1600</v>
      </c>
      <c r="E1590" s="252" t="s">
        <v>1657</v>
      </c>
      <c r="F1590" s="252" t="s">
        <v>1590</v>
      </c>
      <c r="G1590" s="252" t="s">
        <v>1663</v>
      </c>
      <c r="H1590" s="252" t="s">
        <v>2705</v>
      </c>
      <c r="I1590" s="174"/>
      <c r="J1590" s="252" t="s">
        <v>1590</v>
      </c>
      <c r="K1590" s="252" t="s">
        <v>1600</v>
      </c>
      <c r="L1590" s="252" t="s">
        <v>1593</v>
      </c>
      <c r="M1590" s="174"/>
      <c r="N1590" s="174"/>
      <c r="O1590" s="253" t="s">
        <v>1680</v>
      </c>
    </row>
    <row r="1591" spans="1:15" ht="16.149999999999999" customHeight="1" x14ac:dyDescent="0.25">
      <c r="A1591" s="172">
        <v>41144</v>
      </c>
      <c r="B1591" s="175" t="s">
        <v>49</v>
      </c>
      <c r="C1591" s="254" t="s">
        <v>1538</v>
      </c>
      <c r="D1591" s="254" t="s">
        <v>2706</v>
      </c>
      <c r="E1591" s="254" t="s">
        <v>1659</v>
      </c>
      <c r="F1591" s="254" t="s">
        <v>1590</v>
      </c>
      <c r="G1591" s="254" t="s">
        <v>1663</v>
      </c>
      <c r="H1591" s="254" t="s">
        <v>2703</v>
      </c>
      <c r="I1591" s="176"/>
      <c r="J1591" s="254" t="s">
        <v>1600</v>
      </c>
      <c r="K1591" s="254" t="s">
        <v>1657</v>
      </c>
      <c r="L1591" s="254" t="s">
        <v>1657</v>
      </c>
      <c r="M1591" s="176"/>
      <c r="N1591" s="176"/>
      <c r="O1591" s="255" t="s">
        <v>1680</v>
      </c>
    </row>
    <row r="1592" spans="1:15" ht="16.149999999999999" customHeight="1" x14ac:dyDescent="0.25">
      <c r="A1592" s="172">
        <v>41143</v>
      </c>
      <c r="B1592" s="173" t="s">
        <v>49</v>
      </c>
      <c r="C1592" s="252" t="s">
        <v>2707</v>
      </c>
      <c r="D1592" s="252" t="s">
        <v>1629</v>
      </c>
      <c r="E1592" s="252" t="s">
        <v>1570</v>
      </c>
      <c r="F1592" s="252" t="s">
        <v>1663</v>
      </c>
      <c r="G1592" s="252" t="s">
        <v>1654</v>
      </c>
      <c r="H1592" s="252" t="s">
        <v>1644</v>
      </c>
      <c r="I1592" s="174"/>
      <c r="J1592" s="252" t="s">
        <v>1590</v>
      </c>
      <c r="K1592" s="252" t="s">
        <v>1657</v>
      </c>
      <c r="L1592" s="252" t="s">
        <v>1603</v>
      </c>
      <c r="M1592" s="174"/>
      <c r="N1592" s="174"/>
      <c r="O1592" s="253" t="s">
        <v>1680</v>
      </c>
    </row>
    <row r="1593" spans="1:15" ht="16.149999999999999" customHeight="1" x14ac:dyDescent="0.25">
      <c r="A1593" s="172">
        <v>41142</v>
      </c>
      <c r="B1593" s="175" t="s">
        <v>49</v>
      </c>
      <c r="C1593" s="254" t="s">
        <v>2708</v>
      </c>
      <c r="D1593" s="254" t="s">
        <v>1652</v>
      </c>
      <c r="E1593" s="254" t="s">
        <v>1570</v>
      </c>
      <c r="F1593" s="254" t="s">
        <v>2709</v>
      </c>
      <c r="G1593" s="254" t="s">
        <v>2710</v>
      </c>
      <c r="H1593" s="254" t="s">
        <v>2709</v>
      </c>
      <c r="I1593" s="176"/>
      <c r="J1593" s="254" t="s">
        <v>1561</v>
      </c>
      <c r="K1593" s="254" t="s">
        <v>2710</v>
      </c>
      <c r="L1593" s="254" t="s">
        <v>1663</v>
      </c>
      <c r="M1593" s="176"/>
      <c r="N1593" s="176"/>
      <c r="O1593" s="255" t="s">
        <v>1680</v>
      </c>
    </row>
    <row r="1594" spans="1:15" ht="16.149999999999999" customHeight="1" x14ac:dyDescent="0.25">
      <c r="A1594" s="172">
        <v>41138</v>
      </c>
      <c r="B1594" s="173" t="s">
        <v>49</v>
      </c>
      <c r="C1594" s="252" t="s">
        <v>2711</v>
      </c>
      <c r="D1594" s="252" t="s">
        <v>2709</v>
      </c>
      <c r="E1594" s="252" t="s">
        <v>1652</v>
      </c>
      <c r="F1594" s="252" t="s">
        <v>1656</v>
      </c>
      <c r="G1594" s="252" t="s">
        <v>2710</v>
      </c>
      <c r="H1594" s="252" t="s">
        <v>1558</v>
      </c>
      <c r="I1594" s="174"/>
      <c r="J1594" s="252" t="s">
        <v>1561</v>
      </c>
      <c r="K1594" s="252" t="s">
        <v>2710</v>
      </c>
      <c r="L1594" s="174"/>
      <c r="M1594" s="252" t="s">
        <v>1663</v>
      </c>
      <c r="N1594" s="174"/>
      <c r="O1594" s="253" t="s">
        <v>1561</v>
      </c>
    </row>
    <row r="1595" spans="1:15" ht="16.149999999999999" customHeight="1" x14ac:dyDescent="0.25">
      <c r="A1595" s="172">
        <v>41137</v>
      </c>
      <c r="B1595" s="175" t="s">
        <v>49</v>
      </c>
      <c r="C1595" s="254" t="s">
        <v>2712</v>
      </c>
      <c r="D1595" s="254" t="s">
        <v>1656</v>
      </c>
      <c r="E1595" s="254" t="s">
        <v>1654</v>
      </c>
      <c r="F1595" s="254" t="s">
        <v>1570</v>
      </c>
      <c r="G1595" s="254" t="s">
        <v>2713</v>
      </c>
      <c r="H1595" s="254" t="s">
        <v>2714</v>
      </c>
      <c r="I1595" s="176"/>
      <c r="J1595" s="254" t="s">
        <v>1603</v>
      </c>
      <c r="K1595" s="254" t="s">
        <v>1558</v>
      </c>
      <c r="L1595" s="176"/>
      <c r="M1595" s="254" t="s">
        <v>1663</v>
      </c>
      <c r="N1595" s="176"/>
      <c r="O1595" s="255" t="s">
        <v>2710</v>
      </c>
    </row>
    <row r="1596" spans="1:15" ht="16.149999999999999" customHeight="1" x14ac:dyDescent="0.25">
      <c r="A1596" s="172">
        <v>41136</v>
      </c>
      <c r="B1596" s="173" t="s">
        <v>49</v>
      </c>
      <c r="C1596" s="252" t="s">
        <v>2715</v>
      </c>
      <c r="D1596" s="252" t="s">
        <v>2710</v>
      </c>
      <c r="E1596" s="252" t="s">
        <v>2710</v>
      </c>
      <c r="F1596" s="252" t="s">
        <v>2714</v>
      </c>
      <c r="G1596" s="252" t="s">
        <v>2716</v>
      </c>
      <c r="H1596" s="252" t="s">
        <v>1652</v>
      </c>
      <c r="I1596" s="174"/>
      <c r="J1596" s="252" t="s">
        <v>1561</v>
      </c>
      <c r="K1596" s="252" t="s">
        <v>2693</v>
      </c>
      <c r="L1596" s="174"/>
      <c r="M1596" s="252" t="s">
        <v>2710</v>
      </c>
      <c r="N1596" s="174"/>
      <c r="O1596" s="253" t="s">
        <v>1558</v>
      </c>
    </row>
    <row r="1597" spans="1:15" ht="16.149999999999999" customHeight="1" x14ac:dyDescent="0.25">
      <c r="A1597" s="172">
        <v>41135</v>
      </c>
      <c r="B1597" s="175" t="s">
        <v>49</v>
      </c>
      <c r="C1597" s="254" t="s">
        <v>2717</v>
      </c>
      <c r="D1597" s="254" t="s">
        <v>2718</v>
      </c>
      <c r="E1597" s="254" t="s">
        <v>1570</v>
      </c>
      <c r="F1597" s="254" t="s">
        <v>2719</v>
      </c>
      <c r="G1597" s="254" t="s">
        <v>2719</v>
      </c>
      <c r="H1597" s="254" t="s">
        <v>2709</v>
      </c>
      <c r="I1597" s="176"/>
      <c r="J1597" s="254" t="s">
        <v>1659</v>
      </c>
      <c r="K1597" s="254" t="s">
        <v>2693</v>
      </c>
      <c r="L1597" s="176"/>
      <c r="M1597" s="254" t="s">
        <v>2710</v>
      </c>
      <c r="N1597" s="176"/>
      <c r="O1597" s="255" t="s">
        <v>1558</v>
      </c>
    </row>
    <row r="1598" spans="1:15" ht="16.149999999999999" customHeight="1" x14ac:dyDescent="0.25">
      <c r="A1598" s="172">
        <v>41134</v>
      </c>
      <c r="B1598" s="173" t="s">
        <v>49</v>
      </c>
      <c r="C1598" s="252" t="s">
        <v>2720</v>
      </c>
      <c r="D1598" s="252" t="s">
        <v>2721</v>
      </c>
      <c r="E1598" s="252" t="s">
        <v>2718</v>
      </c>
      <c r="F1598" s="252" t="s">
        <v>1570</v>
      </c>
      <c r="G1598" s="252" t="s">
        <v>1654</v>
      </c>
      <c r="H1598" s="252" t="s">
        <v>1633</v>
      </c>
      <c r="I1598" s="174"/>
      <c r="J1598" s="252" t="s">
        <v>1558</v>
      </c>
      <c r="K1598" s="252" t="s">
        <v>1559</v>
      </c>
      <c r="L1598" s="174"/>
      <c r="M1598" s="252" t="s">
        <v>1559</v>
      </c>
      <c r="N1598" s="174"/>
      <c r="O1598" s="253" t="s">
        <v>2710</v>
      </c>
    </row>
    <row r="1599" spans="1:15" ht="16.149999999999999" customHeight="1" x14ac:dyDescent="0.25">
      <c r="A1599" s="172">
        <v>41131</v>
      </c>
      <c r="B1599" s="175" t="s">
        <v>49</v>
      </c>
      <c r="C1599" s="254" t="s">
        <v>2722</v>
      </c>
      <c r="D1599" s="254" t="s">
        <v>1558</v>
      </c>
      <c r="E1599" s="254" t="s">
        <v>2723</v>
      </c>
      <c r="F1599" s="254" t="s">
        <v>1570</v>
      </c>
      <c r="G1599" s="254" t="s">
        <v>1558</v>
      </c>
      <c r="H1599" s="254" t="s">
        <v>2699</v>
      </c>
      <c r="I1599" s="176"/>
      <c r="J1599" s="254" t="s">
        <v>1570</v>
      </c>
      <c r="K1599" s="254" t="s">
        <v>1559</v>
      </c>
      <c r="L1599" s="176"/>
      <c r="M1599" s="254" t="s">
        <v>2710</v>
      </c>
      <c r="N1599" s="176"/>
      <c r="O1599" s="255" t="s">
        <v>1558</v>
      </c>
    </row>
    <row r="1600" spans="1:15" ht="16.149999999999999" customHeight="1" x14ac:dyDescent="0.25">
      <c r="A1600" s="172">
        <v>41130</v>
      </c>
      <c r="B1600" s="173" t="s">
        <v>49</v>
      </c>
      <c r="C1600" s="252" t="s">
        <v>2724</v>
      </c>
      <c r="D1600" s="252" t="s">
        <v>1558</v>
      </c>
      <c r="E1600" s="252" t="s">
        <v>2710</v>
      </c>
      <c r="F1600" s="252" t="s">
        <v>2693</v>
      </c>
      <c r="G1600" s="174"/>
      <c r="H1600" s="252" t="s">
        <v>2725</v>
      </c>
      <c r="I1600" s="174"/>
      <c r="J1600" s="252" t="s">
        <v>1570</v>
      </c>
      <c r="K1600" s="252" t="s">
        <v>1493</v>
      </c>
      <c r="L1600" s="174"/>
      <c r="M1600" s="252" t="s">
        <v>1558</v>
      </c>
      <c r="N1600" s="174"/>
      <c r="O1600" s="253" t="s">
        <v>1558</v>
      </c>
    </row>
    <row r="1601" spans="1:15" ht="16.149999999999999" customHeight="1" x14ac:dyDescent="0.25">
      <c r="A1601" s="172">
        <v>41129</v>
      </c>
      <c r="B1601" s="175" t="s">
        <v>49</v>
      </c>
      <c r="C1601" s="254" t="s">
        <v>2717</v>
      </c>
      <c r="D1601" s="254" t="s">
        <v>2718</v>
      </c>
      <c r="E1601" s="254" t="s">
        <v>2718</v>
      </c>
      <c r="F1601" s="254" t="s">
        <v>1663</v>
      </c>
      <c r="G1601" s="176"/>
      <c r="H1601" s="254" t="s">
        <v>1629</v>
      </c>
      <c r="I1601" s="176"/>
      <c r="J1601" s="254" t="s">
        <v>1663</v>
      </c>
      <c r="K1601" s="254" t="s">
        <v>2726</v>
      </c>
      <c r="L1601" s="176"/>
      <c r="M1601" s="254" t="s">
        <v>2726</v>
      </c>
      <c r="N1601" s="176"/>
      <c r="O1601" s="255" t="s">
        <v>1559</v>
      </c>
    </row>
    <row r="1602" spans="1:15" ht="16.149999999999999" customHeight="1" x14ac:dyDescent="0.25">
      <c r="A1602" s="172">
        <v>41127</v>
      </c>
      <c r="B1602" s="173" t="s">
        <v>49</v>
      </c>
      <c r="C1602" s="252" t="s">
        <v>2724</v>
      </c>
      <c r="D1602" s="252" t="s">
        <v>1558</v>
      </c>
      <c r="E1602" s="252" t="s">
        <v>1561</v>
      </c>
      <c r="F1602" s="252" t="s">
        <v>1542</v>
      </c>
      <c r="G1602" s="174"/>
      <c r="H1602" s="252" t="s">
        <v>2727</v>
      </c>
      <c r="I1602" s="174"/>
      <c r="J1602" s="252" t="s">
        <v>1561</v>
      </c>
      <c r="K1602" s="252" t="s">
        <v>1570</v>
      </c>
      <c r="L1602" s="174"/>
      <c r="M1602" s="252" t="s">
        <v>1558</v>
      </c>
      <c r="N1602" s="174"/>
      <c r="O1602" s="253" t="s">
        <v>1558</v>
      </c>
    </row>
    <row r="1603" spans="1:15" ht="16.149999999999999" customHeight="1" x14ac:dyDescent="0.25">
      <c r="A1603" s="172">
        <v>41124</v>
      </c>
      <c r="B1603" s="175" t="s">
        <v>49</v>
      </c>
      <c r="C1603" s="254" t="s">
        <v>1513</v>
      </c>
      <c r="D1603" s="254" t="s">
        <v>2719</v>
      </c>
      <c r="E1603" s="254" t="s">
        <v>1559</v>
      </c>
      <c r="F1603" s="254" t="s">
        <v>1542</v>
      </c>
      <c r="G1603" s="176"/>
      <c r="H1603" s="254" t="s">
        <v>1507</v>
      </c>
      <c r="I1603" s="176"/>
      <c r="J1603" s="254" t="s">
        <v>1561</v>
      </c>
      <c r="K1603" s="254" t="s">
        <v>1558</v>
      </c>
      <c r="L1603" s="176"/>
      <c r="M1603" s="254" t="s">
        <v>2719</v>
      </c>
      <c r="N1603" s="176"/>
      <c r="O1603" s="255" t="s">
        <v>1558</v>
      </c>
    </row>
    <row r="1604" spans="1:15" ht="16.149999999999999" customHeight="1" x14ac:dyDescent="0.25">
      <c r="A1604" s="172">
        <v>41123</v>
      </c>
      <c r="B1604" s="173" t="s">
        <v>49</v>
      </c>
      <c r="C1604" s="252" t="s">
        <v>1515</v>
      </c>
      <c r="D1604" s="252" t="s">
        <v>2719</v>
      </c>
      <c r="E1604" s="252" t="s">
        <v>1559</v>
      </c>
      <c r="F1604" s="252" t="s">
        <v>1542</v>
      </c>
      <c r="G1604" s="174"/>
      <c r="H1604" s="252" t="s">
        <v>2728</v>
      </c>
      <c r="I1604" s="174"/>
      <c r="J1604" s="252" t="s">
        <v>1561</v>
      </c>
      <c r="K1604" s="252" t="s">
        <v>2719</v>
      </c>
      <c r="L1604" s="174"/>
      <c r="M1604" s="252" t="s">
        <v>1558</v>
      </c>
      <c r="N1604" s="174"/>
      <c r="O1604" s="253" t="s">
        <v>1558</v>
      </c>
    </row>
    <row r="1605" spans="1:15" ht="16.149999999999999" customHeight="1" x14ac:dyDescent="0.25">
      <c r="A1605" s="172">
        <v>41122</v>
      </c>
      <c r="B1605" s="175" t="s">
        <v>49</v>
      </c>
      <c r="C1605" s="254" t="s">
        <v>2724</v>
      </c>
      <c r="D1605" s="254" t="s">
        <v>1558</v>
      </c>
      <c r="E1605" s="254" t="s">
        <v>1558</v>
      </c>
      <c r="F1605" s="254" t="s">
        <v>1680</v>
      </c>
      <c r="G1605" s="176"/>
      <c r="H1605" s="254" t="s">
        <v>70</v>
      </c>
      <c r="I1605" s="176"/>
      <c r="J1605" s="254" t="s">
        <v>1603</v>
      </c>
      <c r="K1605" s="254" t="s">
        <v>2719</v>
      </c>
      <c r="L1605" s="176"/>
      <c r="M1605" s="254" t="s">
        <v>1558</v>
      </c>
      <c r="N1605" s="176"/>
      <c r="O1605" s="255" t="s">
        <v>1558</v>
      </c>
    </row>
    <row r="1606" spans="1:15" x14ac:dyDescent="0.25">
      <c r="A1606" s="49" t="s">
        <v>43</v>
      </c>
    </row>
    <row r="1607" spans="1:15" ht="24.75" x14ac:dyDescent="0.25">
      <c r="A1607" s="177" t="s">
        <v>2961</v>
      </c>
    </row>
    <row r="1608" spans="1:15" x14ac:dyDescent="0.25">
      <c r="A1608" s="177" t="s">
        <v>43</v>
      </c>
    </row>
    <row r="1609" spans="1:15" ht="36.75" x14ac:dyDescent="0.25">
      <c r="A1609" s="177" t="s">
        <v>2968</v>
      </c>
    </row>
    <row r="1610" spans="1:15" ht="24.75" x14ac:dyDescent="0.25">
      <c r="A1610" s="177" t="s">
        <v>2962</v>
      </c>
    </row>
    <row r="1611" spans="1:15" x14ac:dyDescent="0.25">
      <c r="A1611" s="177" t="s">
        <v>43</v>
      </c>
    </row>
    <row r="1612" spans="1:15" ht="132.75" x14ac:dyDescent="0.25">
      <c r="A1612" s="177" t="s">
        <v>3014</v>
      </c>
    </row>
  </sheetData>
  <mergeCells count="3">
    <mergeCell ref="A1:F1"/>
    <mergeCell ref="A2:F2"/>
    <mergeCell ref="D8:O8"/>
  </mergeCells>
  <pageMargins left="0.7" right="0.7" top="0.75" bottom="0.75" header="0.3" footer="0.3"/>
  <pageSetup paperSize="9" orientation="portrait" r:id="rId1"/>
  <ignoredErrors>
    <ignoredError sqref="D94:E94"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B050"/>
  </sheetPr>
  <dimension ref="A1:R65"/>
  <sheetViews>
    <sheetView topLeftCell="A4" zoomScale="90" zoomScaleNormal="90" workbookViewId="0">
      <selection activeCell="J54" sqref="J54"/>
    </sheetView>
  </sheetViews>
  <sheetFormatPr baseColWidth="10" defaultColWidth="11.5703125" defaultRowHeight="15" x14ac:dyDescent="0.25"/>
  <cols>
    <col min="1" max="1" width="15" customWidth="1"/>
    <col min="2" max="2" width="18.5703125" bestFit="1" customWidth="1"/>
    <col min="3" max="3" width="17.42578125" bestFit="1" customWidth="1"/>
    <col min="4" max="4" width="16.28515625" customWidth="1"/>
    <col min="5" max="5" width="12.42578125"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x14ac:dyDescent="0.25">
      <c r="A1" s="511" t="s">
        <v>2</v>
      </c>
      <c r="B1" s="512"/>
      <c r="C1" s="512"/>
      <c r="D1" s="512"/>
      <c r="E1" s="512"/>
      <c r="F1" s="512"/>
      <c r="G1" s="512"/>
      <c r="H1" s="512"/>
    </row>
    <row r="2" spans="1:15" x14ac:dyDescent="0.25">
      <c r="A2" s="511" t="s">
        <v>3080</v>
      </c>
      <c r="B2" s="512"/>
      <c r="C2" s="512"/>
      <c r="D2" s="512"/>
      <c r="E2" s="512"/>
      <c r="F2" s="512"/>
      <c r="G2" s="512"/>
      <c r="H2" s="512"/>
    </row>
    <row r="3" spans="1:15" x14ac:dyDescent="0.25">
      <c r="A3" s="511" t="s">
        <v>3079</v>
      </c>
      <c r="B3" s="512"/>
      <c r="C3" s="512"/>
      <c r="D3" s="512"/>
      <c r="E3" s="512"/>
      <c r="F3" s="512"/>
      <c r="G3" s="512"/>
      <c r="H3" s="512"/>
    </row>
    <row r="4" spans="1:15" ht="15.75" thickBot="1" x14ac:dyDescent="0.3">
      <c r="A4" s="515" t="s">
        <v>3094</v>
      </c>
      <c r="B4" s="516"/>
      <c r="C4" s="516"/>
      <c r="D4" s="516"/>
      <c r="E4" s="516"/>
      <c r="F4" s="516"/>
      <c r="G4" s="516"/>
      <c r="H4" s="516"/>
    </row>
    <row r="5" spans="1:15" ht="45.75" thickBot="1" x14ac:dyDescent="0.3">
      <c r="A5" s="103" t="s">
        <v>5</v>
      </c>
      <c r="B5" s="2" t="s">
        <v>6</v>
      </c>
      <c r="C5" s="3" t="s">
        <v>7</v>
      </c>
      <c r="D5" s="3" t="s">
        <v>3147</v>
      </c>
      <c r="E5" s="3" t="s">
        <v>41</v>
      </c>
      <c r="F5" s="3" t="s">
        <v>3132</v>
      </c>
      <c r="G5" s="4" t="s">
        <v>3078</v>
      </c>
      <c r="H5" s="5" t="s">
        <v>8</v>
      </c>
    </row>
    <row r="6" spans="1:15" x14ac:dyDescent="0.25">
      <c r="A6" s="299">
        <v>43390</v>
      </c>
      <c r="B6" s="300" t="s">
        <v>359</v>
      </c>
      <c r="C6" s="327">
        <v>0</v>
      </c>
      <c r="D6" s="327">
        <v>0</v>
      </c>
      <c r="E6" s="327">
        <v>0</v>
      </c>
      <c r="F6" s="327"/>
      <c r="G6" s="327"/>
      <c r="H6" s="328">
        <v>3327506400</v>
      </c>
      <c r="I6" s="54"/>
    </row>
    <row r="7" spans="1:15" x14ac:dyDescent="0.25">
      <c r="A7" s="329">
        <f>'BANCO DE OCCIDENTE III CUPO'!A6</f>
        <v>43482</v>
      </c>
      <c r="B7" s="297" t="s">
        <v>9</v>
      </c>
      <c r="C7" s="294">
        <v>0</v>
      </c>
      <c r="D7" s="294">
        <f>H6*$B$56*B$55/360</f>
        <v>67037094.632328488</v>
      </c>
      <c r="E7" s="294">
        <v>67037094.632328488</v>
      </c>
      <c r="F7" s="294"/>
      <c r="G7" s="294">
        <f>E7+C7+F7</f>
        <v>67037094.632328488</v>
      </c>
      <c r="H7" s="298">
        <f t="shared" ref="H7:H46" si="0">+H6-C7</f>
        <v>3327506400</v>
      </c>
      <c r="J7" s="54"/>
    </row>
    <row r="8" spans="1:15" x14ac:dyDescent="0.25">
      <c r="A8" s="329">
        <f>'BANCO DE OCCIDENTE III CUPO'!A7</f>
        <v>43572</v>
      </c>
      <c r="B8" s="297" t="s">
        <v>9</v>
      </c>
      <c r="C8" s="294">
        <v>0</v>
      </c>
      <c r="D8" s="294">
        <f>H7*$C$56*C$55/360</f>
        <v>68558823.453726664</v>
      </c>
      <c r="E8" s="294">
        <v>68558823.453726664</v>
      </c>
      <c r="F8" s="294"/>
      <c r="G8" s="294">
        <f t="shared" ref="G8:G46" si="1">E8+C8+F8</f>
        <v>68558823.453726664</v>
      </c>
      <c r="H8" s="298">
        <f t="shared" si="0"/>
        <v>3327506400</v>
      </c>
      <c r="I8" s="54"/>
      <c r="J8" s="76"/>
      <c r="K8" s="76"/>
    </row>
    <row r="9" spans="1:15" x14ac:dyDescent="0.25">
      <c r="A9" s="329">
        <f>'BANCO DE OCCIDENTE III CUPO'!A8</f>
        <v>43663</v>
      </c>
      <c r="B9" s="297" t="s">
        <v>9</v>
      </c>
      <c r="C9" s="294">
        <v>0</v>
      </c>
      <c r="D9" s="294">
        <f>H8*$D$56*D$55/360</f>
        <v>67714755.239999995</v>
      </c>
      <c r="E9" s="294">
        <v>67714755.239999995</v>
      </c>
      <c r="F9" s="294"/>
      <c r="G9" s="294">
        <f t="shared" si="1"/>
        <v>67714755.239999995</v>
      </c>
      <c r="H9" s="298">
        <f t="shared" si="0"/>
        <v>3327506400</v>
      </c>
    </row>
    <row r="10" spans="1:15" x14ac:dyDescent="0.25">
      <c r="A10" s="329">
        <f>'BANCO DE OCCIDENTE III CUPO'!A9</f>
        <v>43755</v>
      </c>
      <c r="B10" s="297" t="s">
        <v>9</v>
      </c>
      <c r="C10" s="294">
        <v>0</v>
      </c>
      <c r="D10" s="294">
        <f>H9*$E56*E$55/360</f>
        <v>67382004.600000009</v>
      </c>
      <c r="E10" s="294">
        <v>67382004.600000009</v>
      </c>
      <c r="F10" s="294"/>
      <c r="G10" s="294">
        <f t="shared" si="1"/>
        <v>67382004.600000009</v>
      </c>
      <c r="H10" s="298">
        <f t="shared" si="0"/>
        <v>3327506400</v>
      </c>
    </row>
    <row r="11" spans="1:15" x14ac:dyDescent="0.25">
      <c r="A11" s="329">
        <f>'BANCO DE OCCIDENTE III CUPO'!A10</f>
        <v>43847</v>
      </c>
      <c r="B11" s="297" t="s">
        <v>9</v>
      </c>
      <c r="C11" s="294">
        <v>0</v>
      </c>
      <c r="D11" s="294">
        <f>H10*$F$56*F$55/360</f>
        <v>67756349.069999993</v>
      </c>
      <c r="E11" s="294">
        <v>67756349.069999993</v>
      </c>
      <c r="F11" s="294"/>
      <c r="G11" s="294">
        <f t="shared" si="1"/>
        <v>67756349.069999993</v>
      </c>
      <c r="H11" s="298">
        <f t="shared" si="0"/>
        <v>3327506400</v>
      </c>
    </row>
    <row r="12" spans="1:15" x14ac:dyDescent="0.25">
      <c r="A12" s="329">
        <f>'BANCO DE OCCIDENTE III CUPO'!A11</f>
        <v>43938</v>
      </c>
      <c r="B12" s="297" t="s">
        <v>9</v>
      </c>
      <c r="C12" s="294">
        <v>0</v>
      </c>
      <c r="D12" s="453">
        <f>H11*$G$56*G$55/360</f>
        <v>67706436.474000007</v>
      </c>
      <c r="E12" s="453">
        <v>67706436.474000007</v>
      </c>
      <c r="F12" s="294"/>
      <c r="G12" s="294">
        <f>C12</f>
        <v>0</v>
      </c>
      <c r="H12" s="298">
        <f t="shared" si="0"/>
        <v>3327506400</v>
      </c>
    </row>
    <row r="13" spans="1:15" x14ac:dyDescent="0.25">
      <c r="A13" s="329">
        <f>'BANCO DE OCCIDENTE III CUPO'!A12</f>
        <v>44029</v>
      </c>
      <c r="B13" s="297" t="s">
        <v>9</v>
      </c>
      <c r="C13" s="294">
        <v>0</v>
      </c>
      <c r="D13" s="453">
        <f>H12*$H$56*H$55/360</f>
        <v>58871906.982000001</v>
      </c>
      <c r="E13" s="453">
        <v>58871906.982000001</v>
      </c>
      <c r="F13" s="294">
        <v>136790460.59760001</v>
      </c>
      <c r="G13" s="294">
        <f>C13</f>
        <v>0</v>
      </c>
      <c r="H13" s="298">
        <f t="shared" si="0"/>
        <v>3327506400</v>
      </c>
      <c r="I13" s="105"/>
    </row>
    <row r="14" spans="1:15" x14ac:dyDescent="0.25">
      <c r="A14" s="329">
        <f>'BANCO DE OCCIDENTE III CUPO'!A13</f>
        <v>44121</v>
      </c>
      <c r="B14" s="297" t="s">
        <v>9</v>
      </c>
      <c r="C14" s="294">
        <v>0</v>
      </c>
      <c r="D14" s="294">
        <f>H13*$I$56*I$55/360</f>
        <v>51251917.326000005</v>
      </c>
      <c r="E14" s="294">
        <v>51251917.326000005</v>
      </c>
      <c r="F14" s="294">
        <v>17098807</v>
      </c>
      <c r="G14" s="294">
        <f>E14+C14+F14</f>
        <v>68350724.326000005</v>
      </c>
      <c r="H14" s="298">
        <f t="shared" si="0"/>
        <v>3327506400</v>
      </c>
      <c r="N14" s="54"/>
      <c r="O14" s="54"/>
    </row>
    <row r="15" spans="1:15" x14ac:dyDescent="0.25">
      <c r="A15" s="329">
        <f>'BANCO DE OCCIDENTE III CUPO'!A14</f>
        <v>44213</v>
      </c>
      <c r="B15" s="297" t="s">
        <v>10</v>
      </c>
      <c r="C15" s="294">
        <f t="shared" ref="C15:C46" si="2">+$H$6/32</f>
        <v>103984575</v>
      </c>
      <c r="D15" s="294">
        <f>H14*$J$56*J$55/360</f>
        <v>47242272.114</v>
      </c>
      <c r="E15" s="294">
        <v>47242272</v>
      </c>
      <c r="F15" s="294">
        <v>17098807</v>
      </c>
      <c r="G15" s="294">
        <f>E15+C15+F15</f>
        <v>168325654</v>
      </c>
      <c r="H15" s="298">
        <f t="shared" si="0"/>
        <v>3223521825</v>
      </c>
    </row>
    <row r="16" spans="1:15" x14ac:dyDescent="0.25">
      <c r="A16" s="329">
        <f>'BANCO DE OCCIDENTE III CUPO'!A15</f>
        <v>44303</v>
      </c>
      <c r="B16" s="297" t="s">
        <v>10</v>
      </c>
      <c r="C16" s="294">
        <f t="shared" si="2"/>
        <v>103984575</v>
      </c>
      <c r="D16" s="294">
        <f>H15*$K$56*K$55/360</f>
        <v>64470436.5</v>
      </c>
      <c r="E16" s="294"/>
      <c r="F16" s="294">
        <v>17098807</v>
      </c>
      <c r="G16" s="294">
        <f t="shared" si="1"/>
        <v>121083382</v>
      </c>
      <c r="H16" s="298">
        <f t="shared" si="0"/>
        <v>3119537250</v>
      </c>
    </row>
    <row r="17" spans="1:8" x14ac:dyDescent="0.25">
      <c r="A17" s="329">
        <f>'BANCO DE OCCIDENTE III CUPO'!A16</f>
        <v>44394</v>
      </c>
      <c r="B17" s="297" t="s">
        <v>10</v>
      </c>
      <c r="C17" s="294">
        <f t="shared" si="2"/>
        <v>103984575</v>
      </c>
      <c r="D17" s="294">
        <f>H16*$K$56*K$55/360</f>
        <v>62390745</v>
      </c>
      <c r="E17" s="294"/>
      <c r="F17" s="294">
        <v>17098807</v>
      </c>
      <c r="G17" s="294">
        <f t="shared" si="1"/>
        <v>121083382</v>
      </c>
      <c r="H17" s="298">
        <f t="shared" si="0"/>
        <v>3015552675</v>
      </c>
    </row>
    <row r="18" spans="1:8" x14ac:dyDescent="0.25">
      <c r="A18" s="329">
        <f>'BANCO DE OCCIDENTE III CUPO'!A17</f>
        <v>44486</v>
      </c>
      <c r="B18" s="297" t="s">
        <v>10</v>
      </c>
      <c r="C18" s="294">
        <f t="shared" si="2"/>
        <v>103984575</v>
      </c>
      <c r="D18" s="294">
        <f>H17*$K$56*K$55/360</f>
        <v>60311053.5</v>
      </c>
      <c r="E18" s="294"/>
      <c r="F18" s="294">
        <v>17098807</v>
      </c>
      <c r="G18" s="294">
        <f t="shared" si="1"/>
        <v>121083382</v>
      </c>
      <c r="H18" s="298">
        <f t="shared" si="0"/>
        <v>2911568100</v>
      </c>
    </row>
    <row r="19" spans="1:8" x14ac:dyDescent="0.25">
      <c r="A19" s="329">
        <f>'BANCO DE OCCIDENTE III CUPO'!A18</f>
        <v>44578</v>
      </c>
      <c r="B19" s="297" t="s">
        <v>10</v>
      </c>
      <c r="C19" s="294">
        <f t="shared" si="2"/>
        <v>103984575</v>
      </c>
      <c r="D19" s="294">
        <f>H18*$L$56*L$55/360</f>
        <v>61870822.124999993</v>
      </c>
      <c r="E19" s="294"/>
      <c r="F19" s="294">
        <v>17098807</v>
      </c>
      <c r="G19" s="294">
        <f t="shared" si="1"/>
        <v>121083382</v>
      </c>
      <c r="H19" s="298">
        <f t="shared" si="0"/>
        <v>2807583525</v>
      </c>
    </row>
    <row r="20" spans="1:8" x14ac:dyDescent="0.25">
      <c r="A20" s="329">
        <f>'BANCO DE OCCIDENTE III CUPO'!A19</f>
        <v>44668</v>
      </c>
      <c r="B20" s="297" t="s">
        <v>10</v>
      </c>
      <c r="C20" s="294">
        <f t="shared" si="2"/>
        <v>103984575</v>
      </c>
      <c r="D20" s="294">
        <f>H19*$L$56*L$55/360</f>
        <v>59661149.906249993</v>
      </c>
      <c r="E20" s="294"/>
      <c r="F20" s="294">
        <v>17098807</v>
      </c>
      <c r="G20" s="294">
        <f t="shared" si="1"/>
        <v>121083382</v>
      </c>
      <c r="H20" s="298">
        <f t="shared" si="0"/>
        <v>2703598950</v>
      </c>
    </row>
    <row r="21" spans="1:8" x14ac:dyDescent="0.25">
      <c r="A21" s="329">
        <f>'BANCO DE OCCIDENTE III CUPO'!A20</f>
        <v>44759</v>
      </c>
      <c r="B21" s="297" t="s">
        <v>10</v>
      </c>
      <c r="C21" s="294">
        <f t="shared" si="2"/>
        <v>103984575</v>
      </c>
      <c r="D21" s="294">
        <f>H20*$L$56*L$55/360</f>
        <v>57451477.687499993</v>
      </c>
      <c r="E21" s="294"/>
      <c r="F21" s="294">
        <v>17098812</v>
      </c>
      <c r="G21" s="294">
        <f t="shared" si="1"/>
        <v>121083387</v>
      </c>
      <c r="H21" s="298">
        <f t="shared" si="0"/>
        <v>2599614375</v>
      </c>
    </row>
    <row r="22" spans="1:8" x14ac:dyDescent="0.25">
      <c r="A22" s="329">
        <f>'BANCO DE OCCIDENTE III CUPO'!A21</f>
        <v>44851</v>
      </c>
      <c r="B22" s="297" t="s">
        <v>10</v>
      </c>
      <c r="C22" s="294">
        <f t="shared" si="2"/>
        <v>103984575</v>
      </c>
      <c r="D22" s="294">
        <f>H21*$L$56*L$55/360</f>
        <v>55241805.468749993</v>
      </c>
      <c r="E22" s="294"/>
      <c r="F22" s="294"/>
      <c r="G22" s="294">
        <f t="shared" si="1"/>
        <v>103984575</v>
      </c>
      <c r="H22" s="298">
        <f t="shared" si="0"/>
        <v>2495629800</v>
      </c>
    </row>
    <row r="23" spans="1:8" x14ac:dyDescent="0.25">
      <c r="A23" s="329">
        <f>'BANCO DE OCCIDENTE III CUPO'!A22</f>
        <v>44943</v>
      </c>
      <c r="B23" s="297" t="s">
        <v>10</v>
      </c>
      <c r="C23" s="294">
        <f t="shared" si="2"/>
        <v>103984575</v>
      </c>
      <c r="D23" s="294">
        <f t="shared" ref="D23:D46" si="3">H22*$M$56*M$55/360</f>
        <v>56151670.5</v>
      </c>
      <c r="E23" s="294"/>
      <c r="F23" s="294"/>
      <c r="G23" s="294">
        <f t="shared" si="1"/>
        <v>103984575</v>
      </c>
      <c r="H23" s="298">
        <f t="shared" si="0"/>
        <v>2391645225</v>
      </c>
    </row>
    <row r="24" spans="1:8" x14ac:dyDescent="0.25">
      <c r="A24" s="329">
        <f>'BANCO DE OCCIDENTE III CUPO'!A23</f>
        <v>45033</v>
      </c>
      <c r="B24" s="297" t="s">
        <v>10</v>
      </c>
      <c r="C24" s="294">
        <f t="shared" si="2"/>
        <v>103984575</v>
      </c>
      <c r="D24" s="294">
        <f t="shared" si="3"/>
        <v>53812017.5625</v>
      </c>
      <c r="E24" s="294"/>
      <c r="F24" s="294"/>
      <c r="G24" s="294">
        <f>E24+C24+F24</f>
        <v>103984575</v>
      </c>
      <c r="H24" s="298">
        <f t="shared" si="0"/>
        <v>2287660650</v>
      </c>
    </row>
    <row r="25" spans="1:8" x14ac:dyDescent="0.25">
      <c r="A25" s="329">
        <f>'BANCO DE OCCIDENTE III CUPO'!A24</f>
        <v>45124</v>
      </c>
      <c r="B25" s="297" t="s">
        <v>10</v>
      </c>
      <c r="C25" s="294">
        <f t="shared" si="2"/>
        <v>103984575</v>
      </c>
      <c r="D25" s="294">
        <f t="shared" si="3"/>
        <v>51472364.625</v>
      </c>
      <c r="E25" s="294"/>
      <c r="F25" s="294"/>
      <c r="G25" s="294">
        <f t="shared" si="1"/>
        <v>103984575</v>
      </c>
      <c r="H25" s="298">
        <f t="shared" si="0"/>
        <v>2183676075</v>
      </c>
    </row>
    <row r="26" spans="1:8" x14ac:dyDescent="0.25">
      <c r="A26" s="329">
        <f>'BANCO DE OCCIDENTE III CUPO'!A25</f>
        <v>45216</v>
      </c>
      <c r="B26" s="297" t="s">
        <v>10</v>
      </c>
      <c r="C26" s="294">
        <f t="shared" si="2"/>
        <v>103984575</v>
      </c>
      <c r="D26" s="294">
        <f t="shared" si="3"/>
        <v>49132711.6875</v>
      </c>
      <c r="E26" s="294"/>
      <c r="F26" s="294"/>
      <c r="G26" s="294">
        <f t="shared" si="1"/>
        <v>103984575</v>
      </c>
      <c r="H26" s="298">
        <f t="shared" si="0"/>
        <v>2079691500</v>
      </c>
    </row>
    <row r="27" spans="1:8" x14ac:dyDescent="0.25">
      <c r="A27" s="329">
        <f>'BANCO DE OCCIDENTE III CUPO'!A26</f>
        <v>45308</v>
      </c>
      <c r="B27" s="297" t="s">
        <v>10</v>
      </c>
      <c r="C27" s="294">
        <f t="shared" si="2"/>
        <v>103984575</v>
      </c>
      <c r="D27" s="294">
        <f t="shared" si="3"/>
        <v>46793058.75</v>
      </c>
      <c r="E27" s="294"/>
      <c r="F27" s="294"/>
      <c r="G27" s="294">
        <f t="shared" si="1"/>
        <v>103984575</v>
      </c>
      <c r="H27" s="298">
        <f t="shared" si="0"/>
        <v>1975706925</v>
      </c>
    </row>
    <row r="28" spans="1:8" x14ac:dyDescent="0.25">
      <c r="A28" s="329">
        <f>'BANCO DE OCCIDENTE III CUPO'!A27</f>
        <v>45399</v>
      </c>
      <c r="B28" s="297" t="s">
        <v>10</v>
      </c>
      <c r="C28" s="294">
        <f t="shared" si="2"/>
        <v>103984575</v>
      </c>
      <c r="D28" s="294">
        <f t="shared" si="3"/>
        <v>44453405.8125</v>
      </c>
      <c r="E28" s="294"/>
      <c r="F28" s="294"/>
      <c r="G28" s="294">
        <f t="shared" si="1"/>
        <v>103984575</v>
      </c>
      <c r="H28" s="298">
        <f t="shared" si="0"/>
        <v>1871722350</v>
      </c>
    </row>
    <row r="29" spans="1:8" x14ac:dyDescent="0.25">
      <c r="A29" s="329">
        <f>'BANCO DE OCCIDENTE III CUPO'!A28</f>
        <v>45490</v>
      </c>
      <c r="B29" s="297" t="s">
        <v>10</v>
      </c>
      <c r="C29" s="294">
        <f t="shared" si="2"/>
        <v>103984575</v>
      </c>
      <c r="D29" s="294">
        <f t="shared" si="3"/>
        <v>42113752.875</v>
      </c>
      <c r="E29" s="294"/>
      <c r="F29" s="294"/>
      <c r="G29" s="294">
        <f t="shared" si="1"/>
        <v>103984575</v>
      </c>
      <c r="H29" s="298">
        <f t="shared" si="0"/>
        <v>1767737775</v>
      </c>
    </row>
    <row r="30" spans="1:8" x14ac:dyDescent="0.25">
      <c r="A30" s="329">
        <f>'BANCO DE OCCIDENTE III CUPO'!A29</f>
        <v>45582</v>
      </c>
      <c r="B30" s="297" t="s">
        <v>10</v>
      </c>
      <c r="C30" s="294">
        <f t="shared" si="2"/>
        <v>103984575</v>
      </c>
      <c r="D30" s="294">
        <f t="shared" si="3"/>
        <v>39774099.9375</v>
      </c>
      <c r="E30" s="294"/>
      <c r="F30" s="294"/>
      <c r="G30" s="294">
        <f t="shared" si="1"/>
        <v>103984575</v>
      </c>
      <c r="H30" s="298">
        <f t="shared" si="0"/>
        <v>1663753200</v>
      </c>
    </row>
    <row r="31" spans="1:8" x14ac:dyDescent="0.25">
      <c r="A31" s="329">
        <f>'BANCO DE OCCIDENTE III CUPO'!A30</f>
        <v>45674</v>
      </c>
      <c r="B31" s="297" t="s">
        <v>10</v>
      </c>
      <c r="C31" s="294">
        <f t="shared" si="2"/>
        <v>103984575</v>
      </c>
      <c r="D31" s="294">
        <f t="shared" si="3"/>
        <v>37434447</v>
      </c>
      <c r="E31" s="294"/>
      <c r="F31" s="294"/>
      <c r="G31" s="294">
        <f t="shared" si="1"/>
        <v>103984575</v>
      </c>
      <c r="H31" s="298">
        <f t="shared" si="0"/>
        <v>1559768625</v>
      </c>
    </row>
    <row r="32" spans="1:8" x14ac:dyDescent="0.25">
      <c r="A32" s="329">
        <f>'BANCO DE OCCIDENTE III CUPO'!A31</f>
        <v>45764</v>
      </c>
      <c r="B32" s="297" t="s">
        <v>10</v>
      </c>
      <c r="C32" s="294">
        <f t="shared" si="2"/>
        <v>103984575</v>
      </c>
      <c r="D32" s="294">
        <f t="shared" si="3"/>
        <v>35094794.0625</v>
      </c>
      <c r="E32" s="294"/>
      <c r="F32" s="294"/>
      <c r="G32" s="294">
        <f t="shared" si="1"/>
        <v>103984575</v>
      </c>
      <c r="H32" s="298">
        <f t="shared" si="0"/>
        <v>1455784050</v>
      </c>
    </row>
    <row r="33" spans="1:8" x14ac:dyDescent="0.25">
      <c r="A33" s="329">
        <f>'BANCO DE OCCIDENTE III CUPO'!A32</f>
        <v>45855</v>
      </c>
      <c r="B33" s="297" t="s">
        <v>10</v>
      </c>
      <c r="C33" s="294">
        <f t="shared" si="2"/>
        <v>103984575</v>
      </c>
      <c r="D33" s="294">
        <f t="shared" si="3"/>
        <v>32755141.125</v>
      </c>
      <c r="E33" s="294"/>
      <c r="F33" s="294"/>
      <c r="G33" s="294">
        <f t="shared" si="1"/>
        <v>103984575</v>
      </c>
      <c r="H33" s="298">
        <f t="shared" si="0"/>
        <v>1351799475</v>
      </c>
    </row>
    <row r="34" spans="1:8" x14ac:dyDescent="0.25">
      <c r="A34" s="329">
        <f>'BANCO DE OCCIDENTE III CUPO'!A33</f>
        <v>45947</v>
      </c>
      <c r="B34" s="297" t="s">
        <v>10</v>
      </c>
      <c r="C34" s="294">
        <f t="shared" si="2"/>
        <v>103984575</v>
      </c>
      <c r="D34" s="294">
        <f t="shared" si="3"/>
        <v>30415488.1875</v>
      </c>
      <c r="E34" s="294"/>
      <c r="F34" s="294"/>
      <c r="G34" s="294">
        <f t="shared" si="1"/>
        <v>103984575</v>
      </c>
      <c r="H34" s="298">
        <f t="shared" si="0"/>
        <v>1247814900</v>
      </c>
    </row>
    <row r="35" spans="1:8" x14ac:dyDescent="0.25">
      <c r="A35" s="329">
        <f>'BANCO DE OCCIDENTE III CUPO'!A34</f>
        <v>46039</v>
      </c>
      <c r="B35" s="297" t="s">
        <v>10</v>
      </c>
      <c r="C35" s="294">
        <f t="shared" si="2"/>
        <v>103984575</v>
      </c>
      <c r="D35" s="294">
        <f t="shared" si="3"/>
        <v>28075835.25</v>
      </c>
      <c r="E35" s="294"/>
      <c r="F35" s="294"/>
      <c r="G35" s="294">
        <f t="shared" si="1"/>
        <v>103984575</v>
      </c>
      <c r="H35" s="298">
        <f t="shared" si="0"/>
        <v>1143830325</v>
      </c>
    </row>
    <row r="36" spans="1:8" x14ac:dyDescent="0.25">
      <c r="A36" s="329">
        <f>'BANCO DE OCCIDENTE III CUPO'!A35</f>
        <v>46129</v>
      </c>
      <c r="B36" s="297" t="s">
        <v>10</v>
      </c>
      <c r="C36" s="294">
        <f t="shared" si="2"/>
        <v>103984575</v>
      </c>
      <c r="D36" s="294">
        <f t="shared" si="3"/>
        <v>25736182.3125</v>
      </c>
      <c r="E36" s="294"/>
      <c r="F36" s="294"/>
      <c r="G36" s="294">
        <f t="shared" si="1"/>
        <v>103984575</v>
      </c>
      <c r="H36" s="298">
        <f t="shared" si="0"/>
        <v>1039845750</v>
      </c>
    </row>
    <row r="37" spans="1:8" x14ac:dyDescent="0.25">
      <c r="A37" s="329">
        <f>'BANCO DE OCCIDENTE III CUPO'!A36</f>
        <v>46220</v>
      </c>
      <c r="B37" s="297" t="s">
        <v>10</v>
      </c>
      <c r="C37" s="294">
        <f t="shared" si="2"/>
        <v>103984575</v>
      </c>
      <c r="D37" s="294">
        <f t="shared" si="3"/>
        <v>23396529.375</v>
      </c>
      <c r="E37" s="294"/>
      <c r="F37" s="294"/>
      <c r="G37" s="294">
        <f t="shared" si="1"/>
        <v>103984575</v>
      </c>
      <c r="H37" s="298">
        <f t="shared" si="0"/>
        <v>935861175</v>
      </c>
    </row>
    <row r="38" spans="1:8" x14ac:dyDescent="0.25">
      <c r="A38" s="329">
        <f>'BANCO DE OCCIDENTE III CUPO'!A37</f>
        <v>46312</v>
      </c>
      <c r="B38" s="297" t="s">
        <v>10</v>
      </c>
      <c r="C38" s="294">
        <f t="shared" si="2"/>
        <v>103984575</v>
      </c>
      <c r="D38" s="294">
        <f t="shared" si="3"/>
        <v>21056876.4375</v>
      </c>
      <c r="E38" s="294"/>
      <c r="F38" s="294"/>
      <c r="G38" s="294">
        <f t="shared" si="1"/>
        <v>103984575</v>
      </c>
      <c r="H38" s="298">
        <f t="shared" si="0"/>
        <v>831876600</v>
      </c>
    </row>
    <row r="39" spans="1:8" x14ac:dyDescent="0.25">
      <c r="A39" s="329">
        <f>'BANCO DE OCCIDENTE III CUPO'!A38</f>
        <v>46404</v>
      </c>
      <c r="B39" s="297" t="s">
        <v>10</v>
      </c>
      <c r="C39" s="294">
        <f t="shared" si="2"/>
        <v>103984575</v>
      </c>
      <c r="D39" s="294">
        <f t="shared" si="3"/>
        <v>18717223.5</v>
      </c>
      <c r="E39" s="294"/>
      <c r="F39" s="294"/>
      <c r="G39" s="294">
        <f t="shared" si="1"/>
        <v>103984575</v>
      </c>
      <c r="H39" s="298">
        <f t="shared" si="0"/>
        <v>727892025</v>
      </c>
    </row>
    <row r="40" spans="1:8" x14ac:dyDescent="0.25">
      <c r="A40" s="329">
        <f>'BANCO DE OCCIDENTE III CUPO'!A39</f>
        <v>46494</v>
      </c>
      <c r="B40" s="297" t="s">
        <v>10</v>
      </c>
      <c r="C40" s="294">
        <f t="shared" si="2"/>
        <v>103984575</v>
      </c>
      <c r="D40" s="294">
        <f t="shared" si="3"/>
        <v>16377570.5625</v>
      </c>
      <c r="E40" s="294"/>
      <c r="F40" s="294"/>
      <c r="G40" s="294">
        <f t="shared" si="1"/>
        <v>103984575</v>
      </c>
      <c r="H40" s="298">
        <f t="shared" si="0"/>
        <v>623907450</v>
      </c>
    </row>
    <row r="41" spans="1:8" x14ac:dyDescent="0.25">
      <c r="A41" s="329">
        <f>'BANCO DE OCCIDENTE III CUPO'!A40</f>
        <v>46585</v>
      </c>
      <c r="B41" s="297" t="s">
        <v>10</v>
      </c>
      <c r="C41" s="294">
        <f t="shared" si="2"/>
        <v>103984575</v>
      </c>
      <c r="D41" s="294">
        <f t="shared" si="3"/>
        <v>14037917.625</v>
      </c>
      <c r="E41" s="294"/>
      <c r="F41" s="294"/>
      <c r="G41" s="294">
        <f t="shared" si="1"/>
        <v>103984575</v>
      </c>
      <c r="H41" s="298">
        <f t="shared" si="0"/>
        <v>519922875</v>
      </c>
    </row>
    <row r="42" spans="1:8" x14ac:dyDescent="0.25">
      <c r="A42" s="329">
        <f>'BANCO DE OCCIDENTE III CUPO'!A41</f>
        <v>46677</v>
      </c>
      <c r="B42" s="297" t="s">
        <v>10</v>
      </c>
      <c r="C42" s="294">
        <f t="shared" si="2"/>
        <v>103984575</v>
      </c>
      <c r="D42" s="294">
        <f t="shared" si="3"/>
        <v>11698264.6875</v>
      </c>
      <c r="E42" s="294"/>
      <c r="F42" s="294"/>
      <c r="G42" s="294">
        <f t="shared" si="1"/>
        <v>103984575</v>
      </c>
      <c r="H42" s="298">
        <f t="shared" si="0"/>
        <v>415938300</v>
      </c>
    </row>
    <row r="43" spans="1:8" x14ac:dyDescent="0.25">
      <c r="A43" s="329">
        <f>'BANCO DE OCCIDENTE III CUPO'!A42</f>
        <v>46769</v>
      </c>
      <c r="B43" s="297" t="s">
        <v>10</v>
      </c>
      <c r="C43" s="294">
        <f t="shared" si="2"/>
        <v>103984575</v>
      </c>
      <c r="D43" s="294">
        <f t="shared" si="3"/>
        <v>9358611.75</v>
      </c>
      <c r="E43" s="294"/>
      <c r="F43" s="294"/>
      <c r="G43" s="294">
        <f t="shared" si="1"/>
        <v>103984575</v>
      </c>
      <c r="H43" s="298">
        <f t="shared" si="0"/>
        <v>311953725</v>
      </c>
    </row>
    <row r="44" spans="1:8" x14ac:dyDescent="0.25">
      <c r="A44" s="329">
        <f>'BANCO DE OCCIDENTE III CUPO'!A43</f>
        <v>46860</v>
      </c>
      <c r="B44" s="297" t="s">
        <v>10</v>
      </c>
      <c r="C44" s="294">
        <f t="shared" si="2"/>
        <v>103984575</v>
      </c>
      <c r="D44" s="294">
        <f t="shared" si="3"/>
        <v>7018958.8125</v>
      </c>
      <c r="E44" s="294"/>
      <c r="F44" s="294"/>
      <c r="G44" s="294">
        <f t="shared" si="1"/>
        <v>103984575</v>
      </c>
      <c r="H44" s="298">
        <f t="shared" si="0"/>
        <v>207969150</v>
      </c>
    </row>
    <row r="45" spans="1:8" x14ac:dyDescent="0.25">
      <c r="A45" s="329">
        <f>'BANCO DE OCCIDENTE III CUPO'!A44</f>
        <v>46951</v>
      </c>
      <c r="B45" s="297" t="s">
        <v>10</v>
      </c>
      <c r="C45" s="294">
        <f t="shared" si="2"/>
        <v>103984575</v>
      </c>
      <c r="D45" s="294">
        <f t="shared" si="3"/>
        <v>4679305.875</v>
      </c>
      <c r="E45" s="294"/>
      <c r="F45" s="294"/>
      <c r="G45" s="294">
        <f t="shared" si="1"/>
        <v>103984575</v>
      </c>
      <c r="H45" s="298">
        <f t="shared" si="0"/>
        <v>103984575</v>
      </c>
    </row>
    <row r="46" spans="1:8" x14ac:dyDescent="0.25">
      <c r="A46" s="329">
        <f>'BANCO DE OCCIDENTE III CUPO'!A45</f>
        <v>47043</v>
      </c>
      <c r="B46" s="297" t="s">
        <v>10</v>
      </c>
      <c r="C46" s="294">
        <f t="shared" si="2"/>
        <v>103984575</v>
      </c>
      <c r="D46" s="294">
        <f t="shared" si="3"/>
        <v>2339652.9375</v>
      </c>
      <c r="E46" s="294"/>
      <c r="F46" s="294"/>
      <c r="G46" s="294">
        <f t="shared" si="1"/>
        <v>103984575</v>
      </c>
      <c r="H46" s="298">
        <f t="shared" si="0"/>
        <v>0</v>
      </c>
    </row>
    <row r="47" spans="1:8" x14ac:dyDescent="0.25">
      <c r="A47" s="15"/>
      <c r="B47" s="16" t="s">
        <v>11</v>
      </c>
      <c r="C47" s="17">
        <f>SUM(C6:C46)</f>
        <v>3327506400</v>
      </c>
      <c r="D47" s="17">
        <f>SUM(D6:D46)</f>
        <v>1686814931.329555</v>
      </c>
      <c r="E47" s="17">
        <f>+SUM(E7:E11)+SUM(E14:E46)</f>
        <v>436943216.32205522</v>
      </c>
      <c r="F47" s="17">
        <f>+SUM(F14:F46)</f>
        <v>136790461</v>
      </c>
      <c r="G47" s="17">
        <f>SUM(G7:G46)</f>
        <v>3901240077.3220553</v>
      </c>
      <c r="H47" s="18"/>
    </row>
    <row r="48" spans="1:8" x14ac:dyDescent="0.25">
      <c r="A48" s="310"/>
      <c r="B48" s="311"/>
      <c r="C48" s="143"/>
      <c r="D48" s="143"/>
      <c r="E48" s="143"/>
      <c r="F48" s="143"/>
      <c r="G48" s="143"/>
      <c r="H48" s="312"/>
    </row>
    <row r="49" spans="1:18" x14ac:dyDescent="0.25">
      <c r="A49" s="310"/>
      <c r="B49" s="311"/>
      <c r="C49" s="143"/>
      <c r="D49" s="143"/>
      <c r="E49" s="143"/>
      <c r="F49" s="143"/>
      <c r="G49" s="143"/>
      <c r="H49" s="312"/>
    </row>
    <row r="50" spans="1:18" x14ac:dyDescent="0.25">
      <c r="A50" s="310"/>
      <c r="B50" s="311"/>
      <c r="C50" s="143"/>
      <c r="D50" s="143"/>
      <c r="E50" s="143"/>
      <c r="F50" s="143"/>
      <c r="G50" s="143"/>
      <c r="H50" s="312"/>
    </row>
    <row r="51" spans="1:18" x14ac:dyDescent="0.25">
      <c r="A51" s="313" t="s">
        <v>42</v>
      </c>
      <c r="B51" s="314"/>
      <c r="C51" s="20"/>
      <c r="D51" s="20"/>
      <c r="E51" s="20"/>
      <c r="F51" s="20"/>
      <c r="G51" s="20"/>
      <c r="H51" s="20"/>
    </row>
    <row r="52" spans="1:18" x14ac:dyDescent="0.25">
      <c r="A52" s="39" t="s">
        <v>3041</v>
      </c>
      <c r="B52" s="315" t="s">
        <v>3033</v>
      </c>
      <c r="C52" s="315" t="s">
        <v>3034</v>
      </c>
      <c r="D52" s="315" t="s">
        <v>3035</v>
      </c>
      <c r="E52" s="315" t="s">
        <v>3036</v>
      </c>
      <c r="F52" s="315" t="s">
        <v>3037</v>
      </c>
      <c r="G52" s="315" t="s">
        <v>3038</v>
      </c>
      <c r="H52" s="315" t="s">
        <v>3039</v>
      </c>
      <c r="I52" s="315" t="s">
        <v>3040</v>
      </c>
      <c r="J52" s="315" t="s">
        <v>3168</v>
      </c>
      <c r="K52" s="315" t="s">
        <v>3148</v>
      </c>
      <c r="L52" s="315" t="s">
        <v>3149</v>
      </c>
      <c r="M52" s="315" t="s">
        <v>3150</v>
      </c>
      <c r="N52" s="317"/>
      <c r="O52" s="214"/>
      <c r="P52" s="214"/>
      <c r="Q52" s="214"/>
    </row>
    <row r="53" spans="1:18" ht="25.5" x14ac:dyDescent="0.25">
      <c r="A53" s="39" t="s">
        <v>3009</v>
      </c>
      <c r="B53" s="160">
        <v>4.1490837000000003E-2</v>
      </c>
      <c r="C53" s="88">
        <v>4.1508999999999997E-2</v>
      </c>
      <c r="D53" s="160">
        <v>4.1399999999999999E-2</v>
      </c>
      <c r="E53" s="33">
        <v>4.1000000000000002E-2</v>
      </c>
      <c r="F53" s="88">
        <v>4.1450000000000001E-2</v>
      </c>
      <c r="G53" s="88">
        <v>4.1390000000000003E-2</v>
      </c>
      <c r="H53" s="88">
        <v>3.0769999999999999E-2</v>
      </c>
      <c r="I53" s="88">
        <v>2.1610000000000001E-2</v>
      </c>
      <c r="J53" s="88">
        <v>1.6789999999999999E-2</v>
      </c>
      <c r="K53" s="88">
        <v>0.04</v>
      </c>
      <c r="L53" s="88">
        <v>4.4999999999999998E-2</v>
      </c>
      <c r="M53" s="88">
        <v>0.05</v>
      </c>
      <c r="N53" s="318"/>
      <c r="O53" s="214"/>
      <c r="P53" s="214"/>
      <c r="Q53" s="214"/>
    </row>
    <row r="54" spans="1:18" x14ac:dyDescent="0.25">
      <c r="A54" s="39" t="s">
        <v>370</v>
      </c>
      <c r="B54" s="88">
        <v>0.04</v>
      </c>
      <c r="C54" s="88">
        <v>0.04</v>
      </c>
      <c r="D54" s="88">
        <v>0.04</v>
      </c>
      <c r="E54" s="88">
        <v>0.04</v>
      </c>
      <c r="F54" s="88">
        <v>0.04</v>
      </c>
      <c r="G54" s="88">
        <v>0.04</v>
      </c>
      <c r="H54" s="88">
        <v>0.04</v>
      </c>
      <c r="I54" s="88">
        <v>0.04</v>
      </c>
      <c r="J54" s="88">
        <v>0.04</v>
      </c>
      <c r="K54" s="88">
        <v>0.04</v>
      </c>
      <c r="L54" s="88">
        <v>0.04</v>
      </c>
      <c r="M54" s="88">
        <v>0.04</v>
      </c>
      <c r="N54" s="319"/>
      <c r="O54" s="214"/>
      <c r="P54" s="214"/>
      <c r="Q54" s="214"/>
    </row>
    <row r="55" spans="1:18" x14ac:dyDescent="0.25">
      <c r="A55" s="39" t="s">
        <v>377</v>
      </c>
      <c r="B55" s="296">
        <v>89</v>
      </c>
      <c r="C55" s="67">
        <v>91</v>
      </c>
      <c r="D55" s="67">
        <v>90</v>
      </c>
      <c r="E55" s="67">
        <v>90</v>
      </c>
      <c r="F55" s="67">
        <v>90</v>
      </c>
      <c r="G55" s="67">
        <v>90</v>
      </c>
      <c r="H55" s="67">
        <v>90</v>
      </c>
      <c r="I55" s="67">
        <v>90</v>
      </c>
      <c r="J55" s="67">
        <v>90</v>
      </c>
      <c r="K55" s="67">
        <v>90</v>
      </c>
      <c r="L55" s="67">
        <v>90</v>
      </c>
      <c r="M55" s="67">
        <v>90</v>
      </c>
      <c r="N55" s="320"/>
      <c r="O55" s="214"/>
      <c r="P55" s="214"/>
      <c r="Q55" s="214"/>
    </row>
    <row r="56" spans="1:18" x14ac:dyDescent="0.25">
      <c r="A56" s="39" t="s">
        <v>2973</v>
      </c>
      <c r="B56" s="85">
        <f>B53+B54</f>
        <v>8.149083700000001E-2</v>
      </c>
      <c r="C56" s="85">
        <f>C53+C54</f>
        <v>8.1508999999999998E-2</v>
      </c>
      <c r="D56" s="137">
        <f t="shared" ref="D56:H56" si="4">D53+D54</f>
        <v>8.14E-2</v>
      </c>
      <c r="E56" s="73">
        <f t="shared" si="4"/>
        <v>8.1000000000000003E-2</v>
      </c>
      <c r="F56" s="89">
        <f t="shared" si="4"/>
        <v>8.1449999999999995E-2</v>
      </c>
      <c r="G56" s="89">
        <f t="shared" si="4"/>
        <v>8.1390000000000004E-2</v>
      </c>
      <c r="H56" s="73">
        <f t="shared" si="4"/>
        <v>7.077E-2</v>
      </c>
      <c r="I56" s="73">
        <f>I53+I54</f>
        <v>6.1609999999999998E-2</v>
      </c>
      <c r="J56" s="73">
        <f>J53+J54</f>
        <v>5.679E-2</v>
      </c>
      <c r="K56" s="73">
        <f>K53+K54</f>
        <v>0.08</v>
      </c>
      <c r="L56" s="73">
        <f t="shared" ref="L56:M56" si="5">L53+L54</f>
        <v>8.4999999999999992E-2</v>
      </c>
      <c r="M56" s="73">
        <f t="shared" si="5"/>
        <v>0.09</v>
      </c>
      <c r="N56" s="321"/>
      <c r="O56" s="214"/>
      <c r="P56" s="214"/>
      <c r="Q56" s="214"/>
    </row>
    <row r="57" spans="1:18" x14ac:dyDescent="0.25">
      <c r="A57" s="39" t="s">
        <v>3010</v>
      </c>
      <c r="B57" s="85">
        <f>EFFECT(B53+B54,4)</f>
        <v>8.4015115507776184E-2</v>
      </c>
      <c r="C57" s="85">
        <f>EFFECT(C56,4)</f>
        <v>8.4034411494224415E-2</v>
      </c>
      <c r="D57" s="85">
        <f t="shared" ref="D57:H57" si="6">EFFECT(D53+D54,4)</f>
        <v>8.3918616068945573E-2</v>
      </c>
      <c r="E57" s="85">
        <f t="shared" si="6"/>
        <v>8.3493758213754488E-2</v>
      </c>
      <c r="F57" s="85">
        <f t="shared" si="6"/>
        <v>8.3971732084742623E-2</v>
      </c>
      <c r="G57" s="85">
        <f t="shared" si="6"/>
        <v>8.3907993100037492E-2</v>
      </c>
      <c r="H57" s="85">
        <f t="shared" si="6"/>
        <v>7.267039806971809E-2</v>
      </c>
      <c r="I57" s="85">
        <f>EFFECT(I53+I54,4)</f>
        <v>6.3048094490852247E-2</v>
      </c>
      <c r="J57" s="85">
        <f>EFFECT(J53+J54,4)</f>
        <v>5.8010901771429646E-2</v>
      </c>
      <c r="K57" s="85">
        <f>EFFECT(K53+K54,4)</f>
        <v>8.2432159999999977E-2</v>
      </c>
      <c r="L57" s="85">
        <f t="shared" ref="L57:M57" si="7">EFFECT(L53+L54,4)</f>
        <v>8.7747961721191148E-2</v>
      </c>
      <c r="M57" s="85">
        <f t="shared" si="7"/>
        <v>9.3083318789062286E-2</v>
      </c>
      <c r="N57" s="322"/>
      <c r="O57" s="214"/>
      <c r="P57" s="214"/>
      <c r="Q57" s="214"/>
    </row>
    <row r="58" spans="1:18" x14ac:dyDescent="0.25">
      <c r="A58" s="43" t="s">
        <v>39</v>
      </c>
      <c r="B58" s="44">
        <f>E7</f>
        <v>67037094.632328488</v>
      </c>
      <c r="C58" s="44">
        <f>E$8</f>
        <v>68558823.453726664</v>
      </c>
      <c r="D58" s="44">
        <f>E$9</f>
        <v>67714755.239999995</v>
      </c>
      <c r="E58" s="44">
        <f>+$E$10</f>
        <v>67382004.600000009</v>
      </c>
      <c r="F58" s="44">
        <f>+E11</f>
        <v>67756349.069999993</v>
      </c>
      <c r="G58" s="44">
        <f>+E12</f>
        <v>67706436.474000007</v>
      </c>
      <c r="H58" s="44">
        <f>+E13</f>
        <v>58871906.982000001</v>
      </c>
      <c r="I58" s="44">
        <f>+E14</f>
        <v>51251917.326000005</v>
      </c>
      <c r="J58" s="44">
        <f>+E15</f>
        <v>47242272</v>
      </c>
      <c r="K58" s="44"/>
      <c r="L58" s="44"/>
      <c r="M58" s="44"/>
      <c r="N58" s="323"/>
      <c r="O58" s="235"/>
      <c r="P58" s="324"/>
      <c r="Q58" s="214"/>
    </row>
    <row r="59" spans="1:18" x14ac:dyDescent="0.25">
      <c r="B59" s="232"/>
      <c r="J59" s="214"/>
      <c r="K59" s="214"/>
      <c r="L59" s="214"/>
      <c r="M59" s="214"/>
      <c r="N59" s="214"/>
      <c r="O59" s="214"/>
      <c r="P59" s="214"/>
      <c r="Q59" s="325"/>
      <c r="R59" s="214"/>
    </row>
    <row r="60" spans="1:18" x14ac:dyDescent="0.25">
      <c r="H60" s="54"/>
      <c r="J60" s="214"/>
      <c r="K60" s="214"/>
      <c r="L60" s="214"/>
      <c r="M60" s="214"/>
      <c r="N60" s="214"/>
      <c r="O60" s="214"/>
      <c r="P60" s="214"/>
      <c r="Q60" s="214"/>
      <c r="R60" s="214"/>
    </row>
    <row r="61" spans="1:18" x14ac:dyDescent="0.25">
      <c r="H61" s="82"/>
      <c r="J61" s="214"/>
      <c r="K61" s="214"/>
      <c r="L61" s="214"/>
      <c r="M61" s="214"/>
      <c r="N61" s="214"/>
      <c r="O61" s="214"/>
      <c r="P61" s="214"/>
      <c r="Q61" s="214"/>
      <c r="R61" s="214"/>
    </row>
    <row r="62" spans="1:18" x14ac:dyDescent="0.25">
      <c r="C62" s="76"/>
      <c r="J62" s="214"/>
      <c r="K62" s="214"/>
      <c r="L62" s="214"/>
      <c r="M62" s="214"/>
      <c r="N62" s="214"/>
      <c r="O62" s="214"/>
      <c r="P62" s="214"/>
      <c r="Q62" s="325"/>
      <c r="R62" s="214"/>
    </row>
    <row r="63" spans="1:18" x14ac:dyDescent="0.25">
      <c r="C63" s="146"/>
      <c r="J63" s="214"/>
      <c r="K63" s="214"/>
      <c r="L63" s="214"/>
      <c r="M63" s="214"/>
      <c r="N63" s="214"/>
      <c r="O63" s="214"/>
      <c r="P63" s="214"/>
      <c r="Q63" s="214"/>
      <c r="R63" s="214"/>
    </row>
    <row r="64" spans="1:18" x14ac:dyDescent="0.25">
      <c r="J64" s="214"/>
      <c r="K64" s="214"/>
      <c r="L64" s="214"/>
      <c r="M64" s="214"/>
      <c r="N64" s="214"/>
      <c r="O64" s="214"/>
      <c r="P64" s="214"/>
      <c r="Q64" s="214"/>
      <c r="R64" s="214"/>
    </row>
    <row r="65" spans="2:3" x14ac:dyDescent="0.25">
      <c r="B65" s="50"/>
      <c r="C65" s="50"/>
    </row>
  </sheetData>
  <mergeCells count="4">
    <mergeCell ref="A1:H1"/>
    <mergeCell ref="A2:H2"/>
    <mergeCell ref="A3:H3"/>
    <mergeCell ref="A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P78"/>
  <sheetViews>
    <sheetView workbookViewId="0">
      <selection activeCell="C14" sqref="C14"/>
    </sheetView>
  </sheetViews>
  <sheetFormatPr baseColWidth="10" defaultColWidth="11.5703125" defaultRowHeight="15" x14ac:dyDescent="0.25"/>
  <cols>
    <col min="1" max="1" width="15.42578125" customWidth="1"/>
    <col min="2" max="2" width="20.85546875" customWidth="1"/>
    <col min="3" max="3" width="18.7109375" customWidth="1"/>
    <col min="4" max="5" width="16.28515625" customWidth="1"/>
    <col min="6" max="6" width="15.28515625" bestFit="1" customWidth="1"/>
    <col min="7" max="7" width="16.5703125" customWidth="1"/>
    <col min="8" max="8" width="18.5703125" customWidth="1"/>
    <col min="9" max="9" width="20.28515625" bestFit="1" customWidth="1"/>
    <col min="10" max="10" width="17.28515625" customWidth="1"/>
    <col min="11" max="11" width="16.7109375" bestFit="1" customWidth="1"/>
    <col min="12" max="12" width="14.140625" customWidth="1"/>
    <col min="13" max="13" width="13" customWidth="1"/>
    <col min="14" max="15" width="13.5703125" customWidth="1"/>
    <col min="16" max="16" width="12.42578125" customWidth="1"/>
    <col min="17" max="17" width="13.7109375" bestFit="1" customWidth="1"/>
    <col min="259" max="259" width="15.42578125" customWidth="1"/>
    <col min="260" max="260" width="20.85546875" customWidth="1"/>
    <col min="261" max="261" width="18.7109375" customWidth="1"/>
    <col min="262" max="262" width="14.42578125" customWidth="1"/>
    <col min="263" max="263" width="16.5703125" customWidth="1"/>
    <col min="264" max="264" width="18.5703125" customWidth="1"/>
    <col min="265" max="265" width="12.85546875" customWidth="1"/>
    <col min="266" max="266" width="17.28515625" customWidth="1"/>
    <col min="267" max="267" width="13" customWidth="1"/>
    <col min="268" max="268" width="14.140625" customWidth="1"/>
    <col min="269" max="269" width="13" customWidth="1"/>
    <col min="270" max="271" width="13.5703125" customWidth="1"/>
    <col min="272" max="272" width="12.42578125" customWidth="1"/>
    <col min="273" max="273" width="13.7109375" bestFit="1" customWidth="1"/>
    <col min="515" max="515" width="15.42578125" customWidth="1"/>
    <col min="516" max="516" width="20.85546875" customWidth="1"/>
    <col min="517" max="517" width="18.7109375" customWidth="1"/>
    <col min="518" max="518" width="14.42578125" customWidth="1"/>
    <col min="519" max="519" width="16.5703125" customWidth="1"/>
    <col min="520" max="520" width="18.5703125" customWidth="1"/>
    <col min="521" max="521" width="12.85546875" customWidth="1"/>
    <col min="522" max="522" width="17.28515625" customWidth="1"/>
    <col min="523" max="523" width="13" customWidth="1"/>
    <col min="524" max="524" width="14.140625" customWidth="1"/>
    <col min="525" max="525" width="13" customWidth="1"/>
    <col min="526" max="527" width="13.5703125" customWidth="1"/>
    <col min="528" max="528" width="12.42578125" customWidth="1"/>
    <col min="529" max="529" width="13.7109375" bestFit="1" customWidth="1"/>
    <col min="771" max="771" width="15.42578125" customWidth="1"/>
    <col min="772" max="772" width="20.85546875" customWidth="1"/>
    <col min="773" max="773" width="18.7109375" customWidth="1"/>
    <col min="774" max="774" width="14.42578125" customWidth="1"/>
    <col min="775" max="775" width="16.5703125" customWidth="1"/>
    <col min="776" max="776" width="18.5703125" customWidth="1"/>
    <col min="777" max="777" width="12.85546875" customWidth="1"/>
    <col min="778" max="778" width="17.28515625" customWidth="1"/>
    <col min="779" max="779" width="13" customWidth="1"/>
    <col min="780" max="780" width="14.140625" customWidth="1"/>
    <col min="781" max="781" width="13" customWidth="1"/>
    <col min="782" max="783" width="13.5703125" customWidth="1"/>
    <col min="784" max="784" width="12.42578125" customWidth="1"/>
    <col min="785" max="785" width="13.7109375" bestFit="1" customWidth="1"/>
    <col min="1027" max="1027" width="15.42578125" customWidth="1"/>
    <col min="1028" max="1028" width="20.85546875" customWidth="1"/>
    <col min="1029" max="1029" width="18.7109375" customWidth="1"/>
    <col min="1030" max="1030" width="14.42578125" customWidth="1"/>
    <col min="1031" max="1031" width="16.5703125" customWidth="1"/>
    <col min="1032" max="1032" width="18.5703125" customWidth="1"/>
    <col min="1033" max="1033" width="12.85546875" customWidth="1"/>
    <col min="1034" max="1034" width="17.28515625" customWidth="1"/>
    <col min="1035" max="1035" width="13" customWidth="1"/>
    <col min="1036" max="1036" width="14.140625" customWidth="1"/>
    <col min="1037" max="1037" width="13" customWidth="1"/>
    <col min="1038" max="1039" width="13.5703125" customWidth="1"/>
    <col min="1040" max="1040" width="12.42578125" customWidth="1"/>
    <col min="1041" max="1041" width="13.7109375" bestFit="1" customWidth="1"/>
    <col min="1283" max="1283" width="15.42578125" customWidth="1"/>
    <col min="1284" max="1284" width="20.85546875" customWidth="1"/>
    <col min="1285" max="1285" width="18.7109375" customWidth="1"/>
    <col min="1286" max="1286" width="14.42578125" customWidth="1"/>
    <col min="1287" max="1287" width="16.5703125" customWidth="1"/>
    <col min="1288" max="1288" width="18.5703125" customWidth="1"/>
    <col min="1289" max="1289" width="12.85546875" customWidth="1"/>
    <col min="1290" max="1290" width="17.28515625" customWidth="1"/>
    <col min="1291" max="1291" width="13" customWidth="1"/>
    <col min="1292" max="1292" width="14.140625" customWidth="1"/>
    <col min="1293" max="1293" width="13" customWidth="1"/>
    <col min="1294" max="1295" width="13.5703125" customWidth="1"/>
    <col min="1296" max="1296" width="12.42578125" customWidth="1"/>
    <col min="1297" max="1297" width="13.7109375" bestFit="1" customWidth="1"/>
    <col min="1539" max="1539" width="15.42578125" customWidth="1"/>
    <col min="1540" max="1540" width="20.85546875" customWidth="1"/>
    <col min="1541" max="1541" width="18.7109375" customWidth="1"/>
    <col min="1542" max="1542" width="14.42578125" customWidth="1"/>
    <col min="1543" max="1543" width="16.5703125" customWidth="1"/>
    <col min="1544" max="1544" width="18.5703125" customWidth="1"/>
    <col min="1545" max="1545" width="12.85546875" customWidth="1"/>
    <col min="1546" max="1546" width="17.28515625" customWidth="1"/>
    <col min="1547" max="1547" width="13" customWidth="1"/>
    <col min="1548" max="1548" width="14.140625" customWidth="1"/>
    <col min="1549" max="1549" width="13" customWidth="1"/>
    <col min="1550" max="1551" width="13.5703125" customWidth="1"/>
    <col min="1552" max="1552" width="12.42578125" customWidth="1"/>
    <col min="1553" max="1553" width="13.7109375" bestFit="1" customWidth="1"/>
    <col min="1795" max="1795" width="15.42578125" customWidth="1"/>
    <col min="1796" max="1796" width="20.85546875" customWidth="1"/>
    <col min="1797" max="1797" width="18.7109375" customWidth="1"/>
    <col min="1798" max="1798" width="14.42578125" customWidth="1"/>
    <col min="1799" max="1799" width="16.5703125" customWidth="1"/>
    <col min="1800" max="1800" width="18.5703125" customWidth="1"/>
    <col min="1801" max="1801" width="12.85546875" customWidth="1"/>
    <col min="1802" max="1802" width="17.28515625" customWidth="1"/>
    <col min="1803" max="1803" width="13" customWidth="1"/>
    <col min="1804" max="1804" width="14.140625" customWidth="1"/>
    <col min="1805" max="1805" width="13" customWidth="1"/>
    <col min="1806" max="1807" width="13.5703125" customWidth="1"/>
    <col min="1808" max="1808" width="12.42578125" customWidth="1"/>
    <col min="1809" max="1809" width="13.7109375" bestFit="1" customWidth="1"/>
    <col min="2051" max="2051" width="15.42578125" customWidth="1"/>
    <col min="2052" max="2052" width="20.85546875" customWidth="1"/>
    <col min="2053" max="2053" width="18.7109375" customWidth="1"/>
    <col min="2054" max="2054" width="14.42578125" customWidth="1"/>
    <col min="2055" max="2055" width="16.5703125" customWidth="1"/>
    <col min="2056" max="2056" width="18.5703125" customWidth="1"/>
    <col min="2057" max="2057" width="12.85546875" customWidth="1"/>
    <col min="2058" max="2058" width="17.28515625" customWidth="1"/>
    <col min="2059" max="2059" width="13" customWidth="1"/>
    <col min="2060" max="2060" width="14.140625" customWidth="1"/>
    <col min="2061" max="2061" width="13" customWidth="1"/>
    <col min="2062" max="2063" width="13.5703125" customWidth="1"/>
    <col min="2064" max="2064" width="12.42578125" customWidth="1"/>
    <col min="2065" max="2065" width="13.7109375" bestFit="1" customWidth="1"/>
    <col min="2307" max="2307" width="15.42578125" customWidth="1"/>
    <col min="2308" max="2308" width="20.85546875" customWidth="1"/>
    <col min="2309" max="2309" width="18.7109375" customWidth="1"/>
    <col min="2310" max="2310" width="14.42578125" customWidth="1"/>
    <col min="2311" max="2311" width="16.5703125" customWidth="1"/>
    <col min="2312" max="2312" width="18.5703125" customWidth="1"/>
    <col min="2313" max="2313" width="12.85546875" customWidth="1"/>
    <col min="2314" max="2314" width="17.28515625" customWidth="1"/>
    <col min="2315" max="2315" width="13" customWidth="1"/>
    <col min="2316" max="2316" width="14.140625" customWidth="1"/>
    <col min="2317" max="2317" width="13" customWidth="1"/>
    <col min="2318" max="2319" width="13.5703125" customWidth="1"/>
    <col min="2320" max="2320" width="12.42578125" customWidth="1"/>
    <col min="2321" max="2321" width="13.7109375" bestFit="1" customWidth="1"/>
    <col min="2563" max="2563" width="15.42578125" customWidth="1"/>
    <col min="2564" max="2564" width="20.85546875" customWidth="1"/>
    <col min="2565" max="2565" width="18.7109375" customWidth="1"/>
    <col min="2566" max="2566" width="14.42578125" customWidth="1"/>
    <col min="2567" max="2567" width="16.5703125" customWidth="1"/>
    <col min="2568" max="2568" width="18.5703125" customWidth="1"/>
    <col min="2569" max="2569" width="12.85546875" customWidth="1"/>
    <col min="2570" max="2570" width="17.28515625" customWidth="1"/>
    <col min="2571" max="2571" width="13" customWidth="1"/>
    <col min="2572" max="2572" width="14.140625" customWidth="1"/>
    <col min="2573" max="2573" width="13" customWidth="1"/>
    <col min="2574" max="2575" width="13.5703125" customWidth="1"/>
    <col min="2576" max="2576" width="12.42578125" customWidth="1"/>
    <col min="2577" max="2577" width="13.7109375" bestFit="1" customWidth="1"/>
    <col min="2819" max="2819" width="15.42578125" customWidth="1"/>
    <col min="2820" max="2820" width="20.85546875" customWidth="1"/>
    <col min="2821" max="2821" width="18.7109375" customWidth="1"/>
    <col min="2822" max="2822" width="14.42578125" customWidth="1"/>
    <col min="2823" max="2823" width="16.5703125" customWidth="1"/>
    <col min="2824" max="2824" width="18.5703125" customWidth="1"/>
    <col min="2825" max="2825" width="12.85546875" customWidth="1"/>
    <col min="2826" max="2826" width="17.28515625" customWidth="1"/>
    <col min="2827" max="2827" width="13" customWidth="1"/>
    <col min="2828" max="2828" width="14.140625" customWidth="1"/>
    <col min="2829" max="2829" width="13" customWidth="1"/>
    <col min="2830" max="2831" width="13.5703125" customWidth="1"/>
    <col min="2832" max="2832" width="12.42578125" customWidth="1"/>
    <col min="2833" max="2833" width="13.7109375" bestFit="1" customWidth="1"/>
    <col min="3075" max="3075" width="15.42578125" customWidth="1"/>
    <col min="3076" max="3076" width="20.85546875" customWidth="1"/>
    <col min="3077" max="3077" width="18.7109375" customWidth="1"/>
    <col min="3078" max="3078" width="14.42578125" customWidth="1"/>
    <col min="3079" max="3079" width="16.5703125" customWidth="1"/>
    <col min="3080" max="3080" width="18.5703125" customWidth="1"/>
    <col min="3081" max="3081" width="12.85546875" customWidth="1"/>
    <col min="3082" max="3082" width="17.28515625" customWidth="1"/>
    <col min="3083" max="3083" width="13" customWidth="1"/>
    <col min="3084" max="3084" width="14.140625" customWidth="1"/>
    <col min="3085" max="3085" width="13" customWidth="1"/>
    <col min="3086" max="3087" width="13.5703125" customWidth="1"/>
    <col min="3088" max="3088" width="12.42578125" customWidth="1"/>
    <col min="3089" max="3089" width="13.7109375" bestFit="1" customWidth="1"/>
    <col min="3331" max="3331" width="15.42578125" customWidth="1"/>
    <col min="3332" max="3332" width="20.85546875" customWidth="1"/>
    <col min="3333" max="3333" width="18.7109375" customWidth="1"/>
    <col min="3334" max="3334" width="14.42578125" customWidth="1"/>
    <col min="3335" max="3335" width="16.5703125" customWidth="1"/>
    <col min="3336" max="3336" width="18.5703125" customWidth="1"/>
    <col min="3337" max="3337" width="12.85546875" customWidth="1"/>
    <col min="3338" max="3338" width="17.28515625" customWidth="1"/>
    <col min="3339" max="3339" width="13" customWidth="1"/>
    <col min="3340" max="3340" width="14.140625" customWidth="1"/>
    <col min="3341" max="3341" width="13" customWidth="1"/>
    <col min="3342" max="3343" width="13.5703125" customWidth="1"/>
    <col min="3344" max="3344" width="12.42578125" customWidth="1"/>
    <col min="3345" max="3345" width="13.7109375" bestFit="1" customWidth="1"/>
    <col min="3587" max="3587" width="15.42578125" customWidth="1"/>
    <col min="3588" max="3588" width="20.85546875" customWidth="1"/>
    <col min="3589" max="3589" width="18.7109375" customWidth="1"/>
    <col min="3590" max="3590" width="14.42578125" customWidth="1"/>
    <col min="3591" max="3591" width="16.5703125" customWidth="1"/>
    <col min="3592" max="3592" width="18.5703125" customWidth="1"/>
    <col min="3593" max="3593" width="12.85546875" customWidth="1"/>
    <col min="3594" max="3594" width="17.28515625" customWidth="1"/>
    <col min="3595" max="3595" width="13" customWidth="1"/>
    <col min="3596" max="3596" width="14.140625" customWidth="1"/>
    <col min="3597" max="3597" width="13" customWidth="1"/>
    <col min="3598" max="3599" width="13.5703125" customWidth="1"/>
    <col min="3600" max="3600" width="12.42578125" customWidth="1"/>
    <col min="3601" max="3601" width="13.7109375" bestFit="1" customWidth="1"/>
    <col min="3843" max="3843" width="15.42578125" customWidth="1"/>
    <col min="3844" max="3844" width="20.85546875" customWidth="1"/>
    <col min="3845" max="3845" width="18.7109375" customWidth="1"/>
    <col min="3846" max="3846" width="14.42578125" customWidth="1"/>
    <col min="3847" max="3847" width="16.5703125" customWidth="1"/>
    <col min="3848" max="3848" width="18.5703125" customWidth="1"/>
    <col min="3849" max="3849" width="12.85546875" customWidth="1"/>
    <col min="3850" max="3850" width="17.28515625" customWidth="1"/>
    <col min="3851" max="3851" width="13" customWidth="1"/>
    <col min="3852" max="3852" width="14.140625" customWidth="1"/>
    <col min="3853" max="3853" width="13" customWidth="1"/>
    <col min="3854" max="3855" width="13.5703125" customWidth="1"/>
    <col min="3856" max="3856" width="12.42578125" customWidth="1"/>
    <col min="3857" max="3857" width="13.7109375" bestFit="1" customWidth="1"/>
    <col min="4099" max="4099" width="15.42578125" customWidth="1"/>
    <col min="4100" max="4100" width="20.85546875" customWidth="1"/>
    <col min="4101" max="4101" width="18.7109375" customWidth="1"/>
    <col min="4102" max="4102" width="14.42578125" customWidth="1"/>
    <col min="4103" max="4103" width="16.5703125" customWidth="1"/>
    <col min="4104" max="4104" width="18.5703125" customWidth="1"/>
    <col min="4105" max="4105" width="12.85546875" customWidth="1"/>
    <col min="4106" max="4106" width="17.28515625" customWidth="1"/>
    <col min="4107" max="4107" width="13" customWidth="1"/>
    <col min="4108" max="4108" width="14.140625" customWidth="1"/>
    <col min="4109" max="4109" width="13" customWidth="1"/>
    <col min="4110" max="4111" width="13.5703125" customWidth="1"/>
    <col min="4112" max="4112" width="12.42578125" customWidth="1"/>
    <col min="4113" max="4113" width="13.7109375" bestFit="1" customWidth="1"/>
    <col min="4355" max="4355" width="15.42578125" customWidth="1"/>
    <col min="4356" max="4356" width="20.85546875" customWidth="1"/>
    <col min="4357" max="4357" width="18.7109375" customWidth="1"/>
    <col min="4358" max="4358" width="14.42578125" customWidth="1"/>
    <col min="4359" max="4359" width="16.5703125" customWidth="1"/>
    <col min="4360" max="4360" width="18.5703125" customWidth="1"/>
    <col min="4361" max="4361" width="12.85546875" customWidth="1"/>
    <col min="4362" max="4362" width="17.28515625" customWidth="1"/>
    <col min="4363" max="4363" width="13" customWidth="1"/>
    <col min="4364" max="4364" width="14.140625" customWidth="1"/>
    <col min="4365" max="4365" width="13" customWidth="1"/>
    <col min="4366" max="4367" width="13.5703125" customWidth="1"/>
    <col min="4368" max="4368" width="12.42578125" customWidth="1"/>
    <col min="4369" max="4369" width="13.7109375" bestFit="1" customWidth="1"/>
    <col min="4611" max="4611" width="15.42578125" customWidth="1"/>
    <col min="4612" max="4612" width="20.85546875" customWidth="1"/>
    <col min="4613" max="4613" width="18.7109375" customWidth="1"/>
    <col min="4614" max="4614" width="14.42578125" customWidth="1"/>
    <col min="4615" max="4615" width="16.5703125" customWidth="1"/>
    <col min="4616" max="4616" width="18.5703125" customWidth="1"/>
    <col min="4617" max="4617" width="12.85546875" customWidth="1"/>
    <col min="4618" max="4618" width="17.28515625" customWidth="1"/>
    <col min="4619" max="4619" width="13" customWidth="1"/>
    <col min="4620" max="4620" width="14.140625" customWidth="1"/>
    <col min="4621" max="4621" width="13" customWidth="1"/>
    <col min="4622" max="4623" width="13.5703125" customWidth="1"/>
    <col min="4624" max="4624" width="12.42578125" customWidth="1"/>
    <col min="4625" max="4625" width="13.7109375" bestFit="1" customWidth="1"/>
    <col min="4867" max="4867" width="15.42578125" customWidth="1"/>
    <col min="4868" max="4868" width="20.85546875" customWidth="1"/>
    <col min="4869" max="4869" width="18.7109375" customWidth="1"/>
    <col min="4870" max="4870" width="14.42578125" customWidth="1"/>
    <col min="4871" max="4871" width="16.5703125" customWidth="1"/>
    <col min="4872" max="4872" width="18.5703125" customWidth="1"/>
    <col min="4873" max="4873" width="12.85546875" customWidth="1"/>
    <col min="4874" max="4874" width="17.28515625" customWidth="1"/>
    <col min="4875" max="4875" width="13" customWidth="1"/>
    <col min="4876" max="4876" width="14.140625" customWidth="1"/>
    <col min="4877" max="4877" width="13" customWidth="1"/>
    <col min="4878" max="4879" width="13.5703125" customWidth="1"/>
    <col min="4880" max="4880" width="12.42578125" customWidth="1"/>
    <col min="4881" max="4881" width="13.7109375" bestFit="1" customWidth="1"/>
    <col min="5123" max="5123" width="15.42578125" customWidth="1"/>
    <col min="5124" max="5124" width="20.85546875" customWidth="1"/>
    <col min="5125" max="5125" width="18.7109375" customWidth="1"/>
    <col min="5126" max="5126" width="14.42578125" customWidth="1"/>
    <col min="5127" max="5127" width="16.5703125" customWidth="1"/>
    <col min="5128" max="5128" width="18.5703125" customWidth="1"/>
    <col min="5129" max="5129" width="12.85546875" customWidth="1"/>
    <col min="5130" max="5130" width="17.28515625" customWidth="1"/>
    <col min="5131" max="5131" width="13" customWidth="1"/>
    <col min="5132" max="5132" width="14.140625" customWidth="1"/>
    <col min="5133" max="5133" width="13" customWidth="1"/>
    <col min="5134" max="5135" width="13.5703125" customWidth="1"/>
    <col min="5136" max="5136" width="12.42578125" customWidth="1"/>
    <col min="5137" max="5137" width="13.7109375" bestFit="1" customWidth="1"/>
    <col min="5379" max="5379" width="15.42578125" customWidth="1"/>
    <col min="5380" max="5380" width="20.85546875" customWidth="1"/>
    <col min="5381" max="5381" width="18.7109375" customWidth="1"/>
    <col min="5382" max="5382" width="14.42578125" customWidth="1"/>
    <col min="5383" max="5383" width="16.5703125" customWidth="1"/>
    <col min="5384" max="5384" width="18.5703125" customWidth="1"/>
    <col min="5385" max="5385" width="12.85546875" customWidth="1"/>
    <col min="5386" max="5386" width="17.28515625" customWidth="1"/>
    <col min="5387" max="5387" width="13" customWidth="1"/>
    <col min="5388" max="5388" width="14.140625" customWidth="1"/>
    <col min="5389" max="5389" width="13" customWidth="1"/>
    <col min="5390" max="5391" width="13.5703125" customWidth="1"/>
    <col min="5392" max="5392" width="12.42578125" customWidth="1"/>
    <col min="5393" max="5393" width="13.7109375" bestFit="1" customWidth="1"/>
    <col min="5635" max="5635" width="15.42578125" customWidth="1"/>
    <col min="5636" max="5636" width="20.85546875" customWidth="1"/>
    <col min="5637" max="5637" width="18.7109375" customWidth="1"/>
    <col min="5638" max="5638" width="14.42578125" customWidth="1"/>
    <col min="5639" max="5639" width="16.5703125" customWidth="1"/>
    <col min="5640" max="5640" width="18.5703125" customWidth="1"/>
    <col min="5641" max="5641" width="12.85546875" customWidth="1"/>
    <col min="5642" max="5642" width="17.28515625" customWidth="1"/>
    <col min="5643" max="5643" width="13" customWidth="1"/>
    <col min="5644" max="5644" width="14.140625" customWidth="1"/>
    <col min="5645" max="5645" width="13" customWidth="1"/>
    <col min="5646" max="5647" width="13.5703125" customWidth="1"/>
    <col min="5648" max="5648" width="12.42578125" customWidth="1"/>
    <col min="5649" max="5649" width="13.7109375" bestFit="1" customWidth="1"/>
    <col min="5891" max="5891" width="15.42578125" customWidth="1"/>
    <col min="5892" max="5892" width="20.85546875" customWidth="1"/>
    <col min="5893" max="5893" width="18.7109375" customWidth="1"/>
    <col min="5894" max="5894" width="14.42578125" customWidth="1"/>
    <col min="5895" max="5895" width="16.5703125" customWidth="1"/>
    <col min="5896" max="5896" width="18.5703125" customWidth="1"/>
    <col min="5897" max="5897" width="12.85546875" customWidth="1"/>
    <col min="5898" max="5898" width="17.28515625" customWidth="1"/>
    <col min="5899" max="5899" width="13" customWidth="1"/>
    <col min="5900" max="5900" width="14.140625" customWidth="1"/>
    <col min="5901" max="5901" width="13" customWidth="1"/>
    <col min="5902" max="5903" width="13.5703125" customWidth="1"/>
    <col min="5904" max="5904" width="12.42578125" customWidth="1"/>
    <col min="5905" max="5905" width="13.7109375" bestFit="1" customWidth="1"/>
    <col min="6147" max="6147" width="15.42578125" customWidth="1"/>
    <col min="6148" max="6148" width="20.85546875" customWidth="1"/>
    <col min="6149" max="6149" width="18.7109375" customWidth="1"/>
    <col min="6150" max="6150" width="14.42578125" customWidth="1"/>
    <col min="6151" max="6151" width="16.5703125" customWidth="1"/>
    <col min="6152" max="6152" width="18.5703125" customWidth="1"/>
    <col min="6153" max="6153" width="12.85546875" customWidth="1"/>
    <col min="6154" max="6154" width="17.28515625" customWidth="1"/>
    <col min="6155" max="6155" width="13" customWidth="1"/>
    <col min="6156" max="6156" width="14.140625" customWidth="1"/>
    <col min="6157" max="6157" width="13" customWidth="1"/>
    <col min="6158" max="6159" width="13.5703125" customWidth="1"/>
    <col min="6160" max="6160" width="12.42578125" customWidth="1"/>
    <col min="6161" max="6161" width="13.7109375" bestFit="1" customWidth="1"/>
    <col min="6403" max="6403" width="15.42578125" customWidth="1"/>
    <col min="6404" max="6404" width="20.85546875" customWidth="1"/>
    <col min="6405" max="6405" width="18.7109375" customWidth="1"/>
    <col min="6406" max="6406" width="14.42578125" customWidth="1"/>
    <col min="6407" max="6407" width="16.5703125" customWidth="1"/>
    <col min="6408" max="6408" width="18.5703125" customWidth="1"/>
    <col min="6409" max="6409" width="12.85546875" customWidth="1"/>
    <col min="6410" max="6410" width="17.28515625" customWidth="1"/>
    <col min="6411" max="6411" width="13" customWidth="1"/>
    <col min="6412" max="6412" width="14.140625" customWidth="1"/>
    <col min="6413" max="6413" width="13" customWidth="1"/>
    <col min="6414" max="6415" width="13.5703125" customWidth="1"/>
    <col min="6416" max="6416" width="12.42578125" customWidth="1"/>
    <col min="6417" max="6417" width="13.7109375" bestFit="1" customWidth="1"/>
    <col min="6659" max="6659" width="15.42578125" customWidth="1"/>
    <col min="6660" max="6660" width="20.85546875" customWidth="1"/>
    <col min="6661" max="6661" width="18.7109375" customWidth="1"/>
    <col min="6662" max="6662" width="14.42578125" customWidth="1"/>
    <col min="6663" max="6663" width="16.5703125" customWidth="1"/>
    <col min="6664" max="6664" width="18.5703125" customWidth="1"/>
    <col min="6665" max="6665" width="12.85546875" customWidth="1"/>
    <col min="6666" max="6666" width="17.28515625" customWidth="1"/>
    <col min="6667" max="6667" width="13" customWidth="1"/>
    <col min="6668" max="6668" width="14.140625" customWidth="1"/>
    <col min="6669" max="6669" width="13" customWidth="1"/>
    <col min="6670" max="6671" width="13.5703125" customWidth="1"/>
    <col min="6672" max="6672" width="12.42578125" customWidth="1"/>
    <col min="6673" max="6673" width="13.7109375" bestFit="1" customWidth="1"/>
    <col min="6915" max="6915" width="15.42578125" customWidth="1"/>
    <col min="6916" max="6916" width="20.85546875" customWidth="1"/>
    <col min="6917" max="6917" width="18.7109375" customWidth="1"/>
    <col min="6918" max="6918" width="14.42578125" customWidth="1"/>
    <col min="6919" max="6919" width="16.5703125" customWidth="1"/>
    <col min="6920" max="6920" width="18.5703125" customWidth="1"/>
    <col min="6921" max="6921" width="12.85546875" customWidth="1"/>
    <col min="6922" max="6922" width="17.28515625" customWidth="1"/>
    <col min="6923" max="6923" width="13" customWidth="1"/>
    <col min="6924" max="6924" width="14.140625" customWidth="1"/>
    <col min="6925" max="6925" width="13" customWidth="1"/>
    <col min="6926" max="6927" width="13.5703125" customWidth="1"/>
    <col min="6928" max="6928" width="12.42578125" customWidth="1"/>
    <col min="6929" max="6929" width="13.7109375" bestFit="1" customWidth="1"/>
    <col min="7171" max="7171" width="15.42578125" customWidth="1"/>
    <col min="7172" max="7172" width="20.85546875" customWidth="1"/>
    <col min="7173" max="7173" width="18.7109375" customWidth="1"/>
    <col min="7174" max="7174" width="14.42578125" customWidth="1"/>
    <col min="7175" max="7175" width="16.5703125" customWidth="1"/>
    <col min="7176" max="7176" width="18.5703125" customWidth="1"/>
    <col min="7177" max="7177" width="12.85546875" customWidth="1"/>
    <col min="7178" max="7178" width="17.28515625" customWidth="1"/>
    <col min="7179" max="7179" width="13" customWidth="1"/>
    <col min="7180" max="7180" width="14.140625" customWidth="1"/>
    <col min="7181" max="7181" width="13" customWidth="1"/>
    <col min="7182" max="7183" width="13.5703125" customWidth="1"/>
    <col min="7184" max="7184" width="12.42578125" customWidth="1"/>
    <col min="7185" max="7185" width="13.7109375" bestFit="1" customWidth="1"/>
    <col min="7427" max="7427" width="15.42578125" customWidth="1"/>
    <col min="7428" max="7428" width="20.85546875" customWidth="1"/>
    <col min="7429" max="7429" width="18.7109375" customWidth="1"/>
    <col min="7430" max="7430" width="14.42578125" customWidth="1"/>
    <col min="7431" max="7431" width="16.5703125" customWidth="1"/>
    <col min="7432" max="7432" width="18.5703125" customWidth="1"/>
    <col min="7433" max="7433" width="12.85546875" customWidth="1"/>
    <col min="7434" max="7434" width="17.28515625" customWidth="1"/>
    <col min="7435" max="7435" width="13" customWidth="1"/>
    <col min="7436" max="7436" width="14.140625" customWidth="1"/>
    <col min="7437" max="7437" width="13" customWidth="1"/>
    <col min="7438" max="7439" width="13.5703125" customWidth="1"/>
    <col min="7440" max="7440" width="12.42578125" customWidth="1"/>
    <col min="7441" max="7441" width="13.7109375" bestFit="1" customWidth="1"/>
    <col min="7683" max="7683" width="15.42578125" customWidth="1"/>
    <col min="7684" max="7684" width="20.85546875" customWidth="1"/>
    <col min="7685" max="7685" width="18.7109375" customWidth="1"/>
    <col min="7686" max="7686" width="14.42578125" customWidth="1"/>
    <col min="7687" max="7687" width="16.5703125" customWidth="1"/>
    <col min="7688" max="7688" width="18.5703125" customWidth="1"/>
    <col min="7689" max="7689" width="12.85546875" customWidth="1"/>
    <col min="7690" max="7690" width="17.28515625" customWidth="1"/>
    <col min="7691" max="7691" width="13" customWidth="1"/>
    <col min="7692" max="7692" width="14.140625" customWidth="1"/>
    <col min="7693" max="7693" width="13" customWidth="1"/>
    <col min="7694" max="7695" width="13.5703125" customWidth="1"/>
    <col min="7696" max="7696" width="12.42578125" customWidth="1"/>
    <col min="7697" max="7697" width="13.7109375" bestFit="1" customWidth="1"/>
    <col min="7939" max="7939" width="15.42578125" customWidth="1"/>
    <col min="7940" max="7940" width="20.85546875" customWidth="1"/>
    <col min="7941" max="7941" width="18.7109375" customWidth="1"/>
    <col min="7942" max="7942" width="14.42578125" customWidth="1"/>
    <col min="7943" max="7943" width="16.5703125" customWidth="1"/>
    <col min="7944" max="7944" width="18.5703125" customWidth="1"/>
    <col min="7945" max="7945" width="12.85546875" customWidth="1"/>
    <col min="7946" max="7946" width="17.28515625" customWidth="1"/>
    <col min="7947" max="7947" width="13" customWidth="1"/>
    <col min="7948" max="7948" width="14.140625" customWidth="1"/>
    <col min="7949" max="7949" width="13" customWidth="1"/>
    <col min="7950" max="7951" width="13.5703125" customWidth="1"/>
    <col min="7952" max="7952" width="12.42578125" customWidth="1"/>
    <col min="7953" max="7953" width="13.7109375" bestFit="1" customWidth="1"/>
    <col min="8195" max="8195" width="15.42578125" customWidth="1"/>
    <col min="8196" max="8196" width="20.85546875" customWidth="1"/>
    <col min="8197" max="8197" width="18.7109375" customWidth="1"/>
    <col min="8198" max="8198" width="14.42578125" customWidth="1"/>
    <col min="8199" max="8199" width="16.5703125" customWidth="1"/>
    <col min="8200" max="8200" width="18.5703125" customWidth="1"/>
    <col min="8201" max="8201" width="12.85546875" customWidth="1"/>
    <col min="8202" max="8202" width="17.28515625" customWidth="1"/>
    <col min="8203" max="8203" width="13" customWidth="1"/>
    <col min="8204" max="8204" width="14.140625" customWidth="1"/>
    <col min="8205" max="8205" width="13" customWidth="1"/>
    <col min="8206" max="8207" width="13.5703125" customWidth="1"/>
    <col min="8208" max="8208" width="12.42578125" customWidth="1"/>
    <col min="8209" max="8209" width="13.7109375" bestFit="1" customWidth="1"/>
    <col min="8451" max="8451" width="15.42578125" customWidth="1"/>
    <col min="8452" max="8452" width="20.85546875" customWidth="1"/>
    <col min="8453" max="8453" width="18.7109375" customWidth="1"/>
    <col min="8454" max="8454" width="14.42578125" customWidth="1"/>
    <col min="8455" max="8455" width="16.5703125" customWidth="1"/>
    <col min="8456" max="8456" width="18.5703125" customWidth="1"/>
    <col min="8457" max="8457" width="12.85546875" customWidth="1"/>
    <col min="8458" max="8458" width="17.28515625" customWidth="1"/>
    <col min="8459" max="8459" width="13" customWidth="1"/>
    <col min="8460" max="8460" width="14.140625" customWidth="1"/>
    <col min="8461" max="8461" width="13" customWidth="1"/>
    <col min="8462" max="8463" width="13.5703125" customWidth="1"/>
    <col min="8464" max="8464" width="12.42578125" customWidth="1"/>
    <col min="8465" max="8465" width="13.7109375" bestFit="1" customWidth="1"/>
    <col min="8707" max="8707" width="15.42578125" customWidth="1"/>
    <col min="8708" max="8708" width="20.85546875" customWidth="1"/>
    <col min="8709" max="8709" width="18.7109375" customWidth="1"/>
    <col min="8710" max="8710" width="14.42578125" customWidth="1"/>
    <col min="8711" max="8711" width="16.5703125" customWidth="1"/>
    <col min="8712" max="8712" width="18.5703125" customWidth="1"/>
    <col min="8713" max="8713" width="12.85546875" customWidth="1"/>
    <col min="8714" max="8714" width="17.28515625" customWidth="1"/>
    <col min="8715" max="8715" width="13" customWidth="1"/>
    <col min="8716" max="8716" width="14.140625" customWidth="1"/>
    <col min="8717" max="8717" width="13" customWidth="1"/>
    <col min="8718" max="8719" width="13.5703125" customWidth="1"/>
    <col min="8720" max="8720" width="12.42578125" customWidth="1"/>
    <col min="8721" max="8721" width="13.7109375" bestFit="1" customWidth="1"/>
    <col min="8963" max="8963" width="15.42578125" customWidth="1"/>
    <col min="8964" max="8964" width="20.85546875" customWidth="1"/>
    <col min="8965" max="8965" width="18.7109375" customWidth="1"/>
    <col min="8966" max="8966" width="14.42578125" customWidth="1"/>
    <col min="8967" max="8967" width="16.5703125" customWidth="1"/>
    <col min="8968" max="8968" width="18.5703125" customWidth="1"/>
    <col min="8969" max="8969" width="12.85546875" customWidth="1"/>
    <col min="8970" max="8970" width="17.28515625" customWidth="1"/>
    <col min="8971" max="8971" width="13" customWidth="1"/>
    <col min="8972" max="8972" width="14.140625" customWidth="1"/>
    <col min="8973" max="8973" width="13" customWidth="1"/>
    <col min="8974" max="8975" width="13.5703125" customWidth="1"/>
    <col min="8976" max="8976" width="12.42578125" customWidth="1"/>
    <col min="8977" max="8977" width="13.7109375" bestFit="1" customWidth="1"/>
    <col min="9219" max="9219" width="15.42578125" customWidth="1"/>
    <col min="9220" max="9220" width="20.85546875" customWidth="1"/>
    <col min="9221" max="9221" width="18.7109375" customWidth="1"/>
    <col min="9222" max="9222" width="14.42578125" customWidth="1"/>
    <col min="9223" max="9223" width="16.5703125" customWidth="1"/>
    <col min="9224" max="9224" width="18.5703125" customWidth="1"/>
    <col min="9225" max="9225" width="12.85546875" customWidth="1"/>
    <col min="9226" max="9226" width="17.28515625" customWidth="1"/>
    <col min="9227" max="9227" width="13" customWidth="1"/>
    <col min="9228" max="9228" width="14.140625" customWidth="1"/>
    <col min="9229" max="9229" width="13" customWidth="1"/>
    <col min="9230" max="9231" width="13.5703125" customWidth="1"/>
    <col min="9232" max="9232" width="12.42578125" customWidth="1"/>
    <col min="9233" max="9233" width="13.7109375" bestFit="1" customWidth="1"/>
    <col min="9475" max="9475" width="15.42578125" customWidth="1"/>
    <col min="9476" max="9476" width="20.85546875" customWidth="1"/>
    <col min="9477" max="9477" width="18.7109375" customWidth="1"/>
    <col min="9478" max="9478" width="14.42578125" customWidth="1"/>
    <col min="9479" max="9479" width="16.5703125" customWidth="1"/>
    <col min="9480" max="9480" width="18.5703125" customWidth="1"/>
    <col min="9481" max="9481" width="12.85546875" customWidth="1"/>
    <col min="9482" max="9482" width="17.28515625" customWidth="1"/>
    <col min="9483" max="9483" width="13" customWidth="1"/>
    <col min="9484" max="9484" width="14.140625" customWidth="1"/>
    <col min="9485" max="9485" width="13" customWidth="1"/>
    <col min="9486" max="9487" width="13.5703125" customWidth="1"/>
    <col min="9488" max="9488" width="12.42578125" customWidth="1"/>
    <col min="9489" max="9489" width="13.7109375" bestFit="1" customWidth="1"/>
    <col min="9731" max="9731" width="15.42578125" customWidth="1"/>
    <col min="9732" max="9732" width="20.85546875" customWidth="1"/>
    <col min="9733" max="9733" width="18.7109375" customWidth="1"/>
    <col min="9734" max="9734" width="14.42578125" customWidth="1"/>
    <col min="9735" max="9735" width="16.5703125" customWidth="1"/>
    <col min="9736" max="9736" width="18.5703125" customWidth="1"/>
    <col min="9737" max="9737" width="12.85546875" customWidth="1"/>
    <col min="9738" max="9738" width="17.28515625" customWidth="1"/>
    <col min="9739" max="9739" width="13" customWidth="1"/>
    <col min="9740" max="9740" width="14.140625" customWidth="1"/>
    <col min="9741" max="9741" width="13" customWidth="1"/>
    <col min="9742" max="9743" width="13.5703125" customWidth="1"/>
    <col min="9744" max="9744" width="12.42578125" customWidth="1"/>
    <col min="9745" max="9745" width="13.7109375" bestFit="1" customWidth="1"/>
    <col min="9987" max="9987" width="15.42578125" customWidth="1"/>
    <col min="9988" max="9988" width="20.85546875" customWidth="1"/>
    <col min="9989" max="9989" width="18.7109375" customWidth="1"/>
    <col min="9990" max="9990" width="14.42578125" customWidth="1"/>
    <col min="9991" max="9991" width="16.5703125" customWidth="1"/>
    <col min="9992" max="9992" width="18.5703125" customWidth="1"/>
    <col min="9993" max="9993" width="12.85546875" customWidth="1"/>
    <col min="9994" max="9994" width="17.28515625" customWidth="1"/>
    <col min="9995" max="9995" width="13" customWidth="1"/>
    <col min="9996" max="9996" width="14.140625" customWidth="1"/>
    <col min="9997" max="9997" width="13" customWidth="1"/>
    <col min="9998" max="9999" width="13.5703125" customWidth="1"/>
    <col min="10000" max="10000" width="12.42578125" customWidth="1"/>
    <col min="10001" max="10001" width="13.7109375" bestFit="1" customWidth="1"/>
    <col min="10243" max="10243" width="15.42578125" customWidth="1"/>
    <col min="10244" max="10244" width="20.85546875" customWidth="1"/>
    <col min="10245" max="10245" width="18.7109375" customWidth="1"/>
    <col min="10246" max="10246" width="14.42578125" customWidth="1"/>
    <col min="10247" max="10247" width="16.5703125" customWidth="1"/>
    <col min="10248" max="10248" width="18.5703125" customWidth="1"/>
    <col min="10249" max="10249" width="12.85546875" customWidth="1"/>
    <col min="10250" max="10250" width="17.28515625" customWidth="1"/>
    <col min="10251" max="10251" width="13" customWidth="1"/>
    <col min="10252" max="10252" width="14.140625" customWidth="1"/>
    <col min="10253" max="10253" width="13" customWidth="1"/>
    <col min="10254" max="10255" width="13.5703125" customWidth="1"/>
    <col min="10256" max="10256" width="12.42578125" customWidth="1"/>
    <col min="10257" max="10257" width="13.7109375" bestFit="1" customWidth="1"/>
    <col min="10499" max="10499" width="15.42578125" customWidth="1"/>
    <col min="10500" max="10500" width="20.85546875" customWidth="1"/>
    <col min="10501" max="10501" width="18.7109375" customWidth="1"/>
    <col min="10502" max="10502" width="14.42578125" customWidth="1"/>
    <col min="10503" max="10503" width="16.5703125" customWidth="1"/>
    <col min="10504" max="10504" width="18.5703125" customWidth="1"/>
    <col min="10505" max="10505" width="12.85546875" customWidth="1"/>
    <col min="10506" max="10506" width="17.28515625" customWidth="1"/>
    <col min="10507" max="10507" width="13" customWidth="1"/>
    <col min="10508" max="10508" width="14.140625" customWidth="1"/>
    <col min="10509" max="10509" width="13" customWidth="1"/>
    <col min="10510" max="10511" width="13.5703125" customWidth="1"/>
    <col min="10512" max="10512" width="12.42578125" customWidth="1"/>
    <col min="10513" max="10513" width="13.7109375" bestFit="1" customWidth="1"/>
    <col min="10755" max="10755" width="15.42578125" customWidth="1"/>
    <col min="10756" max="10756" width="20.85546875" customWidth="1"/>
    <col min="10757" max="10757" width="18.7109375" customWidth="1"/>
    <col min="10758" max="10758" width="14.42578125" customWidth="1"/>
    <col min="10759" max="10759" width="16.5703125" customWidth="1"/>
    <col min="10760" max="10760" width="18.5703125" customWidth="1"/>
    <col min="10761" max="10761" width="12.85546875" customWidth="1"/>
    <col min="10762" max="10762" width="17.28515625" customWidth="1"/>
    <col min="10763" max="10763" width="13" customWidth="1"/>
    <col min="10764" max="10764" width="14.140625" customWidth="1"/>
    <col min="10765" max="10765" width="13" customWidth="1"/>
    <col min="10766" max="10767" width="13.5703125" customWidth="1"/>
    <col min="10768" max="10768" width="12.42578125" customWidth="1"/>
    <col min="10769" max="10769" width="13.7109375" bestFit="1" customWidth="1"/>
    <col min="11011" max="11011" width="15.42578125" customWidth="1"/>
    <col min="11012" max="11012" width="20.85546875" customWidth="1"/>
    <col min="11013" max="11013" width="18.7109375" customWidth="1"/>
    <col min="11014" max="11014" width="14.42578125" customWidth="1"/>
    <col min="11015" max="11015" width="16.5703125" customWidth="1"/>
    <col min="11016" max="11016" width="18.5703125" customWidth="1"/>
    <col min="11017" max="11017" width="12.85546875" customWidth="1"/>
    <col min="11018" max="11018" width="17.28515625" customWidth="1"/>
    <col min="11019" max="11019" width="13" customWidth="1"/>
    <col min="11020" max="11020" width="14.140625" customWidth="1"/>
    <col min="11021" max="11021" width="13" customWidth="1"/>
    <col min="11022" max="11023" width="13.5703125" customWidth="1"/>
    <col min="11024" max="11024" width="12.42578125" customWidth="1"/>
    <col min="11025" max="11025" width="13.7109375" bestFit="1" customWidth="1"/>
    <col min="11267" max="11267" width="15.42578125" customWidth="1"/>
    <col min="11268" max="11268" width="20.85546875" customWidth="1"/>
    <col min="11269" max="11269" width="18.7109375" customWidth="1"/>
    <col min="11270" max="11270" width="14.42578125" customWidth="1"/>
    <col min="11271" max="11271" width="16.5703125" customWidth="1"/>
    <col min="11272" max="11272" width="18.5703125" customWidth="1"/>
    <col min="11273" max="11273" width="12.85546875" customWidth="1"/>
    <col min="11274" max="11274" width="17.28515625" customWidth="1"/>
    <col min="11275" max="11275" width="13" customWidth="1"/>
    <col min="11276" max="11276" width="14.140625" customWidth="1"/>
    <col min="11277" max="11277" width="13" customWidth="1"/>
    <col min="11278" max="11279" width="13.5703125" customWidth="1"/>
    <col min="11280" max="11280" width="12.42578125" customWidth="1"/>
    <col min="11281" max="11281" width="13.7109375" bestFit="1" customWidth="1"/>
    <col min="11523" max="11523" width="15.42578125" customWidth="1"/>
    <col min="11524" max="11524" width="20.85546875" customWidth="1"/>
    <col min="11525" max="11525" width="18.7109375" customWidth="1"/>
    <col min="11526" max="11526" width="14.42578125" customWidth="1"/>
    <col min="11527" max="11527" width="16.5703125" customWidth="1"/>
    <col min="11528" max="11528" width="18.5703125" customWidth="1"/>
    <col min="11529" max="11529" width="12.85546875" customWidth="1"/>
    <col min="11530" max="11530" width="17.28515625" customWidth="1"/>
    <col min="11531" max="11531" width="13" customWidth="1"/>
    <col min="11532" max="11532" width="14.140625" customWidth="1"/>
    <col min="11533" max="11533" width="13" customWidth="1"/>
    <col min="11534" max="11535" width="13.5703125" customWidth="1"/>
    <col min="11536" max="11536" width="12.42578125" customWidth="1"/>
    <col min="11537" max="11537" width="13.7109375" bestFit="1" customWidth="1"/>
    <col min="11779" max="11779" width="15.42578125" customWidth="1"/>
    <col min="11780" max="11780" width="20.85546875" customWidth="1"/>
    <col min="11781" max="11781" width="18.7109375" customWidth="1"/>
    <col min="11782" max="11782" width="14.42578125" customWidth="1"/>
    <col min="11783" max="11783" width="16.5703125" customWidth="1"/>
    <col min="11784" max="11784" width="18.5703125" customWidth="1"/>
    <col min="11785" max="11785" width="12.85546875" customWidth="1"/>
    <col min="11786" max="11786" width="17.28515625" customWidth="1"/>
    <col min="11787" max="11787" width="13" customWidth="1"/>
    <col min="11788" max="11788" width="14.140625" customWidth="1"/>
    <col min="11789" max="11789" width="13" customWidth="1"/>
    <col min="11790" max="11791" width="13.5703125" customWidth="1"/>
    <col min="11792" max="11792" width="12.42578125" customWidth="1"/>
    <col min="11793" max="11793" width="13.7109375" bestFit="1" customWidth="1"/>
    <col min="12035" max="12035" width="15.42578125" customWidth="1"/>
    <col min="12036" max="12036" width="20.85546875" customWidth="1"/>
    <col min="12037" max="12037" width="18.7109375" customWidth="1"/>
    <col min="12038" max="12038" width="14.42578125" customWidth="1"/>
    <col min="12039" max="12039" width="16.5703125" customWidth="1"/>
    <col min="12040" max="12040" width="18.5703125" customWidth="1"/>
    <col min="12041" max="12041" width="12.85546875" customWidth="1"/>
    <col min="12042" max="12042" width="17.28515625" customWidth="1"/>
    <col min="12043" max="12043" width="13" customWidth="1"/>
    <col min="12044" max="12044" width="14.140625" customWidth="1"/>
    <col min="12045" max="12045" width="13" customWidth="1"/>
    <col min="12046" max="12047" width="13.5703125" customWidth="1"/>
    <col min="12048" max="12048" width="12.42578125" customWidth="1"/>
    <col min="12049" max="12049" width="13.7109375" bestFit="1" customWidth="1"/>
    <col min="12291" max="12291" width="15.42578125" customWidth="1"/>
    <col min="12292" max="12292" width="20.85546875" customWidth="1"/>
    <col min="12293" max="12293" width="18.7109375" customWidth="1"/>
    <col min="12294" max="12294" width="14.42578125" customWidth="1"/>
    <col min="12295" max="12295" width="16.5703125" customWidth="1"/>
    <col min="12296" max="12296" width="18.5703125" customWidth="1"/>
    <col min="12297" max="12297" width="12.85546875" customWidth="1"/>
    <col min="12298" max="12298" width="17.28515625" customWidth="1"/>
    <col min="12299" max="12299" width="13" customWidth="1"/>
    <col min="12300" max="12300" width="14.140625" customWidth="1"/>
    <col min="12301" max="12301" width="13" customWidth="1"/>
    <col min="12302" max="12303" width="13.5703125" customWidth="1"/>
    <col min="12304" max="12304" width="12.42578125" customWidth="1"/>
    <col min="12305" max="12305" width="13.7109375" bestFit="1" customWidth="1"/>
    <col min="12547" max="12547" width="15.42578125" customWidth="1"/>
    <col min="12548" max="12548" width="20.85546875" customWidth="1"/>
    <col min="12549" max="12549" width="18.7109375" customWidth="1"/>
    <col min="12550" max="12550" width="14.42578125" customWidth="1"/>
    <col min="12551" max="12551" width="16.5703125" customWidth="1"/>
    <col min="12552" max="12552" width="18.5703125" customWidth="1"/>
    <col min="12553" max="12553" width="12.85546875" customWidth="1"/>
    <col min="12554" max="12554" width="17.28515625" customWidth="1"/>
    <col min="12555" max="12555" width="13" customWidth="1"/>
    <col min="12556" max="12556" width="14.140625" customWidth="1"/>
    <col min="12557" max="12557" width="13" customWidth="1"/>
    <col min="12558" max="12559" width="13.5703125" customWidth="1"/>
    <col min="12560" max="12560" width="12.42578125" customWidth="1"/>
    <col min="12561" max="12561" width="13.7109375" bestFit="1" customWidth="1"/>
    <col min="12803" max="12803" width="15.42578125" customWidth="1"/>
    <col min="12804" max="12804" width="20.85546875" customWidth="1"/>
    <col min="12805" max="12805" width="18.7109375" customWidth="1"/>
    <col min="12806" max="12806" width="14.42578125" customWidth="1"/>
    <col min="12807" max="12807" width="16.5703125" customWidth="1"/>
    <col min="12808" max="12808" width="18.5703125" customWidth="1"/>
    <col min="12809" max="12809" width="12.85546875" customWidth="1"/>
    <col min="12810" max="12810" width="17.28515625" customWidth="1"/>
    <col min="12811" max="12811" width="13" customWidth="1"/>
    <col min="12812" max="12812" width="14.140625" customWidth="1"/>
    <col min="12813" max="12813" width="13" customWidth="1"/>
    <col min="12814" max="12815" width="13.5703125" customWidth="1"/>
    <col min="12816" max="12816" width="12.42578125" customWidth="1"/>
    <col min="12817" max="12817" width="13.7109375" bestFit="1" customWidth="1"/>
    <col min="13059" max="13059" width="15.42578125" customWidth="1"/>
    <col min="13060" max="13060" width="20.85546875" customWidth="1"/>
    <col min="13061" max="13061" width="18.7109375" customWidth="1"/>
    <col min="13062" max="13062" width="14.42578125" customWidth="1"/>
    <col min="13063" max="13063" width="16.5703125" customWidth="1"/>
    <col min="13064" max="13064" width="18.5703125" customWidth="1"/>
    <col min="13065" max="13065" width="12.85546875" customWidth="1"/>
    <col min="13066" max="13066" width="17.28515625" customWidth="1"/>
    <col min="13067" max="13067" width="13" customWidth="1"/>
    <col min="13068" max="13068" width="14.140625" customWidth="1"/>
    <col min="13069" max="13069" width="13" customWidth="1"/>
    <col min="13070" max="13071" width="13.5703125" customWidth="1"/>
    <col min="13072" max="13072" width="12.42578125" customWidth="1"/>
    <col min="13073" max="13073" width="13.7109375" bestFit="1" customWidth="1"/>
    <col min="13315" max="13315" width="15.42578125" customWidth="1"/>
    <col min="13316" max="13316" width="20.85546875" customWidth="1"/>
    <col min="13317" max="13317" width="18.7109375" customWidth="1"/>
    <col min="13318" max="13318" width="14.42578125" customWidth="1"/>
    <col min="13319" max="13319" width="16.5703125" customWidth="1"/>
    <col min="13320" max="13320" width="18.5703125" customWidth="1"/>
    <col min="13321" max="13321" width="12.85546875" customWidth="1"/>
    <col min="13322" max="13322" width="17.28515625" customWidth="1"/>
    <col min="13323" max="13323" width="13" customWidth="1"/>
    <col min="13324" max="13324" width="14.140625" customWidth="1"/>
    <col min="13325" max="13325" width="13" customWidth="1"/>
    <col min="13326" max="13327" width="13.5703125" customWidth="1"/>
    <col min="13328" max="13328" width="12.42578125" customWidth="1"/>
    <col min="13329" max="13329" width="13.7109375" bestFit="1" customWidth="1"/>
    <col min="13571" max="13571" width="15.42578125" customWidth="1"/>
    <col min="13572" max="13572" width="20.85546875" customWidth="1"/>
    <col min="13573" max="13573" width="18.7109375" customWidth="1"/>
    <col min="13574" max="13574" width="14.42578125" customWidth="1"/>
    <col min="13575" max="13575" width="16.5703125" customWidth="1"/>
    <col min="13576" max="13576" width="18.5703125" customWidth="1"/>
    <col min="13577" max="13577" width="12.85546875" customWidth="1"/>
    <col min="13578" max="13578" width="17.28515625" customWidth="1"/>
    <col min="13579" max="13579" width="13" customWidth="1"/>
    <col min="13580" max="13580" width="14.140625" customWidth="1"/>
    <col min="13581" max="13581" width="13" customWidth="1"/>
    <col min="13582" max="13583" width="13.5703125" customWidth="1"/>
    <col min="13584" max="13584" width="12.42578125" customWidth="1"/>
    <col min="13585" max="13585" width="13.7109375" bestFit="1" customWidth="1"/>
    <col min="13827" max="13827" width="15.42578125" customWidth="1"/>
    <col min="13828" max="13828" width="20.85546875" customWidth="1"/>
    <col min="13829" max="13829" width="18.7109375" customWidth="1"/>
    <col min="13830" max="13830" width="14.42578125" customWidth="1"/>
    <col min="13831" max="13831" width="16.5703125" customWidth="1"/>
    <col min="13832" max="13832" width="18.5703125" customWidth="1"/>
    <col min="13833" max="13833" width="12.85546875" customWidth="1"/>
    <col min="13834" max="13834" width="17.28515625" customWidth="1"/>
    <col min="13835" max="13835" width="13" customWidth="1"/>
    <col min="13836" max="13836" width="14.140625" customWidth="1"/>
    <col min="13837" max="13837" width="13" customWidth="1"/>
    <col min="13838" max="13839" width="13.5703125" customWidth="1"/>
    <col min="13840" max="13840" width="12.42578125" customWidth="1"/>
    <col min="13841" max="13841" width="13.7109375" bestFit="1" customWidth="1"/>
    <col min="14083" max="14083" width="15.42578125" customWidth="1"/>
    <col min="14084" max="14084" width="20.85546875" customWidth="1"/>
    <col min="14085" max="14085" width="18.7109375" customWidth="1"/>
    <col min="14086" max="14086" width="14.42578125" customWidth="1"/>
    <col min="14087" max="14087" width="16.5703125" customWidth="1"/>
    <col min="14088" max="14088" width="18.5703125" customWidth="1"/>
    <col min="14089" max="14089" width="12.85546875" customWidth="1"/>
    <col min="14090" max="14090" width="17.28515625" customWidth="1"/>
    <col min="14091" max="14091" width="13" customWidth="1"/>
    <col min="14092" max="14092" width="14.140625" customWidth="1"/>
    <col min="14093" max="14093" width="13" customWidth="1"/>
    <col min="14094" max="14095" width="13.5703125" customWidth="1"/>
    <col min="14096" max="14096" width="12.42578125" customWidth="1"/>
    <col min="14097" max="14097" width="13.7109375" bestFit="1" customWidth="1"/>
    <col min="14339" max="14339" width="15.42578125" customWidth="1"/>
    <col min="14340" max="14340" width="20.85546875" customWidth="1"/>
    <col min="14341" max="14341" width="18.7109375" customWidth="1"/>
    <col min="14342" max="14342" width="14.42578125" customWidth="1"/>
    <col min="14343" max="14343" width="16.5703125" customWidth="1"/>
    <col min="14344" max="14344" width="18.5703125" customWidth="1"/>
    <col min="14345" max="14345" width="12.85546875" customWidth="1"/>
    <col min="14346" max="14346" width="17.28515625" customWidth="1"/>
    <col min="14347" max="14347" width="13" customWidth="1"/>
    <col min="14348" max="14348" width="14.140625" customWidth="1"/>
    <col min="14349" max="14349" width="13" customWidth="1"/>
    <col min="14350" max="14351" width="13.5703125" customWidth="1"/>
    <col min="14352" max="14352" width="12.42578125" customWidth="1"/>
    <col min="14353" max="14353" width="13.7109375" bestFit="1" customWidth="1"/>
    <col min="14595" max="14595" width="15.42578125" customWidth="1"/>
    <col min="14596" max="14596" width="20.85546875" customWidth="1"/>
    <col min="14597" max="14597" width="18.7109375" customWidth="1"/>
    <col min="14598" max="14598" width="14.42578125" customWidth="1"/>
    <col min="14599" max="14599" width="16.5703125" customWidth="1"/>
    <col min="14600" max="14600" width="18.5703125" customWidth="1"/>
    <col min="14601" max="14601" width="12.85546875" customWidth="1"/>
    <col min="14602" max="14602" width="17.28515625" customWidth="1"/>
    <col min="14603" max="14603" width="13" customWidth="1"/>
    <col min="14604" max="14604" width="14.140625" customWidth="1"/>
    <col min="14605" max="14605" width="13" customWidth="1"/>
    <col min="14606" max="14607" width="13.5703125" customWidth="1"/>
    <col min="14608" max="14608" width="12.42578125" customWidth="1"/>
    <col min="14609" max="14609" width="13.7109375" bestFit="1" customWidth="1"/>
    <col min="14851" max="14851" width="15.42578125" customWidth="1"/>
    <col min="14852" max="14852" width="20.85546875" customWidth="1"/>
    <col min="14853" max="14853" width="18.7109375" customWidth="1"/>
    <col min="14854" max="14854" width="14.42578125" customWidth="1"/>
    <col min="14855" max="14855" width="16.5703125" customWidth="1"/>
    <col min="14856" max="14856" width="18.5703125" customWidth="1"/>
    <col min="14857" max="14857" width="12.85546875" customWidth="1"/>
    <col min="14858" max="14858" width="17.28515625" customWidth="1"/>
    <col min="14859" max="14859" width="13" customWidth="1"/>
    <col min="14860" max="14860" width="14.140625" customWidth="1"/>
    <col min="14861" max="14861" width="13" customWidth="1"/>
    <col min="14862" max="14863" width="13.5703125" customWidth="1"/>
    <col min="14864" max="14864" width="12.42578125" customWidth="1"/>
    <col min="14865" max="14865" width="13.7109375" bestFit="1" customWidth="1"/>
    <col min="15107" max="15107" width="15.42578125" customWidth="1"/>
    <col min="15108" max="15108" width="20.85546875" customWidth="1"/>
    <col min="15109" max="15109" width="18.7109375" customWidth="1"/>
    <col min="15110" max="15110" width="14.42578125" customWidth="1"/>
    <col min="15111" max="15111" width="16.5703125" customWidth="1"/>
    <col min="15112" max="15112" width="18.5703125" customWidth="1"/>
    <col min="15113" max="15113" width="12.85546875" customWidth="1"/>
    <col min="15114" max="15114" width="17.28515625" customWidth="1"/>
    <col min="15115" max="15115" width="13" customWidth="1"/>
    <col min="15116" max="15116" width="14.140625" customWidth="1"/>
    <col min="15117" max="15117" width="13" customWidth="1"/>
    <col min="15118" max="15119" width="13.5703125" customWidth="1"/>
    <col min="15120" max="15120" width="12.42578125" customWidth="1"/>
    <col min="15121" max="15121" width="13.7109375" bestFit="1" customWidth="1"/>
    <col min="15363" max="15363" width="15.42578125" customWidth="1"/>
    <col min="15364" max="15364" width="20.85546875" customWidth="1"/>
    <col min="15365" max="15365" width="18.7109375" customWidth="1"/>
    <col min="15366" max="15366" width="14.42578125" customWidth="1"/>
    <col min="15367" max="15367" width="16.5703125" customWidth="1"/>
    <col min="15368" max="15368" width="18.5703125" customWidth="1"/>
    <col min="15369" max="15369" width="12.85546875" customWidth="1"/>
    <col min="15370" max="15370" width="17.28515625" customWidth="1"/>
    <col min="15371" max="15371" width="13" customWidth="1"/>
    <col min="15372" max="15372" width="14.140625" customWidth="1"/>
    <col min="15373" max="15373" width="13" customWidth="1"/>
    <col min="15374" max="15375" width="13.5703125" customWidth="1"/>
    <col min="15376" max="15376" width="12.42578125" customWidth="1"/>
    <col min="15377" max="15377" width="13.7109375" bestFit="1" customWidth="1"/>
    <col min="15619" max="15619" width="15.42578125" customWidth="1"/>
    <col min="15620" max="15620" width="20.85546875" customWidth="1"/>
    <col min="15621" max="15621" width="18.7109375" customWidth="1"/>
    <col min="15622" max="15622" width="14.42578125" customWidth="1"/>
    <col min="15623" max="15623" width="16.5703125" customWidth="1"/>
    <col min="15624" max="15624" width="18.5703125" customWidth="1"/>
    <col min="15625" max="15625" width="12.85546875" customWidth="1"/>
    <col min="15626" max="15626" width="17.28515625" customWidth="1"/>
    <col min="15627" max="15627" width="13" customWidth="1"/>
    <col min="15628" max="15628" width="14.140625" customWidth="1"/>
    <col min="15629" max="15629" width="13" customWidth="1"/>
    <col min="15630" max="15631" width="13.5703125" customWidth="1"/>
    <col min="15632" max="15632" width="12.42578125" customWidth="1"/>
    <col min="15633" max="15633" width="13.7109375" bestFit="1" customWidth="1"/>
    <col min="15875" max="15875" width="15.42578125" customWidth="1"/>
    <col min="15876" max="15876" width="20.85546875" customWidth="1"/>
    <col min="15877" max="15877" width="18.7109375" customWidth="1"/>
    <col min="15878" max="15878" width="14.42578125" customWidth="1"/>
    <col min="15879" max="15879" width="16.5703125" customWidth="1"/>
    <col min="15880" max="15880" width="18.5703125" customWidth="1"/>
    <col min="15881" max="15881" width="12.85546875" customWidth="1"/>
    <col min="15882" max="15882" width="17.28515625" customWidth="1"/>
    <col min="15883" max="15883" width="13" customWidth="1"/>
    <col min="15884" max="15884" width="14.140625" customWidth="1"/>
    <col min="15885" max="15885" width="13" customWidth="1"/>
    <col min="15886" max="15887" width="13.5703125" customWidth="1"/>
    <col min="15888" max="15888" width="12.42578125" customWidth="1"/>
    <col min="15889" max="15889" width="13.7109375" bestFit="1" customWidth="1"/>
    <col min="16131" max="16131" width="15.42578125" customWidth="1"/>
    <col min="16132" max="16132" width="20.85546875" customWidth="1"/>
    <col min="16133" max="16133" width="18.7109375" customWidth="1"/>
    <col min="16134" max="16134" width="14.42578125" customWidth="1"/>
    <col min="16135" max="16135" width="16.5703125" customWidth="1"/>
    <col min="16136" max="16136" width="18.5703125" customWidth="1"/>
    <col min="16137" max="16137" width="12.85546875" customWidth="1"/>
    <col min="16138" max="16138" width="17.28515625" customWidth="1"/>
    <col min="16139" max="16139" width="13" customWidth="1"/>
    <col min="16140" max="16140" width="14.140625" customWidth="1"/>
    <col min="16141" max="16141" width="13" customWidth="1"/>
    <col min="16142" max="16143" width="13.5703125" customWidth="1"/>
    <col min="16144" max="16144" width="12.42578125" customWidth="1"/>
    <col min="16145" max="16145" width="13.7109375" bestFit="1" customWidth="1"/>
  </cols>
  <sheetData>
    <row r="1" spans="1:13" ht="16.5" thickBot="1" x14ac:dyDescent="0.3">
      <c r="A1" s="502" t="s">
        <v>2</v>
      </c>
      <c r="B1" s="503"/>
      <c r="C1" s="503"/>
      <c r="D1" s="503"/>
      <c r="E1" s="503"/>
      <c r="F1" s="504"/>
    </row>
    <row r="2" spans="1:13" ht="15.75" x14ac:dyDescent="0.25">
      <c r="A2" s="502" t="s">
        <v>2776</v>
      </c>
      <c r="B2" s="503"/>
      <c r="C2" s="503"/>
      <c r="D2" s="503"/>
      <c r="E2" s="503"/>
      <c r="F2" s="504"/>
    </row>
    <row r="3" spans="1:13" ht="16.5" thickBot="1" x14ac:dyDescent="0.3">
      <c r="A3" s="505" t="s">
        <v>364</v>
      </c>
      <c r="B3" s="506"/>
      <c r="C3" s="506"/>
      <c r="D3" s="506"/>
      <c r="E3" s="506"/>
      <c r="F3" s="506"/>
    </row>
    <row r="4" spans="1:13" ht="60.75" thickBot="1" x14ac:dyDescent="0.3">
      <c r="A4" s="1" t="s">
        <v>5</v>
      </c>
      <c r="B4" s="2" t="s">
        <v>6</v>
      </c>
      <c r="C4" s="3" t="s">
        <v>7</v>
      </c>
      <c r="D4" s="3" t="s">
        <v>382</v>
      </c>
      <c r="E4" s="4" t="s">
        <v>383</v>
      </c>
      <c r="F4" s="5" t="s">
        <v>8</v>
      </c>
    </row>
    <row r="5" spans="1:13" ht="30" x14ac:dyDescent="0.25">
      <c r="A5" s="86">
        <v>43007</v>
      </c>
      <c r="B5" s="55" t="s">
        <v>2777</v>
      </c>
      <c r="C5" s="8">
        <v>0</v>
      </c>
      <c r="D5" s="8">
        <v>0</v>
      </c>
      <c r="E5" s="8"/>
      <c r="F5" s="56">
        <v>50000000000</v>
      </c>
    </row>
    <row r="6" spans="1:13" x14ac:dyDescent="0.25">
      <c r="A6" s="87">
        <f>A5+91</f>
        <v>43098</v>
      </c>
      <c r="B6" s="11" t="s">
        <v>9</v>
      </c>
      <c r="C6" s="12">
        <v>0</v>
      </c>
      <c r="D6" s="57">
        <f>F5*((1+$B$70)^(B$68/360)-1)</f>
        <v>1151577833.7060857</v>
      </c>
      <c r="E6" s="57">
        <f>C6+D6</f>
        <v>1151577833.7060857</v>
      </c>
      <c r="F6" s="13">
        <f t="shared" ref="F6:F53" si="0">+F5-C6</f>
        <v>50000000000</v>
      </c>
      <c r="G6" s="76" t="s">
        <v>42</v>
      </c>
      <c r="H6" t="s">
        <v>42</v>
      </c>
      <c r="I6" s="76" t="s">
        <v>42</v>
      </c>
    </row>
    <row r="7" spans="1:13" x14ac:dyDescent="0.25">
      <c r="A7" s="87">
        <v>43188</v>
      </c>
      <c r="B7" s="11" t="s">
        <v>9</v>
      </c>
      <c r="C7" s="12">
        <v>0</v>
      </c>
      <c r="D7" s="57">
        <f>F6*((1+$C$70)^(C$68/360)-1)</f>
        <v>1277848097.9549811</v>
      </c>
      <c r="E7" s="57">
        <f t="shared" ref="E7:E53" si="1">C7+D7</f>
        <v>1277848097.9549811</v>
      </c>
      <c r="F7" s="13">
        <f t="shared" si="0"/>
        <v>50000000000</v>
      </c>
    </row>
    <row r="8" spans="1:13" x14ac:dyDescent="0.25">
      <c r="A8" s="87">
        <v>43280</v>
      </c>
      <c r="B8" s="11" t="s">
        <v>9</v>
      </c>
      <c r="C8" s="12">
        <v>0</v>
      </c>
      <c r="D8" s="57">
        <f>F7*((1+$C$70)^(C$68/360)-1)</f>
        <v>1277848097.9549811</v>
      </c>
      <c r="E8" s="57">
        <f t="shared" si="1"/>
        <v>1277848097.9549811</v>
      </c>
      <c r="F8" s="13">
        <f t="shared" si="0"/>
        <v>50000000000</v>
      </c>
    </row>
    <row r="9" spans="1:13" x14ac:dyDescent="0.25">
      <c r="A9" s="87">
        <v>43372</v>
      </c>
      <c r="B9" s="11" t="s">
        <v>9</v>
      </c>
      <c r="C9" s="12">
        <v>0</v>
      </c>
      <c r="D9" s="57">
        <f>F8*((1+$C$70)^(C$68/360)-1)</f>
        <v>1277848097.9549811</v>
      </c>
      <c r="E9" s="57">
        <f t="shared" si="1"/>
        <v>1277848097.9549811</v>
      </c>
      <c r="F9" s="13">
        <f t="shared" si="0"/>
        <v>50000000000</v>
      </c>
    </row>
    <row r="10" spans="1:13" x14ac:dyDescent="0.25">
      <c r="A10" s="87">
        <v>43463</v>
      </c>
      <c r="B10" s="11" t="s">
        <v>9</v>
      </c>
      <c r="C10" s="12">
        <v>0</v>
      </c>
      <c r="D10" s="57">
        <f>F9*((1+$C$70)^(C$68/360)-1)</f>
        <v>1277848097.9549811</v>
      </c>
      <c r="E10" s="57">
        <f t="shared" si="1"/>
        <v>1277848097.9549811</v>
      </c>
      <c r="F10" s="13">
        <f t="shared" si="0"/>
        <v>50000000000</v>
      </c>
    </row>
    <row r="11" spans="1:13" x14ac:dyDescent="0.25">
      <c r="A11" s="87">
        <v>43553</v>
      </c>
      <c r="B11" s="11" t="s">
        <v>9</v>
      </c>
      <c r="C11" s="12">
        <v>0</v>
      </c>
      <c r="D11" s="57">
        <f>F10*((1+$D$70)^(D$68/360)-1)</f>
        <v>1277848097.9549811</v>
      </c>
      <c r="E11" s="57">
        <f t="shared" si="1"/>
        <v>1277848097.9549811</v>
      </c>
      <c r="F11" s="13">
        <f t="shared" si="0"/>
        <v>50000000000</v>
      </c>
    </row>
    <row r="12" spans="1:13" x14ac:dyDescent="0.25">
      <c r="A12" s="87">
        <v>43645</v>
      </c>
      <c r="B12" s="11" t="s">
        <v>10</v>
      </c>
      <c r="C12" s="12">
        <v>0</v>
      </c>
      <c r="D12" s="57">
        <f>F11*((1+$D$70)^(D$68/360)-1)</f>
        <v>1277848097.9549811</v>
      </c>
      <c r="E12" s="57">
        <f t="shared" si="1"/>
        <v>1277848097.9549811</v>
      </c>
      <c r="F12" s="13">
        <f t="shared" si="0"/>
        <v>50000000000</v>
      </c>
      <c r="H12" s="58"/>
    </row>
    <row r="13" spans="1:13" x14ac:dyDescent="0.25">
      <c r="A13" s="87">
        <v>43737</v>
      </c>
      <c r="B13" s="11" t="s">
        <v>10</v>
      </c>
      <c r="C13" s="12">
        <v>0</v>
      </c>
      <c r="D13" s="57">
        <f>F12*((1+$D$70)^(D$68/360)-1)</f>
        <v>1277848097.9549811</v>
      </c>
      <c r="E13" s="57">
        <f t="shared" si="1"/>
        <v>1277848097.9549811</v>
      </c>
      <c r="F13" s="13">
        <f t="shared" si="0"/>
        <v>50000000000</v>
      </c>
      <c r="L13" s="54" t="e">
        <f>SUM(#REF!)</f>
        <v>#REF!</v>
      </c>
      <c r="M13" s="54" t="e">
        <f>SUM(#REF!)</f>
        <v>#REF!</v>
      </c>
    </row>
    <row r="14" spans="1:13" x14ac:dyDescent="0.25">
      <c r="A14" s="87">
        <v>43828</v>
      </c>
      <c r="B14" s="11" t="s">
        <v>10</v>
      </c>
      <c r="C14" s="12">
        <f t="shared" ref="C14:C53" si="2">+$F$5/40</f>
        <v>1250000000</v>
      </c>
      <c r="D14" s="57">
        <f>F13*((1+$D$70)^(D$68/360)-1)</f>
        <v>1277848097.9549811</v>
      </c>
      <c r="E14" s="57">
        <f t="shared" si="1"/>
        <v>2527848097.9549809</v>
      </c>
      <c r="F14" s="13">
        <f t="shared" si="0"/>
        <v>48750000000</v>
      </c>
    </row>
    <row r="15" spans="1:13" x14ac:dyDescent="0.25">
      <c r="A15" s="87">
        <v>43919</v>
      </c>
      <c r="B15" s="11" t="s">
        <v>10</v>
      </c>
      <c r="C15" s="12">
        <f t="shared" si="2"/>
        <v>1250000000</v>
      </c>
      <c r="D15" s="57">
        <f>F14*((1+$E$70)^(E$68/360)-1)</f>
        <v>1245901895.5061066</v>
      </c>
      <c r="E15" s="57">
        <f t="shared" si="1"/>
        <v>2495901895.5061064</v>
      </c>
      <c r="F15" s="13">
        <f t="shared" si="0"/>
        <v>47500000000</v>
      </c>
    </row>
    <row r="16" spans="1:13" x14ac:dyDescent="0.25">
      <c r="A16" s="87">
        <v>44011</v>
      </c>
      <c r="B16" s="11" t="s">
        <v>10</v>
      </c>
      <c r="C16" s="12">
        <f t="shared" si="2"/>
        <v>1250000000</v>
      </c>
      <c r="D16" s="57">
        <f>F15*((1+$E$70)^(E$68/360)-1)</f>
        <v>1213955693.0572321</v>
      </c>
      <c r="E16" s="57">
        <f t="shared" si="1"/>
        <v>2463955693.0572319</v>
      </c>
      <c r="F16" s="13">
        <f t="shared" si="0"/>
        <v>46250000000</v>
      </c>
    </row>
    <row r="17" spans="1:6" x14ac:dyDescent="0.25">
      <c r="A17" s="87">
        <v>44103</v>
      </c>
      <c r="B17" s="11" t="s">
        <v>10</v>
      </c>
      <c r="C17" s="12">
        <f t="shared" si="2"/>
        <v>1250000000</v>
      </c>
      <c r="D17" s="57">
        <f>F16*((1+$E$70)^(E$68/360)-1)</f>
        <v>1182009490.6083574</v>
      </c>
      <c r="E17" s="57">
        <f t="shared" si="1"/>
        <v>2432009490.6083574</v>
      </c>
      <c r="F17" s="13">
        <f t="shared" si="0"/>
        <v>45000000000</v>
      </c>
    </row>
    <row r="18" spans="1:6" x14ac:dyDescent="0.25">
      <c r="A18" s="87">
        <v>44194</v>
      </c>
      <c r="B18" s="11" t="s">
        <v>10</v>
      </c>
      <c r="C18" s="12">
        <f t="shared" si="2"/>
        <v>1250000000</v>
      </c>
      <c r="D18" s="57">
        <f>F17*((1+$E$70)^(E$68/360)-1)</f>
        <v>1150063288.159483</v>
      </c>
      <c r="E18" s="57">
        <f t="shared" si="1"/>
        <v>2400063288.159483</v>
      </c>
      <c r="F18" s="13">
        <f t="shared" si="0"/>
        <v>43750000000</v>
      </c>
    </row>
    <row r="19" spans="1:6" x14ac:dyDescent="0.25">
      <c r="A19" s="87">
        <v>44284</v>
      </c>
      <c r="B19" s="11" t="s">
        <v>10</v>
      </c>
      <c r="C19" s="12">
        <f t="shared" si="2"/>
        <v>1250000000</v>
      </c>
      <c r="D19" s="57">
        <f>F18*((1+$F$70)^(F$68/360)-1)</f>
        <v>1118117085.7106085</v>
      </c>
      <c r="E19" s="57">
        <f t="shared" si="1"/>
        <v>2368117085.7106085</v>
      </c>
      <c r="F19" s="13">
        <f t="shared" si="0"/>
        <v>42500000000</v>
      </c>
    </row>
    <row r="20" spans="1:6" x14ac:dyDescent="0.25">
      <c r="A20" s="87">
        <v>44376</v>
      </c>
      <c r="B20" s="11" t="s">
        <v>10</v>
      </c>
      <c r="C20" s="12">
        <f t="shared" si="2"/>
        <v>1250000000</v>
      </c>
      <c r="D20" s="57">
        <f>F19*((1+$F$70)^(F$68/360)-1)</f>
        <v>1086170883.261734</v>
      </c>
      <c r="E20" s="57">
        <f t="shared" si="1"/>
        <v>2336170883.261734</v>
      </c>
      <c r="F20" s="13">
        <f t="shared" si="0"/>
        <v>41250000000</v>
      </c>
    </row>
    <row r="21" spans="1:6" x14ac:dyDescent="0.25">
      <c r="A21" s="87">
        <v>44468</v>
      </c>
      <c r="B21" s="11" t="s">
        <v>10</v>
      </c>
      <c r="C21" s="12">
        <f t="shared" si="2"/>
        <v>1250000000</v>
      </c>
      <c r="D21" s="57">
        <f>F20*((1+$F$70)^(F$68/360)-1)</f>
        <v>1054224680.8128594</v>
      </c>
      <c r="E21" s="57">
        <f t="shared" si="1"/>
        <v>2304224680.8128595</v>
      </c>
      <c r="F21" s="13">
        <f t="shared" si="0"/>
        <v>40000000000</v>
      </c>
    </row>
    <row r="22" spans="1:6" x14ac:dyDescent="0.25">
      <c r="A22" s="87">
        <v>44559</v>
      </c>
      <c r="B22" s="11" t="s">
        <v>10</v>
      </c>
      <c r="C22" s="12">
        <f t="shared" si="2"/>
        <v>1250000000</v>
      </c>
      <c r="D22" s="57">
        <f>F21*((1+$F$70)^(F$68/360)-1)</f>
        <v>1022278478.3639849</v>
      </c>
      <c r="E22" s="57">
        <f t="shared" si="1"/>
        <v>2272278478.3639851</v>
      </c>
      <c r="F22" s="13">
        <f t="shared" si="0"/>
        <v>38750000000</v>
      </c>
    </row>
    <row r="23" spans="1:6" x14ac:dyDescent="0.25">
      <c r="A23" s="87">
        <v>44649</v>
      </c>
      <c r="B23" s="11" t="s">
        <v>10</v>
      </c>
      <c r="C23" s="12">
        <f t="shared" si="2"/>
        <v>1250000000</v>
      </c>
      <c r="D23" s="57">
        <f>F22*((1+$G$70)^(G$68/360)-1)</f>
        <v>990332275.91511035</v>
      </c>
      <c r="E23" s="57">
        <f t="shared" si="1"/>
        <v>2240332275.9151106</v>
      </c>
      <c r="F23" s="13">
        <f t="shared" si="0"/>
        <v>37500000000</v>
      </c>
    </row>
    <row r="24" spans="1:6" x14ac:dyDescent="0.25">
      <c r="A24" s="87">
        <v>44741</v>
      </c>
      <c r="B24" s="11" t="s">
        <v>10</v>
      </c>
      <c r="C24" s="12">
        <f t="shared" si="2"/>
        <v>1250000000</v>
      </c>
      <c r="D24" s="57">
        <f>F23*((1+$G$70)^(G$68/360)-1)</f>
        <v>958386073.46623588</v>
      </c>
      <c r="E24" s="57">
        <f t="shared" si="1"/>
        <v>2208386073.4662361</v>
      </c>
      <c r="F24" s="13">
        <f t="shared" si="0"/>
        <v>36250000000</v>
      </c>
    </row>
    <row r="25" spans="1:6" x14ac:dyDescent="0.25">
      <c r="A25" s="87">
        <v>44833</v>
      </c>
      <c r="B25" s="11" t="s">
        <v>10</v>
      </c>
      <c r="C25" s="12">
        <f t="shared" si="2"/>
        <v>1250000000</v>
      </c>
      <c r="D25" s="57">
        <f>F24*((1+$G$70)^(G$68/360)-1)</f>
        <v>926439871.01736128</v>
      </c>
      <c r="E25" s="57">
        <f t="shared" si="1"/>
        <v>2176439871.0173612</v>
      </c>
      <c r="F25" s="13">
        <f t="shared" si="0"/>
        <v>35000000000</v>
      </c>
    </row>
    <row r="26" spans="1:6" x14ac:dyDescent="0.25">
      <c r="A26" s="87">
        <v>44924</v>
      </c>
      <c r="B26" s="11" t="s">
        <v>10</v>
      </c>
      <c r="C26" s="12">
        <f t="shared" si="2"/>
        <v>1250000000</v>
      </c>
      <c r="D26" s="57">
        <f>F25*((1+$G$70)^(G$68/360)-1)</f>
        <v>894493668.56848681</v>
      </c>
      <c r="E26" s="57">
        <f t="shared" si="1"/>
        <v>2144493668.5684867</v>
      </c>
      <c r="F26" s="13">
        <f t="shared" si="0"/>
        <v>33750000000</v>
      </c>
    </row>
    <row r="27" spans="1:6" x14ac:dyDescent="0.25">
      <c r="A27" s="87">
        <v>45014</v>
      </c>
      <c r="B27" s="11" t="s">
        <v>10</v>
      </c>
      <c r="C27" s="12">
        <f t="shared" si="2"/>
        <v>1250000000</v>
      </c>
      <c r="D27" s="57">
        <f>F26*((1+$H$70)^(H$68/360)-1)</f>
        <v>862547466.11961222</v>
      </c>
      <c r="E27" s="57">
        <f t="shared" si="1"/>
        <v>2112547466.1196122</v>
      </c>
      <c r="F27" s="13">
        <f t="shared" si="0"/>
        <v>32500000000</v>
      </c>
    </row>
    <row r="28" spans="1:6" x14ac:dyDescent="0.25">
      <c r="A28" s="87">
        <v>45106</v>
      </c>
      <c r="B28" s="11" t="s">
        <v>10</v>
      </c>
      <c r="C28" s="12">
        <f t="shared" si="2"/>
        <v>1250000000</v>
      </c>
      <c r="D28" s="57">
        <f>F27*((1+$H$70)^(H$68/360)-1)</f>
        <v>830601263.67073774</v>
      </c>
      <c r="E28" s="57">
        <f t="shared" si="1"/>
        <v>2080601263.6707377</v>
      </c>
      <c r="F28" s="13">
        <f t="shared" si="0"/>
        <v>31250000000</v>
      </c>
    </row>
    <row r="29" spans="1:6" x14ac:dyDescent="0.25">
      <c r="A29" s="87">
        <v>45198</v>
      </c>
      <c r="B29" s="11" t="s">
        <v>10</v>
      </c>
      <c r="C29" s="12">
        <f t="shared" si="2"/>
        <v>1250000000</v>
      </c>
      <c r="D29" s="57">
        <f>F28*((1+$H$70)^(H$68/360)-1)</f>
        <v>798655061.22186315</v>
      </c>
      <c r="E29" s="57">
        <f t="shared" si="1"/>
        <v>2048655061.2218633</v>
      </c>
      <c r="F29" s="13">
        <f t="shared" si="0"/>
        <v>30000000000</v>
      </c>
    </row>
    <row r="30" spans="1:6" x14ac:dyDescent="0.25">
      <c r="A30" s="87">
        <v>45289</v>
      </c>
      <c r="B30" s="11" t="s">
        <v>10</v>
      </c>
      <c r="C30" s="12">
        <f t="shared" si="2"/>
        <v>1250000000</v>
      </c>
      <c r="D30" s="57">
        <f>F29*((1+$H$70)^(H$68/360)-1)</f>
        <v>766708858.77298868</v>
      </c>
      <c r="E30" s="57">
        <f t="shared" si="1"/>
        <v>2016708858.7729888</v>
      </c>
      <c r="F30" s="13">
        <f t="shared" si="0"/>
        <v>28750000000</v>
      </c>
    </row>
    <row r="31" spans="1:6" x14ac:dyDescent="0.25">
      <c r="A31" s="87">
        <v>45380</v>
      </c>
      <c r="B31" s="11" t="s">
        <v>10</v>
      </c>
      <c r="C31" s="12">
        <f t="shared" si="2"/>
        <v>1250000000</v>
      </c>
      <c r="D31" s="57">
        <f>F30*((1+$I$70)^(I$68/360)-1)</f>
        <v>734762656.32411408</v>
      </c>
      <c r="E31" s="57">
        <f t="shared" si="1"/>
        <v>1984762656.3241141</v>
      </c>
      <c r="F31" s="13">
        <f t="shared" si="0"/>
        <v>27500000000</v>
      </c>
    </row>
    <row r="32" spans="1:6" x14ac:dyDescent="0.25">
      <c r="A32" s="87">
        <v>45472</v>
      </c>
      <c r="B32" s="11" t="s">
        <v>10</v>
      </c>
      <c r="C32" s="12">
        <f t="shared" si="2"/>
        <v>1250000000</v>
      </c>
      <c r="D32" s="57">
        <f>F31*((1+$I$70)^(I$68/360)-1)</f>
        <v>702816453.87523961</v>
      </c>
      <c r="E32" s="57">
        <f t="shared" si="1"/>
        <v>1952816453.8752396</v>
      </c>
      <c r="F32" s="13">
        <f t="shared" si="0"/>
        <v>26250000000</v>
      </c>
    </row>
    <row r="33" spans="1:6" x14ac:dyDescent="0.25">
      <c r="A33" s="87">
        <v>45564</v>
      </c>
      <c r="B33" s="11" t="s">
        <v>10</v>
      </c>
      <c r="C33" s="12">
        <f t="shared" si="2"/>
        <v>1250000000</v>
      </c>
      <c r="D33" s="57">
        <f>F32*((1+$I$70)^(I$68/360)-1)</f>
        <v>670870251.42636514</v>
      </c>
      <c r="E33" s="57">
        <f t="shared" si="1"/>
        <v>1920870251.4263651</v>
      </c>
      <c r="F33" s="13">
        <f t="shared" si="0"/>
        <v>25000000000</v>
      </c>
    </row>
    <row r="34" spans="1:6" x14ac:dyDescent="0.25">
      <c r="A34" s="87">
        <v>45655</v>
      </c>
      <c r="B34" s="11" t="s">
        <v>10</v>
      </c>
      <c r="C34" s="12">
        <f t="shared" si="2"/>
        <v>1250000000</v>
      </c>
      <c r="D34" s="57">
        <f>F33*((1+$I$70)^(I$68/360)-1)</f>
        <v>638924048.97749054</v>
      </c>
      <c r="E34" s="57">
        <f t="shared" si="1"/>
        <v>1888924048.9774904</v>
      </c>
      <c r="F34" s="13">
        <f t="shared" si="0"/>
        <v>23750000000</v>
      </c>
    </row>
    <row r="35" spans="1:6" x14ac:dyDescent="0.25">
      <c r="A35" s="87">
        <v>45745</v>
      </c>
      <c r="B35" s="11" t="s">
        <v>10</v>
      </c>
      <c r="C35" s="12">
        <f t="shared" si="2"/>
        <v>1250000000</v>
      </c>
      <c r="D35" s="57">
        <f>F34*((1+$J$70)^(J$68/360)-1)</f>
        <v>606977846.52861607</v>
      </c>
      <c r="E35" s="57">
        <f t="shared" si="1"/>
        <v>1856977846.528616</v>
      </c>
      <c r="F35" s="13">
        <f t="shared" si="0"/>
        <v>22500000000</v>
      </c>
    </row>
    <row r="36" spans="1:6" x14ac:dyDescent="0.25">
      <c r="A36" s="87">
        <v>45837</v>
      </c>
      <c r="B36" s="11" t="s">
        <v>10</v>
      </c>
      <c r="C36" s="12">
        <f t="shared" si="2"/>
        <v>1250000000</v>
      </c>
      <c r="D36" s="57">
        <f>F35*((1+$J$70)^(J$68/360)-1)</f>
        <v>575031644.07974148</v>
      </c>
      <c r="E36" s="57">
        <f t="shared" si="1"/>
        <v>1825031644.0797415</v>
      </c>
      <c r="F36" s="13">
        <f t="shared" si="0"/>
        <v>21250000000</v>
      </c>
    </row>
    <row r="37" spans="1:6" x14ac:dyDescent="0.25">
      <c r="A37" s="87">
        <v>45929</v>
      </c>
      <c r="B37" s="11" t="s">
        <v>10</v>
      </c>
      <c r="C37" s="12">
        <f t="shared" si="2"/>
        <v>1250000000</v>
      </c>
      <c r="D37" s="57">
        <f>F36*((1+$J$70)^(J$68/360)-1)</f>
        <v>543085441.630867</v>
      </c>
      <c r="E37" s="57">
        <f t="shared" si="1"/>
        <v>1793085441.630867</v>
      </c>
      <c r="F37" s="13">
        <f t="shared" si="0"/>
        <v>20000000000</v>
      </c>
    </row>
    <row r="38" spans="1:6" x14ac:dyDescent="0.25">
      <c r="A38" s="87">
        <v>46020</v>
      </c>
      <c r="B38" s="11" t="s">
        <v>10</v>
      </c>
      <c r="C38" s="12">
        <f t="shared" si="2"/>
        <v>1250000000</v>
      </c>
      <c r="D38" s="57">
        <f>F37*((1+$J$70)^(J$68/360)-1)</f>
        <v>511139239.18199247</v>
      </c>
      <c r="E38" s="57">
        <f t="shared" si="1"/>
        <v>1761139239.1819925</v>
      </c>
      <c r="F38" s="13">
        <f t="shared" si="0"/>
        <v>18750000000</v>
      </c>
    </row>
    <row r="39" spans="1:6" x14ac:dyDescent="0.25">
      <c r="A39" s="87">
        <v>46110</v>
      </c>
      <c r="B39" s="11" t="s">
        <v>10</v>
      </c>
      <c r="C39" s="12">
        <f t="shared" si="2"/>
        <v>1250000000</v>
      </c>
      <c r="D39" s="57">
        <f>F38*((1+$H$70)^(H$68/360)-1)</f>
        <v>479193036.73311794</v>
      </c>
      <c r="E39" s="57">
        <f t="shared" si="1"/>
        <v>1729193036.7331181</v>
      </c>
      <c r="F39" s="13">
        <f t="shared" si="0"/>
        <v>17500000000</v>
      </c>
    </row>
    <row r="40" spans="1:6" x14ac:dyDescent="0.25">
      <c r="A40" s="87">
        <v>46202</v>
      </c>
      <c r="B40" s="11" t="s">
        <v>10</v>
      </c>
      <c r="C40" s="12">
        <f t="shared" si="2"/>
        <v>1250000000</v>
      </c>
      <c r="D40" s="57">
        <f>F39*((1+$H$70)^(H$68/360)-1)</f>
        <v>447246834.2842434</v>
      </c>
      <c r="E40" s="57">
        <f t="shared" si="1"/>
        <v>1697246834.2842433</v>
      </c>
      <c r="F40" s="13">
        <f t="shared" si="0"/>
        <v>16250000000</v>
      </c>
    </row>
    <row r="41" spans="1:6" x14ac:dyDescent="0.25">
      <c r="A41" s="87">
        <v>46294</v>
      </c>
      <c r="B41" s="11" t="s">
        <v>10</v>
      </c>
      <c r="C41" s="12">
        <f t="shared" si="2"/>
        <v>1250000000</v>
      </c>
      <c r="D41" s="57">
        <f>F40*((1+$H$70)^(H$68/360)-1)</f>
        <v>415300631.83536887</v>
      </c>
      <c r="E41" s="57">
        <f t="shared" si="1"/>
        <v>1665300631.8353689</v>
      </c>
      <c r="F41" s="13">
        <f t="shared" si="0"/>
        <v>15000000000</v>
      </c>
    </row>
    <row r="42" spans="1:6" x14ac:dyDescent="0.25">
      <c r="A42" s="87">
        <v>46385</v>
      </c>
      <c r="B42" s="11" t="s">
        <v>10</v>
      </c>
      <c r="C42" s="12">
        <f t="shared" si="2"/>
        <v>1250000000</v>
      </c>
      <c r="D42" s="57">
        <f>F41*((1+$H$70)^(H$68/360)-1)</f>
        <v>383354429.38649434</v>
      </c>
      <c r="E42" s="57">
        <f t="shared" si="1"/>
        <v>1633354429.3864944</v>
      </c>
      <c r="F42" s="13">
        <f t="shared" si="0"/>
        <v>13750000000</v>
      </c>
    </row>
    <row r="43" spans="1:6" x14ac:dyDescent="0.25">
      <c r="A43" s="87">
        <v>46475</v>
      </c>
      <c r="B43" s="11" t="s">
        <v>10</v>
      </c>
      <c r="C43" s="12">
        <f t="shared" si="2"/>
        <v>1250000000</v>
      </c>
      <c r="D43" s="57">
        <f>F42*((1+$L$70)^(L$68/360)-1)</f>
        <v>351408226.93761981</v>
      </c>
      <c r="E43" s="57">
        <f t="shared" si="1"/>
        <v>1601408226.9376197</v>
      </c>
      <c r="F43" s="13">
        <f t="shared" si="0"/>
        <v>12500000000</v>
      </c>
    </row>
    <row r="44" spans="1:6" x14ac:dyDescent="0.25">
      <c r="A44" s="87">
        <v>46567</v>
      </c>
      <c r="B44" s="11" t="s">
        <v>10</v>
      </c>
      <c r="C44" s="12">
        <f t="shared" si="2"/>
        <v>1250000000</v>
      </c>
      <c r="D44" s="57">
        <f>F43*((1+$L$70)^(L$68/360)-1)</f>
        <v>319462024.48874527</v>
      </c>
      <c r="E44" s="57">
        <f t="shared" si="1"/>
        <v>1569462024.4887452</v>
      </c>
      <c r="F44" s="13">
        <f t="shared" si="0"/>
        <v>11250000000</v>
      </c>
    </row>
    <row r="45" spans="1:6" x14ac:dyDescent="0.25">
      <c r="A45" s="87">
        <v>46659</v>
      </c>
      <c r="B45" s="11" t="s">
        <v>10</v>
      </c>
      <c r="C45" s="12">
        <f t="shared" si="2"/>
        <v>1250000000</v>
      </c>
      <c r="D45" s="57">
        <f>F44*((1+$L$70)^(L$68/360)-1)</f>
        <v>287515822.03987074</v>
      </c>
      <c r="E45" s="57">
        <f t="shared" si="1"/>
        <v>1537515822.0398707</v>
      </c>
      <c r="F45" s="13">
        <f t="shared" si="0"/>
        <v>10000000000</v>
      </c>
    </row>
    <row r="46" spans="1:6" x14ac:dyDescent="0.25">
      <c r="A46" s="87">
        <v>46750</v>
      </c>
      <c r="B46" s="11" t="s">
        <v>10</v>
      </c>
      <c r="C46" s="12">
        <f t="shared" si="2"/>
        <v>1250000000</v>
      </c>
      <c r="D46" s="57">
        <f>F45*((1+$L$70)^(L$68/360)-1)</f>
        <v>255569619.59099624</v>
      </c>
      <c r="E46" s="57">
        <f t="shared" si="1"/>
        <v>1505569619.5909963</v>
      </c>
      <c r="F46" s="13">
        <f t="shared" si="0"/>
        <v>8750000000</v>
      </c>
    </row>
    <row r="47" spans="1:6" x14ac:dyDescent="0.25">
      <c r="A47" s="87">
        <v>46841</v>
      </c>
      <c r="B47" s="11" t="s">
        <v>10</v>
      </c>
      <c r="C47" s="12">
        <f t="shared" si="2"/>
        <v>1250000000</v>
      </c>
      <c r="D47" s="57">
        <f>F46*((1+$M$70)^(M$68/360)-1)</f>
        <v>223623417.1421217</v>
      </c>
      <c r="E47" s="57">
        <f t="shared" si="1"/>
        <v>1473623417.1421218</v>
      </c>
      <c r="F47" s="13">
        <f t="shared" si="0"/>
        <v>7500000000</v>
      </c>
    </row>
    <row r="48" spans="1:6" x14ac:dyDescent="0.25">
      <c r="A48" s="87">
        <v>46933</v>
      </c>
      <c r="B48" s="11" t="s">
        <v>10</v>
      </c>
      <c r="C48" s="12">
        <f t="shared" si="2"/>
        <v>1250000000</v>
      </c>
      <c r="D48" s="57">
        <f>F47*((1+$M$70)^(M$68/360)-1)</f>
        <v>191677214.69324717</v>
      </c>
      <c r="E48" s="57">
        <f t="shared" si="1"/>
        <v>1441677214.6932471</v>
      </c>
      <c r="F48" s="13">
        <f t="shared" si="0"/>
        <v>6250000000</v>
      </c>
    </row>
    <row r="49" spans="1:9" x14ac:dyDescent="0.25">
      <c r="A49" s="87">
        <v>47025</v>
      </c>
      <c r="B49" s="11" t="s">
        <v>10</v>
      </c>
      <c r="C49" s="12">
        <f t="shared" si="2"/>
        <v>1250000000</v>
      </c>
      <c r="D49" s="57">
        <f>F48*((1+$M$70)^(M$68/360)-1)</f>
        <v>159731012.24437264</v>
      </c>
      <c r="E49" s="57">
        <f t="shared" si="1"/>
        <v>1409731012.2443726</v>
      </c>
      <c r="F49" s="13">
        <f t="shared" si="0"/>
        <v>5000000000</v>
      </c>
    </row>
    <row r="50" spans="1:9" x14ac:dyDescent="0.25">
      <c r="A50" s="87">
        <v>47116</v>
      </c>
      <c r="B50" s="11" t="s">
        <v>10</v>
      </c>
      <c r="C50" s="12">
        <f t="shared" si="2"/>
        <v>1250000000</v>
      </c>
      <c r="D50" s="57">
        <f>F49*((1+$M$70)^(M$68/360)-1)</f>
        <v>127784809.79549812</v>
      </c>
      <c r="E50" s="57">
        <f t="shared" si="1"/>
        <v>1377784809.7954981</v>
      </c>
      <c r="F50" s="13">
        <f t="shared" si="0"/>
        <v>3750000000</v>
      </c>
    </row>
    <row r="51" spans="1:9" x14ac:dyDescent="0.25">
      <c r="A51" s="87">
        <v>47206</v>
      </c>
      <c r="B51" s="11" t="s">
        <v>10</v>
      </c>
      <c r="C51" s="12">
        <f t="shared" si="2"/>
        <v>1250000000</v>
      </c>
      <c r="D51" s="57">
        <f>F50*((1+$N$70)^(N$68/360)-1)</f>
        <v>95838607.346623585</v>
      </c>
      <c r="E51" s="57">
        <f t="shared" si="1"/>
        <v>1345838607.3466237</v>
      </c>
      <c r="F51" s="13">
        <f t="shared" si="0"/>
        <v>2500000000</v>
      </c>
    </row>
    <row r="52" spans="1:9" x14ac:dyDescent="0.25">
      <c r="A52" s="87">
        <v>47298</v>
      </c>
      <c r="B52" s="11" t="s">
        <v>10</v>
      </c>
      <c r="C52" s="12">
        <f t="shared" si="2"/>
        <v>1250000000</v>
      </c>
      <c r="D52" s="57">
        <f>F51*((1+$N$70)^(N$68/360)-1)</f>
        <v>63892404.897749059</v>
      </c>
      <c r="E52" s="57">
        <f t="shared" si="1"/>
        <v>1313892404.8977489</v>
      </c>
      <c r="F52" s="13">
        <f t="shared" si="0"/>
        <v>1250000000</v>
      </c>
    </row>
    <row r="53" spans="1:9" x14ac:dyDescent="0.25">
      <c r="A53" s="87">
        <v>47390</v>
      </c>
      <c r="B53" s="11" t="s">
        <v>10</v>
      </c>
      <c r="C53" s="12">
        <f t="shared" si="2"/>
        <v>1250000000</v>
      </c>
      <c r="D53" s="57">
        <f>F52*((1+$N$70)^(N$68/360)-1)</f>
        <v>31946202.448874529</v>
      </c>
      <c r="E53" s="57">
        <f t="shared" si="1"/>
        <v>1281946202.4488745</v>
      </c>
      <c r="F53" s="13">
        <f t="shared" si="0"/>
        <v>0</v>
      </c>
    </row>
    <row r="54" spans="1:9" x14ac:dyDescent="0.25">
      <c r="A54" s="15"/>
      <c r="B54" s="16" t="s">
        <v>11</v>
      </c>
      <c r="C54" s="17">
        <f>SUM(C5:C53)</f>
        <v>50000000000</v>
      </c>
      <c r="D54" s="17">
        <f>SUM(D5:D53)</f>
        <v>36292400527.468071</v>
      </c>
      <c r="E54" s="17">
        <f>SUM(E6:E53)</f>
        <v>86292400527.468063</v>
      </c>
      <c r="F54" s="18"/>
      <c r="H54" s="54"/>
    </row>
    <row r="55" spans="1:9" ht="15.75" thickBot="1" x14ac:dyDescent="0.3">
      <c r="A55" s="19" t="s">
        <v>12</v>
      </c>
      <c r="B55" s="20"/>
      <c r="C55" s="20"/>
      <c r="D55" s="20"/>
      <c r="E55" s="20"/>
      <c r="F55" s="20"/>
      <c r="G55" s="20"/>
      <c r="H55" s="20"/>
    </row>
    <row r="56" spans="1:9" ht="26.25" thickBot="1" x14ac:dyDescent="0.3">
      <c r="A56" s="21" t="s">
        <v>13</v>
      </c>
      <c r="B56" s="22" t="s">
        <v>14</v>
      </c>
      <c r="C56" s="22" t="s">
        <v>15</v>
      </c>
      <c r="D56" s="22" t="s">
        <v>16</v>
      </c>
      <c r="E56" s="22"/>
      <c r="F56" s="22"/>
      <c r="G56" s="22" t="s">
        <v>7</v>
      </c>
      <c r="H56" s="22" t="s">
        <v>365</v>
      </c>
      <c r="I56" s="23" t="s">
        <v>17</v>
      </c>
    </row>
    <row r="57" spans="1:9" ht="25.5" x14ac:dyDescent="0.25">
      <c r="A57" s="24" t="s">
        <v>364</v>
      </c>
      <c r="B57" s="25" t="s">
        <v>18</v>
      </c>
      <c r="C57" s="26"/>
      <c r="D57" s="27">
        <v>14675926776</v>
      </c>
      <c r="E57" s="27"/>
      <c r="F57" s="27"/>
      <c r="G57" s="27">
        <v>0</v>
      </c>
      <c r="H57" s="59">
        <f>D57*((1+C62)^(C61/360)-1)</f>
        <v>287367566.42829877</v>
      </c>
      <c r="I57" s="60">
        <f>+G57+H57</f>
        <v>287367566.42829877</v>
      </c>
    </row>
    <row r="58" spans="1:9" ht="25.5" x14ac:dyDescent="0.25">
      <c r="A58" s="28" t="s">
        <v>20</v>
      </c>
      <c r="B58" s="61">
        <v>14675926776</v>
      </c>
      <c r="C58" s="28" t="s">
        <v>366</v>
      </c>
      <c r="D58" s="30" t="s">
        <v>367</v>
      </c>
      <c r="E58" s="30"/>
      <c r="F58" s="30"/>
      <c r="G58" s="31"/>
      <c r="H58" s="31"/>
      <c r="I58" s="32"/>
    </row>
    <row r="59" spans="1:9" ht="26.25" x14ac:dyDescent="0.25">
      <c r="A59" s="62" t="s">
        <v>368</v>
      </c>
      <c r="B59" s="29"/>
      <c r="C59" s="33">
        <v>5.0599999999999999E-2</v>
      </c>
      <c r="D59" s="63" t="s">
        <v>369</v>
      </c>
      <c r="E59" s="63"/>
      <c r="F59" s="63"/>
      <c r="G59" s="31"/>
      <c r="H59" s="35"/>
      <c r="I59" s="32"/>
    </row>
    <row r="60" spans="1:9" x14ac:dyDescent="0.25">
      <c r="A60" s="64" t="s">
        <v>370</v>
      </c>
      <c r="B60" s="29"/>
      <c r="C60" s="33">
        <v>2.7E-2</v>
      </c>
      <c r="D60" s="65" t="s">
        <v>371</v>
      </c>
      <c r="E60" s="65"/>
      <c r="F60" s="65"/>
      <c r="G60" s="31"/>
      <c r="H60" s="31"/>
      <c r="I60" s="32"/>
    </row>
    <row r="61" spans="1:9" x14ac:dyDescent="0.25">
      <c r="A61" s="66" t="s">
        <v>372</v>
      </c>
      <c r="B61" s="29"/>
      <c r="C61" s="67">
        <v>90</v>
      </c>
      <c r="D61" s="36"/>
      <c r="E61" s="36"/>
      <c r="F61" s="36"/>
      <c r="G61" s="31"/>
      <c r="H61" s="31"/>
      <c r="I61" s="32"/>
    </row>
    <row r="62" spans="1:9" ht="25.5" x14ac:dyDescent="0.25">
      <c r="A62" s="28" t="s">
        <v>373</v>
      </c>
      <c r="B62" s="29"/>
      <c r="C62" s="68">
        <f>(1+(C59+C60)/90)^90-1</f>
        <v>8.0654163803858259E-2</v>
      </c>
      <c r="D62" s="34">
        <f>C59+C60</f>
        <v>7.7600000000000002E-2</v>
      </c>
      <c r="E62" s="34"/>
      <c r="F62" s="36" t="s">
        <v>42</v>
      </c>
      <c r="G62" s="31"/>
      <c r="H62" s="31"/>
      <c r="I62" s="32"/>
    </row>
    <row r="63" spans="1:9" ht="25.5" x14ac:dyDescent="0.25">
      <c r="A63" s="37" t="s">
        <v>22</v>
      </c>
      <c r="B63" s="69"/>
      <c r="C63" s="38"/>
      <c r="D63" s="31"/>
      <c r="E63" s="31"/>
      <c r="F63" s="31"/>
      <c r="G63" s="31"/>
      <c r="H63" s="31"/>
      <c r="I63" s="32"/>
    </row>
    <row r="64" spans="1:9" ht="25.5" x14ac:dyDescent="0.25">
      <c r="A64" s="37" t="s">
        <v>374</v>
      </c>
      <c r="B64" s="28" t="s">
        <v>24</v>
      </c>
      <c r="C64" s="28" t="s">
        <v>25</v>
      </c>
      <c r="D64" s="70"/>
      <c r="E64" s="71"/>
      <c r="F64" s="71"/>
      <c r="G64" s="71"/>
      <c r="H64" s="71"/>
      <c r="I64" s="72"/>
    </row>
    <row r="65" spans="1:16" x14ac:dyDescent="0.25">
      <c r="A65" s="39"/>
      <c r="B65" s="40" t="s">
        <v>26</v>
      </c>
      <c r="C65" s="40" t="s">
        <v>27</v>
      </c>
      <c r="D65" s="40" t="s">
        <v>28</v>
      </c>
      <c r="E65" s="40" t="s">
        <v>29</v>
      </c>
      <c r="F65" s="40" t="s">
        <v>30</v>
      </c>
      <c r="G65" s="40" t="s">
        <v>31</v>
      </c>
      <c r="H65" s="40" t="s">
        <v>32</v>
      </c>
      <c r="I65" s="40" t="s">
        <v>33</v>
      </c>
      <c r="J65" s="40" t="s">
        <v>34</v>
      </c>
      <c r="K65" s="40" t="s">
        <v>35</v>
      </c>
      <c r="L65" s="40" t="s">
        <v>36</v>
      </c>
      <c r="M65" s="40" t="s">
        <v>37</v>
      </c>
      <c r="N65" s="40" t="s">
        <v>38</v>
      </c>
    </row>
    <row r="66" spans="1:16" ht="25.5" x14ac:dyDescent="0.25">
      <c r="A66" s="39" t="s">
        <v>375</v>
      </c>
      <c r="B66" s="90">
        <v>4.9849999999999998E-2</v>
      </c>
      <c r="C66" s="33">
        <v>0.06</v>
      </c>
      <c r="D66" s="33">
        <v>0.06</v>
      </c>
      <c r="E66" s="33">
        <v>0.06</v>
      </c>
      <c r="F66" s="33">
        <v>0.06</v>
      </c>
      <c r="G66" s="33">
        <v>0.06</v>
      </c>
      <c r="H66" s="33">
        <v>0.06</v>
      </c>
      <c r="I66" s="33">
        <v>0.06</v>
      </c>
      <c r="J66" s="33">
        <v>0.06</v>
      </c>
      <c r="K66" s="33">
        <v>0.06</v>
      </c>
      <c r="L66" s="33">
        <v>0.06</v>
      </c>
      <c r="M66" s="33">
        <v>0.06</v>
      </c>
      <c r="N66" s="33">
        <v>0.06</v>
      </c>
    </row>
    <row r="67" spans="1:16" ht="25.5" x14ac:dyDescent="0.25">
      <c r="A67" s="39" t="s">
        <v>376</v>
      </c>
      <c r="B67" s="33">
        <v>4.1000000000000002E-2</v>
      </c>
      <c r="C67" s="33">
        <v>4.1000000000000002E-2</v>
      </c>
      <c r="D67" s="33">
        <v>4.1000000000000002E-2</v>
      </c>
      <c r="E67" s="33">
        <v>4.1000000000000002E-2</v>
      </c>
      <c r="F67" s="33">
        <v>4.1000000000000002E-2</v>
      </c>
      <c r="G67" s="33">
        <v>4.1000000000000002E-2</v>
      </c>
      <c r="H67" s="33">
        <v>4.1000000000000002E-2</v>
      </c>
      <c r="I67" s="33">
        <v>4.1000000000000002E-2</v>
      </c>
      <c r="J67" s="33">
        <v>4.1000000000000002E-2</v>
      </c>
      <c r="K67" s="33">
        <v>4.1000000000000002E-2</v>
      </c>
      <c r="L67" s="33">
        <v>4.1000000000000002E-2</v>
      </c>
      <c r="M67" s="33">
        <v>4.1000000000000002E-2</v>
      </c>
      <c r="N67" s="33">
        <v>4.1000000000000002E-2</v>
      </c>
    </row>
    <row r="68" spans="1:16" x14ac:dyDescent="0.25">
      <c r="A68" s="39" t="s">
        <v>377</v>
      </c>
      <c r="B68" s="67">
        <v>90</v>
      </c>
      <c r="C68" s="67">
        <v>90</v>
      </c>
      <c r="D68" s="67">
        <v>90</v>
      </c>
      <c r="E68" s="67">
        <v>90</v>
      </c>
      <c r="F68" s="67">
        <v>90</v>
      </c>
      <c r="G68" s="67">
        <v>90</v>
      </c>
      <c r="H68" s="67">
        <v>90</v>
      </c>
      <c r="I68" s="67">
        <v>90</v>
      </c>
      <c r="J68" s="67">
        <v>90</v>
      </c>
      <c r="K68" s="67">
        <v>90</v>
      </c>
      <c r="L68" s="67">
        <v>90</v>
      </c>
      <c r="M68" s="67">
        <v>90</v>
      </c>
      <c r="N68" s="67">
        <v>90</v>
      </c>
    </row>
    <row r="69" spans="1:16" x14ac:dyDescent="0.25">
      <c r="A69" s="39" t="s">
        <v>2973</v>
      </c>
      <c r="B69" s="142">
        <f>B66+B67</f>
        <v>9.085E-2</v>
      </c>
      <c r="C69" s="142">
        <f t="shared" ref="C69:N69" si="3">C66+C67</f>
        <v>0.10100000000000001</v>
      </c>
      <c r="D69" s="142">
        <f t="shared" si="3"/>
        <v>0.10100000000000001</v>
      </c>
      <c r="E69" s="142">
        <f t="shared" si="3"/>
        <v>0.10100000000000001</v>
      </c>
      <c r="F69" s="142">
        <f t="shared" si="3"/>
        <v>0.10100000000000001</v>
      </c>
      <c r="G69" s="142">
        <f t="shared" si="3"/>
        <v>0.10100000000000001</v>
      </c>
      <c r="H69" s="142">
        <f t="shared" si="3"/>
        <v>0.10100000000000001</v>
      </c>
      <c r="I69" s="142">
        <f t="shared" si="3"/>
        <v>0.10100000000000001</v>
      </c>
      <c r="J69" s="142">
        <f t="shared" si="3"/>
        <v>0.10100000000000001</v>
      </c>
      <c r="K69" s="142">
        <f t="shared" si="3"/>
        <v>0.10100000000000001</v>
      </c>
      <c r="L69" s="142">
        <f t="shared" si="3"/>
        <v>0.10100000000000001</v>
      </c>
      <c r="M69" s="142">
        <f t="shared" si="3"/>
        <v>0.10100000000000001</v>
      </c>
      <c r="N69" s="142">
        <f t="shared" si="3"/>
        <v>0.10100000000000001</v>
      </c>
    </row>
    <row r="70" spans="1:16" ht="38.25" x14ac:dyDescent="0.25">
      <c r="A70" s="39" t="s">
        <v>373</v>
      </c>
      <c r="B70" s="85">
        <f>(1+(B66+B67)*90/360)^(365/90)-1</f>
        <v>9.5358092290190655E-2</v>
      </c>
      <c r="C70" s="73">
        <f>(1+(C66+C67)/90)^90-1</f>
        <v>0.1062139952474157</v>
      </c>
      <c r="D70" s="73">
        <f>(1+(D66+D67)/90)^90-1</f>
        <v>0.1062139952474157</v>
      </c>
      <c r="E70" s="73">
        <f t="shared" ref="E70:N70" si="4">(1+(E66+E67)/90)^90-1</f>
        <v>0.1062139952474157</v>
      </c>
      <c r="F70" s="73">
        <f t="shared" si="4"/>
        <v>0.1062139952474157</v>
      </c>
      <c r="G70" s="73">
        <f t="shared" si="4"/>
        <v>0.1062139952474157</v>
      </c>
      <c r="H70" s="73">
        <f t="shared" si="4"/>
        <v>0.1062139952474157</v>
      </c>
      <c r="I70" s="73">
        <f t="shared" si="4"/>
        <v>0.1062139952474157</v>
      </c>
      <c r="J70" s="73">
        <f t="shared" si="4"/>
        <v>0.1062139952474157</v>
      </c>
      <c r="K70" s="73">
        <f t="shared" si="4"/>
        <v>0.1062139952474157</v>
      </c>
      <c r="L70" s="73">
        <f t="shared" si="4"/>
        <v>0.1062139952474157</v>
      </c>
      <c r="M70" s="73">
        <f t="shared" si="4"/>
        <v>0.1062139952474157</v>
      </c>
      <c r="N70" s="73">
        <f t="shared" si="4"/>
        <v>0.1062139952474157</v>
      </c>
    </row>
    <row r="71" spans="1:16" ht="38.25" x14ac:dyDescent="0.25">
      <c r="A71" s="41" t="s">
        <v>378</v>
      </c>
      <c r="B71" s="42">
        <v>2017</v>
      </c>
      <c r="C71" s="41">
        <v>2018</v>
      </c>
      <c r="D71" s="42">
        <v>2019</v>
      </c>
      <c r="E71" s="41">
        <v>2020</v>
      </c>
      <c r="F71" s="42">
        <v>2021</v>
      </c>
      <c r="G71" s="41">
        <v>2022</v>
      </c>
      <c r="H71" s="42">
        <v>2023</v>
      </c>
      <c r="I71" s="41">
        <v>2024</v>
      </c>
      <c r="J71" s="42">
        <v>2025</v>
      </c>
      <c r="K71" s="41">
        <v>2026</v>
      </c>
      <c r="L71" s="42">
        <v>2027</v>
      </c>
      <c r="M71" s="41">
        <v>2028</v>
      </c>
      <c r="N71" s="42">
        <v>2029</v>
      </c>
      <c r="P71" s="46" t="s">
        <v>379</v>
      </c>
    </row>
    <row r="72" spans="1:16" x14ac:dyDescent="0.25">
      <c r="A72" s="43" t="s">
        <v>39</v>
      </c>
      <c r="B72" s="44">
        <f>+D6</f>
        <v>1151577833.7060857</v>
      </c>
      <c r="C72" s="44">
        <f>+D7+D8+D9+D10</f>
        <v>5111392391.8199244</v>
      </c>
      <c r="D72" s="44">
        <f>+D11+D12+D13+D14</f>
        <v>5111392391.8199244</v>
      </c>
      <c r="E72" s="44">
        <f>+D15+D16+D17+D18</f>
        <v>4791930367.3311787</v>
      </c>
      <c r="F72" s="44">
        <f>+D19+D20+D21+D22</f>
        <v>4280791128.1491871</v>
      </c>
      <c r="G72" s="44">
        <f>+D23+D24+D25+D26</f>
        <v>3769651888.9671941</v>
      </c>
      <c r="H72" s="44">
        <f>+D27+D28+D29+D30</f>
        <v>3258512649.785202</v>
      </c>
      <c r="I72" s="44">
        <f>+D31+D32+D33+D34</f>
        <v>2747373410.6032095</v>
      </c>
      <c r="J72" s="44">
        <f>+D35+D36+D37+D38</f>
        <v>2236234171.421217</v>
      </c>
      <c r="K72" s="44">
        <f>+D39+D40+D41+D42</f>
        <v>1725094932.2392247</v>
      </c>
      <c r="L72" s="44">
        <f>+D43+D44+D45+D46</f>
        <v>1213955693.0572321</v>
      </c>
      <c r="M72" s="44">
        <f>+D47+D48+D49+D50</f>
        <v>702816453.87523961</v>
      </c>
      <c r="N72" s="44">
        <f>+D51+D52+D53</f>
        <v>191677214.69324717</v>
      </c>
      <c r="O72" s="54">
        <f>SUM(B72:N72)</f>
        <v>36292400527.468063</v>
      </c>
      <c r="P72" s="74">
        <f>+O72-D54</f>
        <v>0</v>
      </c>
    </row>
    <row r="73" spans="1:16" ht="51" x14ac:dyDescent="0.25">
      <c r="A73" s="41" t="s">
        <v>380</v>
      </c>
      <c r="B73" s="42">
        <v>2017</v>
      </c>
      <c r="C73" s="41">
        <v>2018</v>
      </c>
      <c r="D73" s="42">
        <v>2019</v>
      </c>
      <c r="E73" s="41">
        <v>2020</v>
      </c>
      <c r="F73" s="42">
        <v>2021</v>
      </c>
      <c r="G73" s="41">
        <v>2022</v>
      </c>
      <c r="H73" s="42">
        <v>2023</v>
      </c>
      <c r="I73" s="41">
        <v>2024</v>
      </c>
      <c r="J73" s="42">
        <v>2025</v>
      </c>
      <c r="K73" s="41">
        <v>2026</v>
      </c>
      <c r="L73" s="42">
        <v>2027</v>
      </c>
      <c r="M73" s="41">
        <v>2028</v>
      </c>
      <c r="N73" s="42">
        <v>2029</v>
      </c>
      <c r="P73" s="46" t="s">
        <v>381</v>
      </c>
    </row>
    <row r="74" spans="1:16" x14ac:dyDescent="0.25">
      <c r="A74" s="47" t="s">
        <v>39</v>
      </c>
      <c r="B74" s="48">
        <f>+C6</f>
        <v>0</v>
      </c>
      <c r="C74" s="48">
        <f>+C7+C8+C9+C10</f>
        <v>0</v>
      </c>
      <c r="D74" s="48">
        <f>+C12+C13+C14</f>
        <v>1250000000</v>
      </c>
      <c r="E74" s="48">
        <f>+C15+C16+C17+C18</f>
        <v>5000000000</v>
      </c>
      <c r="F74" s="48">
        <f>+C19+C20+C21+C22</f>
        <v>5000000000</v>
      </c>
      <c r="G74" s="48">
        <f>+C23+C24+C25+C26</f>
        <v>5000000000</v>
      </c>
      <c r="H74" s="48">
        <f>+C27+C28+C29+C30</f>
        <v>5000000000</v>
      </c>
      <c r="I74" s="48">
        <f>+C31+C32+C33+C34</f>
        <v>5000000000</v>
      </c>
      <c r="J74" s="48">
        <f>+C35+C36+C37+C38</f>
        <v>5000000000</v>
      </c>
      <c r="K74" s="48">
        <f>+C39+C40+C41+C42</f>
        <v>5000000000</v>
      </c>
      <c r="L74" s="48">
        <f>+C43+C44+C45+C46</f>
        <v>5000000000</v>
      </c>
      <c r="M74" s="48">
        <f>+C47+C48+C49+C50</f>
        <v>5000000000</v>
      </c>
      <c r="N74" s="48">
        <f>+C51+C52+C53</f>
        <v>3750000000</v>
      </c>
      <c r="O74" s="54">
        <f>SUM(B74:N74)</f>
        <v>50000000000</v>
      </c>
      <c r="P74" s="74">
        <f>+O74-F5</f>
        <v>0</v>
      </c>
    </row>
    <row r="77" spans="1:16" ht="31.5" x14ac:dyDescent="0.25">
      <c r="A77" s="79" t="s">
        <v>2730</v>
      </c>
      <c r="B77" s="78" t="s">
        <v>2729</v>
      </c>
    </row>
    <row r="78" spans="1:16" ht="31.5" x14ac:dyDescent="0.25">
      <c r="A78" s="79" t="s">
        <v>2731</v>
      </c>
      <c r="B78" s="78" t="s">
        <v>2732</v>
      </c>
    </row>
  </sheetData>
  <mergeCells count="3">
    <mergeCell ref="A1:F1"/>
    <mergeCell ref="A2:F2"/>
    <mergeCell ref="A3:F3"/>
  </mergeCells>
  <hyperlinks>
    <hyperlink ref="B77" r:id="rId1" xr:uid="{00000000-0004-0000-0100-000000000000}"/>
    <hyperlink ref="B78" r:id="rId2" xr:uid="{00000000-0004-0000-0100-000001000000}"/>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K118"/>
  <sheetViews>
    <sheetView workbookViewId="0">
      <selection activeCell="I15" sqref="I15"/>
    </sheetView>
  </sheetViews>
  <sheetFormatPr baseColWidth="10" defaultColWidth="11.5703125" defaultRowHeight="15" x14ac:dyDescent="0.25"/>
  <cols>
    <col min="1" max="1" width="32.5703125" customWidth="1"/>
    <col min="2" max="2" width="19.140625" bestFit="1" customWidth="1"/>
    <col min="3" max="3" width="17" bestFit="1" customWidth="1"/>
    <col min="4" max="4" width="11.28515625" bestFit="1" customWidth="1"/>
    <col min="5" max="5" width="13.28515625" customWidth="1"/>
    <col min="6" max="6" width="18.42578125" customWidth="1"/>
    <col min="7" max="7" width="22.85546875" bestFit="1" customWidth="1"/>
    <col min="8" max="8" width="18.28515625" customWidth="1"/>
    <col min="9" max="9" width="17" customWidth="1"/>
    <col min="10" max="10" width="20" bestFit="1" customWidth="1"/>
    <col min="11" max="11" width="20" customWidth="1"/>
    <col min="257" max="257" width="29" customWidth="1"/>
    <col min="258" max="258" width="19.140625" bestFit="1" customWidth="1"/>
    <col min="259" max="259" width="17" bestFit="1" customWidth="1"/>
    <col min="260" max="260" width="11.28515625" bestFit="1" customWidth="1"/>
    <col min="261" max="261" width="13.28515625" customWidth="1"/>
    <col min="262" max="262" width="18.42578125" customWidth="1"/>
    <col min="263" max="263" width="22.85546875" bestFit="1" customWidth="1"/>
    <col min="264" max="264" width="18.28515625" customWidth="1"/>
    <col min="265" max="265" width="17" customWidth="1"/>
    <col min="266" max="266" width="17.42578125" bestFit="1" customWidth="1"/>
    <col min="267" max="267" width="20" customWidth="1"/>
    <col min="513" max="513" width="29" customWidth="1"/>
    <col min="514" max="514" width="19.140625" bestFit="1" customWidth="1"/>
    <col min="515" max="515" width="17" bestFit="1" customWidth="1"/>
    <col min="516" max="516" width="11.28515625" bestFit="1" customWidth="1"/>
    <col min="517" max="517" width="13.28515625" customWidth="1"/>
    <col min="518" max="518" width="18.42578125" customWidth="1"/>
    <col min="519" max="519" width="22.85546875" bestFit="1" customWidth="1"/>
    <col min="520" max="520" width="18.28515625" customWidth="1"/>
    <col min="521" max="521" width="17" customWidth="1"/>
    <col min="522" max="522" width="17.42578125" bestFit="1" customWidth="1"/>
    <col min="523" max="523" width="20" customWidth="1"/>
    <col min="769" max="769" width="29" customWidth="1"/>
    <col min="770" max="770" width="19.140625" bestFit="1" customWidth="1"/>
    <col min="771" max="771" width="17" bestFit="1" customWidth="1"/>
    <col min="772" max="772" width="11.28515625" bestFit="1" customWidth="1"/>
    <col min="773" max="773" width="13.28515625" customWidth="1"/>
    <col min="774" max="774" width="18.42578125" customWidth="1"/>
    <col min="775" max="775" width="22.85546875" bestFit="1" customWidth="1"/>
    <col min="776" max="776" width="18.28515625" customWidth="1"/>
    <col min="777" max="777" width="17" customWidth="1"/>
    <col min="778" max="778" width="17.42578125" bestFit="1" customWidth="1"/>
    <col min="779" max="779" width="20" customWidth="1"/>
    <col min="1025" max="1025" width="29" customWidth="1"/>
    <col min="1026" max="1026" width="19.140625" bestFit="1" customWidth="1"/>
    <col min="1027" max="1027" width="17" bestFit="1" customWidth="1"/>
    <col min="1028" max="1028" width="11.28515625" bestFit="1" customWidth="1"/>
    <col min="1029" max="1029" width="13.28515625" customWidth="1"/>
    <col min="1030" max="1030" width="18.42578125" customWidth="1"/>
    <col min="1031" max="1031" width="22.85546875" bestFit="1" customWidth="1"/>
    <col min="1032" max="1032" width="18.28515625" customWidth="1"/>
    <col min="1033" max="1033" width="17" customWidth="1"/>
    <col min="1034" max="1034" width="17.42578125" bestFit="1" customWidth="1"/>
    <col min="1035" max="1035" width="20" customWidth="1"/>
    <col min="1281" max="1281" width="29" customWidth="1"/>
    <col min="1282" max="1282" width="19.140625" bestFit="1" customWidth="1"/>
    <col min="1283" max="1283" width="17" bestFit="1" customWidth="1"/>
    <col min="1284" max="1284" width="11.28515625" bestFit="1" customWidth="1"/>
    <col min="1285" max="1285" width="13.28515625" customWidth="1"/>
    <col min="1286" max="1286" width="18.42578125" customWidth="1"/>
    <col min="1287" max="1287" width="22.85546875" bestFit="1" customWidth="1"/>
    <col min="1288" max="1288" width="18.28515625" customWidth="1"/>
    <col min="1289" max="1289" width="17" customWidth="1"/>
    <col min="1290" max="1290" width="17.42578125" bestFit="1" customWidth="1"/>
    <col min="1291" max="1291" width="20" customWidth="1"/>
    <col min="1537" max="1537" width="29" customWidth="1"/>
    <col min="1538" max="1538" width="19.140625" bestFit="1" customWidth="1"/>
    <col min="1539" max="1539" width="17" bestFit="1" customWidth="1"/>
    <col min="1540" max="1540" width="11.28515625" bestFit="1" customWidth="1"/>
    <col min="1541" max="1541" width="13.28515625" customWidth="1"/>
    <col min="1542" max="1542" width="18.42578125" customWidth="1"/>
    <col min="1543" max="1543" width="22.85546875" bestFit="1" customWidth="1"/>
    <col min="1544" max="1544" width="18.28515625" customWidth="1"/>
    <col min="1545" max="1545" width="17" customWidth="1"/>
    <col min="1546" max="1546" width="17.42578125" bestFit="1" customWidth="1"/>
    <col min="1547" max="1547" width="20" customWidth="1"/>
    <col min="1793" max="1793" width="29" customWidth="1"/>
    <col min="1794" max="1794" width="19.140625" bestFit="1" customWidth="1"/>
    <col min="1795" max="1795" width="17" bestFit="1" customWidth="1"/>
    <col min="1796" max="1796" width="11.28515625" bestFit="1" customWidth="1"/>
    <col min="1797" max="1797" width="13.28515625" customWidth="1"/>
    <col min="1798" max="1798" width="18.42578125" customWidth="1"/>
    <col min="1799" max="1799" width="22.85546875" bestFit="1" customWidth="1"/>
    <col min="1800" max="1800" width="18.28515625" customWidth="1"/>
    <col min="1801" max="1801" width="17" customWidth="1"/>
    <col min="1802" max="1802" width="17.42578125" bestFit="1" customWidth="1"/>
    <col min="1803" max="1803" width="20" customWidth="1"/>
    <col min="2049" max="2049" width="29" customWidth="1"/>
    <col min="2050" max="2050" width="19.140625" bestFit="1" customWidth="1"/>
    <col min="2051" max="2051" width="17" bestFit="1" customWidth="1"/>
    <col min="2052" max="2052" width="11.28515625" bestFit="1" customWidth="1"/>
    <col min="2053" max="2053" width="13.28515625" customWidth="1"/>
    <col min="2054" max="2054" width="18.42578125" customWidth="1"/>
    <col min="2055" max="2055" width="22.85546875" bestFit="1" customWidth="1"/>
    <col min="2056" max="2056" width="18.28515625" customWidth="1"/>
    <col min="2057" max="2057" width="17" customWidth="1"/>
    <col min="2058" max="2058" width="17.42578125" bestFit="1" customWidth="1"/>
    <col min="2059" max="2059" width="20" customWidth="1"/>
    <col min="2305" max="2305" width="29" customWidth="1"/>
    <col min="2306" max="2306" width="19.140625" bestFit="1" customWidth="1"/>
    <col min="2307" max="2307" width="17" bestFit="1" customWidth="1"/>
    <col min="2308" max="2308" width="11.28515625" bestFit="1" customWidth="1"/>
    <col min="2309" max="2309" width="13.28515625" customWidth="1"/>
    <col min="2310" max="2310" width="18.42578125" customWidth="1"/>
    <col min="2311" max="2311" width="22.85546875" bestFit="1" customWidth="1"/>
    <col min="2312" max="2312" width="18.28515625" customWidth="1"/>
    <col min="2313" max="2313" width="17" customWidth="1"/>
    <col min="2314" max="2314" width="17.42578125" bestFit="1" customWidth="1"/>
    <col min="2315" max="2315" width="20" customWidth="1"/>
    <col min="2561" max="2561" width="29" customWidth="1"/>
    <col min="2562" max="2562" width="19.140625" bestFit="1" customWidth="1"/>
    <col min="2563" max="2563" width="17" bestFit="1" customWidth="1"/>
    <col min="2564" max="2564" width="11.28515625" bestFit="1" customWidth="1"/>
    <col min="2565" max="2565" width="13.28515625" customWidth="1"/>
    <col min="2566" max="2566" width="18.42578125" customWidth="1"/>
    <col min="2567" max="2567" width="22.85546875" bestFit="1" customWidth="1"/>
    <col min="2568" max="2568" width="18.28515625" customWidth="1"/>
    <col min="2569" max="2569" width="17" customWidth="1"/>
    <col min="2570" max="2570" width="17.42578125" bestFit="1" customWidth="1"/>
    <col min="2571" max="2571" width="20" customWidth="1"/>
    <col min="2817" max="2817" width="29" customWidth="1"/>
    <col min="2818" max="2818" width="19.140625" bestFit="1" customWidth="1"/>
    <col min="2819" max="2819" width="17" bestFit="1" customWidth="1"/>
    <col min="2820" max="2820" width="11.28515625" bestFit="1" customWidth="1"/>
    <col min="2821" max="2821" width="13.28515625" customWidth="1"/>
    <col min="2822" max="2822" width="18.42578125" customWidth="1"/>
    <col min="2823" max="2823" width="22.85546875" bestFit="1" customWidth="1"/>
    <col min="2824" max="2824" width="18.28515625" customWidth="1"/>
    <col min="2825" max="2825" width="17" customWidth="1"/>
    <col min="2826" max="2826" width="17.42578125" bestFit="1" customWidth="1"/>
    <col min="2827" max="2827" width="20" customWidth="1"/>
    <col min="3073" max="3073" width="29" customWidth="1"/>
    <col min="3074" max="3074" width="19.140625" bestFit="1" customWidth="1"/>
    <col min="3075" max="3075" width="17" bestFit="1" customWidth="1"/>
    <col min="3076" max="3076" width="11.28515625" bestFit="1" customWidth="1"/>
    <col min="3077" max="3077" width="13.28515625" customWidth="1"/>
    <col min="3078" max="3078" width="18.42578125" customWidth="1"/>
    <col min="3079" max="3079" width="22.85546875" bestFit="1" customWidth="1"/>
    <col min="3080" max="3080" width="18.28515625" customWidth="1"/>
    <col min="3081" max="3081" width="17" customWidth="1"/>
    <col min="3082" max="3082" width="17.42578125" bestFit="1" customWidth="1"/>
    <col min="3083" max="3083" width="20" customWidth="1"/>
    <col min="3329" max="3329" width="29" customWidth="1"/>
    <col min="3330" max="3330" width="19.140625" bestFit="1" customWidth="1"/>
    <col min="3331" max="3331" width="17" bestFit="1" customWidth="1"/>
    <col min="3332" max="3332" width="11.28515625" bestFit="1" customWidth="1"/>
    <col min="3333" max="3333" width="13.28515625" customWidth="1"/>
    <col min="3334" max="3334" width="18.42578125" customWidth="1"/>
    <col min="3335" max="3335" width="22.85546875" bestFit="1" customWidth="1"/>
    <col min="3336" max="3336" width="18.28515625" customWidth="1"/>
    <col min="3337" max="3337" width="17" customWidth="1"/>
    <col min="3338" max="3338" width="17.42578125" bestFit="1" customWidth="1"/>
    <col min="3339" max="3339" width="20" customWidth="1"/>
    <col min="3585" max="3585" width="29" customWidth="1"/>
    <col min="3586" max="3586" width="19.140625" bestFit="1" customWidth="1"/>
    <col min="3587" max="3587" width="17" bestFit="1" customWidth="1"/>
    <col min="3588" max="3588" width="11.28515625" bestFit="1" customWidth="1"/>
    <col min="3589" max="3589" width="13.28515625" customWidth="1"/>
    <col min="3590" max="3590" width="18.42578125" customWidth="1"/>
    <col min="3591" max="3591" width="22.85546875" bestFit="1" customWidth="1"/>
    <col min="3592" max="3592" width="18.28515625" customWidth="1"/>
    <col min="3593" max="3593" width="17" customWidth="1"/>
    <col min="3594" max="3594" width="17.42578125" bestFit="1" customWidth="1"/>
    <col min="3595" max="3595" width="20" customWidth="1"/>
    <col min="3841" max="3841" width="29" customWidth="1"/>
    <col min="3842" max="3842" width="19.140625" bestFit="1" customWidth="1"/>
    <col min="3843" max="3843" width="17" bestFit="1" customWidth="1"/>
    <col min="3844" max="3844" width="11.28515625" bestFit="1" customWidth="1"/>
    <col min="3845" max="3845" width="13.28515625" customWidth="1"/>
    <col min="3846" max="3846" width="18.42578125" customWidth="1"/>
    <col min="3847" max="3847" width="22.85546875" bestFit="1" customWidth="1"/>
    <col min="3848" max="3848" width="18.28515625" customWidth="1"/>
    <col min="3849" max="3849" width="17" customWidth="1"/>
    <col min="3850" max="3850" width="17.42578125" bestFit="1" customWidth="1"/>
    <col min="3851" max="3851" width="20" customWidth="1"/>
    <col min="4097" max="4097" width="29" customWidth="1"/>
    <col min="4098" max="4098" width="19.140625" bestFit="1" customWidth="1"/>
    <col min="4099" max="4099" width="17" bestFit="1" customWidth="1"/>
    <col min="4100" max="4100" width="11.28515625" bestFit="1" customWidth="1"/>
    <col min="4101" max="4101" width="13.28515625" customWidth="1"/>
    <col min="4102" max="4102" width="18.42578125" customWidth="1"/>
    <col min="4103" max="4103" width="22.85546875" bestFit="1" customWidth="1"/>
    <col min="4104" max="4104" width="18.28515625" customWidth="1"/>
    <col min="4105" max="4105" width="17" customWidth="1"/>
    <col min="4106" max="4106" width="17.42578125" bestFit="1" customWidth="1"/>
    <col min="4107" max="4107" width="20" customWidth="1"/>
    <col min="4353" max="4353" width="29" customWidth="1"/>
    <col min="4354" max="4354" width="19.140625" bestFit="1" customWidth="1"/>
    <col min="4355" max="4355" width="17" bestFit="1" customWidth="1"/>
    <col min="4356" max="4356" width="11.28515625" bestFit="1" customWidth="1"/>
    <col min="4357" max="4357" width="13.28515625" customWidth="1"/>
    <col min="4358" max="4358" width="18.42578125" customWidth="1"/>
    <col min="4359" max="4359" width="22.85546875" bestFit="1" customWidth="1"/>
    <col min="4360" max="4360" width="18.28515625" customWidth="1"/>
    <col min="4361" max="4361" width="17" customWidth="1"/>
    <col min="4362" max="4362" width="17.42578125" bestFit="1" customWidth="1"/>
    <col min="4363" max="4363" width="20" customWidth="1"/>
    <col min="4609" max="4609" width="29" customWidth="1"/>
    <col min="4610" max="4610" width="19.140625" bestFit="1" customWidth="1"/>
    <col min="4611" max="4611" width="17" bestFit="1" customWidth="1"/>
    <col min="4612" max="4612" width="11.28515625" bestFit="1" customWidth="1"/>
    <col min="4613" max="4613" width="13.28515625" customWidth="1"/>
    <col min="4614" max="4614" width="18.42578125" customWidth="1"/>
    <col min="4615" max="4615" width="22.85546875" bestFit="1" customWidth="1"/>
    <col min="4616" max="4616" width="18.28515625" customWidth="1"/>
    <col min="4617" max="4617" width="17" customWidth="1"/>
    <col min="4618" max="4618" width="17.42578125" bestFit="1" customWidth="1"/>
    <col min="4619" max="4619" width="20" customWidth="1"/>
    <col min="4865" max="4865" width="29" customWidth="1"/>
    <col min="4866" max="4866" width="19.140625" bestFit="1" customWidth="1"/>
    <col min="4867" max="4867" width="17" bestFit="1" customWidth="1"/>
    <col min="4868" max="4868" width="11.28515625" bestFit="1" customWidth="1"/>
    <col min="4869" max="4869" width="13.28515625" customWidth="1"/>
    <col min="4870" max="4870" width="18.42578125" customWidth="1"/>
    <col min="4871" max="4871" width="22.85546875" bestFit="1" customWidth="1"/>
    <col min="4872" max="4872" width="18.28515625" customWidth="1"/>
    <col min="4873" max="4873" width="17" customWidth="1"/>
    <col min="4874" max="4874" width="17.42578125" bestFit="1" customWidth="1"/>
    <col min="4875" max="4875" width="20" customWidth="1"/>
    <col min="5121" max="5121" width="29" customWidth="1"/>
    <col min="5122" max="5122" width="19.140625" bestFit="1" customWidth="1"/>
    <col min="5123" max="5123" width="17" bestFit="1" customWidth="1"/>
    <col min="5124" max="5124" width="11.28515625" bestFit="1" customWidth="1"/>
    <col min="5125" max="5125" width="13.28515625" customWidth="1"/>
    <col min="5126" max="5126" width="18.42578125" customWidth="1"/>
    <col min="5127" max="5127" width="22.85546875" bestFit="1" customWidth="1"/>
    <col min="5128" max="5128" width="18.28515625" customWidth="1"/>
    <col min="5129" max="5129" width="17" customWidth="1"/>
    <col min="5130" max="5130" width="17.42578125" bestFit="1" customWidth="1"/>
    <col min="5131" max="5131" width="20" customWidth="1"/>
    <col min="5377" max="5377" width="29" customWidth="1"/>
    <col min="5378" max="5378" width="19.140625" bestFit="1" customWidth="1"/>
    <col min="5379" max="5379" width="17" bestFit="1" customWidth="1"/>
    <col min="5380" max="5380" width="11.28515625" bestFit="1" customWidth="1"/>
    <col min="5381" max="5381" width="13.28515625" customWidth="1"/>
    <col min="5382" max="5382" width="18.42578125" customWidth="1"/>
    <col min="5383" max="5383" width="22.85546875" bestFit="1" customWidth="1"/>
    <col min="5384" max="5384" width="18.28515625" customWidth="1"/>
    <col min="5385" max="5385" width="17" customWidth="1"/>
    <col min="5386" max="5386" width="17.42578125" bestFit="1" customWidth="1"/>
    <col min="5387" max="5387" width="20" customWidth="1"/>
    <col min="5633" max="5633" width="29" customWidth="1"/>
    <col min="5634" max="5634" width="19.140625" bestFit="1" customWidth="1"/>
    <col min="5635" max="5635" width="17" bestFit="1" customWidth="1"/>
    <col min="5636" max="5636" width="11.28515625" bestFit="1" customWidth="1"/>
    <col min="5637" max="5637" width="13.28515625" customWidth="1"/>
    <col min="5638" max="5638" width="18.42578125" customWidth="1"/>
    <col min="5639" max="5639" width="22.85546875" bestFit="1" customWidth="1"/>
    <col min="5640" max="5640" width="18.28515625" customWidth="1"/>
    <col min="5641" max="5641" width="17" customWidth="1"/>
    <col min="5642" max="5642" width="17.42578125" bestFit="1" customWidth="1"/>
    <col min="5643" max="5643" width="20" customWidth="1"/>
    <col min="5889" max="5889" width="29" customWidth="1"/>
    <col min="5890" max="5890" width="19.140625" bestFit="1" customWidth="1"/>
    <col min="5891" max="5891" width="17" bestFit="1" customWidth="1"/>
    <col min="5892" max="5892" width="11.28515625" bestFit="1" customWidth="1"/>
    <col min="5893" max="5893" width="13.28515625" customWidth="1"/>
    <col min="5894" max="5894" width="18.42578125" customWidth="1"/>
    <col min="5895" max="5895" width="22.85546875" bestFit="1" customWidth="1"/>
    <col min="5896" max="5896" width="18.28515625" customWidth="1"/>
    <col min="5897" max="5897" width="17" customWidth="1"/>
    <col min="5898" max="5898" width="17.42578125" bestFit="1" customWidth="1"/>
    <col min="5899" max="5899" width="20" customWidth="1"/>
    <col min="6145" max="6145" width="29" customWidth="1"/>
    <col min="6146" max="6146" width="19.140625" bestFit="1" customWidth="1"/>
    <col min="6147" max="6147" width="17" bestFit="1" customWidth="1"/>
    <col min="6148" max="6148" width="11.28515625" bestFit="1" customWidth="1"/>
    <col min="6149" max="6149" width="13.28515625" customWidth="1"/>
    <col min="6150" max="6150" width="18.42578125" customWidth="1"/>
    <col min="6151" max="6151" width="22.85546875" bestFit="1" customWidth="1"/>
    <col min="6152" max="6152" width="18.28515625" customWidth="1"/>
    <col min="6153" max="6153" width="17" customWidth="1"/>
    <col min="6154" max="6154" width="17.42578125" bestFit="1" customWidth="1"/>
    <col min="6155" max="6155" width="20" customWidth="1"/>
    <col min="6401" max="6401" width="29" customWidth="1"/>
    <col min="6402" max="6402" width="19.140625" bestFit="1" customWidth="1"/>
    <col min="6403" max="6403" width="17" bestFit="1" customWidth="1"/>
    <col min="6404" max="6404" width="11.28515625" bestFit="1" customWidth="1"/>
    <col min="6405" max="6405" width="13.28515625" customWidth="1"/>
    <col min="6406" max="6406" width="18.42578125" customWidth="1"/>
    <col min="6407" max="6407" width="22.85546875" bestFit="1" customWidth="1"/>
    <col min="6408" max="6408" width="18.28515625" customWidth="1"/>
    <col min="6409" max="6409" width="17" customWidth="1"/>
    <col min="6410" max="6410" width="17.42578125" bestFit="1" customWidth="1"/>
    <col min="6411" max="6411" width="20" customWidth="1"/>
    <col min="6657" max="6657" width="29" customWidth="1"/>
    <col min="6658" max="6658" width="19.140625" bestFit="1" customWidth="1"/>
    <col min="6659" max="6659" width="17" bestFit="1" customWidth="1"/>
    <col min="6660" max="6660" width="11.28515625" bestFit="1" customWidth="1"/>
    <col min="6661" max="6661" width="13.28515625" customWidth="1"/>
    <col min="6662" max="6662" width="18.42578125" customWidth="1"/>
    <col min="6663" max="6663" width="22.85546875" bestFit="1" customWidth="1"/>
    <col min="6664" max="6664" width="18.28515625" customWidth="1"/>
    <col min="6665" max="6665" width="17" customWidth="1"/>
    <col min="6666" max="6666" width="17.42578125" bestFit="1" customWidth="1"/>
    <col min="6667" max="6667" width="20" customWidth="1"/>
    <col min="6913" max="6913" width="29" customWidth="1"/>
    <col min="6914" max="6914" width="19.140625" bestFit="1" customWidth="1"/>
    <col min="6915" max="6915" width="17" bestFit="1" customWidth="1"/>
    <col min="6916" max="6916" width="11.28515625" bestFit="1" customWidth="1"/>
    <col min="6917" max="6917" width="13.28515625" customWidth="1"/>
    <col min="6918" max="6918" width="18.42578125" customWidth="1"/>
    <col min="6919" max="6919" width="22.85546875" bestFit="1" customWidth="1"/>
    <col min="6920" max="6920" width="18.28515625" customWidth="1"/>
    <col min="6921" max="6921" width="17" customWidth="1"/>
    <col min="6922" max="6922" width="17.42578125" bestFit="1" customWidth="1"/>
    <col min="6923" max="6923" width="20" customWidth="1"/>
    <col min="7169" max="7169" width="29" customWidth="1"/>
    <col min="7170" max="7170" width="19.140625" bestFit="1" customWidth="1"/>
    <col min="7171" max="7171" width="17" bestFit="1" customWidth="1"/>
    <col min="7172" max="7172" width="11.28515625" bestFit="1" customWidth="1"/>
    <col min="7173" max="7173" width="13.28515625" customWidth="1"/>
    <col min="7174" max="7174" width="18.42578125" customWidth="1"/>
    <col min="7175" max="7175" width="22.85546875" bestFit="1" customWidth="1"/>
    <col min="7176" max="7176" width="18.28515625" customWidth="1"/>
    <col min="7177" max="7177" width="17" customWidth="1"/>
    <col min="7178" max="7178" width="17.42578125" bestFit="1" customWidth="1"/>
    <col min="7179" max="7179" width="20" customWidth="1"/>
    <col min="7425" max="7425" width="29" customWidth="1"/>
    <col min="7426" max="7426" width="19.140625" bestFit="1" customWidth="1"/>
    <col min="7427" max="7427" width="17" bestFit="1" customWidth="1"/>
    <col min="7428" max="7428" width="11.28515625" bestFit="1" customWidth="1"/>
    <col min="7429" max="7429" width="13.28515625" customWidth="1"/>
    <col min="7430" max="7430" width="18.42578125" customWidth="1"/>
    <col min="7431" max="7431" width="22.85546875" bestFit="1" customWidth="1"/>
    <col min="7432" max="7432" width="18.28515625" customWidth="1"/>
    <col min="7433" max="7433" width="17" customWidth="1"/>
    <col min="7434" max="7434" width="17.42578125" bestFit="1" customWidth="1"/>
    <col min="7435" max="7435" width="20" customWidth="1"/>
    <col min="7681" max="7681" width="29" customWidth="1"/>
    <col min="7682" max="7682" width="19.140625" bestFit="1" customWidth="1"/>
    <col min="7683" max="7683" width="17" bestFit="1" customWidth="1"/>
    <col min="7684" max="7684" width="11.28515625" bestFit="1" customWidth="1"/>
    <col min="7685" max="7685" width="13.28515625" customWidth="1"/>
    <col min="7686" max="7686" width="18.42578125" customWidth="1"/>
    <col min="7687" max="7687" width="22.85546875" bestFit="1" customWidth="1"/>
    <col min="7688" max="7688" width="18.28515625" customWidth="1"/>
    <col min="7689" max="7689" width="17" customWidth="1"/>
    <col min="7690" max="7690" width="17.42578125" bestFit="1" customWidth="1"/>
    <col min="7691" max="7691" width="20" customWidth="1"/>
    <col min="7937" max="7937" width="29" customWidth="1"/>
    <col min="7938" max="7938" width="19.140625" bestFit="1" customWidth="1"/>
    <col min="7939" max="7939" width="17" bestFit="1" customWidth="1"/>
    <col min="7940" max="7940" width="11.28515625" bestFit="1" customWidth="1"/>
    <col min="7941" max="7941" width="13.28515625" customWidth="1"/>
    <col min="7942" max="7942" width="18.42578125" customWidth="1"/>
    <col min="7943" max="7943" width="22.85546875" bestFit="1" customWidth="1"/>
    <col min="7944" max="7944" width="18.28515625" customWidth="1"/>
    <col min="7945" max="7945" width="17" customWidth="1"/>
    <col min="7946" max="7946" width="17.42578125" bestFit="1" customWidth="1"/>
    <col min="7947" max="7947" width="20" customWidth="1"/>
    <col min="8193" max="8193" width="29" customWidth="1"/>
    <col min="8194" max="8194" width="19.140625" bestFit="1" customWidth="1"/>
    <col min="8195" max="8195" width="17" bestFit="1" customWidth="1"/>
    <col min="8196" max="8196" width="11.28515625" bestFit="1" customWidth="1"/>
    <col min="8197" max="8197" width="13.28515625" customWidth="1"/>
    <col min="8198" max="8198" width="18.42578125" customWidth="1"/>
    <col min="8199" max="8199" width="22.85546875" bestFit="1" customWidth="1"/>
    <col min="8200" max="8200" width="18.28515625" customWidth="1"/>
    <col min="8201" max="8201" width="17" customWidth="1"/>
    <col min="8202" max="8202" width="17.42578125" bestFit="1" customWidth="1"/>
    <col min="8203" max="8203" width="20" customWidth="1"/>
    <col min="8449" max="8449" width="29" customWidth="1"/>
    <col min="8450" max="8450" width="19.140625" bestFit="1" customWidth="1"/>
    <col min="8451" max="8451" width="17" bestFit="1" customWidth="1"/>
    <col min="8452" max="8452" width="11.28515625" bestFit="1" customWidth="1"/>
    <col min="8453" max="8453" width="13.28515625" customWidth="1"/>
    <col min="8454" max="8454" width="18.42578125" customWidth="1"/>
    <col min="8455" max="8455" width="22.85546875" bestFit="1" customWidth="1"/>
    <col min="8456" max="8456" width="18.28515625" customWidth="1"/>
    <col min="8457" max="8457" width="17" customWidth="1"/>
    <col min="8458" max="8458" width="17.42578125" bestFit="1" customWidth="1"/>
    <col min="8459" max="8459" width="20" customWidth="1"/>
    <col min="8705" max="8705" width="29" customWidth="1"/>
    <col min="8706" max="8706" width="19.140625" bestFit="1" customWidth="1"/>
    <col min="8707" max="8707" width="17" bestFit="1" customWidth="1"/>
    <col min="8708" max="8708" width="11.28515625" bestFit="1" customWidth="1"/>
    <col min="8709" max="8709" width="13.28515625" customWidth="1"/>
    <col min="8710" max="8710" width="18.42578125" customWidth="1"/>
    <col min="8711" max="8711" width="22.85546875" bestFit="1" customWidth="1"/>
    <col min="8712" max="8712" width="18.28515625" customWidth="1"/>
    <col min="8713" max="8713" width="17" customWidth="1"/>
    <col min="8714" max="8714" width="17.42578125" bestFit="1" customWidth="1"/>
    <col min="8715" max="8715" width="20" customWidth="1"/>
    <col min="8961" max="8961" width="29" customWidth="1"/>
    <col min="8962" max="8962" width="19.140625" bestFit="1" customWidth="1"/>
    <col min="8963" max="8963" width="17" bestFit="1" customWidth="1"/>
    <col min="8964" max="8964" width="11.28515625" bestFit="1" customWidth="1"/>
    <col min="8965" max="8965" width="13.28515625" customWidth="1"/>
    <col min="8966" max="8966" width="18.42578125" customWidth="1"/>
    <col min="8967" max="8967" width="22.85546875" bestFit="1" customWidth="1"/>
    <col min="8968" max="8968" width="18.28515625" customWidth="1"/>
    <col min="8969" max="8969" width="17" customWidth="1"/>
    <col min="8970" max="8970" width="17.42578125" bestFit="1" customWidth="1"/>
    <col min="8971" max="8971" width="20" customWidth="1"/>
    <col min="9217" max="9217" width="29" customWidth="1"/>
    <col min="9218" max="9218" width="19.140625" bestFit="1" customWidth="1"/>
    <col min="9219" max="9219" width="17" bestFit="1" customWidth="1"/>
    <col min="9220" max="9220" width="11.28515625" bestFit="1" customWidth="1"/>
    <col min="9221" max="9221" width="13.28515625" customWidth="1"/>
    <col min="9222" max="9222" width="18.42578125" customWidth="1"/>
    <col min="9223" max="9223" width="22.85546875" bestFit="1" customWidth="1"/>
    <col min="9224" max="9224" width="18.28515625" customWidth="1"/>
    <col min="9225" max="9225" width="17" customWidth="1"/>
    <col min="9226" max="9226" width="17.42578125" bestFit="1" customWidth="1"/>
    <col min="9227" max="9227" width="20" customWidth="1"/>
    <col min="9473" max="9473" width="29" customWidth="1"/>
    <col min="9474" max="9474" width="19.140625" bestFit="1" customWidth="1"/>
    <col min="9475" max="9475" width="17" bestFit="1" customWidth="1"/>
    <col min="9476" max="9476" width="11.28515625" bestFit="1" customWidth="1"/>
    <col min="9477" max="9477" width="13.28515625" customWidth="1"/>
    <col min="9478" max="9478" width="18.42578125" customWidth="1"/>
    <col min="9479" max="9479" width="22.85546875" bestFit="1" customWidth="1"/>
    <col min="9480" max="9480" width="18.28515625" customWidth="1"/>
    <col min="9481" max="9481" width="17" customWidth="1"/>
    <col min="9482" max="9482" width="17.42578125" bestFit="1" customWidth="1"/>
    <col min="9483" max="9483" width="20" customWidth="1"/>
    <col min="9729" max="9729" width="29" customWidth="1"/>
    <col min="9730" max="9730" width="19.140625" bestFit="1" customWidth="1"/>
    <col min="9731" max="9731" width="17" bestFit="1" customWidth="1"/>
    <col min="9732" max="9732" width="11.28515625" bestFit="1" customWidth="1"/>
    <col min="9733" max="9733" width="13.28515625" customWidth="1"/>
    <col min="9734" max="9734" width="18.42578125" customWidth="1"/>
    <col min="9735" max="9735" width="22.85546875" bestFit="1" customWidth="1"/>
    <col min="9736" max="9736" width="18.28515625" customWidth="1"/>
    <col min="9737" max="9737" width="17" customWidth="1"/>
    <col min="9738" max="9738" width="17.42578125" bestFit="1" customWidth="1"/>
    <col min="9739" max="9739" width="20" customWidth="1"/>
    <col min="9985" max="9985" width="29" customWidth="1"/>
    <col min="9986" max="9986" width="19.140625" bestFit="1" customWidth="1"/>
    <col min="9987" max="9987" width="17" bestFit="1" customWidth="1"/>
    <col min="9988" max="9988" width="11.28515625" bestFit="1" customWidth="1"/>
    <col min="9989" max="9989" width="13.28515625" customWidth="1"/>
    <col min="9990" max="9990" width="18.42578125" customWidth="1"/>
    <col min="9991" max="9991" width="22.85546875" bestFit="1" customWidth="1"/>
    <col min="9992" max="9992" width="18.28515625" customWidth="1"/>
    <col min="9993" max="9993" width="17" customWidth="1"/>
    <col min="9994" max="9994" width="17.42578125" bestFit="1" customWidth="1"/>
    <col min="9995" max="9995" width="20" customWidth="1"/>
    <col min="10241" max="10241" width="29" customWidth="1"/>
    <col min="10242" max="10242" width="19.140625" bestFit="1" customWidth="1"/>
    <col min="10243" max="10243" width="17" bestFit="1" customWidth="1"/>
    <col min="10244" max="10244" width="11.28515625" bestFit="1" customWidth="1"/>
    <col min="10245" max="10245" width="13.28515625" customWidth="1"/>
    <col min="10246" max="10246" width="18.42578125" customWidth="1"/>
    <col min="10247" max="10247" width="22.85546875" bestFit="1" customWidth="1"/>
    <col min="10248" max="10248" width="18.28515625" customWidth="1"/>
    <col min="10249" max="10249" width="17" customWidth="1"/>
    <col min="10250" max="10250" width="17.42578125" bestFit="1" customWidth="1"/>
    <col min="10251" max="10251" width="20" customWidth="1"/>
    <col min="10497" max="10497" width="29" customWidth="1"/>
    <col min="10498" max="10498" width="19.140625" bestFit="1" customWidth="1"/>
    <col min="10499" max="10499" width="17" bestFit="1" customWidth="1"/>
    <col min="10500" max="10500" width="11.28515625" bestFit="1" customWidth="1"/>
    <col min="10501" max="10501" width="13.28515625" customWidth="1"/>
    <col min="10502" max="10502" width="18.42578125" customWidth="1"/>
    <col min="10503" max="10503" width="22.85546875" bestFit="1" customWidth="1"/>
    <col min="10504" max="10504" width="18.28515625" customWidth="1"/>
    <col min="10505" max="10505" width="17" customWidth="1"/>
    <col min="10506" max="10506" width="17.42578125" bestFit="1" customWidth="1"/>
    <col min="10507" max="10507" width="20" customWidth="1"/>
    <col min="10753" max="10753" width="29" customWidth="1"/>
    <col min="10754" max="10754" width="19.140625" bestFit="1" customWidth="1"/>
    <col min="10755" max="10755" width="17" bestFit="1" customWidth="1"/>
    <col min="10756" max="10756" width="11.28515625" bestFit="1" customWidth="1"/>
    <col min="10757" max="10757" width="13.28515625" customWidth="1"/>
    <col min="10758" max="10758" width="18.42578125" customWidth="1"/>
    <col min="10759" max="10759" width="22.85546875" bestFit="1" customWidth="1"/>
    <col min="10760" max="10760" width="18.28515625" customWidth="1"/>
    <col min="10761" max="10761" width="17" customWidth="1"/>
    <col min="10762" max="10762" width="17.42578125" bestFit="1" customWidth="1"/>
    <col min="10763" max="10763" width="20" customWidth="1"/>
    <col min="11009" max="11009" width="29" customWidth="1"/>
    <col min="11010" max="11010" width="19.140625" bestFit="1" customWidth="1"/>
    <col min="11011" max="11011" width="17" bestFit="1" customWidth="1"/>
    <col min="11012" max="11012" width="11.28515625" bestFit="1" customWidth="1"/>
    <col min="11013" max="11013" width="13.28515625" customWidth="1"/>
    <col min="11014" max="11014" width="18.42578125" customWidth="1"/>
    <col min="11015" max="11015" width="22.85546875" bestFit="1" customWidth="1"/>
    <col min="11016" max="11016" width="18.28515625" customWidth="1"/>
    <col min="11017" max="11017" width="17" customWidth="1"/>
    <col min="11018" max="11018" width="17.42578125" bestFit="1" customWidth="1"/>
    <col min="11019" max="11019" width="20" customWidth="1"/>
    <col min="11265" max="11265" width="29" customWidth="1"/>
    <col min="11266" max="11266" width="19.140625" bestFit="1" customWidth="1"/>
    <col min="11267" max="11267" width="17" bestFit="1" customWidth="1"/>
    <col min="11268" max="11268" width="11.28515625" bestFit="1" customWidth="1"/>
    <col min="11269" max="11269" width="13.28515625" customWidth="1"/>
    <col min="11270" max="11270" width="18.42578125" customWidth="1"/>
    <col min="11271" max="11271" width="22.85546875" bestFit="1" customWidth="1"/>
    <col min="11272" max="11272" width="18.28515625" customWidth="1"/>
    <col min="11273" max="11273" width="17" customWidth="1"/>
    <col min="11274" max="11274" width="17.42578125" bestFit="1" customWidth="1"/>
    <col min="11275" max="11275" width="20" customWidth="1"/>
    <col min="11521" max="11521" width="29" customWidth="1"/>
    <col min="11522" max="11522" width="19.140625" bestFit="1" customWidth="1"/>
    <col min="11523" max="11523" width="17" bestFit="1" customWidth="1"/>
    <col min="11524" max="11524" width="11.28515625" bestFit="1" customWidth="1"/>
    <col min="11525" max="11525" width="13.28515625" customWidth="1"/>
    <col min="11526" max="11526" width="18.42578125" customWidth="1"/>
    <col min="11527" max="11527" width="22.85546875" bestFit="1" customWidth="1"/>
    <col min="11528" max="11528" width="18.28515625" customWidth="1"/>
    <col min="11529" max="11529" width="17" customWidth="1"/>
    <col min="11530" max="11530" width="17.42578125" bestFit="1" customWidth="1"/>
    <col min="11531" max="11531" width="20" customWidth="1"/>
    <col min="11777" max="11777" width="29" customWidth="1"/>
    <col min="11778" max="11778" width="19.140625" bestFit="1" customWidth="1"/>
    <col min="11779" max="11779" width="17" bestFit="1" customWidth="1"/>
    <col min="11780" max="11780" width="11.28515625" bestFit="1" customWidth="1"/>
    <col min="11781" max="11781" width="13.28515625" customWidth="1"/>
    <col min="11782" max="11782" width="18.42578125" customWidth="1"/>
    <col min="11783" max="11783" width="22.85546875" bestFit="1" customWidth="1"/>
    <col min="11784" max="11784" width="18.28515625" customWidth="1"/>
    <col min="11785" max="11785" width="17" customWidth="1"/>
    <col min="11786" max="11786" width="17.42578125" bestFit="1" customWidth="1"/>
    <col min="11787" max="11787" width="20" customWidth="1"/>
    <col min="12033" max="12033" width="29" customWidth="1"/>
    <col min="12034" max="12034" width="19.140625" bestFit="1" customWidth="1"/>
    <col min="12035" max="12035" width="17" bestFit="1" customWidth="1"/>
    <col min="12036" max="12036" width="11.28515625" bestFit="1" customWidth="1"/>
    <col min="12037" max="12037" width="13.28515625" customWidth="1"/>
    <col min="12038" max="12038" width="18.42578125" customWidth="1"/>
    <col min="12039" max="12039" width="22.85546875" bestFit="1" customWidth="1"/>
    <col min="12040" max="12040" width="18.28515625" customWidth="1"/>
    <col min="12041" max="12041" width="17" customWidth="1"/>
    <col min="12042" max="12042" width="17.42578125" bestFit="1" customWidth="1"/>
    <col min="12043" max="12043" width="20" customWidth="1"/>
    <col min="12289" max="12289" width="29" customWidth="1"/>
    <col min="12290" max="12290" width="19.140625" bestFit="1" customWidth="1"/>
    <col min="12291" max="12291" width="17" bestFit="1" customWidth="1"/>
    <col min="12292" max="12292" width="11.28515625" bestFit="1" customWidth="1"/>
    <col min="12293" max="12293" width="13.28515625" customWidth="1"/>
    <col min="12294" max="12294" width="18.42578125" customWidth="1"/>
    <col min="12295" max="12295" width="22.85546875" bestFit="1" customWidth="1"/>
    <col min="12296" max="12296" width="18.28515625" customWidth="1"/>
    <col min="12297" max="12297" width="17" customWidth="1"/>
    <col min="12298" max="12298" width="17.42578125" bestFit="1" customWidth="1"/>
    <col min="12299" max="12299" width="20" customWidth="1"/>
    <col min="12545" max="12545" width="29" customWidth="1"/>
    <col min="12546" max="12546" width="19.140625" bestFit="1" customWidth="1"/>
    <col min="12547" max="12547" width="17" bestFit="1" customWidth="1"/>
    <col min="12548" max="12548" width="11.28515625" bestFit="1" customWidth="1"/>
    <col min="12549" max="12549" width="13.28515625" customWidth="1"/>
    <col min="12550" max="12550" width="18.42578125" customWidth="1"/>
    <col min="12551" max="12551" width="22.85546875" bestFit="1" customWidth="1"/>
    <col min="12552" max="12552" width="18.28515625" customWidth="1"/>
    <col min="12553" max="12553" width="17" customWidth="1"/>
    <col min="12554" max="12554" width="17.42578125" bestFit="1" customWidth="1"/>
    <col min="12555" max="12555" width="20" customWidth="1"/>
    <col min="12801" max="12801" width="29" customWidth="1"/>
    <col min="12802" max="12802" width="19.140625" bestFit="1" customWidth="1"/>
    <col min="12803" max="12803" width="17" bestFit="1" customWidth="1"/>
    <col min="12804" max="12804" width="11.28515625" bestFit="1" customWidth="1"/>
    <col min="12805" max="12805" width="13.28515625" customWidth="1"/>
    <col min="12806" max="12806" width="18.42578125" customWidth="1"/>
    <col min="12807" max="12807" width="22.85546875" bestFit="1" customWidth="1"/>
    <col min="12808" max="12808" width="18.28515625" customWidth="1"/>
    <col min="12809" max="12809" width="17" customWidth="1"/>
    <col min="12810" max="12810" width="17.42578125" bestFit="1" customWidth="1"/>
    <col min="12811" max="12811" width="20" customWidth="1"/>
    <col min="13057" max="13057" width="29" customWidth="1"/>
    <col min="13058" max="13058" width="19.140625" bestFit="1" customWidth="1"/>
    <col min="13059" max="13059" width="17" bestFit="1" customWidth="1"/>
    <col min="13060" max="13060" width="11.28515625" bestFit="1" customWidth="1"/>
    <col min="13061" max="13061" width="13.28515625" customWidth="1"/>
    <col min="13062" max="13062" width="18.42578125" customWidth="1"/>
    <col min="13063" max="13063" width="22.85546875" bestFit="1" customWidth="1"/>
    <col min="13064" max="13064" width="18.28515625" customWidth="1"/>
    <col min="13065" max="13065" width="17" customWidth="1"/>
    <col min="13066" max="13066" width="17.42578125" bestFit="1" customWidth="1"/>
    <col min="13067" max="13067" width="20" customWidth="1"/>
    <col min="13313" max="13313" width="29" customWidth="1"/>
    <col min="13314" max="13314" width="19.140625" bestFit="1" customWidth="1"/>
    <col min="13315" max="13315" width="17" bestFit="1" customWidth="1"/>
    <col min="13316" max="13316" width="11.28515625" bestFit="1" customWidth="1"/>
    <col min="13317" max="13317" width="13.28515625" customWidth="1"/>
    <col min="13318" max="13318" width="18.42578125" customWidth="1"/>
    <col min="13319" max="13319" width="22.85546875" bestFit="1" customWidth="1"/>
    <col min="13320" max="13320" width="18.28515625" customWidth="1"/>
    <col min="13321" max="13321" width="17" customWidth="1"/>
    <col min="13322" max="13322" width="17.42578125" bestFit="1" customWidth="1"/>
    <col min="13323" max="13323" width="20" customWidth="1"/>
    <col min="13569" max="13569" width="29" customWidth="1"/>
    <col min="13570" max="13570" width="19.140625" bestFit="1" customWidth="1"/>
    <col min="13571" max="13571" width="17" bestFit="1" customWidth="1"/>
    <col min="13572" max="13572" width="11.28515625" bestFit="1" customWidth="1"/>
    <col min="13573" max="13573" width="13.28515625" customWidth="1"/>
    <col min="13574" max="13574" width="18.42578125" customWidth="1"/>
    <col min="13575" max="13575" width="22.85546875" bestFit="1" customWidth="1"/>
    <col min="13576" max="13576" width="18.28515625" customWidth="1"/>
    <col min="13577" max="13577" width="17" customWidth="1"/>
    <col min="13578" max="13578" width="17.42578125" bestFit="1" customWidth="1"/>
    <col min="13579" max="13579" width="20" customWidth="1"/>
    <col min="13825" max="13825" width="29" customWidth="1"/>
    <col min="13826" max="13826" width="19.140625" bestFit="1" customWidth="1"/>
    <col min="13827" max="13827" width="17" bestFit="1" customWidth="1"/>
    <col min="13828" max="13828" width="11.28515625" bestFit="1" customWidth="1"/>
    <col min="13829" max="13829" width="13.28515625" customWidth="1"/>
    <col min="13830" max="13830" width="18.42578125" customWidth="1"/>
    <col min="13831" max="13831" width="22.85546875" bestFit="1" customWidth="1"/>
    <col min="13832" max="13832" width="18.28515625" customWidth="1"/>
    <col min="13833" max="13833" width="17" customWidth="1"/>
    <col min="13834" max="13834" width="17.42578125" bestFit="1" customWidth="1"/>
    <col min="13835" max="13835" width="20" customWidth="1"/>
    <col min="14081" max="14081" width="29" customWidth="1"/>
    <col min="14082" max="14082" width="19.140625" bestFit="1" customWidth="1"/>
    <col min="14083" max="14083" width="17" bestFit="1" customWidth="1"/>
    <col min="14084" max="14084" width="11.28515625" bestFit="1" customWidth="1"/>
    <col min="14085" max="14085" width="13.28515625" customWidth="1"/>
    <col min="14086" max="14086" width="18.42578125" customWidth="1"/>
    <col min="14087" max="14087" width="22.85546875" bestFit="1" customWidth="1"/>
    <col min="14088" max="14088" width="18.28515625" customWidth="1"/>
    <col min="14089" max="14089" width="17" customWidth="1"/>
    <col min="14090" max="14090" width="17.42578125" bestFit="1" customWidth="1"/>
    <col min="14091" max="14091" width="20" customWidth="1"/>
    <col min="14337" max="14337" width="29" customWidth="1"/>
    <col min="14338" max="14338" width="19.140625" bestFit="1" customWidth="1"/>
    <col min="14339" max="14339" width="17" bestFit="1" customWidth="1"/>
    <col min="14340" max="14340" width="11.28515625" bestFit="1" customWidth="1"/>
    <col min="14341" max="14341" width="13.28515625" customWidth="1"/>
    <col min="14342" max="14342" width="18.42578125" customWidth="1"/>
    <col min="14343" max="14343" width="22.85546875" bestFit="1" customWidth="1"/>
    <col min="14344" max="14344" width="18.28515625" customWidth="1"/>
    <col min="14345" max="14345" width="17" customWidth="1"/>
    <col min="14346" max="14346" width="17.42578125" bestFit="1" customWidth="1"/>
    <col min="14347" max="14347" width="20" customWidth="1"/>
    <col min="14593" max="14593" width="29" customWidth="1"/>
    <col min="14594" max="14594" width="19.140625" bestFit="1" customWidth="1"/>
    <col min="14595" max="14595" width="17" bestFit="1" customWidth="1"/>
    <col min="14596" max="14596" width="11.28515625" bestFit="1" customWidth="1"/>
    <col min="14597" max="14597" width="13.28515625" customWidth="1"/>
    <col min="14598" max="14598" width="18.42578125" customWidth="1"/>
    <col min="14599" max="14599" width="22.85546875" bestFit="1" customWidth="1"/>
    <col min="14600" max="14600" width="18.28515625" customWidth="1"/>
    <col min="14601" max="14601" width="17" customWidth="1"/>
    <col min="14602" max="14602" width="17.42578125" bestFit="1" customWidth="1"/>
    <col min="14603" max="14603" width="20" customWidth="1"/>
    <col min="14849" max="14849" width="29" customWidth="1"/>
    <col min="14850" max="14850" width="19.140625" bestFit="1" customWidth="1"/>
    <col min="14851" max="14851" width="17" bestFit="1" customWidth="1"/>
    <col min="14852" max="14852" width="11.28515625" bestFit="1" customWidth="1"/>
    <col min="14853" max="14853" width="13.28515625" customWidth="1"/>
    <col min="14854" max="14854" width="18.42578125" customWidth="1"/>
    <col min="14855" max="14855" width="22.85546875" bestFit="1" customWidth="1"/>
    <col min="14856" max="14856" width="18.28515625" customWidth="1"/>
    <col min="14857" max="14857" width="17" customWidth="1"/>
    <col min="14858" max="14858" width="17.42578125" bestFit="1" customWidth="1"/>
    <col min="14859" max="14859" width="20" customWidth="1"/>
    <col min="15105" max="15105" width="29" customWidth="1"/>
    <col min="15106" max="15106" width="19.140625" bestFit="1" customWidth="1"/>
    <col min="15107" max="15107" width="17" bestFit="1" customWidth="1"/>
    <col min="15108" max="15108" width="11.28515625" bestFit="1" customWidth="1"/>
    <col min="15109" max="15109" width="13.28515625" customWidth="1"/>
    <col min="15110" max="15110" width="18.42578125" customWidth="1"/>
    <col min="15111" max="15111" width="22.85546875" bestFit="1" customWidth="1"/>
    <col min="15112" max="15112" width="18.28515625" customWidth="1"/>
    <col min="15113" max="15113" width="17" customWidth="1"/>
    <col min="15114" max="15114" width="17.42578125" bestFit="1" customWidth="1"/>
    <col min="15115" max="15115" width="20" customWidth="1"/>
    <col min="15361" max="15361" width="29" customWidth="1"/>
    <col min="15362" max="15362" width="19.140625" bestFit="1" customWidth="1"/>
    <col min="15363" max="15363" width="17" bestFit="1" customWidth="1"/>
    <col min="15364" max="15364" width="11.28515625" bestFit="1" customWidth="1"/>
    <col min="15365" max="15365" width="13.28515625" customWidth="1"/>
    <col min="15366" max="15366" width="18.42578125" customWidth="1"/>
    <col min="15367" max="15367" width="22.85546875" bestFit="1" customWidth="1"/>
    <col min="15368" max="15368" width="18.28515625" customWidth="1"/>
    <col min="15369" max="15369" width="17" customWidth="1"/>
    <col min="15370" max="15370" width="17.42578125" bestFit="1" customWidth="1"/>
    <col min="15371" max="15371" width="20" customWidth="1"/>
    <col min="15617" max="15617" width="29" customWidth="1"/>
    <col min="15618" max="15618" width="19.140625" bestFit="1" customWidth="1"/>
    <col min="15619" max="15619" width="17" bestFit="1" customWidth="1"/>
    <col min="15620" max="15620" width="11.28515625" bestFit="1" customWidth="1"/>
    <col min="15621" max="15621" width="13.28515625" customWidth="1"/>
    <col min="15622" max="15622" width="18.42578125" customWidth="1"/>
    <col min="15623" max="15623" width="22.85546875" bestFit="1" customWidth="1"/>
    <col min="15624" max="15624" width="18.28515625" customWidth="1"/>
    <col min="15625" max="15625" width="17" customWidth="1"/>
    <col min="15626" max="15626" width="17.42578125" bestFit="1" customWidth="1"/>
    <col min="15627" max="15627" width="20" customWidth="1"/>
    <col min="15873" max="15873" width="29" customWidth="1"/>
    <col min="15874" max="15874" width="19.140625" bestFit="1" customWidth="1"/>
    <col min="15875" max="15875" width="17" bestFit="1" customWidth="1"/>
    <col min="15876" max="15876" width="11.28515625" bestFit="1" customWidth="1"/>
    <col min="15877" max="15877" width="13.28515625" customWidth="1"/>
    <col min="15878" max="15878" width="18.42578125" customWidth="1"/>
    <col min="15879" max="15879" width="22.85546875" bestFit="1" customWidth="1"/>
    <col min="15880" max="15880" width="18.28515625" customWidth="1"/>
    <col min="15881" max="15881" width="17" customWidth="1"/>
    <col min="15882" max="15882" width="17.42578125" bestFit="1" customWidth="1"/>
    <col min="15883" max="15883" width="20" customWidth="1"/>
    <col min="16129" max="16129" width="29" customWidth="1"/>
    <col min="16130" max="16130" width="19.140625" bestFit="1" customWidth="1"/>
    <col min="16131" max="16131" width="17" bestFit="1" customWidth="1"/>
    <col min="16132" max="16132" width="11.28515625" bestFit="1" customWidth="1"/>
    <col min="16133" max="16133" width="13.28515625" customWidth="1"/>
    <col min="16134" max="16134" width="18.42578125" customWidth="1"/>
    <col min="16135" max="16135" width="22.85546875" bestFit="1" customWidth="1"/>
    <col min="16136" max="16136" width="18.28515625" customWidth="1"/>
    <col min="16137" max="16137" width="17" customWidth="1"/>
    <col min="16138" max="16138" width="17.42578125" bestFit="1" customWidth="1"/>
    <col min="16139" max="16139" width="20" customWidth="1"/>
  </cols>
  <sheetData>
    <row r="1" spans="1:11" ht="15.75" thickBot="1" x14ac:dyDescent="0.3">
      <c r="A1" s="214"/>
      <c r="B1" s="214"/>
      <c r="C1" s="214"/>
      <c r="D1" s="214"/>
      <c r="E1" s="214"/>
      <c r="F1" s="214"/>
      <c r="G1" s="214"/>
      <c r="H1" s="214"/>
      <c r="I1" s="80"/>
      <c r="J1" s="80"/>
    </row>
    <row r="2" spans="1:11" ht="23.25" customHeight="1" thickBot="1" x14ac:dyDescent="0.3">
      <c r="A2" s="527" t="s">
        <v>2989</v>
      </c>
      <c r="B2" s="528"/>
      <c r="C2" s="528"/>
      <c r="D2" s="528"/>
      <c r="E2" s="528"/>
      <c r="F2" s="528"/>
      <c r="G2" s="528"/>
      <c r="H2" s="528"/>
      <c r="I2" s="528"/>
      <c r="J2" s="529"/>
    </row>
    <row r="3" spans="1:11" ht="18" customHeight="1" x14ac:dyDescent="0.25">
      <c r="A3" s="527" t="s">
        <v>2990</v>
      </c>
      <c r="B3" s="528"/>
      <c r="C3" s="528"/>
      <c r="D3" s="528"/>
      <c r="E3" s="528"/>
      <c r="F3" s="528"/>
      <c r="G3" s="528"/>
      <c r="H3" s="528"/>
      <c r="I3" s="528"/>
      <c r="J3" s="529"/>
    </row>
    <row r="4" spans="1:11" ht="18.75" customHeight="1" thickBot="1" x14ac:dyDescent="0.3">
      <c r="A4" s="533" t="s">
        <v>2991</v>
      </c>
      <c r="B4" s="534"/>
      <c r="C4" s="534"/>
      <c r="D4" s="534"/>
      <c r="E4" s="534"/>
      <c r="F4" s="534"/>
      <c r="G4" s="534"/>
      <c r="H4" s="534"/>
      <c r="I4" s="534"/>
      <c r="J4" s="535"/>
    </row>
    <row r="5" spans="1:11" ht="22.5" customHeight="1" thickBot="1" x14ac:dyDescent="0.3">
      <c r="A5" s="536" t="s">
        <v>3018</v>
      </c>
      <c r="B5" s="537"/>
      <c r="C5" s="537"/>
      <c r="D5" s="537"/>
      <c r="E5" s="537"/>
      <c r="F5" s="537"/>
      <c r="G5" s="537"/>
      <c r="H5" s="537"/>
      <c r="I5" s="537"/>
      <c r="J5" s="538"/>
    </row>
    <row r="6" spans="1:11" ht="51.75" customHeight="1" thickBot="1" x14ac:dyDescent="0.3">
      <c r="A6" s="196" t="s">
        <v>13</v>
      </c>
      <c r="B6" s="197" t="s">
        <v>14</v>
      </c>
      <c r="C6" s="197" t="s">
        <v>22</v>
      </c>
      <c r="D6" s="198" t="s">
        <v>48</v>
      </c>
      <c r="E6" s="199" t="s">
        <v>2992</v>
      </c>
      <c r="F6" s="200" t="s">
        <v>20</v>
      </c>
      <c r="G6" s="200" t="s">
        <v>2993</v>
      </c>
      <c r="H6" s="200" t="s">
        <v>2994</v>
      </c>
      <c r="I6" s="200" t="s">
        <v>2995</v>
      </c>
      <c r="J6" s="224" t="s">
        <v>17</v>
      </c>
    </row>
    <row r="7" spans="1:11" ht="30.75" customHeight="1" thickBot="1" x14ac:dyDescent="0.3">
      <c r="A7" s="201" t="s">
        <v>2945</v>
      </c>
      <c r="B7" s="202" t="s">
        <v>18</v>
      </c>
      <c r="C7" s="236">
        <v>611516840</v>
      </c>
      <c r="D7" s="204" t="s">
        <v>3017</v>
      </c>
      <c r="E7" s="205">
        <v>4.1549999999999997E-2</v>
      </c>
      <c r="F7" s="258">
        <v>43259</v>
      </c>
      <c r="G7" s="257">
        <v>8322886732</v>
      </c>
      <c r="H7" s="207">
        <v>0</v>
      </c>
      <c r="I7" s="208">
        <v>189449709</v>
      </c>
      <c r="J7" s="225">
        <f>+H7+I7</f>
        <v>189449709</v>
      </c>
    </row>
    <row r="8" spans="1:11" ht="16.5" thickBot="1" x14ac:dyDescent="0.3">
      <c r="A8" s="226" t="s">
        <v>3011</v>
      </c>
      <c r="B8" s="209"/>
      <c r="C8" s="240"/>
      <c r="D8" s="241"/>
      <c r="E8" s="242"/>
      <c r="F8" s="243"/>
      <c r="G8" s="247"/>
      <c r="H8" s="244"/>
      <c r="I8" s="245"/>
      <c r="J8" s="248"/>
    </row>
    <row r="9" spans="1:11" ht="29.25" thickBot="1" x14ac:dyDescent="0.3">
      <c r="A9" s="238" t="s">
        <v>23</v>
      </c>
      <c r="B9" s="223" t="s">
        <v>24</v>
      </c>
      <c r="C9" s="239" t="s">
        <v>25</v>
      </c>
      <c r="D9" s="539" t="s">
        <v>2969</v>
      </c>
      <c r="E9" s="539"/>
      <c r="F9" s="539"/>
      <c r="G9" s="539"/>
      <c r="H9" s="539"/>
      <c r="I9" s="541"/>
      <c r="J9" s="212">
        <f>SUM(J7:J7)</f>
        <v>189449709</v>
      </c>
    </row>
    <row r="10" spans="1:11" x14ac:dyDescent="0.25">
      <c r="A10" s="228"/>
      <c r="B10" s="526" t="s">
        <v>42</v>
      </c>
      <c r="C10" s="526"/>
      <c r="D10" s="213"/>
      <c r="E10" s="214"/>
      <c r="F10" s="214"/>
      <c r="G10" s="214"/>
      <c r="H10" s="214"/>
      <c r="I10" s="214"/>
      <c r="J10" s="215"/>
      <c r="K10" s="216"/>
    </row>
    <row r="11" spans="1:11" x14ac:dyDescent="0.25">
      <c r="A11" s="229"/>
      <c r="B11" s="214"/>
      <c r="C11" s="214"/>
      <c r="D11" s="217"/>
      <c r="E11" s="214"/>
      <c r="F11" s="214"/>
      <c r="G11" s="214"/>
      <c r="H11" s="214"/>
      <c r="I11" s="214"/>
      <c r="J11" s="215"/>
    </row>
    <row r="12" spans="1:11" x14ac:dyDescent="0.25">
      <c r="A12" s="229"/>
      <c r="B12" s="214"/>
      <c r="C12" s="214"/>
      <c r="D12" s="217"/>
      <c r="E12" s="214"/>
      <c r="F12" s="214"/>
      <c r="G12" s="214"/>
      <c r="H12" s="214"/>
      <c r="I12" s="214"/>
      <c r="J12" s="215"/>
    </row>
    <row r="13" spans="1:11" x14ac:dyDescent="0.25">
      <c r="A13" s="229"/>
      <c r="B13" s="214"/>
      <c r="C13" s="214"/>
      <c r="D13" s="217"/>
      <c r="E13" s="214"/>
      <c r="F13" s="214"/>
      <c r="G13" s="214"/>
      <c r="H13" s="214"/>
      <c r="I13" s="214"/>
      <c r="J13" s="215"/>
    </row>
    <row r="14" spans="1:11" x14ac:dyDescent="0.25">
      <c r="A14" s="230"/>
      <c r="B14" s="217"/>
      <c r="C14" s="217"/>
      <c r="D14" s="217"/>
      <c r="E14" s="214"/>
      <c r="F14" s="214"/>
      <c r="G14" s="214"/>
      <c r="H14" s="214"/>
      <c r="I14" s="214"/>
      <c r="J14" s="215"/>
    </row>
    <row r="15" spans="1:11" x14ac:dyDescent="0.25">
      <c r="A15" s="230"/>
      <c r="B15" s="217"/>
      <c r="C15" s="217"/>
      <c r="D15" s="217"/>
      <c r="E15" s="214"/>
      <c r="F15" s="214"/>
      <c r="G15" s="214"/>
      <c r="H15" s="214"/>
      <c r="I15" s="214"/>
      <c r="J15" s="215"/>
    </row>
    <row r="16" spans="1:11" x14ac:dyDescent="0.25">
      <c r="A16" s="230"/>
      <c r="B16" s="217"/>
      <c r="C16" s="217"/>
      <c r="D16" s="217"/>
      <c r="E16" s="214"/>
      <c r="F16" s="214"/>
      <c r="G16" s="214"/>
      <c r="H16" s="214"/>
      <c r="I16" s="214"/>
      <c r="J16" s="215"/>
    </row>
    <row r="17" spans="1:10" x14ac:dyDescent="0.25">
      <c r="A17" s="230"/>
      <c r="B17" s="217"/>
      <c r="C17" s="217"/>
      <c r="D17" s="217"/>
      <c r="E17" s="214"/>
      <c r="F17" s="214"/>
      <c r="G17" s="214"/>
      <c r="H17" s="214"/>
      <c r="I17" s="214"/>
      <c r="J17" s="215"/>
    </row>
    <row r="18" spans="1:10" x14ac:dyDescent="0.25">
      <c r="A18" s="229"/>
      <c r="B18" s="214"/>
      <c r="C18" s="214"/>
      <c r="D18" s="214"/>
      <c r="E18" s="214"/>
      <c r="F18" s="214"/>
      <c r="G18" s="214"/>
      <c r="H18" s="214"/>
      <c r="I18" s="214"/>
      <c r="J18" s="215"/>
    </row>
    <row r="19" spans="1:10" ht="15.75" x14ac:dyDescent="0.25">
      <c r="A19" s="229"/>
      <c r="B19" s="214"/>
      <c r="C19" s="214"/>
      <c r="D19" s="214"/>
      <c r="E19" s="214"/>
      <c r="F19" s="218" t="s">
        <v>2998</v>
      </c>
      <c r="G19" s="214"/>
      <c r="H19" s="214"/>
      <c r="I19" s="214"/>
      <c r="J19" s="215"/>
    </row>
    <row r="20" spans="1:10" ht="15.75" x14ac:dyDescent="0.25">
      <c r="A20" s="229"/>
      <c r="B20" s="214"/>
      <c r="C20" s="214"/>
      <c r="D20" s="214"/>
      <c r="E20" s="214"/>
      <c r="F20" s="218" t="s">
        <v>2999</v>
      </c>
      <c r="G20" s="214"/>
      <c r="H20" s="214"/>
      <c r="I20" s="214"/>
      <c r="J20" s="215"/>
    </row>
    <row r="21" spans="1:10" x14ac:dyDescent="0.25">
      <c r="A21" s="229"/>
      <c r="B21" s="214"/>
      <c r="C21" s="214"/>
      <c r="D21" s="214"/>
      <c r="E21" s="214"/>
      <c r="F21" s="214"/>
      <c r="G21" s="214"/>
      <c r="H21" s="214"/>
      <c r="I21" s="214"/>
      <c r="J21" s="215"/>
    </row>
    <row r="22" spans="1:10" ht="15.75" thickBot="1" x14ac:dyDescent="0.3">
      <c r="A22" s="231" t="s">
        <v>3000</v>
      </c>
      <c r="B22" s="219"/>
      <c r="C22" s="219"/>
      <c r="D22" s="219"/>
      <c r="E22" s="219"/>
      <c r="F22" s="219"/>
      <c r="G22" s="219"/>
      <c r="H22" s="219"/>
      <c r="I22" s="219"/>
      <c r="J22" s="220"/>
    </row>
    <row r="25" spans="1:10" ht="15.75" thickBot="1" x14ac:dyDescent="0.3">
      <c r="A25" s="214"/>
      <c r="B25" s="214"/>
      <c r="C25" s="214"/>
      <c r="D25" s="214"/>
      <c r="E25" s="214"/>
      <c r="F25" s="214"/>
      <c r="G25" s="214"/>
      <c r="H25" s="214"/>
      <c r="I25" s="80"/>
      <c r="J25" s="80"/>
    </row>
    <row r="26" spans="1:10" ht="16.5" thickBot="1" x14ac:dyDescent="0.3">
      <c r="A26" s="527" t="s">
        <v>2989</v>
      </c>
      <c r="B26" s="528"/>
      <c r="C26" s="528"/>
      <c r="D26" s="528"/>
      <c r="E26" s="528"/>
      <c r="F26" s="528"/>
      <c r="G26" s="528"/>
      <c r="H26" s="528"/>
      <c r="I26" s="528"/>
      <c r="J26" s="529"/>
    </row>
    <row r="27" spans="1:10" ht="15.75" x14ac:dyDescent="0.25">
      <c r="A27" s="527" t="s">
        <v>2990</v>
      </c>
      <c r="B27" s="528"/>
      <c r="C27" s="528"/>
      <c r="D27" s="528"/>
      <c r="E27" s="528"/>
      <c r="F27" s="528"/>
      <c r="G27" s="528"/>
      <c r="H27" s="528"/>
      <c r="I27" s="528"/>
      <c r="J27" s="529"/>
    </row>
    <row r="28" spans="1:10" ht="16.5" thickBot="1" x14ac:dyDescent="0.3">
      <c r="A28" s="533" t="s">
        <v>2991</v>
      </c>
      <c r="B28" s="534"/>
      <c r="C28" s="534"/>
      <c r="D28" s="534"/>
      <c r="E28" s="534"/>
      <c r="F28" s="534"/>
      <c r="G28" s="534"/>
      <c r="H28" s="534"/>
      <c r="I28" s="534"/>
      <c r="J28" s="535"/>
    </row>
    <row r="29" spans="1:10" ht="16.5" thickBot="1" x14ac:dyDescent="0.3">
      <c r="A29" s="536" t="s">
        <v>3020</v>
      </c>
      <c r="B29" s="537"/>
      <c r="C29" s="537"/>
      <c r="D29" s="537"/>
      <c r="E29" s="537"/>
      <c r="F29" s="537"/>
      <c r="G29" s="537"/>
      <c r="H29" s="537"/>
      <c r="I29" s="537"/>
      <c r="J29" s="538"/>
    </row>
    <row r="30" spans="1:10" ht="48" thickBot="1" x14ac:dyDescent="0.3">
      <c r="A30" s="196" t="s">
        <v>13</v>
      </c>
      <c r="B30" s="197" t="s">
        <v>14</v>
      </c>
      <c r="C30" s="197" t="s">
        <v>22</v>
      </c>
      <c r="D30" s="198" t="s">
        <v>48</v>
      </c>
      <c r="E30" s="199" t="s">
        <v>2992</v>
      </c>
      <c r="F30" s="200" t="s">
        <v>20</v>
      </c>
      <c r="G30" s="200" t="s">
        <v>2993</v>
      </c>
      <c r="H30" s="200" t="s">
        <v>2994</v>
      </c>
      <c r="I30" s="200" t="s">
        <v>2995</v>
      </c>
      <c r="J30" s="224" t="s">
        <v>17</v>
      </c>
    </row>
    <row r="31" spans="1:10" ht="30" thickBot="1" x14ac:dyDescent="0.3">
      <c r="A31" s="201" t="s">
        <v>2788</v>
      </c>
      <c r="B31" s="209"/>
      <c r="C31" s="237">
        <v>611516840</v>
      </c>
      <c r="D31" s="204" t="s">
        <v>3019</v>
      </c>
      <c r="E31" s="210">
        <v>4.1509999999999998E-2</v>
      </c>
      <c r="F31" s="259">
        <f>'Banco de Occidente II D 3'!A6</f>
        <v>43272</v>
      </c>
      <c r="G31" s="260">
        <f>'Banco de Occidente II D 3'!H6</f>
        <v>797842400</v>
      </c>
      <c r="H31" s="207">
        <f>'[2]BANCO DE OCCIDENTE III D2'!C7</f>
        <v>0</v>
      </c>
      <c r="I31" s="211">
        <f>'Banco de Occidente II D 3'!D9</f>
        <v>18152909.206</v>
      </c>
      <c r="J31" s="246">
        <f>H31+I31</f>
        <v>18152909.206</v>
      </c>
    </row>
    <row r="32" spans="1:10" ht="16.5" thickBot="1" x14ac:dyDescent="0.3">
      <c r="A32" s="226" t="s">
        <v>3011</v>
      </c>
      <c r="B32" s="209"/>
      <c r="C32" s="240"/>
      <c r="D32" s="241"/>
      <c r="E32" s="242"/>
      <c r="F32" s="243"/>
      <c r="G32" s="247"/>
      <c r="H32" s="244"/>
      <c r="I32" s="245"/>
      <c r="J32" s="248"/>
    </row>
    <row r="33" spans="1:10" ht="29.25" thickBot="1" x14ac:dyDescent="0.3">
      <c r="A33" s="238" t="s">
        <v>23</v>
      </c>
      <c r="B33" s="223" t="s">
        <v>3013</v>
      </c>
      <c r="C33" s="239" t="s">
        <v>25</v>
      </c>
      <c r="D33" s="539" t="s">
        <v>2969</v>
      </c>
      <c r="E33" s="539"/>
      <c r="F33" s="539"/>
      <c r="G33" s="539"/>
      <c r="H33" s="539"/>
      <c r="I33" s="541"/>
      <c r="J33" s="212">
        <f>SUM(J31:J31)</f>
        <v>18152909.206</v>
      </c>
    </row>
    <row r="34" spans="1:10" x14ac:dyDescent="0.25">
      <c r="A34" s="228"/>
      <c r="B34" s="526" t="s">
        <v>42</v>
      </c>
      <c r="C34" s="526"/>
      <c r="D34" s="213"/>
      <c r="E34" s="214"/>
      <c r="F34" s="214"/>
      <c r="G34" s="214"/>
      <c r="H34" s="214"/>
      <c r="I34" s="214"/>
      <c r="J34" s="215"/>
    </row>
    <row r="35" spans="1:10" x14ac:dyDescent="0.25">
      <c r="A35" s="229"/>
      <c r="B35" s="214"/>
      <c r="C35" s="214"/>
      <c r="D35" s="217"/>
      <c r="E35" s="214"/>
      <c r="F35" s="214"/>
      <c r="G35" s="214"/>
      <c r="H35" s="214"/>
      <c r="I35" s="214"/>
      <c r="J35" s="215"/>
    </row>
    <row r="36" spans="1:10" x14ac:dyDescent="0.25">
      <c r="A36" s="229"/>
      <c r="B36" s="214"/>
      <c r="C36" s="214"/>
      <c r="D36" s="217"/>
      <c r="E36" s="214"/>
      <c r="F36" s="214"/>
      <c r="G36" s="214"/>
      <c r="H36" s="214"/>
      <c r="I36" s="214"/>
      <c r="J36" s="215"/>
    </row>
    <row r="37" spans="1:10" x14ac:dyDescent="0.25">
      <c r="A37" s="229"/>
      <c r="B37" s="214"/>
      <c r="C37" s="214"/>
      <c r="D37" s="217"/>
      <c r="E37" s="214"/>
      <c r="F37" s="214"/>
      <c r="G37" s="214"/>
      <c r="H37" s="214"/>
      <c r="I37" s="214"/>
      <c r="J37" s="215"/>
    </row>
    <row r="38" spans="1:10" x14ac:dyDescent="0.25">
      <c r="A38" s="230"/>
      <c r="B38" s="217"/>
      <c r="C38" s="217"/>
      <c r="D38" s="217"/>
      <c r="E38" s="214"/>
      <c r="F38" s="214"/>
      <c r="G38" s="214"/>
      <c r="H38" s="214"/>
      <c r="I38" s="214"/>
      <c r="J38" s="215"/>
    </row>
    <row r="39" spans="1:10" x14ac:dyDescent="0.25">
      <c r="A39" s="230"/>
      <c r="B39" s="217"/>
      <c r="C39" s="217"/>
      <c r="D39" s="217"/>
      <c r="E39" s="214"/>
      <c r="F39" s="214"/>
      <c r="G39" s="214"/>
      <c r="H39" s="214"/>
      <c r="I39" s="214"/>
      <c r="J39" s="215"/>
    </row>
    <row r="40" spans="1:10" x14ac:dyDescent="0.25">
      <c r="A40" s="230"/>
      <c r="B40" s="217"/>
      <c r="C40" s="217"/>
      <c r="D40" s="217"/>
      <c r="E40" s="214"/>
      <c r="F40" s="214"/>
      <c r="G40" s="214"/>
      <c r="H40" s="214"/>
      <c r="I40" s="214"/>
      <c r="J40" s="215"/>
    </row>
    <row r="41" spans="1:10" x14ac:dyDescent="0.25">
      <c r="A41" s="230"/>
      <c r="B41" s="217"/>
      <c r="C41" s="217"/>
      <c r="D41" s="217"/>
      <c r="E41" s="214"/>
      <c r="F41" s="214"/>
      <c r="G41" s="214"/>
      <c r="H41" s="214"/>
      <c r="I41" s="214"/>
      <c r="J41" s="215"/>
    </row>
    <row r="42" spans="1:10" x14ac:dyDescent="0.25">
      <c r="A42" s="229"/>
      <c r="B42" s="214"/>
      <c r="C42" s="214"/>
      <c r="D42" s="214"/>
      <c r="E42" s="214"/>
      <c r="F42" s="214"/>
      <c r="G42" s="214"/>
      <c r="H42" s="214"/>
      <c r="I42" s="214"/>
      <c r="J42" s="215"/>
    </row>
    <row r="43" spans="1:10" ht="15.75" x14ac:dyDescent="0.25">
      <c r="A43" s="229"/>
      <c r="B43" s="214"/>
      <c r="C43" s="214"/>
      <c r="D43" s="214"/>
      <c r="E43" s="214"/>
      <c r="F43" s="218" t="s">
        <v>2998</v>
      </c>
      <c r="G43" s="214"/>
      <c r="H43" s="214"/>
      <c r="I43" s="214"/>
      <c r="J43" s="215"/>
    </row>
    <row r="44" spans="1:10" ht="15.75" x14ac:dyDescent="0.25">
      <c r="A44" s="229"/>
      <c r="B44" s="214"/>
      <c r="C44" s="214"/>
      <c r="D44" s="214"/>
      <c r="E44" s="214"/>
      <c r="F44" s="218" t="s">
        <v>2999</v>
      </c>
      <c r="G44" s="214"/>
      <c r="H44" s="214"/>
      <c r="I44" s="214"/>
      <c r="J44" s="215"/>
    </row>
    <row r="45" spans="1:10" x14ac:dyDescent="0.25">
      <c r="A45" s="229"/>
      <c r="B45" s="214"/>
      <c r="C45" s="214"/>
      <c r="D45" s="214"/>
      <c r="E45" s="214"/>
      <c r="F45" s="214"/>
      <c r="G45" s="214"/>
      <c r="H45" s="214"/>
      <c r="I45" s="214"/>
      <c r="J45" s="215"/>
    </row>
    <row r="46" spans="1:10" ht="15.75" thickBot="1" x14ac:dyDescent="0.3">
      <c r="A46" s="231" t="s">
        <v>3000</v>
      </c>
      <c r="B46" s="219"/>
      <c r="C46" s="219"/>
      <c r="D46" s="219"/>
      <c r="E46" s="219"/>
      <c r="F46" s="219"/>
      <c r="G46" s="219"/>
      <c r="H46" s="219"/>
      <c r="I46" s="219"/>
      <c r="J46" s="220"/>
    </row>
    <row r="51" spans="1:10" ht="15.75" thickBot="1" x14ac:dyDescent="0.3"/>
    <row r="52" spans="1:10" ht="16.5" thickBot="1" x14ac:dyDescent="0.3">
      <c r="A52" s="527" t="s">
        <v>2989</v>
      </c>
      <c r="B52" s="528"/>
      <c r="C52" s="528"/>
      <c r="D52" s="528"/>
      <c r="E52" s="528"/>
      <c r="F52" s="528"/>
      <c r="G52" s="528"/>
      <c r="H52" s="528"/>
      <c r="I52" s="528"/>
      <c r="J52" s="529"/>
    </row>
    <row r="53" spans="1:10" ht="15.75" x14ac:dyDescent="0.25">
      <c r="A53" s="527" t="s">
        <v>2990</v>
      </c>
      <c r="B53" s="528"/>
      <c r="C53" s="528"/>
      <c r="D53" s="528"/>
      <c r="E53" s="528"/>
      <c r="F53" s="528"/>
      <c r="G53" s="528"/>
      <c r="H53" s="528"/>
      <c r="I53" s="528"/>
      <c r="J53" s="529"/>
    </row>
    <row r="54" spans="1:10" ht="16.5" thickBot="1" x14ac:dyDescent="0.3">
      <c r="A54" s="533" t="s">
        <v>2991</v>
      </c>
      <c r="B54" s="534"/>
      <c r="C54" s="534"/>
      <c r="D54" s="534"/>
      <c r="E54" s="534"/>
      <c r="F54" s="534"/>
      <c r="G54" s="534"/>
      <c r="H54" s="534"/>
      <c r="I54" s="534"/>
      <c r="J54" s="535"/>
    </row>
    <row r="55" spans="1:10" ht="16.5" thickBot="1" x14ac:dyDescent="0.3">
      <c r="A55" s="536" t="s">
        <v>3021</v>
      </c>
      <c r="B55" s="537"/>
      <c r="C55" s="537"/>
      <c r="D55" s="537"/>
      <c r="E55" s="537"/>
      <c r="F55" s="537"/>
      <c r="G55" s="537"/>
      <c r="H55" s="537"/>
      <c r="I55" s="537"/>
      <c r="J55" s="538"/>
    </row>
    <row r="56" spans="1:10" ht="48" thickBot="1" x14ac:dyDescent="0.3">
      <c r="A56" s="196" t="s">
        <v>13</v>
      </c>
      <c r="B56" s="197" t="s">
        <v>14</v>
      </c>
      <c r="C56" s="197" t="s">
        <v>22</v>
      </c>
      <c r="D56" s="198" t="s">
        <v>48</v>
      </c>
      <c r="E56" s="199" t="s">
        <v>2992</v>
      </c>
      <c r="F56" s="200" t="s">
        <v>20</v>
      </c>
      <c r="G56" s="200" t="s">
        <v>2993</v>
      </c>
      <c r="H56" s="200" t="s">
        <v>2994</v>
      </c>
      <c r="I56" s="200" t="s">
        <v>2995</v>
      </c>
      <c r="J56" s="224" t="s">
        <v>17</v>
      </c>
    </row>
    <row r="57" spans="1:10" ht="30" thickBot="1" x14ac:dyDescent="0.3">
      <c r="A57" s="201" t="s">
        <v>2789</v>
      </c>
      <c r="B57" s="209"/>
      <c r="C57" s="237">
        <v>611516840</v>
      </c>
      <c r="D57" s="204" t="s">
        <v>3022</v>
      </c>
      <c r="E57" s="210">
        <v>4.1480000000000003E-2</v>
      </c>
      <c r="F57" s="259">
        <f>'Banco de Occidente II D 4'!A6</f>
        <v>43460</v>
      </c>
      <c r="G57" s="260">
        <f>'Banco de Occidente II D 4'!H6</f>
        <v>7613583518</v>
      </c>
      <c r="H57" s="207">
        <f>'BANCO DE OCCIDENTE III D4'!C8</f>
        <v>0</v>
      </c>
      <c r="I57" s="211">
        <f>'Banco de Occidente II D 4'!D7</f>
        <v>173170957.11691001</v>
      </c>
      <c r="J57" s="246">
        <f>H57+I57</f>
        <v>173170957.11691001</v>
      </c>
    </row>
    <row r="58" spans="1:10" ht="16.5" thickBot="1" x14ac:dyDescent="0.3">
      <c r="A58" s="226" t="s">
        <v>3011</v>
      </c>
      <c r="B58" s="209"/>
      <c r="C58" s="240"/>
      <c r="D58" s="241"/>
      <c r="E58" s="242"/>
      <c r="F58" s="243"/>
      <c r="G58" s="247"/>
      <c r="H58" s="244"/>
      <c r="I58" s="245"/>
      <c r="J58" s="248"/>
    </row>
    <row r="59" spans="1:10" ht="29.25" thickBot="1" x14ac:dyDescent="0.3">
      <c r="A59" s="238" t="s">
        <v>23</v>
      </c>
      <c r="B59" s="223" t="s">
        <v>3013</v>
      </c>
      <c r="C59" s="239" t="s">
        <v>25</v>
      </c>
      <c r="D59" s="539" t="s">
        <v>2969</v>
      </c>
      <c r="E59" s="539"/>
      <c r="F59" s="539"/>
      <c r="G59" s="539"/>
      <c r="H59" s="539"/>
      <c r="I59" s="541"/>
      <c r="J59" s="212">
        <f>SUM(J57:J57)</f>
        <v>173170957.11691001</v>
      </c>
    </row>
    <row r="60" spans="1:10" x14ac:dyDescent="0.25">
      <c r="A60" s="228"/>
      <c r="B60" s="526" t="s">
        <v>42</v>
      </c>
      <c r="C60" s="526"/>
      <c r="D60" s="213"/>
      <c r="E60" s="214"/>
      <c r="F60" s="214"/>
      <c r="G60" s="214"/>
      <c r="H60" s="214"/>
      <c r="I60" s="214"/>
      <c r="J60" s="215"/>
    </row>
    <row r="61" spans="1:10" x14ac:dyDescent="0.25">
      <c r="A61" s="229"/>
      <c r="B61" s="214"/>
      <c r="C61" s="214"/>
      <c r="D61" s="217"/>
      <c r="E61" s="214"/>
      <c r="F61" s="214"/>
      <c r="G61" s="214"/>
      <c r="H61" s="214"/>
      <c r="I61" s="214"/>
      <c r="J61" s="215"/>
    </row>
    <row r="62" spans="1:10" x14ac:dyDescent="0.25">
      <c r="A62" s="229"/>
      <c r="B62" s="214"/>
      <c r="C62" s="214"/>
      <c r="D62" s="217"/>
      <c r="E62" s="214"/>
      <c r="F62" s="214"/>
      <c r="G62" s="214"/>
      <c r="H62" s="214"/>
      <c r="I62" s="214"/>
      <c r="J62" s="215"/>
    </row>
    <row r="63" spans="1:10" x14ac:dyDescent="0.25">
      <c r="A63" s="229"/>
      <c r="B63" s="214"/>
      <c r="C63" s="214"/>
      <c r="D63" s="217"/>
      <c r="E63" s="214"/>
      <c r="F63" s="214"/>
      <c r="G63" s="214"/>
      <c r="H63" s="214"/>
      <c r="I63" s="214"/>
      <c r="J63" s="215"/>
    </row>
    <row r="64" spans="1:10" x14ac:dyDescent="0.25">
      <c r="A64" s="230"/>
      <c r="B64" s="217"/>
      <c r="C64" s="217"/>
      <c r="D64" s="217"/>
      <c r="E64" s="214"/>
      <c r="F64" s="214"/>
      <c r="G64" s="214"/>
      <c r="H64" s="214"/>
      <c r="I64" s="214"/>
      <c r="J64" s="215"/>
    </row>
    <row r="65" spans="1:10" x14ac:dyDescent="0.25">
      <c r="A65" s="230"/>
      <c r="B65" s="217"/>
      <c r="C65" s="217"/>
      <c r="D65" s="217"/>
      <c r="E65" s="214"/>
      <c r="F65" s="214"/>
      <c r="G65" s="214"/>
      <c r="H65" s="214"/>
      <c r="I65" s="214"/>
      <c r="J65" s="215"/>
    </row>
    <row r="66" spans="1:10" x14ac:dyDescent="0.25">
      <c r="A66" s="230"/>
      <c r="B66" s="217"/>
      <c r="C66" s="217"/>
      <c r="D66" s="217"/>
      <c r="E66" s="214"/>
      <c r="F66" s="214"/>
      <c r="G66" s="214"/>
      <c r="H66" s="214"/>
      <c r="I66" s="214"/>
      <c r="J66" s="215"/>
    </row>
    <row r="67" spans="1:10" x14ac:dyDescent="0.25">
      <c r="A67" s="230"/>
      <c r="B67" s="217"/>
      <c r="C67" s="217"/>
      <c r="D67" s="217"/>
      <c r="E67" s="214"/>
      <c r="F67" s="214"/>
      <c r="G67" s="214"/>
      <c r="H67" s="214"/>
      <c r="I67" s="214"/>
      <c r="J67" s="215"/>
    </row>
    <row r="68" spans="1:10" x14ac:dyDescent="0.25">
      <c r="A68" s="229"/>
      <c r="B68" s="214"/>
      <c r="C68" s="214"/>
      <c r="D68" s="214"/>
      <c r="E68" s="214"/>
      <c r="F68" s="214"/>
      <c r="G68" s="214"/>
      <c r="H68" s="214"/>
      <c r="I68" s="214"/>
      <c r="J68" s="215"/>
    </row>
    <row r="69" spans="1:10" ht="15.75" x14ac:dyDescent="0.25">
      <c r="A69" s="229"/>
      <c r="B69" s="214"/>
      <c r="C69" s="214"/>
      <c r="D69" s="214"/>
      <c r="E69" s="214"/>
      <c r="F69" s="218" t="s">
        <v>2998</v>
      </c>
      <c r="G69" s="214"/>
      <c r="H69" s="214"/>
      <c r="I69" s="214"/>
      <c r="J69" s="215"/>
    </row>
    <row r="70" spans="1:10" ht="15.75" x14ac:dyDescent="0.25">
      <c r="A70" s="229"/>
      <c r="B70" s="214"/>
      <c r="C70" s="214"/>
      <c r="D70" s="214"/>
      <c r="E70" s="214"/>
      <c r="F70" s="218" t="s">
        <v>2999</v>
      </c>
      <c r="G70" s="214"/>
      <c r="H70" s="214"/>
      <c r="I70" s="214"/>
      <c r="J70" s="215"/>
    </row>
    <row r="71" spans="1:10" x14ac:dyDescent="0.25">
      <c r="A71" s="229"/>
      <c r="B71" s="214"/>
      <c r="C71" s="214"/>
      <c r="D71" s="214"/>
      <c r="E71" s="214"/>
      <c r="F71" s="214"/>
      <c r="G71" s="214"/>
      <c r="H71" s="214"/>
      <c r="I71" s="214"/>
      <c r="J71" s="215"/>
    </row>
    <row r="72" spans="1:10" ht="15.75" thickBot="1" x14ac:dyDescent="0.3">
      <c r="A72" s="231" t="s">
        <v>3000</v>
      </c>
      <c r="B72" s="219"/>
      <c r="C72" s="219"/>
      <c r="D72" s="219"/>
      <c r="E72" s="219"/>
      <c r="F72" s="219"/>
      <c r="G72" s="219"/>
      <c r="H72" s="219"/>
      <c r="I72" s="219"/>
      <c r="J72" s="220"/>
    </row>
    <row r="74" spans="1:10" ht="15.75" thickBot="1" x14ac:dyDescent="0.3"/>
    <row r="75" spans="1:10" ht="16.5" thickBot="1" x14ac:dyDescent="0.3">
      <c r="A75" s="527" t="s">
        <v>2989</v>
      </c>
      <c r="B75" s="528"/>
      <c r="C75" s="528"/>
      <c r="D75" s="528"/>
      <c r="E75" s="528"/>
      <c r="F75" s="528"/>
      <c r="G75" s="528"/>
      <c r="H75" s="528"/>
      <c r="I75" s="528"/>
      <c r="J75" s="529"/>
    </row>
    <row r="76" spans="1:10" ht="15.75" x14ac:dyDescent="0.25">
      <c r="A76" s="527" t="s">
        <v>2990</v>
      </c>
      <c r="B76" s="528"/>
      <c r="C76" s="528"/>
      <c r="D76" s="528"/>
      <c r="E76" s="528"/>
      <c r="F76" s="528"/>
      <c r="G76" s="528"/>
      <c r="H76" s="528"/>
      <c r="I76" s="528"/>
      <c r="J76" s="529"/>
    </row>
    <row r="77" spans="1:10" ht="16.5" thickBot="1" x14ac:dyDescent="0.3">
      <c r="A77" s="533" t="s">
        <v>2991</v>
      </c>
      <c r="B77" s="534"/>
      <c r="C77" s="534"/>
      <c r="D77" s="534"/>
      <c r="E77" s="534"/>
      <c r="F77" s="534"/>
      <c r="G77" s="534"/>
      <c r="H77" s="534"/>
      <c r="I77" s="534"/>
      <c r="J77" s="535"/>
    </row>
    <row r="78" spans="1:10" ht="16.5" thickBot="1" x14ac:dyDescent="0.3">
      <c r="A78" s="536" t="s">
        <v>3021</v>
      </c>
      <c r="B78" s="537"/>
      <c r="C78" s="537"/>
      <c r="D78" s="537"/>
      <c r="E78" s="537"/>
      <c r="F78" s="537"/>
      <c r="G78" s="537"/>
      <c r="H78" s="537"/>
      <c r="I78" s="537"/>
      <c r="J78" s="538"/>
    </row>
    <row r="79" spans="1:10" ht="48" thickBot="1" x14ac:dyDescent="0.3">
      <c r="A79" s="196" t="s">
        <v>13</v>
      </c>
      <c r="B79" s="197" t="s">
        <v>14</v>
      </c>
      <c r="C79" s="197" t="s">
        <v>22</v>
      </c>
      <c r="D79" s="198" t="s">
        <v>48</v>
      </c>
      <c r="E79" s="199" t="s">
        <v>2992</v>
      </c>
      <c r="F79" s="200" t="s">
        <v>20</v>
      </c>
      <c r="G79" s="200" t="s">
        <v>2993</v>
      </c>
      <c r="H79" s="200" t="s">
        <v>2994</v>
      </c>
      <c r="I79" s="200" t="s">
        <v>2995</v>
      </c>
      <c r="J79" s="224" t="s">
        <v>17</v>
      </c>
    </row>
    <row r="80" spans="1:10" ht="30" thickBot="1" x14ac:dyDescent="0.3">
      <c r="A80" s="201" t="s">
        <v>2834</v>
      </c>
      <c r="B80" s="209"/>
      <c r="C80" s="237">
        <v>611517181</v>
      </c>
      <c r="D80" s="204" t="s">
        <v>3019</v>
      </c>
      <c r="E80" s="210">
        <v>4.1509999999999998E-2</v>
      </c>
      <c r="F80" s="259">
        <f>'BANCO DE OCCIDENTE III D3'!A6</f>
        <v>43455</v>
      </c>
      <c r="G80" s="260">
        <f>'BANCO DE OCCIDENTE III D3'!H6</f>
        <v>10005746045</v>
      </c>
      <c r="H80" s="207">
        <f>'BANCO DE OCCIDENTE III D3'!C7</f>
        <v>0</v>
      </c>
      <c r="I80" s="211">
        <f>'BANCO DE OCCIDENTE III D3'!D7</f>
        <v>203892090.03198752</v>
      </c>
      <c r="J80" s="246">
        <f>H80+I80</f>
        <v>203892090.03198752</v>
      </c>
    </row>
    <row r="81" spans="1:10" ht="16.5" thickBot="1" x14ac:dyDescent="0.3">
      <c r="A81" s="226" t="s">
        <v>3011</v>
      </c>
      <c r="B81" s="209"/>
      <c r="C81" s="240"/>
      <c r="D81" s="241"/>
      <c r="E81" s="242"/>
      <c r="F81" s="243"/>
      <c r="G81" s="247"/>
      <c r="H81" s="244"/>
      <c r="I81" s="245"/>
      <c r="J81" s="248"/>
    </row>
    <row r="82" spans="1:10" ht="29.25" thickBot="1" x14ac:dyDescent="0.3">
      <c r="A82" s="238" t="s">
        <v>3012</v>
      </c>
      <c r="B82" s="223" t="s">
        <v>3013</v>
      </c>
      <c r="C82" s="239" t="s">
        <v>25</v>
      </c>
      <c r="D82" s="539" t="s">
        <v>2969</v>
      </c>
      <c r="E82" s="539"/>
      <c r="F82" s="539"/>
      <c r="G82" s="539"/>
      <c r="H82" s="539"/>
      <c r="I82" s="541"/>
      <c r="J82" s="212">
        <f>SUM(J80:J80)</f>
        <v>203892090.03198752</v>
      </c>
    </row>
    <row r="83" spans="1:10" x14ac:dyDescent="0.25">
      <c r="A83" s="228"/>
      <c r="B83" s="526" t="s">
        <v>42</v>
      </c>
      <c r="C83" s="526"/>
      <c r="D83" s="213"/>
      <c r="E83" s="214"/>
      <c r="F83" s="214"/>
      <c r="G83" s="214"/>
      <c r="H83" s="214"/>
      <c r="I83" s="214"/>
      <c r="J83" s="215"/>
    </row>
    <row r="84" spans="1:10" x14ac:dyDescent="0.25">
      <c r="A84" s="229"/>
      <c r="B84" s="214"/>
      <c r="C84" s="214"/>
      <c r="D84" s="217"/>
      <c r="E84" s="214"/>
      <c r="F84" s="214"/>
      <c r="G84" s="214"/>
      <c r="H84" s="214"/>
      <c r="I84" s="214"/>
      <c r="J84" s="215"/>
    </row>
    <row r="85" spans="1:10" x14ac:dyDescent="0.25">
      <c r="A85" s="229"/>
      <c r="B85" s="214"/>
      <c r="C85" s="214"/>
      <c r="D85" s="217"/>
      <c r="E85" s="214"/>
      <c r="F85" s="214"/>
      <c r="G85" s="214"/>
      <c r="H85" s="214"/>
      <c r="I85" s="214"/>
      <c r="J85" s="215"/>
    </row>
    <row r="86" spans="1:10" x14ac:dyDescent="0.25">
      <c r="A86" s="229"/>
      <c r="B86" s="214"/>
      <c r="C86" s="214"/>
      <c r="D86" s="217"/>
      <c r="E86" s="214"/>
      <c r="F86" s="214"/>
      <c r="G86" s="214"/>
      <c r="H86" s="214"/>
      <c r="I86" s="214"/>
      <c r="J86" s="215"/>
    </row>
    <row r="87" spans="1:10" x14ac:dyDescent="0.25">
      <c r="A87" s="230"/>
      <c r="B87" s="217"/>
      <c r="C87" s="217"/>
      <c r="D87" s="217"/>
      <c r="E87" s="214"/>
      <c r="F87" s="214"/>
      <c r="G87" s="214"/>
      <c r="H87" s="214"/>
      <c r="I87" s="214"/>
      <c r="J87" s="215"/>
    </row>
    <row r="88" spans="1:10" x14ac:dyDescent="0.25">
      <c r="A88" s="230"/>
      <c r="B88" s="217"/>
      <c r="C88" s="217"/>
      <c r="D88" s="217"/>
      <c r="E88" s="214"/>
      <c r="F88" s="214"/>
      <c r="G88" s="214"/>
      <c r="H88" s="214"/>
      <c r="I88" s="214"/>
      <c r="J88" s="215"/>
    </row>
    <row r="89" spans="1:10" x14ac:dyDescent="0.25">
      <c r="A89" s="230"/>
      <c r="B89" s="217"/>
      <c r="C89" s="217"/>
      <c r="D89" s="217"/>
      <c r="E89" s="214"/>
      <c r="F89" s="214"/>
      <c r="G89" s="214"/>
      <c r="H89" s="214"/>
      <c r="I89" s="214"/>
      <c r="J89" s="215"/>
    </row>
    <row r="90" spans="1:10" x14ac:dyDescent="0.25">
      <c r="A90" s="230"/>
      <c r="B90" s="217"/>
      <c r="C90" s="217"/>
      <c r="D90" s="217"/>
      <c r="E90" s="214"/>
      <c r="F90" s="214"/>
      <c r="G90" s="214"/>
      <c r="H90" s="214"/>
      <c r="I90" s="214"/>
      <c r="J90" s="215"/>
    </row>
    <row r="91" spans="1:10" x14ac:dyDescent="0.25">
      <c r="A91" s="229"/>
      <c r="B91" s="214"/>
      <c r="C91" s="214"/>
      <c r="D91" s="214"/>
      <c r="E91" s="214"/>
      <c r="F91" s="214"/>
      <c r="G91" s="214"/>
      <c r="H91" s="214"/>
      <c r="I91" s="214"/>
      <c r="J91" s="215"/>
    </row>
    <row r="92" spans="1:10" ht="15.75" x14ac:dyDescent="0.25">
      <c r="A92" s="229"/>
      <c r="B92" s="214"/>
      <c r="C92" s="214"/>
      <c r="D92" s="214"/>
      <c r="E92" s="214"/>
      <c r="F92" s="218" t="s">
        <v>2998</v>
      </c>
      <c r="G92" s="214"/>
      <c r="H92" s="214"/>
      <c r="I92" s="214"/>
      <c r="J92" s="215"/>
    </row>
    <row r="93" spans="1:10" ht="15.75" x14ac:dyDescent="0.25">
      <c r="A93" s="229"/>
      <c r="B93" s="214"/>
      <c r="C93" s="214"/>
      <c r="D93" s="214"/>
      <c r="E93" s="214"/>
      <c r="F93" s="218" t="s">
        <v>2999</v>
      </c>
      <c r="G93" s="214"/>
      <c r="H93" s="214"/>
      <c r="I93" s="214"/>
      <c r="J93" s="215"/>
    </row>
    <row r="94" spans="1:10" x14ac:dyDescent="0.25">
      <c r="A94" s="229"/>
      <c r="B94" s="214"/>
      <c r="C94" s="214"/>
      <c r="D94" s="214"/>
      <c r="E94" s="214"/>
      <c r="F94" s="214"/>
      <c r="G94" s="214"/>
      <c r="H94" s="214"/>
      <c r="I94" s="214"/>
      <c r="J94" s="215"/>
    </row>
    <row r="95" spans="1:10" ht="15.75" thickBot="1" x14ac:dyDescent="0.3">
      <c r="A95" s="231" t="s">
        <v>3000</v>
      </c>
      <c r="B95" s="219"/>
      <c r="C95" s="219"/>
      <c r="D95" s="219"/>
      <c r="E95" s="219"/>
      <c r="F95" s="219"/>
      <c r="G95" s="219"/>
      <c r="H95" s="219"/>
      <c r="I95" s="219"/>
      <c r="J95" s="220"/>
    </row>
    <row r="97" spans="1:10" ht="15.75" thickBot="1" x14ac:dyDescent="0.3"/>
    <row r="98" spans="1:10" ht="15.75" x14ac:dyDescent="0.25">
      <c r="A98" s="527" t="s">
        <v>2989</v>
      </c>
      <c r="B98" s="528"/>
      <c r="C98" s="528"/>
      <c r="D98" s="528"/>
      <c r="E98" s="528"/>
      <c r="F98" s="528"/>
      <c r="G98" s="528"/>
      <c r="H98" s="528"/>
      <c r="I98" s="529"/>
      <c r="J98" s="287"/>
    </row>
    <row r="99" spans="1:10" ht="15.75" x14ac:dyDescent="0.25">
      <c r="A99" s="530" t="s">
        <v>2990</v>
      </c>
      <c r="B99" s="531"/>
      <c r="C99" s="531"/>
      <c r="D99" s="531"/>
      <c r="E99" s="531"/>
      <c r="F99" s="531"/>
      <c r="G99" s="531"/>
      <c r="H99" s="531"/>
      <c r="I99" s="532"/>
      <c r="J99" s="288"/>
    </row>
    <row r="100" spans="1:10" ht="16.5" thickBot="1" x14ac:dyDescent="0.3">
      <c r="A100" s="533" t="s">
        <v>2991</v>
      </c>
      <c r="B100" s="534"/>
      <c r="C100" s="534"/>
      <c r="D100" s="534"/>
      <c r="E100" s="534"/>
      <c r="F100" s="534"/>
      <c r="G100" s="534"/>
      <c r="H100" s="534"/>
      <c r="I100" s="535"/>
      <c r="J100" s="289"/>
    </row>
    <row r="101" spans="1:10" ht="16.5" thickBot="1" x14ac:dyDescent="0.3">
      <c r="A101" s="290" t="s">
        <v>3021</v>
      </c>
      <c r="B101" s="291"/>
      <c r="C101" s="291"/>
      <c r="D101" s="291"/>
      <c r="E101" s="291"/>
      <c r="F101" s="291"/>
      <c r="G101" s="291"/>
      <c r="H101" s="291"/>
      <c r="I101" s="292"/>
      <c r="J101" s="292"/>
    </row>
    <row r="102" spans="1:10" ht="48" thickBot="1" x14ac:dyDescent="0.3">
      <c r="A102" s="196" t="s">
        <v>13</v>
      </c>
      <c r="B102" s="197" t="s">
        <v>14</v>
      </c>
      <c r="C102" s="198" t="s">
        <v>48</v>
      </c>
      <c r="D102" s="199" t="s">
        <v>2992</v>
      </c>
      <c r="E102" s="200" t="s">
        <v>20</v>
      </c>
      <c r="F102" s="200" t="s">
        <v>2993</v>
      </c>
      <c r="G102" s="200" t="s">
        <v>2994</v>
      </c>
      <c r="H102" s="200" t="s">
        <v>2995</v>
      </c>
      <c r="I102" s="224" t="s">
        <v>17</v>
      </c>
    </row>
    <row r="103" spans="1:10" ht="30" thickBot="1" x14ac:dyDescent="0.3">
      <c r="A103" s="201" t="s">
        <v>2833</v>
      </c>
      <c r="B103" s="201" t="s">
        <v>3032</v>
      </c>
      <c r="C103" s="204" t="s">
        <v>3028</v>
      </c>
      <c r="D103" s="210">
        <v>4.1509999999999998E-2</v>
      </c>
      <c r="E103" s="259">
        <f>'BANCO DE OCCIDENTE III D1'!A6</f>
        <v>43390</v>
      </c>
      <c r="F103" s="260">
        <f>'BANCO DE OCCIDENTE III D1'!H6</f>
        <v>3327506400</v>
      </c>
      <c r="G103" s="207">
        <f>'BANCO DE OCCIDENTE III D1'!C8</f>
        <v>0</v>
      </c>
      <c r="H103" s="207">
        <f>'BANCO DE OCCIDENTE III D1'!D8</f>
        <v>68558823.453726664</v>
      </c>
      <c r="I103" s="246">
        <f>G103+H103</f>
        <v>68558823.453726664</v>
      </c>
    </row>
    <row r="104" spans="1:10" ht="16.5" thickBot="1" x14ac:dyDescent="0.3">
      <c r="A104" s="226" t="s">
        <v>3011</v>
      </c>
      <c r="B104" s="209"/>
      <c r="C104" s="240"/>
      <c r="D104" s="241"/>
      <c r="E104" s="242"/>
      <c r="F104" s="243"/>
      <c r="G104" s="247"/>
      <c r="H104" s="244"/>
      <c r="I104" s="293"/>
      <c r="J104" s="248"/>
    </row>
    <row r="105" spans="1:10" ht="29.25" thickBot="1" x14ac:dyDescent="0.3">
      <c r="A105" s="238" t="s">
        <v>3012</v>
      </c>
      <c r="B105" s="223" t="s">
        <v>3013</v>
      </c>
      <c r="C105" s="239" t="s">
        <v>25</v>
      </c>
      <c r="D105" s="615" t="s">
        <v>2969</v>
      </c>
      <c r="E105" s="539"/>
      <c r="F105" s="539"/>
      <c r="G105" s="539"/>
      <c r="H105" s="539"/>
      <c r="I105" s="212">
        <f>SUM(I103:I103)</f>
        <v>68558823.453726664</v>
      </c>
    </row>
    <row r="106" spans="1:10" ht="15.75" thickBot="1" x14ac:dyDescent="0.3">
      <c r="A106" s="228"/>
      <c r="B106" s="526" t="s">
        <v>42</v>
      </c>
      <c r="C106" s="526"/>
      <c r="D106" s="213"/>
      <c r="E106" s="214"/>
      <c r="F106" s="214"/>
      <c r="G106" s="214"/>
      <c r="H106" s="214"/>
      <c r="I106" s="215"/>
      <c r="J106" s="214"/>
    </row>
    <row r="107" spans="1:10" x14ac:dyDescent="0.25">
      <c r="A107" s="278" t="s">
        <v>3029</v>
      </c>
      <c r="B107" s="279">
        <v>43390</v>
      </c>
      <c r="C107" s="214"/>
      <c r="D107" s="217"/>
      <c r="E107" s="214"/>
      <c r="F107" s="214"/>
      <c r="G107" s="214"/>
      <c r="H107" s="214"/>
      <c r="I107" s="215"/>
      <c r="J107" s="214"/>
    </row>
    <row r="108" spans="1:10" x14ac:dyDescent="0.25">
      <c r="A108" s="280" t="s">
        <v>3028</v>
      </c>
      <c r="B108" s="281">
        <v>4.1509999999999998E-2</v>
      </c>
      <c r="C108" s="214"/>
      <c r="D108" s="217"/>
      <c r="E108" s="214"/>
      <c r="F108" s="214"/>
      <c r="G108" s="214"/>
      <c r="H108" s="214"/>
      <c r="I108" s="215"/>
      <c r="J108" s="214"/>
    </row>
    <row r="109" spans="1:10" x14ac:dyDescent="0.25">
      <c r="A109" s="282" t="s">
        <v>2828</v>
      </c>
      <c r="B109" s="281">
        <v>0.04</v>
      </c>
      <c r="C109" s="214"/>
      <c r="D109" s="217"/>
      <c r="E109" s="214"/>
      <c r="F109" s="214"/>
      <c r="G109" s="214"/>
      <c r="H109" s="214"/>
      <c r="I109" s="215"/>
      <c r="J109" s="214"/>
    </row>
    <row r="110" spans="1:10" x14ac:dyDescent="0.25">
      <c r="A110" s="283" t="s">
        <v>3030</v>
      </c>
      <c r="B110" s="281">
        <f>B108+B109</f>
        <v>8.1509999999999999E-2</v>
      </c>
      <c r="C110" s="217"/>
      <c r="D110" s="217"/>
      <c r="E110" s="214"/>
      <c r="F110" s="214"/>
      <c r="G110" s="214"/>
      <c r="H110" s="214"/>
      <c r="I110" s="215"/>
      <c r="J110" s="214"/>
    </row>
    <row r="111" spans="1:10" x14ac:dyDescent="0.25">
      <c r="A111" s="282" t="s">
        <v>3031</v>
      </c>
      <c r="B111" s="284">
        <f xml:space="preserve"> EFFECT(B110,4)</f>
        <v>8.4035473880523126E-2</v>
      </c>
      <c r="C111" s="217"/>
      <c r="D111" s="217"/>
      <c r="E111" s="214"/>
      <c r="F111" s="214"/>
      <c r="G111" s="214"/>
      <c r="H111" s="214"/>
      <c r="I111" s="215"/>
      <c r="J111" s="214"/>
    </row>
    <row r="112" spans="1:10" ht="16.5" thickBot="1" x14ac:dyDescent="0.3">
      <c r="A112" s="285" t="s">
        <v>22</v>
      </c>
      <c r="B112" s="286">
        <v>611517181</v>
      </c>
      <c r="C112" s="217"/>
      <c r="D112" s="217"/>
      <c r="E112" s="214"/>
      <c r="F112" s="214"/>
      <c r="G112" s="214"/>
      <c r="H112" s="214"/>
      <c r="I112" s="215"/>
      <c r="J112" s="214"/>
    </row>
    <row r="113" spans="1:10" x14ac:dyDescent="0.25">
      <c r="A113" s="230"/>
      <c r="B113" s="217"/>
      <c r="C113" s="217"/>
      <c r="D113" s="217"/>
      <c r="E113" s="214"/>
      <c r="F113" s="214"/>
      <c r="G113" s="214"/>
      <c r="H113" s="214"/>
      <c r="I113" s="215"/>
      <c r="J113" s="214"/>
    </row>
    <row r="114" spans="1:10" x14ac:dyDescent="0.25">
      <c r="A114" s="229"/>
      <c r="B114" s="214"/>
      <c r="C114" s="214"/>
      <c r="D114" s="214"/>
      <c r="E114" s="214"/>
      <c r="F114" s="214"/>
      <c r="G114" s="214"/>
      <c r="H114" s="214"/>
      <c r="I114" s="215"/>
      <c r="J114" s="214"/>
    </row>
    <row r="115" spans="1:10" ht="15.75" x14ac:dyDescent="0.25">
      <c r="A115" s="229"/>
      <c r="B115" s="214"/>
      <c r="C115" s="214"/>
      <c r="D115" s="214"/>
      <c r="E115" s="214"/>
      <c r="F115" s="218" t="s">
        <v>42</v>
      </c>
      <c r="G115" s="214"/>
      <c r="H115" s="214"/>
      <c r="I115" s="215"/>
      <c r="J115" s="214"/>
    </row>
    <row r="116" spans="1:10" ht="15.75" x14ac:dyDescent="0.25">
      <c r="A116" s="229"/>
      <c r="B116" s="214"/>
      <c r="C116" s="214"/>
      <c r="D116" s="214"/>
      <c r="E116" s="214"/>
      <c r="F116" s="218" t="s">
        <v>42</v>
      </c>
      <c r="G116" s="214"/>
      <c r="H116" s="214"/>
      <c r="I116" s="215"/>
      <c r="J116" s="214"/>
    </row>
    <row r="117" spans="1:10" x14ac:dyDescent="0.25">
      <c r="A117" s="229"/>
      <c r="B117" s="214"/>
      <c r="C117" s="214"/>
      <c r="D117" s="214"/>
      <c r="E117" s="214"/>
      <c r="F117" s="214"/>
      <c r="G117" s="214"/>
      <c r="H117" s="214"/>
      <c r="I117" s="215"/>
      <c r="J117" s="214"/>
    </row>
    <row r="118" spans="1:10" ht="15.75" thickBot="1" x14ac:dyDescent="0.3">
      <c r="A118" s="231" t="s">
        <v>42</v>
      </c>
      <c r="B118" s="219"/>
      <c r="C118" s="219"/>
      <c r="D118" s="219"/>
      <c r="E118" s="219"/>
      <c r="F118" s="219"/>
      <c r="G118" s="219"/>
      <c r="H118" s="219"/>
      <c r="I118" s="220"/>
      <c r="J118" s="219"/>
    </row>
  </sheetData>
  <mergeCells count="29">
    <mergeCell ref="B106:C106"/>
    <mergeCell ref="A98:I98"/>
    <mergeCell ref="A99:I99"/>
    <mergeCell ref="A100:I100"/>
    <mergeCell ref="D105:H105"/>
    <mergeCell ref="B34:C34"/>
    <mergeCell ref="A2:J2"/>
    <mergeCell ref="A3:J3"/>
    <mergeCell ref="A4:J4"/>
    <mergeCell ref="A5:J5"/>
    <mergeCell ref="D9:I9"/>
    <mergeCell ref="B10:C10"/>
    <mergeCell ref="A26:J26"/>
    <mergeCell ref="A27:J27"/>
    <mergeCell ref="A28:J28"/>
    <mergeCell ref="A29:J29"/>
    <mergeCell ref="D33:I33"/>
    <mergeCell ref="A52:J52"/>
    <mergeCell ref="A53:J53"/>
    <mergeCell ref="A54:J54"/>
    <mergeCell ref="A55:J55"/>
    <mergeCell ref="D59:I59"/>
    <mergeCell ref="D82:I82"/>
    <mergeCell ref="B83:C83"/>
    <mergeCell ref="B60:C60"/>
    <mergeCell ref="A75:J75"/>
    <mergeCell ref="A76:J76"/>
    <mergeCell ref="A77:J77"/>
    <mergeCell ref="A78:J78"/>
  </mergeCells>
  <printOptions horizontalCentered="1" verticalCentered="1"/>
  <pageMargins left="0.25" right="0.25" top="0.75" bottom="0.75" header="0.3" footer="0.3"/>
  <pageSetup scale="7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B050"/>
  </sheetPr>
  <dimension ref="A1:O56"/>
  <sheetViews>
    <sheetView topLeftCell="A10" zoomScale="90" zoomScaleNormal="90" workbookViewId="0">
      <selection activeCell="D16" sqref="D16"/>
    </sheetView>
  </sheetViews>
  <sheetFormatPr baseColWidth="10" defaultColWidth="11.5703125" defaultRowHeight="15" x14ac:dyDescent="0.25"/>
  <cols>
    <col min="1" max="1" width="15" customWidth="1"/>
    <col min="2" max="2" width="19" customWidth="1"/>
    <col min="3" max="3" width="18.5703125" customWidth="1"/>
    <col min="4" max="4" width="16.28515625" customWidth="1"/>
    <col min="5" max="5" width="16.7109375" customWidth="1"/>
    <col min="6" max="6" width="14.140625" bestFit="1" customWidth="1"/>
    <col min="7" max="7" width="16.85546875" customWidth="1"/>
    <col min="8" max="8" width="17.7109375" customWidth="1"/>
    <col min="9" max="9" width="14.140625" bestFit="1" customWidth="1"/>
    <col min="10" max="10" width="17.140625" customWidth="1"/>
    <col min="11" max="11" width="13.7109375" bestFit="1" customWidth="1"/>
    <col min="12" max="13" width="13.5703125" bestFit="1" customWidth="1"/>
    <col min="14"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x14ac:dyDescent="0.25">
      <c r="A1" s="511" t="s">
        <v>2</v>
      </c>
      <c r="B1" s="512"/>
      <c r="C1" s="512"/>
      <c r="D1" s="512"/>
      <c r="E1" s="512"/>
      <c r="F1" s="512"/>
      <c r="G1" s="512"/>
      <c r="H1" s="512"/>
    </row>
    <row r="2" spans="1:15" x14ac:dyDescent="0.25">
      <c r="A2" s="511" t="s">
        <v>3082</v>
      </c>
      <c r="B2" s="512"/>
      <c r="C2" s="512"/>
      <c r="D2" s="512"/>
      <c r="E2" s="512"/>
      <c r="F2" s="512"/>
      <c r="G2" s="512"/>
      <c r="H2" s="512"/>
    </row>
    <row r="3" spans="1:15" x14ac:dyDescent="0.25">
      <c r="A3" s="511" t="s">
        <v>3081</v>
      </c>
      <c r="B3" s="512"/>
      <c r="C3" s="512"/>
      <c r="D3" s="512"/>
      <c r="E3" s="512"/>
      <c r="F3" s="512"/>
      <c r="G3" s="512"/>
      <c r="H3" s="512"/>
    </row>
    <row r="4" spans="1:15" ht="15.75" thickBot="1" x14ac:dyDescent="0.3">
      <c r="A4" s="515" t="s">
        <v>3090</v>
      </c>
      <c r="B4" s="516"/>
      <c r="C4" s="516"/>
      <c r="D4" s="516"/>
      <c r="E4" s="516"/>
      <c r="F4" s="516"/>
      <c r="G4" s="516"/>
      <c r="H4" s="516"/>
    </row>
    <row r="5" spans="1:15" ht="45.75" thickBot="1" x14ac:dyDescent="0.3">
      <c r="A5" s="103" t="s">
        <v>5</v>
      </c>
      <c r="B5" s="2" t="s">
        <v>6</v>
      </c>
      <c r="C5" s="3" t="s">
        <v>7</v>
      </c>
      <c r="D5" s="3" t="s">
        <v>40</v>
      </c>
      <c r="E5" s="3" t="s">
        <v>41</v>
      </c>
      <c r="F5" s="3" t="s">
        <v>3139</v>
      </c>
      <c r="G5" s="4" t="s">
        <v>3078</v>
      </c>
      <c r="H5" s="5" t="s">
        <v>8</v>
      </c>
    </row>
    <row r="6" spans="1:15" x14ac:dyDescent="0.25">
      <c r="A6" s="329">
        <v>43433</v>
      </c>
      <c r="B6" s="300" t="s">
        <v>359</v>
      </c>
      <c r="C6" s="294">
        <v>0</v>
      </c>
      <c r="D6" s="294">
        <v>0</v>
      </c>
      <c r="E6" s="294"/>
      <c r="F6" s="294"/>
      <c r="G6" s="294">
        <v>0</v>
      </c>
      <c r="H6" s="298">
        <v>977047306</v>
      </c>
      <c r="I6" s="54"/>
    </row>
    <row r="7" spans="1:15" x14ac:dyDescent="0.25">
      <c r="A7" s="329">
        <f>A6+91</f>
        <v>43524</v>
      </c>
      <c r="B7" s="297" t="s">
        <v>9</v>
      </c>
      <c r="C7" s="294">
        <v>0</v>
      </c>
      <c r="D7" s="294">
        <f>H6*$B$54*B$53/360</f>
        <v>19936650.278930001</v>
      </c>
      <c r="E7" s="294">
        <v>19936650.278930001</v>
      </c>
      <c r="F7" s="294"/>
      <c r="G7" s="294">
        <f>E7+C7+F7</f>
        <v>19936650.278930001</v>
      </c>
      <c r="H7" s="298">
        <f t="shared" ref="H7:H46" si="0">+H6-C7</f>
        <v>977047306</v>
      </c>
      <c r="I7" s="54"/>
    </row>
    <row r="8" spans="1:15" x14ac:dyDescent="0.25">
      <c r="A8" s="329">
        <f>A7+90</f>
        <v>43614</v>
      </c>
      <c r="B8" s="297" t="s">
        <v>9</v>
      </c>
      <c r="C8" s="294">
        <v>0</v>
      </c>
      <c r="D8" s="294">
        <f>H7*$C$54*C$53/360</f>
        <v>19882912.677099999</v>
      </c>
      <c r="E8" s="294">
        <v>19882912.677099999</v>
      </c>
      <c r="F8" s="294"/>
      <c r="G8" s="294">
        <f t="shared" ref="G8:G46" si="1">E8+C8+F8</f>
        <v>19882912.677099999</v>
      </c>
      <c r="H8" s="298">
        <f t="shared" si="0"/>
        <v>977047306</v>
      </c>
    </row>
    <row r="9" spans="1:15" x14ac:dyDescent="0.25">
      <c r="A9" s="329">
        <f>A8+92</f>
        <v>43706</v>
      </c>
      <c r="B9" s="297" t="s">
        <v>9</v>
      </c>
      <c r="C9" s="294">
        <v>0</v>
      </c>
      <c r="D9" s="294">
        <f>H8*$D$54*D$53/360</f>
        <v>19860929.112714998</v>
      </c>
      <c r="E9" s="294">
        <v>19860929.112714998</v>
      </c>
      <c r="F9" s="294"/>
      <c r="G9" s="294">
        <f t="shared" si="1"/>
        <v>19860929.112714998</v>
      </c>
      <c r="H9" s="298">
        <f t="shared" si="0"/>
        <v>977047306</v>
      </c>
    </row>
    <row r="10" spans="1:15" x14ac:dyDescent="0.25">
      <c r="A10" s="329">
        <f>A9+92</f>
        <v>43798</v>
      </c>
      <c r="B10" s="297" t="s">
        <v>9</v>
      </c>
      <c r="C10" s="294">
        <v>0</v>
      </c>
      <c r="D10" s="294">
        <f>H9*$E$54*E$53/360</f>
        <v>19865814.349245001</v>
      </c>
      <c r="E10" s="294">
        <v>19865814.349245001</v>
      </c>
      <c r="F10" s="294"/>
      <c r="G10" s="294">
        <f t="shared" si="1"/>
        <v>19865814.349245001</v>
      </c>
      <c r="H10" s="298">
        <f t="shared" si="0"/>
        <v>977047306</v>
      </c>
    </row>
    <row r="11" spans="1:15" x14ac:dyDescent="0.25">
      <c r="A11" s="329">
        <f>A10+92</f>
        <v>43890</v>
      </c>
      <c r="B11" s="297" t="s">
        <v>9</v>
      </c>
      <c r="C11" s="294">
        <v>0</v>
      </c>
      <c r="D11" s="294">
        <f>H10*$F$54*F$53/360</f>
        <v>19873142.204040002</v>
      </c>
      <c r="E11" s="294">
        <v>19873142.204040002</v>
      </c>
      <c r="F11" s="294"/>
      <c r="G11" s="294">
        <f t="shared" si="1"/>
        <v>19873142.204040002</v>
      </c>
      <c r="H11" s="298">
        <f t="shared" si="0"/>
        <v>977047306</v>
      </c>
    </row>
    <row r="12" spans="1:15" x14ac:dyDescent="0.25">
      <c r="A12" s="329">
        <f>A11+90</f>
        <v>43980</v>
      </c>
      <c r="B12" s="297" t="s">
        <v>9</v>
      </c>
      <c r="C12" s="294">
        <v>0</v>
      </c>
      <c r="D12" s="18">
        <f>H11*$G$54*G$53/360</f>
        <v>19856043.876185</v>
      </c>
      <c r="E12" s="18">
        <v>19856043.876185</v>
      </c>
      <c r="F12" s="294">
        <f>SUM(D12:D13)</f>
        <v>35671997.142059997</v>
      </c>
      <c r="G12" s="294">
        <f>+C12</f>
        <v>0</v>
      </c>
      <c r="H12" s="298">
        <f t="shared" si="0"/>
        <v>977047306</v>
      </c>
      <c r="I12" t="s">
        <v>3155</v>
      </c>
    </row>
    <row r="13" spans="1:15" x14ac:dyDescent="0.25">
      <c r="A13" s="329">
        <f>A12+92</f>
        <v>44072</v>
      </c>
      <c r="B13" s="297" t="s">
        <v>9</v>
      </c>
      <c r="C13" s="294">
        <v>0</v>
      </c>
      <c r="D13" s="18">
        <f>H12*$H$54*H$53/360</f>
        <v>15815953.265875001</v>
      </c>
      <c r="E13" s="18">
        <v>15815953.265875001</v>
      </c>
      <c r="F13" s="462">
        <f>5014451*8</f>
        <v>40115608</v>
      </c>
      <c r="G13" s="294">
        <f>+C13</f>
        <v>0</v>
      </c>
      <c r="H13" s="298">
        <f t="shared" si="0"/>
        <v>977047306</v>
      </c>
      <c r="I13" t="s">
        <v>3156</v>
      </c>
      <c r="L13" s="105"/>
      <c r="N13" s="54"/>
      <c r="O13" s="54"/>
    </row>
    <row r="14" spans="1:15" x14ac:dyDescent="0.25">
      <c r="A14" s="329">
        <f>A13+92</f>
        <v>44164</v>
      </c>
      <c r="B14" s="297" t="s">
        <v>9</v>
      </c>
      <c r="C14" s="294">
        <v>0</v>
      </c>
      <c r="D14" s="294">
        <f>H13*$I$54*I$53/360</f>
        <v>14719217.664890001</v>
      </c>
      <c r="E14" s="294">
        <v>14719217.664890001</v>
      </c>
      <c r="F14" s="294">
        <v>5014451</v>
      </c>
      <c r="G14" s="294">
        <f t="shared" si="1"/>
        <v>19733668.664889999</v>
      </c>
      <c r="H14" s="298">
        <f t="shared" si="0"/>
        <v>977047306</v>
      </c>
      <c r="I14" s="54"/>
    </row>
    <row r="15" spans="1:15" x14ac:dyDescent="0.25">
      <c r="A15" s="329">
        <f>A14+91</f>
        <v>44255</v>
      </c>
      <c r="B15" s="297" t="s">
        <v>10</v>
      </c>
      <c r="C15" s="294">
        <f>+$H$6/32</f>
        <v>30532728.3125</v>
      </c>
      <c r="D15" s="294">
        <f>H14*$K$54*K$53/360</f>
        <v>19540946.120000001</v>
      </c>
      <c r="E15" s="294"/>
      <c r="F15" s="294">
        <v>5014451</v>
      </c>
      <c r="G15" s="294">
        <f t="shared" si="1"/>
        <v>35547179.3125</v>
      </c>
      <c r="H15" s="298">
        <f t="shared" si="0"/>
        <v>946514577.6875</v>
      </c>
      <c r="I15" s="105"/>
    </row>
    <row r="16" spans="1:15" x14ac:dyDescent="0.25">
      <c r="A16" s="329">
        <f>A15+90</f>
        <v>44345</v>
      </c>
      <c r="B16" s="297" t="s">
        <v>10</v>
      </c>
      <c r="C16" s="294">
        <f t="shared" ref="C16:C46" si="2">+$H$6/32</f>
        <v>30532728.3125</v>
      </c>
      <c r="D16" s="294">
        <f>H15*$K$54*K$53/360</f>
        <v>18930291.553750001</v>
      </c>
      <c r="E16" s="294"/>
      <c r="F16" s="294">
        <v>5014451</v>
      </c>
      <c r="G16" s="294">
        <f t="shared" si="1"/>
        <v>35547179.3125</v>
      </c>
      <c r="H16" s="298">
        <f t="shared" si="0"/>
        <v>915981849.375</v>
      </c>
      <c r="I16" s="105"/>
      <c r="L16" s="76"/>
    </row>
    <row r="17" spans="1:8" x14ac:dyDescent="0.25">
      <c r="A17" s="329">
        <f>A16+92</f>
        <v>44437</v>
      </c>
      <c r="B17" s="297" t="s">
        <v>10</v>
      </c>
      <c r="C17" s="294">
        <f t="shared" si="2"/>
        <v>30532728.3125</v>
      </c>
      <c r="D17" s="294">
        <f>H16*$K$54*K$53/360</f>
        <v>18319636.987500001</v>
      </c>
      <c r="E17" s="294"/>
      <c r="F17" s="294">
        <v>5014451</v>
      </c>
      <c r="G17" s="294">
        <f t="shared" si="1"/>
        <v>35547179.3125</v>
      </c>
      <c r="H17" s="298">
        <f t="shared" si="0"/>
        <v>885449121.0625</v>
      </c>
    </row>
    <row r="18" spans="1:8" x14ac:dyDescent="0.25">
      <c r="A18" s="329">
        <f>A17+92</f>
        <v>44529</v>
      </c>
      <c r="B18" s="297" t="s">
        <v>10</v>
      </c>
      <c r="C18" s="294">
        <f t="shared" si="2"/>
        <v>30532728.3125</v>
      </c>
      <c r="D18" s="294">
        <f>H17*$K$54*K$53/360</f>
        <v>17708982.421250001</v>
      </c>
      <c r="E18" s="294"/>
      <c r="F18" s="294">
        <v>5014451</v>
      </c>
      <c r="G18" s="294">
        <f t="shared" si="1"/>
        <v>35547179.3125</v>
      </c>
      <c r="H18" s="298">
        <f t="shared" si="0"/>
        <v>854916392.75</v>
      </c>
    </row>
    <row r="19" spans="1:8" x14ac:dyDescent="0.25">
      <c r="A19" s="329">
        <f>A18+91</f>
        <v>44620</v>
      </c>
      <c r="B19" s="297" t="s">
        <v>10</v>
      </c>
      <c r="C19" s="294">
        <f t="shared" si="2"/>
        <v>30532728.3125</v>
      </c>
      <c r="D19" s="294">
        <f>H18*$L$54*L$53/360</f>
        <v>18166973.345937498</v>
      </c>
      <c r="E19" s="294"/>
      <c r="F19" s="294">
        <v>5014451</v>
      </c>
      <c r="G19" s="294">
        <f t="shared" si="1"/>
        <v>35547179.3125</v>
      </c>
      <c r="H19" s="298">
        <f t="shared" si="0"/>
        <v>824383664.4375</v>
      </c>
    </row>
    <row r="20" spans="1:8" x14ac:dyDescent="0.25">
      <c r="A20" s="329">
        <f>A19+90</f>
        <v>44710</v>
      </c>
      <c r="B20" s="297" t="s">
        <v>10</v>
      </c>
      <c r="C20" s="294">
        <f t="shared" si="2"/>
        <v>30532728.3125</v>
      </c>
      <c r="D20" s="294">
        <f>H19*$L$54*L$53/360</f>
        <v>17518152.869296875</v>
      </c>
      <c r="E20" s="294"/>
      <c r="F20" s="294">
        <v>5014451</v>
      </c>
      <c r="G20" s="294">
        <f t="shared" si="1"/>
        <v>35547179.3125</v>
      </c>
      <c r="H20" s="298">
        <f t="shared" si="0"/>
        <v>793850936.125</v>
      </c>
    </row>
    <row r="21" spans="1:8" x14ac:dyDescent="0.25">
      <c r="A21" s="329">
        <f>A20+92</f>
        <v>44802</v>
      </c>
      <c r="B21" s="297" t="s">
        <v>10</v>
      </c>
      <c r="C21" s="294">
        <f t="shared" si="2"/>
        <v>30532728.3125</v>
      </c>
      <c r="D21" s="294">
        <f>H20*$L$54*L$53/360</f>
        <v>16869332.392656248</v>
      </c>
      <c r="E21" s="294"/>
      <c r="F21" s="294">
        <v>5014451</v>
      </c>
      <c r="G21" s="294">
        <f t="shared" si="1"/>
        <v>35547179.3125</v>
      </c>
      <c r="H21" s="298">
        <f t="shared" si="0"/>
        <v>763318207.8125</v>
      </c>
    </row>
    <row r="22" spans="1:8" x14ac:dyDescent="0.25">
      <c r="A22" s="329">
        <f>A21+92</f>
        <v>44894</v>
      </c>
      <c r="B22" s="297" t="s">
        <v>10</v>
      </c>
      <c r="C22" s="294">
        <f t="shared" si="2"/>
        <v>30532728.3125</v>
      </c>
      <c r="D22" s="294">
        <f>H21*$L$54*L$53/360</f>
        <v>16220511.916015623</v>
      </c>
      <c r="E22" s="294"/>
      <c r="F22" s="294"/>
      <c r="G22" s="294">
        <f t="shared" si="1"/>
        <v>30532728.3125</v>
      </c>
      <c r="H22" s="298">
        <f t="shared" si="0"/>
        <v>732785479.5</v>
      </c>
    </row>
    <row r="23" spans="1:8" x14ac:dyDescent="0.25">
      <c r="A23" s="329">
        <f>A22+91</f>
        <v>44985</v>
      </c>
      <c r="B23" s="297" t="s">
        <v>10</v>
      </c>
      <c r="C23" s="294">
        <f t="shared" si="2"/>
        <v>30532728.3125</v>
      </c>
      <c r="D23" s="294">
        <f t="shared" ref="D23:D46" si="3">H22*$M$54*M$53/360</f>
        <v>16487673.28875</v>
      </c>
      <c r="E23" s="294"/>
      <c r="F23" s="294"/>
      <c r="G23" s="294">
        <f t="shared" si="1"/>
        <v>30532728.3125</v>
      </c>
      <c r="H23" s="298">
        <f t="shared" si="0"/>
        <v>702252751.1875</v>
      </c>
    </row>
    <row r="24" spans="1:8" x14ac:dyDescent="0.25">
      <c r="A24" s="329">
        <f>A23+90</f>
        <v>45075</v>
      </c>
      <c r="B24" s="297" t="s">
        <v>10</v>
      </c>
      <c r="C24" s="294">
        <f t="shared" si="2"/>
        <v>30532728.3125</v>
      </c>
      <c r="D24" s="294">
        <f t="shared" si="3"/>
        <v>15800686.901718749</v>
      </c>
      <c r="E24" s="294"/>
      <c r="F24" s="294"/>
      <c r="G24" s="294">
        <f t="shared" si="1"/>
        <v>30532728.3125</v>
      </c>
      <c r="H24" s="298">
        <f t="shared" si="0"/>
        <v>671720022.875</v>
      </c>
    </row>
    <row r="25" spans="1:8" x14ac:dyDescent="0.25">
      <c r="A25" s="329">
        <f>A24+92</f>
        <v>45167</v>
      </c>
      <c r="B25" s="297" t="s">
        <v>10</v>
      </c>
      <c r="C25" s="294">
        <f t="shared" si="2"/>
        <v>30532728.3125</v>
      </c>
      <c r="D25" s="294">
        <f t="shared" si="3"/>
        <v>15113700.514687499</v>
      </c>
      <c r="E25" s="294"/>
      <c r="F25" s="294"/>
      <c r="G25" s="294">
        <f t="shared" si="1"/>
        <v>30532728.3125</v>
      </c>
      <c r="H25" s="298">
        <f t="shared" si="0"/>
        <v>641187294.5625</v>
      </c>
    </row>
    <row r="26" spans="1:8" x14ac:dyDescent="0.25">
      <c r="A26" s="329">
        <f>A25+92</f>
        <v>45259</v>
      </c>
      <c r="B26" s="297" t="s">
        <v>10</v>
      </c>
      <c r="C26" s="294">
        <f t="shared" si="2"/>
        <v>30532728.3125</v>
      </c>
      <c r="D26" s="294">
        <f t="shared" si="3"/>
        <v>14426714.127656251</v>
      </c>
      <c r="E26" s="294"/>
      <c r="F26" s="294"/>
      <c r="G26" s="294">
        <f t="shared" si="1"/>
        <v>30532728.3125</v>
      </c>
      <c r="H26" s="298">
        <f t="shared" si="0"/>
        <v>610654566.25</v>
      </c>
    </row>
    <row r="27" spans="1:8" x14ac:dyDescent="0.25">
      <c r="A27" s="329">
        <f>A26+91</f>
        <v>45350</v>
      </c>
      <c r="B27" s="297" t="s">
        <v>10</v>
      </c>
      <c r="C27" s="294">
        <f t="shared" si="2"/>
        <v>30532728.3125</v>
      </c>
      <c r="D27" s="294">
        <f t="shared" si="3"/>
        <v>13739727.740625</v>
      </c>
      <c r="E27" s="294"/>
      <c r="F27" s="294"/>
      <c r="G27" s="294">
        <f t="shared" si="1"/>
        <v>30532728.3125</v>
      </c>
      <c r="H27" s="298">
        <f t="shared" si="0"/>
        <v>580121837.9375</v>
      </c>
    </row>
    <row r="28" spans="1:8" x14ac:dyDescent="0.25">
      <c r="A28" s="329">
        <f>A27+91</f>
        <v>45441</v>
      </c>
      <c r="B28" s="297" t="s">
        <v>10</v>
      </c>
      <c r="C28" s="294">
        <f t="shared" si="2"/>
        <v>30532728.3125</v>
      </c>
      <c r="D28" s="294">
        <f t="shared" si="3"/>
        <v>13052741.35359375</v>
      </c>
      <c r="E28" s="294"/>
      <c r="F28" s="294"/>
      <c r="G28" s="294">
        <f t="shared" si="1"/>
        <v>30532728.3125</v>
      </c>
      <c r="H28" s="298">
        <f t="shared" si="0"/>
        <v>549589109.625</v>
      </c>
    </row>
    <row r="29" spans="1:8" x14ac:dyDescent="0.25">
      <c r="A29" s="329">
        <f>A28+92</f>
        <v>45533</v>
      </c>
      <c r="B29" s="297" t="s">
        <v>10</v>
      </c>
      <c r="C29" s="294">
        <f t="shared" si="2"/>
        <v>30532728.3125</v>
      </c>
      <c r="D29" s="294">
        <f t="shared" si="3"/>
        <v>12365754.966562498</v>
      </c>
      <c r="E29" s="294"/>
      <c r="F29" s="294"/>
      <c r="G29" s="294">
        <f t="shared" si="1"/>
        <v>30532728.3125</v>
      </c>
      <c r="H29" s="298">
        <f t="shared" si="0"/>
        <v>519056381.3125</v>
      </c>
    </row>
    <row r="30" spans="1:8" x14ac:dyDescent="0.25">
      <c r="A30" s="329">
        <f>A29+92</f>
        <v>45625</v>
      </c>
      <c r="B30" s="297" t="s">
        <v>10</v>
      </c>
      <c r="C30" s="294">
        <f t="shared" si="2"/>
        <v>30532728.3125</v>
      </c>
      <c r="D30" s="294">
        <f t="shared" si="3"/>
        <v>11678768.579531249</v>
      </c>
      <c r="E30" s="294"/>
      <c r="F30" s="294"/>
      <c r="G30" s="294">
        <f t="shared" si="1"/>
        <v>30532728.3125</v>
      </c>
      <c r="H30" s="298">
        <f t="shared" si="0"/>
        <v>488523653</v>
      </c>
    </row>
    <row r="31" spans="1:8" x14ac:dyDescent="0.25">
      <c r="A31" s="329">
        <f>A30+91</f>
        <v>45716</v>
      </c>
      <c r="B31" s="297" t="s">
        <v>10</v>
      </c>
      <c r="C31" s="294">
        <f t="shared" si="2"/>
        <v>30532728.3125</v>
      </c>
      <c r="D31" s="294">
        <f t="shared" si="3"/>
        <v>10991782.192499999</v>
      </c>
      <c r="E31" s="294"/>
      <c r="F31" s="294"/>
      <c r="G31" s="294">
        <f t="shared" si="1"/>
        <v>30532728.3125</v>
      </c>
      <c r="H31" s="298">
        <f t="shared" si="0"/>
        <v>457990924.6875</v>
      </c>
    </row>
    <row r="32" spans="1:8" x14ac:dyDescent="0.25">
      <c r="A32" s="329">
        <f>A31+90</f>
        <v>45806</v>
      </c>
      <c r="B32" s="297" t="s">
        <v>10</v>
      </c>
      <c r="C32" s="294">
        <f t="shared" si="2"/>
        <v>30532728.3125</v>
      </c>
      <c r="D32" s="294">
        <f t="shared" si="3"/>
        <v>10304795.805468749</v>
      </c>
      <c r="E32" s="294"/>
      <c r="F32" s="294"/>
      <c r="G32" s="294">
        <f t="shared" si="1"/>
        <v>30532728.3125</v>
      </c>
      <c r="H32" s="298">
        <f t="shared" si="0"/>
        <v>427458196.375</v>
      </c>
    </row>
    <row r="33" spans="1:8" x14ac:dyDescent="0.25">
      <c r="A33" s="329">
        <f>A32+92</f>
        <v>45898</v>
      </c>
      <c r="B33" s="297" t="s">
        <v>10</v>
      </c>
      <c r="C33" s="294">
        <f t="shared" si="2"/>
        <v>30532728.3125</v>
      </c>
      <c r="D33" s="294">
        <f t="shared" si="3"/>
        <v>9617809.4184374996</v>
      </c>
      <c r="E33" s="294"/>
      <c r="F33" s="294"/>
      <c r="G33" s="294">
        <f t="shared" si="1"/>
        <v>30532728.3125</v>
      </c>
      <c r="H33" s="298">
        <f t="shared" si="0"/>
        <v>396925468.0625</v>
      </c>
    </row>
    <row r="34" spans="1:8" x14ac:dyDescent="0.25">
      <c r="A34" s="329">
        <f>A33+92</f>
        <v>45990</v>
      </c>
      <c r="B34" s="297" t="s">
        <v>10</v>
      </c>
      <c r="C34" s="294">
        <f t="shared" si="2"/>
        <v>30532728.3125</v>
      </c>
      <c r="D34" s="294">
        <f t="shared" si="3"/>
        <v>8930823.0314062499</v>
      </c>
      <c r="E34" s="294"/>
      <c r="F34" s="294"/>
      <c r="G34" s="294">
        <f t="shared" si="1"/>
        <v>30532728.3125</v>
      </c>
      <c r="H34" s="298">
        <f t="shared" si="0"/>
        <v>366392739.75</v>
      </c>
    </row>
    <row r="35" spans="1:8" x14ac:dyDescent="0.25">
      <c r="A35" s="329">
        <f>A34+91</f>
        <v>46081</v>
      </c>
      <c r="B35" s="297" t="s">
        <v>10</v>
      </c>
      <c r="C35" s="294">
        <f t="shared" si="2"/>
        <v>30532728.3125</v>
      </c>
      <c r="D35" s="294">
        <f t="shared" si="3"/>
        <v>8243836.6443750001</v>
      </c>
      <c r="E35" s="294"/>
      <c r="F35" s="294"/>
      <c r="G35" s="294">
        <f t="shared" si="1"/>
        <v>30532728.3125</v>
      </c>
      <c r="H35" s="298">
        <f t="shared" si="0"/>
        <v>335860011.4375</v>
      </c>
    </row>
    <row r="36" spans="1:8" x14ac:dyDescent="0.25">
      <c r="A36" s="329">
        <f>A35+90</f>
        <v>46171</v>
      </c>
      <c r="B36" s="297" t="s">
        <v>10</v>
      </c>
      <c r="C36" s="294">
        <f t="shared" si="2"/>
        <v>30532728.3125</v>
      </c>
      <c r="D36" s="294">
        <f t="shared" si="3"/>
        <v>7556850.2573437495</v>
      </c>
      <c r="E36" s="294"/>
      <c r="F36" s="294"/>
      <c r="G36" s="294">
        <f t="shared" si="1"/>
        <v>30532728.3125</v>
      </c>
      <c r="H36" s="298">
        <f t="shared" si="0"/>
        <v>305327283.125</v>
      </c>
    </row>
    <row r="37" spans="1:8" x14ac:dyDescent="0.25">
      <c r="A37" s="329">
        <f>A36+92</f>
        <v>46263</v>
      </c>
      <c r="B37" s="297" t="s">
        <v>10</v>
      </c>
      <c r="C37" s="294">
        <f t="shared" si="2"/>
        <v>30532728.3125</v>
      </c>
      <c r="D37" s="294">
        <f t="shared" si="3"/>
        <v>6869863.8703124998</v>
      </c>
      <c r="E37" s="294"/>
      <c r="F37" s="294"/>
      <c r="G37" s="294">
        <f t="shared" si="1"/>
        <v>30532728.3125</v>
      </c>
      <c r="H37" s="298">
        <f t="shared" si="0"/>
        <v>274794554.8125</v>
      </c>
    </row>
    <row r="38" spans="1:8" x14ac:dyDescent="0.25">
      <c r="A38" s="329">
        <f>A37+92</f>
        <v>46355</v>
      </c>
      <c r="B38" s="297" t="s">
        <v>10</v>
      </c>
      <c r="C38" s="294">
        <f t="shared" si="2"/>
        <v>30532728.3125</v>
      </c>
      <c r="D38" s="294">
        <f t="shared" si="3"/>
        <v>6182877.4832812492</v>
      </c>
      <c r="E38" s="294"/>
      <c r="F38" s="294"/>
      <c r="G38" s="294">
        <f t="shared" si="1"/>
        <v>30532728.3125</v>
      </c>
      <c r="H38" s="298">
        <f t="shared" si="0"/>
        <v>244261826.5</v>
      </c>
    </row>
    <row r="39" spans="1:8" x14ac:dyDescent="0.25">
      <c r="A39" s="329">
        <f>A38+91</f>
        <v>46446</v>
      </c>
      <c r="B39" s="297" t="s">
        <v>10</v>
      </c>
      <c r="C39" s="294">
        <f t="shared" si="2"/>
        <v>30532728.3125</v>
      </c>
      <c r="D39" s="294">
        <f t="shared" si="3"/>
        <v>5495891.0962499995</v>
      </c>
      <c r="E39" s="294"/>
      <c r="F39" s="294"/>
      <c r="G39" s="294">
        <f t="shared" si="1"/>
        <v>30532728.3125</v>
      </c>
      <c r="H39" s="298">
        <f t="shared" si="0"/>
        <v>213729098.1875</v>
      </c>
    </row>
    <row r="40" spans="1:8" x14ac:dyDescent="0.25">
      <c r="A40" s="329">
        <f>A39+90</f>
        <v>46536</v>
      </c>
      <c r="B40" s="297" t="s">
        <v>10</v>
      </c>
      <c r="C40" s="294">
        <f t="shared" si="2"/>
        <v>30532728.3125</v>
      </c>
      <c r="D40" s="294">
        <f t="shared" si="3"/>
        <v>4808904.7092187498</v>
      </c>
      <c r="E40" s="294"/>
      <c r="F40" s="294"/>
      <c r="G40" s="294">
        <f t="shared" si="1"/>
        <v>30532728.3125</v>
      </c>
      <c r="H40" s="298">
        <f t="shared" si="0"/>
        <v>183196369.875</v>
      </c>
    </row>
    <row r="41" spans="1:8" x14ac:dyDescent="0.25">
      <c r="A41" s="329">
        <f>A40+92</f>
        <v>46628</v>
      </c>
      <c r="B41" s="297" t="s">
        <v>10</v>
      </c>
      <c r="C41" s="294">
        <f t="shared" si="2"/>
        <v>30532728.3125</v>
      </c>
      <c r="D41" s="294">
        <f t="shared" si="3"/>
        <v>4121918.3221875001</v>
      </c>
      <c r="E41" s="294"/>
      <c r="F41" s="294"/>
      <c r="G41" s="294">
        <f t="shared" si="1"/>
        <v>30532728.3125</v>
      </c>
      <c r="H41" s="298">
        <f t="shared" si="0"/>
        <v>152663641.5625</v>
      </c>
    </row>
    <row r="42" spans="1:8" x14ac:dyDescent="0.25">
      <c r="A42" s="329">
        <f>A41+92</f>
        <v>46720</v>
      </c>
      <c r="B42" s="297" t="s">
        <v>10</v>
      </c>
      <c r="C42" s="294">
        <f t="shared" si="2"/>
        <v>30532728.3125</v>
      </c>
      <c r="D42" s="294">
        <f t="shared" si="3"/>
        <v>3434931.9351562499</v>
      </c>
      <c r="E42" s="294"/>
      <c r="F42" s="294"/>
      <c r="G42" s="294">
        <f t="shared" si="1"/>
        <v>30532728.3125</v>
      </c>
      <c r="H42" s="298">
        <f t="shared" si="0"/>
        <v>122130913.25</v>
      </c>
    </row>
    <row r="43" spans="1:8" x14ac:dyDescent="0.25">
      <c r="A43" s="329">
        <f>A42+91</f>
        <v>46811</v>
      </c>
      <c r="B43" s="297" t="s">
        <v>10</v>
      </c>
      <c r="C43" s="294">
        <f t="shared" si="2"/>
        <v>30532728.3125</v>
      </c>
      <c r="D43" s="294">
        <f t="shared" si="3"/>
        <v>2747945.5481249997</v>
      </c>
      <c r="E43" s="294"/>
      <c r="F43" s="294"/>
      <c r="G43" s="294">
        <f t="shared" si="1"/>
        <v>30532728.3125</v>
      </c>
      <c r="H43" s="298">
        <f t="shared" si="0"/>
        <v>91598184.9375</v>
      </c>
    </row>
    <row r="44" spans="1:8" x14ac:dyDescent="0.25">
      <c r="A44" s="329">
        <f>A43+91</f>
        <v>46902</v>
      </c>
      <c r="B44" s="297" t="s">
        <v>10</v>
      </c>
      <c r="C44" s="294">
        <f t="shared" si="2"/>
        <v>30532728.3125</v>
      </c>
      <c r="D44" s="294">
        <f t="shared" si="3"/>
        <v>2060959.16109375</v>
      </c>
      <c r="E44" s="294"/>
      <c r="F44" s="294"/>
      <c r="G44" s="294">
        <f t="shared" si="1"/>
        <v>30532728.3125</v>
      </c>
      <c r="H44" s="298">
        <f t="shared" si="0"/>
        <v>61065456.625</v>
      </c>
    </row>
    <row r="45" spans="1:8" x14ac:dyDescent="0.25">
      <c r="A45" s="329">
        <f>A44+92</f>
        <v>46994</v>
      </c>
      <c r="B45" s="297" t="s">
        <v>10</v>
      </c>
      <c r="C45" s="294">
        <f t="shared" si="2"/>
        <v>30532728.3125</v>
      </c>
      <c r="D45" s="294">
        <f t="shared" si="3"/>
        <v>1373972.7740624999</v>
      </c>
      <c r="E45" s="294"/>
      <c r="F45" s="294"/>
      <c r="G45" s="294">
        <f t="shared" si="1"/>
        <v>30532728.3125</v>
      </c>
      <c r="H45" s="298">
        <f t="shared" si="0"/>
        <v>30532728.3125</v>
      </c>
    </row>
    <row r="46" spans="1:8" x14ac:dyDescent="0.25">
      <c r="A46" s="329">
        <f>A45+92</f>
        <v>47086</v>
      </c>
      <c r="B46" s="297" t="s">
        <v>10</v>
      </c>
      <c r="C46" s="294">
        <f t="shared" si="2"/>
        <v>30532728.3125</v>
      </c>
      <c r="D46" s="294">
        <f t="shared" si="3"/>
        <v>686986.38703124993</v>
      </c>
      <c r="E46" s="294"/>
      <c r="F46" s="294"/>
      <c r="G46" s="294">
        <f t="shared" si="1"/>
        <v>30532728.3125</v>
      </c>
      <c r="H46" s="298">
        <f t="shared" si="0"/>
        <v>0</v>
      </c>
    </row>
    <row r="47" spans="1:8" x14ac:dyDescent="0.25">
      <c r="A47" s="15"/>
      <c r="B47" s="16" t="s">
        <v>11</v>
      </c>
      <c r="C47" s="17">
        <f>SUM(C6:C46)</f>
        <v>977047306</v>
      </c>
      <c r="D47" s="17">
        <f>SUM(D6:D46)</f>
        <v>499181407.14476132</v>
      </c>
      <c r="E47" s="17">
        <f>+SUM(E7:E11)+SUM(E14:E46)</f>
        <v>114138666.28692001</v>
      </c>
      <c r="F47" s="17">
        <f>+SUM(F14:F46)</f>
        <v>40115608</v>
      </c>
      <c r="G47" s="17">
        <f>SUM(G6:G46)</f>
        <v>1131301580.2869201</v>
      </c>
      <c r="H47" s="18"/>
    </row>
    <row r="48" spans="1:8" s="106" customFormat="1" x14ac:dyDescent="0.25">
      <c r="A48" s="341"/>
      <c r="B48" s="342"/>
      <c r="C48" s="343"/>
      <c r="D48" s="343"/>
      <c r="E48" s="343"/>
      <c r="F48" s="344"/>
    </row>
    <row r="49" spans="1:13" x14ac:dyDescent="0.25">
      <c r="A49" s="19" t="s">
        <v>42</v>
      </c>
      <c r="B49" s="20"/>
      <c r="C49" s="20"/>
      <c r="D49" s="20"/>
      <c r="E49" s="20"/>
      <c r="F49" s="20"/>
      <c r="G49" s="20"/>
      <c r="H49" s="20"/>
    </row>
    <row r="50" spans="1:13" x14ac:dyDescent="0.25">
      <c r="A50" s="39"/>
      <c r="B50" s="315" t="s">
        <v>3033</v>
      </c>
      <c r="C50" s="315" t="s">
        <v>3034</v>
      </c>
      <c r="D50" s="315" t="s">
        <v>3035</v>
      </c>
      <c r="E50" s="315" t="s">
        <v>3036</v>
      </c>
      <c r="F50" s="315" t="s">
        <v>3037</v>
      </c>
      <c r="G50" s="454" t="s">
        <v>3038</v>
      </c>
      <c r="H50" s="454" t="s">
        <v>3039</v>
      </c>
      <c r="I50" s="315" t="s">
        <v>3040</v>
      </c>
      <c r="J50" s="315" t="s">
        <v>3168</v>
      </c>
      <c r="K50" s="315" t="s">
        <v>3148</v>
      </c>
      <c r="L50" s="315" t="s">
        <v>3149</v>
      </c>
      <c r="M50" s="315" t="s">
        <v>3150</v>
      </c>
    </row>
    <row r="51" spans="1:13" ht="25.5" x14ac:dyDescent="0.25">
      <c r="A51" s="39" t="s">
        <v>2829</v>
      </c>
      <c r="B51" s="88">
        <v>4.1619999999999997E-2</v>
      </c>
      <c r="C51" s="88">
        <v>4.1399999999999999E-2</v>
      </c>
      <c r="D51" s="88">
        <v>4.1309999999999999E-2</v>
      </c>
      <c r="E51" s="33">
        <v>4.1329999999999999E-2</v>
      </c>
      <c r="F51" s="88">
        <v>4.1360000000000001E-2</v>
      </c>
      <c r="G51" s="88">
        <v>4.129E-2</v>
      </c>
      <c r="H51" s="33">
        <v>2.4750000000000001E-2</v>
      </c>
      <c r="I51" s="33">
        <v>2.026E-2</v>
      </c>
      <c r="J51" s="33">
        <v>1.7069999999999998E-2</v>
      </c>
      <c r="K51" s="33">
        <v>0.04</v>
      </c>
      <c r="L51" s="33">
        <v>4.4999999999999998E-2</v>
      </c>
      <c r="M51" s="33">
        <v>0.05</v>
      </c>
    </row>
    <row r="52" spans="1:13" x14ac:dyDescent="0.25">
      <c r="A52" s="39" t="s">
        <v>370</v>
      </c>
      <c r="B52" s="88">
        <v>0.04</v>
      </c>
      <c r="C52" s="88">
        <v>0.04</v>
      </c>
      <c r="D52" s="88">
        <v>0.04</v>
      </c>
      <c r="E52" s="88">
        <v>0.04</v>
      </c>
      <c r="F52" s="88">
        <v>0.04</v>
      </c>
      <c r="G52" s="88">
        <v>0.04</v>
      </c>
      <c r="H52" s="88">
        <v>0.04</v>
      </c>
      <c r="I52" s="88">
        <v>0.04</v>
      </c>
      <c r="J52" s="88">
        <v>0.04</v>
      </c>
      <c r="K52" s="88">
        <v>0.04</v>
      </c>
      <c r="L52" s="88">
        <v>0.04</v>
      </c>
      <c r="M52" s="88">
        <v>0.04</v>
      </c>
    </row>
    <row r="53" spans="1:13" x14ac:dyDescent="0.25">
      <c r="A53" s="39" t="s">
        <v>377</v>
      </c>
      <c r="B53" s="67">
        <v>90</v>
      </c>
      <c r="C53" s="67">
        <v>90</v>
      </c>
      <c r="D53" s="67">
        <v>90</v>
      </c>
      <c r="E53" s="67">
        <v>90</v>
      </c>
      <c r="F53" s="67">
        <v>90</v>
      </c>
      <c r="G53" s="67">
        <v>90</v>
      </c>
      <c r="H53" s="67">
        <v>90</v>
      </c>
      <c r="I53" s="67">
        <v>90</v>
      </c>
      <c r="J53" s="67">
        <v>90</v>
      </c>
      <c r="K53" s="67">
        <v>90</v>
      </c>
      <c r="L53" s="67">
        <v>90</v>
      </c>
      <c r="M53" s="67">
        <v>90</v>
      </c>
    </row>
    <row r="54" spans="1:13" x14ac:dyDescent="0.25">
      <c r="A54" s="39" t="s">
        <v>2973</v>
      </c>
      <c r="B54" s="89">
        <f t="shared" ref="B54:H54" si="4">B51+B52</f>
        <v>8.1619999999999998E-2</v>
      </c>
      <c r="C54" s="73">
        <f t="shared" si="4"/>
        <v>8.14E-2</v>
      </c>
      <c r="D54" s="89">
        <f t="shared" si="4"/>
        <v>8.1309999999999993E-2</v>
      </c>
      <c r="E54" s="89">
        <f t="shared" si="4"/>
        <v>8.133E-2</v>
      </c>
      <c r="F54" s="89">
        <f t="shared" si="4"/>
        <v>8.1360000000000002E-2</v>
      </c>
      <c r="G54" s="89">
        <f t="shared" si="4"/>
        <v>8.1290000000000001E-2</v>
      </c>
      <c r="H54" s="89">
        <f t="shared" si="4"/>
        <v>6.4750000000000002E-2</v>
      </c>
      <c r="I54" s="89">
        <f>I51+I52</f>
        <v>6.0260000000000001E-2</v>
      </c>
      <c r="J54" s="89">
        <f t="shared" ref="J54" si="5">J51+J52</f>
        <v>5.7069999999999996E-2</v>
      </c>
      <c r="K54" s="89">
        <f t="shared" ref="K54:M54" si="6">K51+K52</f>
        <v>0.08</v>
      </c>
      <c r="L54" s="89">
        <f t="shared" si="6"/>
        <v>8.4999999999999992E-2</v>
      </c>
      <c r="M54" s="89">
        <f t="shared" si="6"/>
        <v>0.09</v>
      </c>
    </row>
    <row r="55" spans="1:13" x14ac:dyDescent="0.25">
      <c r="A55" s="43" t="s">
        <v>39</v>
      </c>
      <c r="B55" s="44">
        <f>+E7</f>
        <v>19936650.278930001</v>
      </c>
      <c r="C55" s="44">
        <f>+E8</f>
        <v>19882912.677099999</v>
      </c>
      <c r="D55" s="44">
        <f>+E9</f>
        <v>19860929.112714998</v>
      </c>
      <c r="E55" s="44">
        <f>+E10</f>
        <v>19865814.349245001</v>
      </c>
      <c r="F55" s="44">
        <f>+E11</f>
        <v>19873142.204040002</v>
      </c>
      <c r="G55" s="44">
        <f>+E12</f>
        <v>19856043.876185</v>
      </c>
      <c r="H55" s="44">
        <f>+E13</f>
        <v>15815953.265875001</v>
      </c>
      <c r="I55" s="44">
        <f>+E14</f>
        <v>14719217.664890001</v>
      </c>
      <c r="J55" s="44"/>
      <c r="K55" s="44"/>
      <c r="L55" s="44"/>
      <c r="M55" s="44"/>
    </row>
    <row r="56" spans="1:13" x14ac:dyDescent="0.25">
      <c r="B56" s="50"/>
      <c r="C56" s="50"/>
    </row>
  </sheetData>
  <mergeCells count="4">
    <mergeCell ref="A1:H1"/>
    <mergeCell ref="A2:H2"/>
    <mergeCell ref="A3:H3"/>
    <mergeCell ref="A4:H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B050"/>
  </sheetPr>
  <dimension ref="A1:L54"/>
  <sheetViews>
    <sheetView zoomScale="90" zoomScaleNormal="90" workbookViewId="0">
      <selection activeCell="E14" sqref="E14"/>
    </sheetView>
  </sheetViews>
  <sheetFormatPr baseColWidth="10" defaultColWidth="11.5703125" defaultRowHeight="15" x14ac:dyDescent="0.25"/>
  <cols>
    <col min="1" max="1" width="15" customWidth="1"/>
    <col min="2" max="2" width="18.5703125" bestFit="1" customWidth="1"/>
    <col min="3" max="3" width="17.42578125" bestFit="1" customWidth="1"/>
    <col min="4" max="4" width="17" customWidth="1"/>
    <col min="5" max="5" width="15.85546875" customWidth="1"/>
    <col min="6" max="6" width="15.28515625" bestFit="1" customWidth="1"/>
    <col min="7" max="7" width="16.85546875" customWidth="1"/>
    <col min="8" max="8" width="17.7109375" customWidth="1"/>
    <col min="9" max="9" width="14.140625" bestFit="1" customWidth="1"/>
    <col min="10" max="10" width="13.5703125" bestFit="1" customWidth="1"/>
    <col min="250" max="250" width="15" customWidth="1"/>
    <col min="251" max="251" width="19" customWidth="1"/>
    <col min="252" max="252" width="18.5703125" customWidth="1"/>
    <col min="253" max="253" width="16.42578125" customWidth="1"/>
    <col min="254" max="254" width="16.85546875" customWidth="1"/>
    <col min="255" max="255" width="17.7109375" customWidth="1"/>
    <col min="256" max="260" width="13.5703125" bestFit="1" customWidth="1"/>
    <col min="261" max="263" width="12.7109375" bestFit="1" customWidth="1"/>
    <col min="264" max="264" width="13.7109375" bestFit="1" customWidth="1"/>
    <col min="506" max="506" width="15" customWidth="1"/>
    <col min="507" max="507" width="19" customWidth="1"/>
    <col min="508" max="508" width="18.5703125" customWidth="1"/>
    <col min="509" max="509" width="16.42578125" customWidth="1"/>
    <col min="510" max="510" width="16.85546875" customWidth="1"/>
    <col min="511" max="511" width="17.7109375" customWidth="1"/>
    <col min="512" max="516" width="13.5703125" bestFit="1" customWidth="1"/>
    <col min="517" max="519" width="12.7109375" bestFit="1" customWidth="1"/>
    <col min="520" max="520" width="13.7109375" bestFit="1" customWidth="1"/>
    <col min="762" max="762" width="15" customWidth="1"/>
    <col min="763" max="763" width="19" customWidth="1"/>
    <col min="764" max="764" width="18.5703125" customWidth="1"/>
    <col min="765" max="765" width="16.42578125" customWidth="1"/>
    <col min="766" max="766" width="16.85546875" customWidth="1"/>
    <col min="767" max="767" width="17.7109375" customWidth="1"/>
    <col min="768" max="772" width="13.5703125" bestFit="1" customWidth="1"/>
    <col min="773" max="775" width="12.7109375" bestFit="1" customWidth="1"/>
    <col min="776" max="776" width="13.7109375" bestFit="1" customWidth="1"/>
    <col min="1018" max="1018" width="15" customWidth="1"/>
    <col min="1019" max="1019" width="19" customWidth="1"/>
    <col min="1020" max="1020" width="18.5703125" customWidth="1"/>
    <col min="1021" max="1021" width="16.42578125" customWidth="1"/>
    <col min="1022" max="1022" width="16.85546875" customWidth="1"/>
    <col min="1023" max="1023" width="17.7109375" customWidth="1"/>
    <col min="1024" max="1028" width="13.5703125" bestFit="1" customWidth="1"/>
    <col min="1029" max="1031" width="12.7109375" bestFit="1" customWidth="1"/>
    <col min="1032" max="1032" width="13.7109375" bestFit="1" customWidth="1"/>
    <col min="1274" max="1274" width="15" customWidth="1"/>
    <col min="1275" max="1275" width="19" customWidth="1"/>
    <col min="1276" max="1276" width="18.5703125" customWidth="1"/>
    <col min="1277" max="1277" width="16.42578125" customWidth="1"/>
    <col min="1278" max="1278" width="16.85546875" customWidth="1"/>
    <col min="1279" max="1279" width="17.7109375" customWidth="1"/>
    <col min="1280" max="1284" width="13.5703125" bestFit="1" customWidth="1"/>
    <col min="1285" max="1287" width="12.7109375" bestFit="1" customWidth="1"/>
    <col min="1288" max="1288" width="13.7109375" bestFit="1" customWidth="1"/>
    <col min="1530" max="1530" width="15" customWidth="1"/>
    <col min="1531" max="1531" width="19" customWidth="1"/>
    <col min="1532" max="1532" width="18.5703125" customWidth="1"/>
    <col min="1533" max="1533" width="16.42578125" customWidth="1"/>
    <col min="1534" max="1534" width="16.85546875" customWidth="1"/>
    <col min="1535" max="1535" width="17.7109375" customWidth="1"/>
    <col min="1536" max="1540" width="13.5703125" bestFit="1" customWidth="1"/>
    <col min="1541" max="1543" width="12.7109375" bestFit="1" customWidth="1"/>
    <col min="1544" max="1544" width="13.7109375" bestFit="1" customWidth="1"/>
    <col min="1786" max="1786" width="15" customWidth="1"/>
    <col min="1787" max="1787" width="19" customWidth="1"/>
    <col min="1788" max="1788" width="18.5703125" customWidth="1"/>
    <col min="1789" max="1789" width="16.42578125" customWidth="1"/>
    <col min="1790" max="1790" width="16.85546875" customWidth="1"/>
    <col min="1791" max="1791" width="17.7109375" customWidth="1"/>
    <col min="1792" max="1796" width="13.5703125" bestFit="1" customWidth="1"/>
    <col min="1797" max="1799" width="12.7109375" bestFit="1" customWidth="1"/>
    <col min="1800" max="1800" width="13.7109375" bestFit="1" customWidth="1"/>
    <col min="2042" max="2042" width="15" customWidth="1"/>
    <col min="2043" max="2043" width="19" customWidth="1"/>
    <col min="2044" max="2044" width="18.5703125" customWidth="1"/>
    <col min="2045" max="2045" width="16.42578125" customWidth="1"/>
    <col min="2046" max="2046" width="16.85546875" customWidth="1"/>
    <col min="2047" max="2047" width="17.7109375" customWidth="1"/>
    <col min="2048" max="2052" width="13.5703125" bestFit="1" customWidth="1"/>
    <col min="2053" max="2055" width="12.7109375" bestFit="1" customWidth="1"/>
    <col min="2056" max="2056" width="13.7109375" bestFit="1" customWidth="1"/>
    <col min="2298" max="2298" width="15" customWidth="1"/>
    <col min="2299" max="2299" width="19" customWidth="1"/>
    <col min="2300" max="2300" width="18.5703125" customWidth="1"/>
    <col min="2301" max="2301" width="16.42578125" customWidth="1"/>
    <col min="2302" max="2302" width="16.85546875" customWidth="1"/>
    <col min="2303" max="2303" width="17.7109375" customWidth="1"/>
    <col min="2304" max="2308" width="13.5703125" bestFit="1" customWidth="1"/>
    <col min="2309" max="2311" width="12.7109375" bestFit="1" customWidth="1"/>
    <col min="2312" max="2312" width="13.7109375" bestFit="1" customWidth="1"/>
    <col min="2554" max="2554" width="15" customWidth="1"/>
    <col min="2555" max="2555" width="19" customWidth="1"/>
    <col min="2556" max="2556" width="18.5703125" customWidth="1"/>
    <col min="2557" max="2557" width="16.42578125" customWidth="1"/>
    <col min="2558" max="2558" width="16.85546875" customWidth="1"/>
    <col min="2559" max="2559" width="17.7109375" customWidth="1"/>
    <col min="2560" max="2564" width="13.5703125" bestFit="1" customWidth="1"/>
    <col min="2565" max="2567" width="12.7109375" bestFit="1" customWidth="1"/>
    <col min="2568" max="2568" width="13.7109375" bestFit="1" customWidth="1"/>
    <col min="2810" max="2810" width="15" customWidth="1"/>
    <col min="2811" max="2811" width="19" customWidth="1"/>
    <col min="2812" max="2812" width="18.5703125" customWidth="1"/>
    <col min="2813" max="2813" width="16.42578125" customWidth="1"/>
    <col min="2814" max="2814" width="16.85546875" customWidth="1"/>
    <col min="2815" max="2815" width="17.7109375" customWidth="1"/>
    <col min="2816" max="2820" width="13.5703125" bestFit="1" customWidth="1"/>
    <col min="2821" max="2823" width="12.7109375" bestFit="1" customWidth="1"/>
    <col min="2824" max="2824" width="13.7109375" bestFit="1" customWidth="1"/>
    <col min="3066" max="3066" width="15" customWidth="1"/>
    <col min="3067" max="3067" width="19" customWidth="1"/>
    <col min="3068" max="3068" width="18.5703125" customWidth="1"/>
    <col min="3069" max="3069" width="16.42578125" customWidth="1"/>
    <col min="3070" max="3070" width="16.85546875" customWidth="1"/>
    <col min="3071" max="3071" width="17.7109375" customWidth="1"/>
    <col min="3072" max="3076" width="13.5703125" bestFit="1" customWidth="1"/>
    <col min="3077" max="3079" width="12.7109375" bestFit="1" customWidth="1"/>
    <col min="3080" max="3080" width="13.7109375" bestFit="1" customWidth="1"/>
    <col min="3322" max="3322" width="15" customWidth="1"/>
    <col min="3323" max="3323" width="19" customWidth="1"/>
    <col min="3324" max="3324" width="18.5703125" customWidth="1"/>
    <col min="3325" max="3325" width="16.42578125" customWidth="1"/>
    <col min="3326" max="3326" width="16.85546875" customWidth="1"/>
    <col min="3327" max="3327" width="17.7109375" customWidth="1"/>
    <col min="3328" max="3332" width="13.5703125" bestFit="1" customWidth="1"/>
    <col min="3333" max="3335" width="12.7109375" bestFit="1" customWidth="1"/>
    <col min="3336" max="3336" width="13.7109375" bestFit="1" customWidth="1"/>
    <col min="3578" max="3578" width="15" customWidth="1"/>
    <col min="3579" max="3579" width="19" customWidth="1"/>
    <col min="3580" max="3580" width="18.5703125" customWidth="1"/>
    <col min="3581" max="3581" width="16.42578125" customWidth="1"/>
    <col min="3582" max="3582" width="16.85546875" customWidth="1"/>
    <col min="3583" max="3583" width="17.7109375" customWidth="1"/>
    <col min="3584" max="3588" width="13.5703125" bestFit="1" customWidth="1"/>
    <col min="3589" max="3591" width="12.7109375" bestFit="1" customWidth="1"/>
    <col min="3592" max="3592" width="13.7109375" bestFit="1" customWidth="1"/>
    <col min="3834" max="3834" width="15" customWidth="1"/>
    <col min="3835" max="3835" width="19" customWidth="1"/>
    <col min="3836" max="3836" width="18.5703125" customWidth="1"/>
    <col min="3837" max="3837" width="16.42578125" customWidth="1"/>
    <col min="3838" max="3838" width="16.85546875" customWidth="1"/>
    <col min="3839" max="3839" width="17.7109375" customWidth="1"/>
    <col min="3840" max="3844" width="13.5703125" bestFit="1" customWidth="1"/>
    <col min="3845" max="3847" width="12.7109375" bestFit="1" customWidth="1"/>
    <col min="3848" max="3848" width="13.7109375" bestFit="1" customWidth="1"/>
    <col min="4090" max="4090" width="15" customWidth="1"/>
    <col min="4091" max="4091" width="19" customWidth="1"/>
    <col min="4092" max="4092" width="18.5703125" customWidth="1"/>
    <col min="4093" max="4093" width="16.42578125" customWidth="1"/>
    <col min="4094" max="4094" width="16.85546875" customWidth="1"/>
    <col min="4095" max="4095" width="17.7109375" customWidth="1"/>
    <col min="4096" max="4100" width="13.5703125" bestFit="1" customWidth="1"/>
    <col min="4101" max="4103" width="12.7109375" bestFit="1" customWidth="1"/>
    <col min="4104" max="4104" width="13.7109375" bestFit="1" customWidth="1"/>
    <col min="4346" max="4346" width="15" customWidth="1"/>
    <col min="4347" max="4347" width="19" customWidth="1"/>
    <col min="4348" max="4348" width="18.5703125" customWidth="1"/>
    <col min="4349" max="4349" width="16.42578125" customWidth="1"/>
    <col min="4350" max="4350" width="16.85546875" customWidth="1"/>
    <col min="4351" max="4351" width="17.7109375" customWidth="1"/>
    <col min="4352" max="4356" width="13.5703125" bestFit="1" customWidth="1"/>
    <col min="4357" max="4359" width="12.7109375" bestFit="1" customWidth="1"/>
    <col min="4360" max="4360" width="13.7109375" bestFit="1" customWidth="1"/>
    <col min="4602" max="4602" width="15" customWidth="1"/>
    <col min="4603" max="4603" width="19" customWidth="1"/>
    <col min="4604" max="4604" width="18.5703125" customWidth="1"/>
    <col min="4605" max="4605" width="16.42578125" customWidth="1"/>
    <col min="4606" max="4606" width="16.85546875" customWidth="1"/>
    <col min="4607" max="4607" width="17.7109375" customWidth="1"/>
    <col min="4608" max="4612" width="13.5703125" bestFit="1" customWidth="1"/>
    <col min="4613" max="4615" width="12.7109375" bestFit="1" customWidth="1"/>
    <col min="4616" max="4616" width="13.7109375" bestFit="1" customWidth="1"/>
    <col min="4858" max="4858" width="15" customWidth="1"/>
    <col min="4859" max="4859" width="19" customWidth="1"/>
    <col min="4860" max="4860" width="18.5703125" customWidth="1"/>
    <col min="4861" max="4861" width="16.42578125" customWidth="1"/>
    <col min="4862" max="4862" width="16.85546875" customWidth="1"/>
    <col min="4863" max="4863" width="17.7109375" customWidth="1"/>
    <col min="4864" max="4868" width="13.5703125" bestFit="1" customWidth="1"/>
    <col min="4869" max="4871" width="12.7109375" bestFit="1" customWidth="1"/>
    <col min="4872" max="4872" width="13.7109375" bestFit="1" customWidth="1"/>
    <col min="5114" max="5114" width="15" customWidth="1"/>
    <col min="5115" max="5115" width="19" customWidth="1"/>
    <col min="5116" max="5116" width="18.5703125" customWidth="1"/>
    <col min="5117" max="5117" width="16.42578125" customWidth="1"/>
    <col min="5118" max="5118" width="16.85546875" customWidth="1"/>
    <col min="5119" max="5119" width="17.7109375" customWidth="1"/>
    <col min="5120" max="5124" width="13.5703125" bestFit="1" customWidth="1"/>
    <col min="5125" max="5127" width="12.7109375" bestFit="1" customWidth="1"/>
    <col min="5128" max="5128" width="13.7109375" bestFit="1" customWidth="1"/>
    <col min="5370" max="5370" width="15" customWidth="1"/>
    <col min="5371" max="5371" width="19" customWidth="1"/>
    <col min="5372" max="5372" width="18.5703125" customWidth="1"/>
    <col min="5373" max="5373" width="16.42578125" customWidth="1"/>
    <col min="5374" max="5374" width="16.85546875" customWidth="1"/>
    <col min="5375" max="5375" width="17.7109375" customWidth="1"/>
    <col min="5376" max="5380" width="13.5703125" bestFit="1" customWidth="1"/>
    <col min="5381" max="5383" width="12.7109375" bestFit="1" customWidth="1"/>
    <col min="5384" max="5384" width="13.7109375" bestFit="1" customWidth="1"/>
    <col min="5626" max="5626" width="15" customWidth="1"/>
    <col min="5627" max="5627" width="19" customWidth="1"/>
    <col min="5628" max="5628" width="18.5703125" customWidth="1"/>
    <col min="5629" max="5629" width="16.42578125" customWidth="1"/>
    <col min="5630" max="5630" width="16.85546875" customWidth="1"/>
    <col min="5631" max="5631" width="17.7109375" customWidth="1"/>
    <col min="5632" max="5636" width="13.5703125" bestFit="1" customWidth="1"/>
    <col min="5637" max="5639" width="12.7109375" bestFit="1" customWidth="1"/>
    <col min="5640" max="5640" width="13.7109375" bestFit="1" customWidth="1"/>
    <col min="5882" max="5882" width="15" customWidth="1"/>
    <col min="5883" max="5883" width="19" customWidth="1"/>
    <col min="5884" max="5884" width="18.5703125" customWidth="1"/>
    <col min="5885" max="5885" width="16.42578125" customWidth="1"/>
    <col min="5886" max="5886" width="16.85546875" customWidth="1"/>
    <col min="5887" max="5887" width="17.7109375" customWidth="1"/>
    <col min="5888" max="5892" width="13.5703125" bestFit="1" customWidth="1"/>
    <col min="5893" max="5895" width="12.7109375" bestFit="1" customWidth="1"/>
    <col min="5896" max="5896" width="13.7109375" bestFit="1" customWidth="1"/>
    <col min="6138" max="6138" width="15" customWidth="1"/>
    <col min="6139" max="6139" width="19" customWidth="1"/>
    <col min="6140" max="6140" width="18.5703125" customWidth="1"/>
    <col min="6141" max="6141" width="16.42578125" customWidth="1"/>
    <col min="6142" max="6142" width="16.85546875" customWidth="1"/>
    <col min="6143" max="6143" width="17.7109375" customWidth="1"/>
    <col min="6144" max="6148" width="13.5703125" bestFit="1" customWidth="1"/>
    <col min="6149" max="6151" width="12.7109375" bestFit="1" customWidth="1"/>
    <col min="6152" max="6152" width="13.7109375" bestFit="1" customWidth="1"/>
    <col min="6394" max="6394" width="15" customWidth="1"/>
    <col min="6395" max="6395" width="19" customWidth="1"/>
    <col min="6396" max="6396" width="18.5703125" customWidth="1"/>
    <col min="6397" max="6397" width="16.42578125" customWidth="1"/>
    <col min="6398" max="6398" width="16.85546875" customWidth="1"/>
    <col min="6399" max="6399" width="17.7109375" customWidth="1"/>
    <col min="6400" max="6404" width="13.5703125" bestFit="1" customWidth="1"/>
    <col min="6405" max="6407" width="12.7109375" bestFit="1" customWidth="1"/>
    <col min="6408" max="6408" width="13.7109375" bestFit="1" customWidth="1"/>
    <col min="6650" max="6650" width="15" customWidth="1"/>
    <col min="6651" max="6651" width="19" customWidth="1"/>
    <col min="6652" max="6652" width="18.5703125" customWidth="1"/>
    <col min="6653" max="6653" width="16.42578125" customWidth="1"/>
    <col min="6654" max="6654" width="16.85546875" customWidth="1"/>
    <col min="6655" max="6655" width="17.7109375" customWidth="1"/>
    <col min="6656" max="6660" width="13.5703125" bestFit="1" customWidth="1"/>
    <col min="6661" max="6663" width="12.7109375" bestFit="1" customWidth="1"/>
    <col min="6664" max="6664" width="13.7109375" bestFit="1" customWidth="1"/>
    <col min="6906" max="6906" width="15" customWidth="1"/>
    <col min="6907" max="6907" width="19" customWidth="1"/>
    <col min="6908" max="6908" width="18.5703125" customWidth="1"/>
    <col min="6909" max="6909" width="16.42578125" customWidth="1"/>
    <col min="6910" max="6910" width="16.85546875" customWidth="1"/>
    <col min="6911" max="6911" width="17.7109375" customWidth="1"/>
    <col min="6912" max="6916" width="13.5703125" bestFit="1" customWidth="1"/>
    <col min="6917" max="6919" width="12.7109375" bestFit="1" customWidth="1"/>
    <col min="6920" max="6920" width="13.7109375" bestFit="1" customWidth="1"/>
    <col min="7162" max="7162" width="15" customWidth="1"/>
    <col min="7163" max="7163" width="19" customWidth="1"/>
    <col min="7164" max="7164" width="18.5703125" customWidth="1"/>
    <col min="7165" max="7165" width="16.42578125" customWidth="1"/>
    <col min="7166" max="7166" width="16.85546875" customWidth="1"/>
    <col min="7167" max="7167" width="17.7109375" customWidth="1"/>
    <col min="7168" max="7172" width="13.5703125" bestFit="1" customWidth="1"/>
    <col min="7173" max="7175" width="12.7109375" bestFit="1" customWidth="1"/>
    <col min="7176" max="7176" width="13.7109375" bestFit="1" customWidth="1"/>
    <col min="7418" max="7418" width="15" customWidth="1"/>
    <col min="7419" max="7419" width="19" customWidth="1"/>
    <col min="7420" max="7420" width="18.5703125" customWidth="1"/>
    <col min="7421" max="7421" width="16.42578125" customWidth="1"/>
    <col min="7422" max="7422" width="16.85546875" customWidth="1"/>
    <col min="7423" max="7423" width="17.7109375" customWidth="1"/>
    <col min="7424" max="7428" width="13.5703125" bestFit="1" customWidth="1"/>
    <col min="7429" max="7431" width="12.7109375" bestFit="1" customWidth="1"/>
    <col min="7432" max="7432" width="13.7109375" bestFit="1" customWidth="1"/>
    <col min="7674" max="7674" width="15" customWidth="1"/>
    <col min="7675" max="7675" width="19" customWidth="1"/>
    <col min="7676" max="7676" width="18.5703125" customWidth="1"/>
    <col min="7677" max="7677" width="16.42578125" customWidth="1"/>
    <col min="7678" max="7678" width="16.85546875" customWidth="1"/>
    <col min="7679" max="7679" width="17.7109375" customWidth="1"/>
    <col min="7680" max="7684" width="13.5703125" bestFit="1" customWidth="1"/>
    <col min="7685" max="7687" width="12.7109375" bestFit="1" customWidth="1"/>
    <col min="7688" max="7688" width="13.7109375" bestFit="1" customWidth="1"/>
    <col min="7930" max="7930" width="15" customWidth="1"/>
    <col min="7931" max="7931" width="19" customWidth="1"/>
    <col min="7932" max="7932" width="18.5703125" customWidth="1"/>
    <col min="7933" max="7933" width="16.42578125" customWidth="1"/>
    <col min="7934" max="7934" width="16.85546875" customWidth="1"/>
    <col min="7935" max="7935" width="17.7109375" customWidth="1"/>
    <col min="7936" max="7940" width="13.5703125" bestFit="1" customWidth="1"/>
    <col min="7941" max="7943" width="12.7109375" bestFit="1" customWidth="1"/>
    <col min="7944" max="7944" width="13.7109375" bestFit="1" customWidth="1"/>
    <col min="8186" max="8186" width="15" customWidth="1"/>
    <col min="8187" max="8187" width="19" customWidth="1"/>
    <col min="8188" max="8188" width="18.5703125" customWidth="1"/>
    <col min="8189" max="8189" width="16.42578125" customWidth="1"/>
    <col min="8190" max="8190" width="16.85546875" customWidth="1"/>
    <col min="8191" max="8191" width="17.7109375" customWidth="1"/>
    <col min="8192" max="8196" width="13.5703125" bestFit="1" customWidth="1"/>
    <col min="8197" max="8199" width="12.7109375" bestFit="1" customWidth="1"/>
    <col min="8200" max="8200" width="13.7109375" bestFit="1" customWidth="1"/>
    <col min="8442" max="8442" width="15" customWidth="1"/>
    <col min="8443" max="8443" width="19" customWidth="1"/>
    <col min="8444" max="8444" width="18.5703125" customWidth="1"/>
    <col min="8445" max="8445" width="16.42578125" customWidth="1"/>
    <col min="8446" max="8446" width="16.85546875" customWidth="1"/>
    <col min="8447" max="8447" width="17.7109375" customWidth="1"/>
    <col min="8448" max="8452" width="13.5703125" bestFit="1" customWidth="1"/>
    <col min="8453" max="8455" width="12.7109375" bestFit="1" customWidth="1"/>
    <col min="8456" max="8456" width="13.7109375" bestFit="1" customWidth="1"/>
    <col min="8698" max="8698" width="15" customWidth="1"/>
    <col min="8699" max="8699" width="19" customWidth="1"/>
    <col min="8700" max="8700" width="18.5703125" customWidth="1"/>
    <col min="8701" max="8701" width="16.42578125" customWidth="1"/>
    <col min="8702" max="8702" width="16.85546875" customWidth="1"/>
    <col min="8703" max="8703" width="17.7109375" customWidth="1"/>
    <col min="8704" max="8708" width="13.5703125" bestFit="1" customWidth="1"/>
    <col min="8709" max="8711" width="12.7109375" bestFit="1" customWidth="1"/>
    <col min="8712" max="8712" width="13.7109375" bestFit="1" customWidth="1"/>
    <col min="8954" max="8954" width="15" customWidth="1"/>
    <col min="8955" max="8955" width="19" customWidth="1"/>
    <col min="8956" max="8956" width="18.5703125" customWidth="1"/>
    <col min="8957" max="8957" width="16.42578125" customWidth="1"/>
    <col min="8958" max="8958" width="16.85546875" customWidth="1"/>
    <col min="8959" max="8959" width="17.7109375" customWidth="1"/>
    <col min="8960" max="8964" width="13.5703125" bestFit="1" customWidth="1"/>
    <col min="8965" max="8967" width="12.7109375" bestFit="1" customWidth="1"/>
    <col min="8968" max="8968" width="13.7109375" bestFit="1" customWidth="1"/>
    <col min="9210" max="9210" width="15" customWidth="1"/>
    <col min="9211" max="9211" width="19" customWidth="1"/>
    <col min="9212" max="9212" width="18.5703125" customWidth="1"/>
    <col min="9213" max="9213" width="16.42578125" customWidth="1"/>
    <col min="9214" max="9214" width="16.85546875" customWidth="1"/>
    <col min="9215" max="9215" width="17.7109375" customWidth="1"/>
    <col min="9216" max="9220" width="13.5703125" bestFit="1" customWidth="1"/>
    <col min="9221" max="9223" width="12.7109375" bestFit="1" customWidth="1"/>
    <col min="9224" max="9224" width="13.7109375" bestFit="1" customWidth="1"/>
    <col min="9466" max="9466" width="15" customWidth="1"/>
    <col min="9467" max="9467" width="19" customWidth="1"/>
    <col min="9468" max="9468" width="18.5703125" customWidth="1"/>
    <col min="9469" max="9469" width="16.42578125" customWidth="1"/>
    <col min="9470" max="9470" width="16.85546875" customWidth="1"/>
    <col min="9471" max="9471" width="17.7109375" customWidth="1"/>
    <col min="9472" max="9476" width="13.5703125" bestFit="1" customWidth="1"/>
    <col min="9477" max="9479" width="12.7109375" bestFit="1" customWidth="1"/>
    <col min="9480" max="9480" width="13.7109375" bestFit="1" customWidth="1"/>
    <col min="9722" max="9722" width="15" customWidth="1"/>
    <col min="9723" max="9723" width="19" customWidth="1"/>
    <col min="9724" max="9724" width="18.5703125" customWidth="1"/>
    <col min="9725" max="9725" width="16.42578125" customWidth="1"/>
    <col min="9726" max="9726" width="16.85546875" customWidth="1"/>
    <col min="9727" max="9727" width="17.7109375" customWidth="1"/>
    <col min="9728" max="9732" width="13.5703125" bestFit="1" customWidth="1"/>
    <col min="9733" max="9735" width="12.7109375" bestFit="1" customWidth="1"/>
    <col min="9736" max="9736" width="13.7109375" bestFit="1" customWidth="1"/>
    <col min="9978" max="9978" width="15" customWidth="1"/>
    <col min="9979" max="9979" width="19" customWidth="1"/>
    <col min="9980" max="9980" width="18.5703125" customWidth="1"/>
    <col min="9981" max="9981" width="16.42578125" customWidth="1"/>
    <col min="9982" max="9982" width="16.85546875" customWidth="1"/>
    <col min="9983" max="9983" width="17.7109375" customWidth="1"/>
    <col min="9984" max="9988" width="13.5703125" bestFit="1" customWidth="1"/>
    <col min="9989" max="9991" width="12.7109375" bestFit="1" customWidth="1"/>
    <col min="9992" max="9992" width="13.7109375" bestFit="1" customWidth="1"/>
    <col min="10234" max="10234" width="15" customWidth="1"/>
    <col min="10235" max="10235" width="19" customWidth="1"/>
    <col min="10236" max="10236" width="18.5703125" customWidth="1"/>
    <col min="10237" max="10237" width="16.42578125" customWidth="1"/>
    <col min="10238" max="10238" width="16.85546875" customWidth="1"/>
    <col min="10239" max="10239" width="17.7109375" customWidth="1"/>
    <col min="10240" max="10244" width="13.5703125" bestFit="1" customWidth="1"/>
    <col min="10245" max="10247" width="12.7109375" bestFit="1" customWidth="1"/>
    <col min="10248" max="10248" width="13.7109375" bestFit="1" customWidth="1"/>
    <col min="10490" max="10490" width="15" customWidth="1"/>
    <col min="10491" max="10491" width="19" customWidth="1"/>
    <col min="10492" max="10492" width="18.5703125" customWidth="1"/>
    <col min="10493" max="10493" width="16.42578125" customWidth="1"/>
    <col min="10494" max="10494" width="16.85546875" customWidth="1"/>
    <col min="10495" max="10495" width="17.7109375" customWidth="1"/>
    <col min="10496" max="10500" width="13.5703125" bestFit="1" customWidth="1"/>
    <col min="10501" max="10503" width="12.7109375" bestFit="1" customWidth="1"/>
    <col min="10504" max="10504" width="13.7109375" bestFit="1" customWidth="1"/>
    <col min="10746" max="10746" width="15" customWidth="1"/>
    <col min="10747" max="10747" width="19" customWidth="1"/>
    <col min="10748" max="10748" width="18.5703125" customWidth="1"/>
    <col min="10749" max="10749" width="16.42578125" customWidth="1"/>
    <col min="10750" max="10750" width="16.85546875" customWidth="1"/>
    <col min="10751" max="10751" width="17.7109375" customWidth="1"/>
    <col min="10752" max="10756" width="13.5703125" bestFit="1" customWidth="1"/>
    <col min="10757" max="10759" width="12.7109375" bestFit="1" customWidth="1"/>
    <col min="10760" max="10760" width="13.7109375" bestFit="1" customWidth="1"/>
    <col min="11002" max="11002" width="15" customWidth="1"/>
    <col min="11003" max="11003" width="19" customWidth="1"/>
    <col min="11004" max="11004" width="18.5703125" customWidth="1"/>
    <col min="11005" max="11005" width="16.42578125" customWidth="1"/>
    <col min="11006" max="11006" width="16.85546875" customWidth="1"/>
    <col min="11007" max="11007" width="17.7109375" customWidth="1"/>
    <col min="11008" max="11012" width="13.5703125" bestFit="1" customWidth="1"/>
    <col min="11013" max="11015" width="12.7109375" bestFit="1" customWidth="1"/>
    <col min="11016" max="11016" width="13.7109375" bestFit="1" customWidth="1"/>
    <col min="11258" max="11258" width="15" customWidth="1"/>
    <col min="11259" max="11259" width="19" customWidth="1"/>
    <col min="11260" max="11260" width="18.5703125" customWidth="1"/>
    <col min="11261" max="11261" width="16.42578125" customWidth="1"/>
    <col min="11262" max="11262" width="16.85546875" customWidth="1"/>
    <col min="11263" max="11263" width="17.7109375" customWidth="1"/>
    <col min="11264" max="11268" width="13.5703125" bestFit="1" customWidth="1"/>
    <col min="11269" max="11271" width="12.7109375" bestFit="1" customWidth="1"/>
    <col min="11272" max="11272" width="13.7109375" bestFit="1" customWidth="1"/>
    <col min="11514" max="11514" width="15" customWidth="1"/>
    <col min="11515" max="11515" width="19" customWidth="1"/>
    <col min="11516" max="11516" width="18.5703125" customWidth="1"/>
    <col min="11517" max="11517" width="16.42578125" customWidth="1"/>
    <col min="11518" max="11518" width="16.85546875" customWidth="1"/>
    <col min="11519" max="11519" width="17.7109375" customWidth="1"/>
    <col min="11520" max="11524" width="13.5703125" bestFit="1" customWidth="1"/>
    <col min="11525" max="11527" width="12.7109375" bestFit="1" customWidth="1"/>
    <col min="11528" max="11528" width="13.7109375" bestFit="1" customWidth="1"/>
    <col min="11770" max="11770" width="15" customWidth="1"/>
    <col min="11771" max="11771" width="19" customWidth="1"/>
    <col min="11772" max="11772" width="18.5703125" customWidth="1"/>
    <col min="11773" max="11773" width="16.42578125" customWidth="1"/>
    <col min="11774" max="11774" width="16.85546875" customWidth="1"/>
    <col min="11775" max="11775" width="17.7109375" customWidth="1"/>
    <col min="11776" max="11780" width="13.5703125" bestFit="1" customWidth="1"/>
    <col min="11781" max="11783" width="12.7109375" bestFit="1" customWidth="1"/>
    <col min="11784" max="11784" width="13.7109375" bestFit="1" customWidth="1"/>
    <col min="12026" max="12026" width="15" customWidth="1"/>
    <col min="12027" max="12027" width="19" customWidth="1"/>
    <col min="12028" max="12028" width="18.5703125" customWidth="1"/>
    <col min="12029" max="12029" width="16.42578125" customWidth="1"/>
    <col min="12030" max="12030" width="16.85546875" customWidth="1"/>
    <col min="12031" max="12031" width="17.7109375" customWidth="1"/>
    <col min="12032" max="12036" width="13.5703125" bestFit="1" customWidth="1"/>
    <col min="12037" max="12039" width="12.7109375" bestFit="1" customWidth="1"/>
    <col min="12040" max="12040" width="13.7109375" bestFit="1" customWidth="1"/>
    <col min="12282" max="12282" width="15" customWidth="1"/>
    <col min="12283" max="12283" width="19" customWidth="1"/>
    <col min="12284" max="12284" width="18.5703125" customWidth="1"/>
    <col min="12285" max="12285" width="16.42578125" customWidth="1"/>
    <col min="12286" max="12286" width="16.85546875" customWidth="1"/>
    <col min="12287" max="12287" width="17.7109375" customWidth="1"/>
    <col min="12288" max="12292" width="13.5703125" bestFit="1" customWidth="1"/>
    <col min="12293" max="12295" width="12.7109375" bestFit="1" customWidth="1"/>
    <col min="12296" max="12296" width="13.7109375" bestFit="1" customWidth="1"/>
    <col min="12538" max="12538" width="15" customWidth="1"/>
    <col min="12539" max="12539" width="19" customWidth="1"/>
    <col min="12540" max="12540" width="18.5703125" customWidth="1"/>
    <col min="12541" max="12541" width="16.42578125" customWidth="1"/>
    <col min="12542" max="12542" width="16.85546875" customWidth="1"/>
    <col min="12543" max="12543" width="17.7109375" customWidth="1"/>
    <col min="12544" max="12548" width="13.5703125" bestFit="1" customWidth="1"/>
    <col min="12549" max="12551" width="12.7109375" bestFit="1" customWidth="1"/>
    <col min="12552" max="12552" width="13.7109375" bestFit="1" customWidth="1"/>
    <col min="12794" max="12794" width="15" customWidth="1"/>
    <col min="12795" max="12795" width="19" customWidth="1"/>
    <col min="12796" max="12796" width="18.5703125" customWidth="1"/>
    <col min="12797" max="12797" width="16.42578125" customWidth="1"/>
    <col min="12798" max="12798" width="16.85546875" customWidth="1"/>
    <col min="12799" max="12799" width="17.7109375" customWidth="1"/>
    <col min="12800" max="12804" width="13.5703125" bestFit="1" customWidth="1"/>
    <col min="12805" max="12807" width="12.7109375" bestFit="1" customWidth="1"/>
    <col min="12808" max="12808" width="13.7109375" bestFit="1" customWidth="1"/>
    <col min="13050" max="13050" width="15" customWidth="1"/>
    <col min="13051" max="13051" width="19" customWidth="1"/>
    <col min="13052" max="13052" width="18.5703125" customWidth="1"/>
    <col min="13053" max="13053" width="16.42578125" customWidth="1"/>
    <col min="13054" max="13054" width="16.85546875" customWidth="1"/>
    <col min="13055" max="13055" width="17.7109375" customWidth="1"/>
    <col min="13056" max="13060" width="13.5703125" bestFit="1" customWidth="1"/>
    <col min="13061" max="13063" width="12.7109375" bestFit="1" customWidth="1"/>
    <col min="13064" max="13064" width="13.7109375" bestFit="1" customWidth="1"/>
    <col min="13306" max="13306" width="15" customWidth="1"/>
    <col min="13307" max="13307" width="19" customWidth="1"/>
    <col min="13308" max="13308" width="18.5703125" customWidth="1"/>
    <col min="13309" max="13309" width="16.42578125" customWidth="1"/>
    <col min="13310" max="13310" width="16.85546875" customWidth="1"/>
    <col min="13311" max="13311" width="17.7109375" customWidth="1"/>
    <col min="13312" max="13316" width="13.5703125" bestFit="1" customWidth="1"/>
    <col min="13317" max="13319" width="12.7109375" bestFit="1" customWidth="1"/>
    <col min="13320" max="13320" width="13.7109375" bestFit="1" customWidth="1"/>
    <col min="13562" max="13562" width="15" customWidth="1"/>
    <col min="13563" max="13563" width="19" customWidth="1"/>
    <col min="13564" max="13564" width="18.5703125" customWidth="1"/>
    <col min="13565" max="13565" width="16.42578125" customWidth="1"/>
    <col min="13566" max="13566" width="16.85546875" customWidth="1"/>
    <col min="13567" max="13567" width="17.7109375" customWidth="1"/>
    <col min="13568" max="13572" width="13.5703125" bestFit="1" customWidth="1"/>
    <col min="13573" max="13575" width="12.7109375" bestFit="1" customWidth="1"/>
    <col min="13576" max="13576" width="13.7109375" bestFit="1" customWidth="1"/>
    <col min="13818" max="13818" width="15" customWidth="1"/>
    <col min="13819" max="13819" width="19" customWidth="1"/>
    <col min="13820" max="13820" width="18.5703125" customWidth="1"/>
    <col min="13821" max="13821" width="16.42578125" customWidth="1"/>
    <col min="13822" max="13822" width="16.85546875" customWidth="1"/>
    <col min="13823" max="13823" width="17.7109375" customWidth="1"/>
    <col min="13824" max="13828" width="13.5703125" bestFit="1" customWidth="1"/>
    <col min="13829" max="13831" width="12.7109375" bestFit="1" customWidth="1"/>
    <col min="13832" max="13832" width="13.7109375" bestFit="1" customWidth="1"/>
    <col min="14074" max="14074" width="15" customWidth="1"/>
    <col min="14075" max="14075" width="19" customWidth="1"/>
    <col min="14076" max="14076" width="18.5703125" customWidth="1"/>
    <col min="14077" max="14077" width="16.42578125" customWidth="1"/>
    <col min="14078" max="14078" width="16.85546875" customWidth="1"/>
    <col min="14079" max="14079" width="17.7109375" customWidth="1"/>
    <col min="14080" max="14084" width="13.5703125" bestFit="1" customWidth="1"/>
    <col min="14085" max="14087" width="12.7109375" bestFit="1" customWidth="1"/>
    <col min="14088" max="14088" width="13.7109375" bestFit="1" customWidth="1"/>
    <col min="14330" max="14330" width="15" customWidth="1"/>
    <col min="14331" max="14331" width="19" customWidth="1"/>
    <col min="14332" max="14332" width="18.5703125" customWidth="1"/>
    <col min="14333" max="14333" width="16.42578125" customWidth="1"/>
    <col min="14334" max="14334" width="16.85546875" customWidth="1"/>
    <col min="14335" max="14335" width="17.7109375" customWidth="1"/>
    <col min="14336" max="14340" width="13.5703125" bestFit="1" customWidth="1"/>
    <col min="14341" max="14343" width="12.7109375" bestFit="1" customWidth="1"/>
    <col min="14344" max="14344" width="13.7109375" bestFit="1" customWidth="1"/>
    <col min="14586" max="14586" width="15" customWidth="1"/>
    <col min="14587" max="14587" width="19" customWidth="1"/>
    <col min="14588" max="14588" width="18.5703125" customWidth="1"/>
    <col min="14589" max="14589" width="16.42578125" customWidth="1"/>
    <col min="14590" max="14590" width="16.85546875" customWidth="1"/>
    <col min="14591" max="14591" width="17.7109375" customWidth="1"/>
    <col min="14592" max="14596" width="13.5703125" bestFit="1" customWidth="1"/>
    <col min="14597" max="14599" width="12.7109375" bestFit="1" customWidth="1"/>
    <col min="14600" max="14600" width="13.7109375" bestFit="1" customWidth="1"/>
    <col min="14842" max="14842" width="15" customWidth="1"/>
    <col min="14843" max="14843" width="19" customWidth="1"/>
    <col min="14844" max="14844" width="18.5703125" customWidth="1"/>
    <col min="14845" max="14845" width="16.42578125" customWidth="1"/>
    <col min="14846" max="14846" width="16.85546875" customWidth="1"/>
    <col min="14847" max="14847" width="17.7109375" customWidth="1"/>
    <col min="14848" max="14852" width="13.5703125" bestFit="1" customWidth="1"/>
    <col min="14853" max="14855" width="12.7109375" bestFit="1" customWidth="1"/>
    <col min="14856" max="14856" width="13.7109375" bestFit="1" customWidth="1"/>
    <col min="15098" max="15098" width="15" customWidth="1"/>
    <col min="15099" max="15099" width="19" customWidth="1"/>
    <col min="15100" max="15100" width="18.5703125" customWidth="1"/>
    <col min="15101" max="15101" width="16.42578125" customWidth="1"/>
    <col min="15102" max="15102" width="16.85546875" customWidth="1"/>
    <col min="15103" max="15103" width="17.7109375" customWidth="1"/>
    <col min="15104" max="15108" width="13.5703125" bestFit="1" customWidth="1"/>
    <col min="15109" max="15111" width="12.7109375" bestFit="1" customWidth="1"/>
    <col min="15112" max="15112" width="13.7109375" bestFit="1" customWidth="1"/>
    <col min="15354" max="15354" width="15" customWidth="1"/>
    <col min="15355" max="15355" width="19" customWidth="1"/>
    <col min="15356" max="15356" width="18.5703125" customWidth="1"/>
    <col min="15357" max="15357" width="16.42578125" customWidth="1"/>
    <col min="15358" max="15358" width="16.85546875" customWidth="1"/>
    <col min="15359" max="15359" width="17.7109375" customWidth="1"/>
    <col min="15360" max="15364" width="13.5703125" bestFit="1" customWidth="1"/>
    <col min="15365" max="15367" width="12.7109375" bestFit="1" customWidth="1"/>
    <col min="15368" max="15368" width="13.7109375" bestFit="1" customWidth="1"/>
    <col min="15610" max="15610" width="15" customWidth="1"/>
    <col min="15611" max="15611" width="19" customWidth="1"/>
    <col min="15612" max="15612" width="18.5703125" customWidth="1"/>
    <col min="15613" max="15613" width="16.42578125" customWidth="1"/>
    <col min="15614" max="15614" width="16.85546875" customWidth="1"/>
    <col min="15615" max="15615" width="17.7109375" customWidth="1"/>
    <col min="15616" max="15620" width="13.5703125" bestFit="1" customWidth="1"/>
    <col min="15621" max="15623" width="12.7109375" bestFit="1" customWidth="1"/>
    <col min="15624" max="15624" width="13.7109375" bestFit="1" customWidth="1"/>
    <col min="15866" max="15866" width="15" customWidth="1"/>
    <col min="15867" max="15867" width="19" customWidth="1"/>
    <col min="15868" max="15868" width="18.5703125" customWidth="1"/>
    <col min="15869" max="15869" width="16.42578125" customWidth="1"/>
    <col min="15870" max="15870" width="16.85546875" customWidth="1"/>
    <col min="15871" max="15871" width="17.7109375" customWidth="1"/>
    <col min="15872" max="15876" width="13.5703125" bestFit="1" customWidth="1"/>
    <col min="15877" max="15879" width="12.7109375" bestFit="1" customWidth="1"/>
    <col min="15880" max="15880" width="13.7109375" bestFit="1" customWidth="1"/>
    <col min="16122" max="16122" width="15" customWidth="1"/>
    <col min="16123" max="16123" width="19" customWidth="1"/>
    <col min="16124" max="16124" width="18.5703125" customWidth="1"/>
    <col min="16125" max="16125" width="16.42578125" customWidth="1"/>
    <col min="16126" max="16126" width="16.85546875" customWidth="1"/>
    <col min="16127" max="16127" width="17.7109375" customWidth="1"/>
    <col min="16128" max="16132" width="13.5703125" bestFit="1" customWidth="1"/>
    <col min="16133" max="16135" width="12.7109375" bestFit="1" customWidth="1"/>
    <col min="16136" max="16136" width="13.7109375" bestFit="1" customWidth="1"/>
  </cols>
  <sheetData>
    <row r="1" spans="1:10" x14ac:dyDescent="0.25">
      <c r="A1" s="511" t="s">
        <v>2</v>
      </c>
      <c r="B1" s="512"/>
      <c r="C1" s="512"/>
      <c r="D1" s="512"/>
      <c r="E1" s="512"/>
      <c r="F1" s="512"/>
      <c r="G1" s="512"/>
      <c r="H1" s="512"/>
    </row>
    <row r="2" spans="1:10" x14ac:dyDescent="0.25">
      <c r="A2" s="511" t="s">
        <v>3084</v>
      </c>
      <c r="B2" s="512"/>
      <c r="C2" s="512"/>
      <c r="D2" s="512"/>
      <c r="E2" s="512"/>
      <c r="F2" s="512"/>
      <c r="G2" s="512"/>
      <c r="H2" s="512"/>
    </row>
    <row r="3" spans="1:10" x14ac:dyDescent="0.25">
      <c r="A3" s="511" t="s">
        <v>3083</v>
      </c>
      <c r="B3" s="512"/>
      <c r="C3" s="512"/>
      <c r="D3" s="512"/>
      <c r="E3" s="512"/>
      <c r="F3" s="512"/>
      <c r="G3" s="512"/>
      <c r="H3" s="512"/>
    </row>
    <row r="4" spans="1:10" ht="15.75" thickBot="1" x14ac:dyDescent="0.3">
      <c r="A4" s="515" t="s">
        <v>3096</v>
      </c>
      <c r="B4" s="516"/>
      <c r="C4" s="516"/>
      <c r="D4" s="516"/>
      <c r="E4" s="516"/>
      <c r="F4" s="516"/>
      <c r="G4" s="516"/>
      <c r="H4" s="516"/>
    </row>
    <row r="5" spans="1:10" ht="45.75" thickBot="1" x14ac:dyDescent="0.3">
      <c r="A5" s="103" t="s">
        <v>5</v>
      </c>
      <c r="B5" s="2" t="s">
        <v>6</v>
      </c>
      <c r="C5" s="3" t="s">
        <v>7</v>
      </c>
      <c r="D5" s="3" t="s">
        <v>3147</v>
      </c>
      <c r="E5" s="3" t="s">
        <v>41</v>
      </c>
      <c r="F5" s="3" t="s">
        <v>3135</v>
      </c>
      <c r="G5" s="4" t="s">
        <v>3078</v>
      </c>
      <c r="H5" s="5" t="s">
        <v>8</v>
      </c>
    </row>
    <row r="6" spans="1:10" x14ac:dyDescent="0.25">
      <c r="A6" s="6">
        <v>43455</v>
      </c>
      <c r="B6" s="7" t="s">
        <v>359</v>
      </c>
      <c r="C6" s="8">
        <v>0</v>
      </c>
      <c r="D6" s="8">
        <v>0</v>
      </c>
      <c r="E6" s="8"/>
      <c r="F6" s="8"/>
      <c r="G6" s="8"/>
      <c r="H6" s="9">
        <v>10005746045</v>
      </c>
      <c r="I6" s="54"/>
      <c r="J6" s="54"/>
    </row>
    <row r="7" spans="1:10" x14ac:dyDescent="0.25">
      <c r="A7" s="329">
        <f>A6+90</f>
        <v>43545</v>
      </c>
      <c r="B7" s="297" t="s">
        <v>9</v>
      </c>
      <c r="C7" s="294">
        <v>0</v>
      </c>
      <c r="D7" s="294">
        <f>H6*$B$53*B$52/360</f>
        <v>203892090.03198752</v>
      </c>
      <c r="E7" s="294">
        <v>203892090.03198752</v>
      </c>
      <c r="F7" s="294"/>
      <c r="G7" s="294">
        <f>E7+C7+F7</f>
        <v>203892090.03198752</v>
      </c>
      <c r="H7" s="298">
        <f t="shared" ref="H7:H46" si="0">+H6-C7</f>
        <v>10005746045</v>
      </c>
      <c r="J7" s="54"/>
    </row>
    <row r="8" spans="1:10" x14ac:dyDescent="0.25">
      <c r="A8" s="329">
        <f>A7+92</f>
        <v>43637</v>
      </c>
      <c r="B8" s="297" t="s">
        <v>9</v>
      </c>
      <c r="C8" s="294">
        <v>0</v>
      </c>
      <c r="D8" s="294">
        <f>H7*$C$53*C$52/360</f>
        <v>203541888.92041248</v>
      </c>
      <c r="E8" s="294">
        <v>203541888.92041248</v>
      </c>
      <c r="F8" s="294"/>
      <c r="G8" s="294">
        <f t="shared" ref="G8:G46" si="1">E8+C8+F8</f>
        <v>203541888.92041248</v>
      </c>
      <c r="H8" s="298">
        <f t="shared" si="0"/>
        <v>10005746045</v>
      </c>
    </row>
    <row r="9" spans="1:10" x14ac:dyDescent="0.25">
      <c r="A9" s="329">
        <f>A8+92</f>
        <v>43729</v>
      </c>
      <c r="B9" s="297" t="s">
        <v>9</v>
      </c>
      <c r="C9" s="294">
        <v>0</v>
      </c>
      <c r="D9" s="294">
        <f>H8*$D$53*D$52/360</f>
        <v>201365639.15562502</v>
      </c>
      <c r="E9" s="294">
        <v>201365639.15562502</v>
      </c>
      <c r="F9" s="294"/>
      <c r="G9" s="294">
        <f t="shared" si="1"/>
        <v>201365639.15562502</v>
      </c>
      <c r="H9" s="298">
        <f t="shared" si="0"/>
        <v>10005746045</v>
      </c>
    </row>
    <row r="10" spans="1:10" x14ac:dyDescent="0.25">
      <c r="A10" s="329">
        <f>A9+91</f>
        <v>43820</v>
      </c>
      <c r="B10" s="297" t="s">
        <v>9</v>
      </c>
      <c r="C10" s="294">
        <v>0</v>
      </c>
      <c r="D10" s="294">
        <f>H9*$E$53*E$52/360</f>
        <v>203291745.26928753</v>
      </c>
      <c r="E10" s="294">
        <v>203291745.26928753</v>
      </c>
      <c r="F10" s="294"/>
      <c r="G10" s="294">
        <f t="shared" si="1"/>
        <v>203291745.26928753</v>
      </c>
      <c r="H10" s="298">
        <f t="shared" si="0"/>
        <v>10005746045</v>
      </c>
    </row>
    <row r="11" spans="1:10" x14ac:dyDescent="0.25">
      <c r="A11" s="329">
        <f>A10+91</f>
        <v>43911</v>
      </c>
      <c r="B11" s="297" t="s">
        <v>9</v>
      </c>
      <c r="C11" s="294">
        <v>0</v>
      </c>
      <c r="D11" s="294">
        <f>H10*$F$53*F$52/360</f>
        <v>203541888.92041248</v>
      </c>
      <c r="E11" s="294">
        <v>203541888.92041248</v>
      </c>
      <c r="F11" s="294"/>
      <c r="G11" s="294">
        <f t="shared" si="1"/>
        <v>203541888.92041248</v>
      </c>
      <c r="H11" s="298">
        <f t="shared" si="0"/>
        <v>10005746045</v>
      </c>
    </row>
    <row r="12" spans="1:10" x14ac:dyDescent="0.25">
      <c r="A12" s="329">
        <f>A11+92</f>
        <v>44003</v>
      </c>
      <c r="B12" s="297" t="s">
        <v>9</v>
      </c>
      <c r="C12" s="294">
        <v>0</v>
      </c>
      <c r="D12" s="18">
        <f>H11*$G$53*G$52/360</f>
        <v>202541314.31591251</v>
      </c>
      <c r="E12" s="18">
        <v>202541314.31591251</v>
      </c>
      <c r="F12" s="294">
        <f>SUM(D12:D13)</f>
        <v>360957288.57337499</v>
      </c>
      <c r="G12" s="294">
        <f>C12</f>
        <v>0</v>
      </c>
      <c r="H12" s="298">
        <f t="shared" si="0"/>
        <v>10005746045</v>
      </c>
      <c r="I12" t="s">
        <v>3158</v>
      </c>
    </row>
    <row r="13" spans="1:10" x14ac:dyDescent="0.25">
      <c r="A13" s="329">
        <f>A12+92</f>
        <v>44095</v>
      </c>
      <c r="B13" s="297" t="s">
        <v>9</v>
      </c>
      <c r="C13" s="294">
        <v>0</v>
      </c>
      <c r="D13" s="18">
        <f>H12*$H$53*H$52/360</f>
        <v>158415974.2574625</v>
      </c>
      <c r="E13" s="18">
        <v>158415974.2574625</v>
      </c>
      <c r="F13" s="462">
        <f>+SUM(F14:F21)</f>
        <v>409182483.07376379</v>
      </c>
      <c r="G13" s="294">
        <f>C13</f>
        <v>0</v>
      </c>
      <c r="H13" s="298">
        <f t="shared" si="0"/>
        <v>10005746045</v>
      </c>
      <c r="I13" t="s">
        <v>3134</v>
      </c>
    </row>
    <row r="14" spans="1:10" x14ac:dyDescent="0.25">
      <c r="A14" s="329">
        <f>A13+91</f>
        <v>44186</v>
      </c>
      <c r="B14" s="297" t="s">
        <v>9</v>
      </c>
      <c r="C14" s="294">
        <v>0</v>
      </c>
      <c r="D14" s="294">
        <f>H13*$I$53*I$52/360</f>
        <v>145583604.95475</v>
      </c>
      <c r="E14" s="294">
        <v>145583604.95475</v>
      </c>
      <c r="F14" s="294">
        <v>51147810.384220466</v>
      </c>
      <c r="G14" s="294">
        <f>E14+C14+F14</f>
        <v>196731415.33897048</v>
      </c>
      <c r="H14" s="298">
        <f t="shared" si="0"/>
        <v>10005746045</v>
      </c>
    </row>
    <row r="15" spans="1:10" x14ac:dyDescent="0.25">
      <c r="A15" s="329">
        <f>A14+90</f>
        <v>44276</v>
      </c>
      <c r="B15" s="297" t="s">
        <v>10</v>
      </c>
      <c r="C15" s="294">
        <f>+$H$6/32</f>
        <v>312679563.90625</v>
      </c>
      <c r="D15" s="294">
        <f>H14*$J$53*J$52/360</f>
        <v>200114920.90000001</v>
      </c>
      <c r="E15" s="294"/>
      <c r="F15" s="294">
        <v>51147810.384220466</v>
      </c>
      <c r="G15" s="294">
        <f t="shared" si="1"/>
        <v>363827374.29047048</v>
      </c>
      <c r="H15" s="298">
        <f t="shared" si="0"/>
        <v>9693066481.09375</v>
      </c>
    </row>
    <row r="16" spans="1:10" x14ac:dyDescent="0.25">
      <c r="A16" s="329">
        <f>A15+92</f>
        <v>44368</v>
      </c>
      <c r="B16" s="297" t="s">
        <v>10</v>
      </c>
      <c r="C16" s="294">
        <f t="shared" ref="C16:C46" si="2">+$H$6/32</f>
        <v>312679563.90625</v>
      </c>
      <c r="D16" s="294">
        <f t="shared" ref="D16:D18" si="3">H15*$J$53*J$52/360</f>
        <v>193861329.62187499</v>
      </c>
      <c r="E16" s="294"/>
      <c r="F16" s="294">
        <v>51147810.384220466</v>
      </c>
      <c r="G16" s="294">
        <f>E16+C16+F16</f>
        <v>363827374.29047048</v>
      </c>
      <c r="H16" s="298">
        <f t="shared" si="0"/>
        <v>9380386917.1875</v>
      </c>
    </row>
    <row r="17" spans="1:8" x14ac:dyDescent="0.25">
      <c r="A17" s="329">
        <f>A16+92</f>
        <v>44460</v>
      </c>
      <c r="B17" s="297" t="s">
        <v>10</v>
      </c>
      <c r="C17" s="294">
        <f t="shared" si="2"/>
        <v>312679563.90625</v>
      </c>
      <c r="D17" s="294">
        <f t="shared" si="3"/>
        <v>187607738.34375</v>
      </c>
      <c r="E17" s="294"/>
      <c r="F17" s="294">
        <v>51147810.384220466</v>
      </c>
      <c r="G17" s="294">
        <f t="shared" si="1"/>
        <v>363827374.29047048</v>
      </c>
      <c r="H17" s="298">
        <f t="shared" si="0"/>
        <v>9067707353.28125</v>
      </c>
    </row>
    <row r="18" spans="1:8" x14ac:dyDescent="0.25">
      <c r="A18" s="329">
        <f>A17+91</f>
        <v>44551</v>
      </c>
      <c r="B18" s="297" t="s">
        <v>10</v>
      </c>
      <c r="C18" s="294">
        <f t="shared" si="2"/>
        <v>312679563.90625</v>
      </c>
      <c r="D18" s="294">
        <f t="shared" si="3"/>
        <v>181354147.06562501</v>
      </c>
      <c r="E18" s="294"/>
      <c r="F18" s="294">
        <v>51147810.384220466</v>
      </c>
      <c r="G18" s="294">
        <f t="shared" si="1"/>
        <v>363827374.29047048</v>
      </c>
      <c r="H18" s="298">
        <f t="shared" si="0"/>
        <v>8755027789.375</v>
      </c>
    </row>
    <row r="19" spans="1:8" x14ac:dyDescent="0.25">
      <c r="A19" s="329">
        <f>A18+90</f>
        <v>44641</v>
      </c>
      <c r="B19" s="297" t="s">
        <v>10</v>
      </c>
      <c r="C19" s="294">
        <f t="shared" si="2"/>
        <v>312679563.90625</v>
      </c>
      <c r="D19" s="294">
        <f>H18*$K$53*K$52/360</f>
        <v>186044340.52421874</v>
      </c>
      <c r="E19" s="294"/>
      <c r="F19" s="294">
        <v>51147810.384220466</v>
      </c>
      <c r="G19" s="294">
        <f t="shared" si="1"/>
        <v>363827374.29047048</v>
      </c>
      <c r="H19" s="298">
        <f t="shared" si="0"/>
        <v>8442348225.46875</v>
      </c>
    </row>
    <row r="20" spans="1:8" x14ac:dyDescent="0.25">
      <c r="A20" s="329">
        <f>A19+92</f>
        <v>44733</v>
      </c>
      <c r="B20" s="297" t="s">
        <v>10</v>
      </c>
      <c r="C20" s="294">
        <f t="shared" si="2"/>
        <v>312679563.90625</v>
      </c>
      <c r="D20" s="294">
        <f t="shared" ref="D20:D22" si="4">H19*$K$53*K$52/360</f>
        <v>179399899.79121092</v>
      </c>
      <c r="E20" s="294"/>
      <c r="F20" s="294">
        <v>51147810.384220466</v>
      </c>
      <c r="G20" s="294">
        <f t="shared" si="1"/>
        <v>363827374.29047048</v>
      </c>
      <c r="H20" s="298">
        <f t="shared" si="0"/>
        <v>8129668661.5625</v>
      </c>
    </row>
    <row r="21" spans="1:8" x14ac:dyDescent="0.25">
      <c r="A21" s="329">
        <f>A20+92</f>
        <v>44825</v>
      </c>
      <c r="B21" s="297" t="s">
        <v>10</v>
      </c>
      <c r="C21" s="294">
        <f t="shared" si="2"/>
        <v>312679563.90625</v>
      </c>
      <c r="D21" s="294">
        <f t="shared" si="4"/>
        <v>172755459.0582031</v>
      </c>
      <c r="E21" s="294"/>
      <c r="F21" s="294">
        <v>51147810.384220466</v>
      </c>
      <c r="G21" s="294">
        <f t="shared" si="1"/>
        <v>363827374.29047048</v>
      </c>
      <c r="H21" s="298">
        <f t="shared" si="0"/>
        <v>7816989097.65625</v>
      </c>
    </row>
    <row r="22" spans="1:8" x14ac:dyDescent="0.25">
      <c r="A22" s="329">
        <f>A21+91</f>
        <v>44916</v>
      </c>
      <c r="B22" s="297" t="s">
        <v>10</v>
      </c>
      <c r="C22" s="294">
        <f t="shared" si="2"/>
        <v>312679563.90625</v>
      </c>
      <c r="D22" s="294">
        <f t="shared" si="4"/>
        <v>166111018.32519528</v>
      </c>
      <c r="E22" s="294"/>
      <c r="F22" s="294"/>
      <c r="G22" s="294">
        <f t="shared" si="1"/>
        <v>312679563.90625</v>
      </c>
      <c r="H22" s="298">
        <f t="shared" si="0"/>
        <v>7504309533.75</v>
      </c>
    </row>
    <row r="23" spans="1:8" x14ac:dyDescent="0.25">
      <c r="A23" s="329">
        <f>A22+90</f>
        <v>45006</v>
      </c>
      <c r="B23" s="297" t="s">
        <v>10</v>
      </c>
      <c r="C23" s="294">
        <f t="shared" si="2"/>
        <v>312679563.90625</v>
      </c>
      <c r="D23" s="294">
        <f>H22*$L$53*L$52/360</f>
        <v>168846964.50937501</v>
      </c>
      <c r="E23" s="294"/>
      <c r="F23" s="294"/>
      <c r="G23" s="294">
        <f t="shared" si="1"/>
        <v>312679563.90625</v>
      </c>
      <c r="H23" s="298">
        <f t="shared" si="0"/>
        <v>7191629969.84375</v>
      </c>
    </row>
    <row r="24" spans="1:8" x14ac:dyDescent="0.25">
      <c r="A24" s="329">
        <f>A23+92</f>
        <v>45098</v>
      </c>
      <c r="B24" s="297" t="s">
        <v>10</v>
      </c>
      <c r="C24" s="294">
        <f t="shared" si="2"/>
        <v>312679563.90625</v>
      </c>
      <c r="D24" s="294">
        <f t="shared" ref="D24:D46" si="5">H23*$L$53*L$52/360</f>
        <v>161811674.32148436</v>
      </c>
      <c r="E24" s="294"/>
      <c r="F24" s="294"/>
      <c r="G24" s="294">
        <f t="shared" si="1"/>
        <v>312679563.90625</v>
      </c>
      <c r="H24" s="298">
        <f t="shared" si="0"/>
        <v>6878950405.9375</v>
      </c>
    </row>
    <row r="25" spans="1:8" x14ac:dyDescent="0.25">
      <c r="A25" s="329">
        <f>A24+92</f>
        <v>45190</v>
      </c>
      <c r="B25" s="297" t="s">
        <v>10</v>
      </c>
      <c r="C25" s="294">
        <f t="shared" si="2"/>
        <v>312679563.90625</v>
      </c>
      <c r="D25" s="294">
        <f t="shared" si="5"/>
        <v>154776384.13359374</v>
      </c>
      <c r="E25" s="294"/>
      <c r="F25" s="294"/>
      <c r="G25" s="294">
        <f t="shared" si="1"/>
        <v>312679563.90625</v>
      </c>
      <c r="H25" s="298">
        <f t="shared" si="0"/>
        <v>6566270842.03125</v>
      </c>
    </row>
    <row r="26" spans="1:8" x14ac:dyDescent="0.25">
      <c r="A26" s="329">
        <f>A25+91</f>
        <v>45281</v>
      </c>
      <c r="B26" s="297" t="s">
        <v>10</v>
      </c>
      <c r="C26" s="294">
        <f t="shared" si="2"/>
        <v>312679563.90625</v>
      </c>
      <c r="D26" s="294">
        <f t="shared" si="5"/>
        <v>147741093.94570312</v>
      </c>
      <c r="E26" s="294"/>
      <c r="F26" s="294"/>
      <c r="G26" s="294">
        <f t="shared" si="1"/>
        <v>312679563.90625</v>
      </c>
      <c r="H26" s="298">
        <f t="shared" si="0"/>
        <v>6253591278.125</v>
      </c>
    </row>
    <row r="27" spans="1:8" x14ac:dyDescent="0.25">
      <c r="A27" s="329">
        <f>A26+91</f>
        <v>45372</v>
      </c>
      <c r="B27" s="297" t="s">
        <v>10</v>
      </c>
      <c r="C27" s="294">
        <f t="shared" si="2"/>
        <v>312679563.90625</v>
      </c>
      <c r="D27" s="294">
        <f t="shared" si="5"/>
        <v>140705803.7578125</v>
      </c>
      <c r="E27" s="294"/>
      <c r="F27" s="294"/>
      <c r="G27" s="294">
        <f t="shared" si="1"/>
        <v>312679563.90625</v>
      </c>
      <c r="H27" s="298">
        <f t="shared" si="0"/>
        <v>5940911714.21875</v>
      </c>
    </row>
    <row r="28" spans="1:8" x14ac:dyDescent="0.25">
      <c r="A28" s="329">
        <f>A27+92</f>
        <v>45464</v>
      </c>
      <c r="B28" s="297" t="s">
        <v>10</v>
      </c>
      <c r="C28" s="294">
        <f t="shared" si="2"/>
        <v>312679563.90625</v>
      </c>
      <c r="D28" s="294">
        <f t="shared" si="5"/>
        <v>133670513.56992188</v>
      </c>
      <c r="E28" s="294"/>
      <c r="F28" s="294"/>
      <c r="G28" s="294">
        <f t="shared" si="1"/>
        <v>312679563.90625</v>
      </c>
      <c r="H28" s="298">
        <f t="shared" si="0"/>
        <v>5628232150.3125</v>
      </c>
    </row>
    <row r="29" spans="1:8" x14ac:dyDescent="0.25">
      <c r="A29" s="329">
        <f>A28+92</f>
        <v>45556</v>
      </c>
      <c r="B29" s="297" t="s">
        <v>10</v>
      </c>
      <c r="C29" s="294">
        <f t="shared" si="2"/>
        <v>312679563.90625</v>
      </c>
      <c r="D29" s="294">
        <f t="shared" si="5"/>
        <v>126635223.38203125</v>
      </c>
      <c r="E29" s="294"/>
      <c r="F29" s="294"/>
      <c r="G29" s="294">
        <f t="shared" si="1"/>
        <v>312679563.90625</v>
      </c>
      <c r="H29" s="298">
        <f t="shared" si="0"/>
        <v>5315552586.40625</v>
      </c>
    </row>
    <row r="30" spans="1:8" x14ac:dyDescent="0.25">
      <c r="A30" s="329">
        <f>A29+91</f>
        <v>45647</v>
      </c>
      <c r="B30" s="297" t="s">
        <v>10</v>
      </c>
      <c r="C30" s="294">
        <f t="shared" si="2"/>
        <v>312679563.90625</v>
      </c>
      <c r="D30" s="294">
        <f t="shared" si="5"/>
        <v>119599933.19414063</v>
      </c>
      <c r="E30" s="294"/>
      <c r="F30" s="294"/>
      <c r="G30" s="294">
        <f t="shared" si="1"/>
        <v>312679563.90625</v>
      </c>
      <c r="H30" s="298">
        <f t="shared" si="0"/>
        <v>5002873022.5</v>
      </c>
    </row>
    <row r="31" spans="1:8" x14ac:dyDescent="0.25">
      <c r="A31" s="329">
        <f>A30+90</f>
        <v>45737</v>
      </c>
      <c r="B31" s="297" t="s">
        <v>10</v>
      </c>
      <c r="C31" s="294">
        <f t="shared" si="2"/>
        <v>312679563.90625</v>
      </c>
      <c r="D31" s="294">
        <f t="shared" si="5"/>
        <v>112564643.00624999</v>
      </c>
      <c r="E31" s="294"/>
      <c r="F31" s="294"/>
      <c r="G31" s="294">
        <f t="shared" si="1"/>
        <v>312679563.90625</v>
      </c>
      <c r="H31" s="298">
        <f t="shared" si="0"/>
        <v>4690193458.59375</v>
      </c>
    </row>
    <row r="32" spans="1:8" x14ac:dyDescent="0.25">
      <c r="A32" s="329">
        <f>A31+92</f>
        <v>45829</v>
      </c>
      <c r="B32" s="297" t="s">
        <v>10</v>
      </c>
      <c r="C32" s="294">
        <f t="shared" si="2"/>
        <v>312679563.90625</v>
      </c>
      <c r="D32" s="294">
        <f t="shared" si="5"/>
        <v>105529352.81835938</v>
      </c>
      <c r="E32" s="294"/>
      <c r="F32" s="294"/>
      <c r="G32" s="294">
        <f t="shared" si="1"/>
        <v>312679563.90625</v>
      </c>
      <c r="H32" s="298">
        <f t="shared" si="0"/>
        <v>4377513894.6875</v>
      </c>
    </row>
    <row r="33" spans="1:8" x14ac:dyDescent="0.25">
      <c r="A33" s="329">
        <f>A32+92</f>
        <v>45921</v>
      </c>
      <c r="B33" s="297" t="s">
        <v>10</v>
      </c>
      <c r="C33" s="294">
        <f t="shared" si="2"/>
        <v>312679563.90625</v>
      </c>
      <c r="D33" s="294">
        <f t="shared" si="5"/>
        <v>98494062.630468756</v>
      </c>
      <c r="E33" s="294"/>
      <c r="F33" s="294"/>
      <c r="G33" s="294">
        <f t="shared" si="1"/>
        <v>312679563.90625</v>
      </c>
      <c r="H33" s="298">
        <f t="shared" si="0"/>
        <v>4064834330.78125</v>
      </c>
    </row>
    <row r="34" spans="1:8" x14ac:dyDescent="0.25">
      <c r="A34" s="329">
        <f>A33+91</f>
        <v>46012</v>
      </c>
      <c r="B34" s="297" t="s">
        <v>10</v>
      </c>
      <c r="C34" s="294">
        <f t="shared" si="2"/>
        <v>312679563.90625</v>
      </c>
      <c r="D34" s="294">
        <f t="shared" si="5"/>
        <v>91458772.442578122</v>
      </c>
      <c r="E34" s="294"/>
      <c r="F34" s="294"/>
      <c r="G34" s="294">
        <f t="shared" si="1"/>
        <v>312679563.90625</v>
      </c>
      <c r="H34" s="298">
        <f t="shared" si="0"/>
        <v>3752154766.875</v>
      </c>
    </row>
    <row r="35" spans="1:8" x14ac:dyDescent="0.25">
      <c r="A35" s="329">
        <f>A34+90</f>
        <v>46102</v>
      </c>
      <c r="B35" s="297" t="s">
        <v>10</v>
      </c>
      <c r="C35" s="294">
        <f t="shared" si="2"/>
        <v>312679563.90625</v>
      </c>
      <c r="D35" s="294">
        <f t="shared" si="5"/>
        <v>84423482.254687503</v>
      </c>
      <c r="E35" s="294"/>
      <c r="F35" s="294"/>
      <c r="G35" s="294">
        <f t="shared" si="1"/>
        <v>312679563.90625</v>
      </c>
      <c r="H35" s="298">
        <f t="shared" si="0"/>
        <v>3439475202.96875</v>
      </c>
    </row>
    <row r="36" spans="1:8" x14ac:dyDescent="0.25">
      <c r="A36" s="329">
        <f>A35+92</f>
        <v>46194</v>
      </c>
      <c r="B36" s="297" t="s">
        <v>10</v>
      </c>
      <c r="C36" s="294">
        <f t="shared" si="2"/>
        <v>312679563.90625</v>
      </c>
      <c r="D36" s="294">
        <f t="shared" si="5"/>
        <v>77388192.066796869</v>
      </c>
      <c r="E36" s="294"/>
      <c r="F36" s="294"/>
      <c r="G36" s="294">
        <f t="shared" si="1"/>
        <v>312679563.90625</v>
      </c>
      <c r="H36" s="298">
        <f t="shared" si="0"/>
        <v>3126795639.0625</v>
      </c>
    </row>
    <row r="37" spans="1:8" x14ac:dyDescent="0.25">
      <c r="A37" s="329">
        <f>A36+92</f>
        <v>46286</v>
      </c>
      <c r="B37" s="297" t="s">
        <v>10</v>
      </c>
      <c r="C37" s="294">
        <f t="shared" si="2"/>
        <v>312679563.90625</v>
      </c>
      <c r="D37" s="294">
        <f t="shared" si="5"/>
        <v>70352901.87890625</v>
      </c>
      <c r="E37" s="294"/>
      <c r="F37" s="294"/>
      <c r="G37" s="294">
        <f t="shared" si="1"/>
        <v>312679563.90625</v>
      </c>
      <c r="H37" s="298">
        <f t="shared" si="0"/>
        <v>2814116075.15625</v>
      </c>
    </row>
    <row r="38" spans="1:8" x14ac:dyDescent="0.25">
      <c r="A38" s="329">
        <f>A37+90</f>
        <v>46376</v>
      </c>
      <c r="B38" s="297" t="s">
        <v>10</v>
      </c>
      <c r="C38" s="294">
        <f t="shared" si="2"/>
        <v>312679563.90625</v>
      </c>
      <c r="D38" s="294">
        <f t="shared" si="5"/>
        <v>63317611.691015624</v>
      </c>
      <c r="E38" s="294"/>
      <c r="F38" s="294"/>
      <c r="G38" s="294">
        <f t="shared" si="1"/>
        <v>312679563.90625</v>
      </c>
      <c r="H38" s="298">
        <f t="shared" si="0"/>
        <v>2501436511.25</v>
      </c>
    </row>
    <row r="39" spans="1:8" x14ac:dyDescent="0.25">
      <c r="A39" s="329">
        <f>A38+91</f>
        <v>46467</v>
      </c>
      <c r="B39" s="297" t="s">
        <v>10</v>
      </c>
      <c r="C39" s="294">
        <f t="shared" si="2"/>
        <v>312679563.90625</v>
      </c>
      <c r="D39" s="294">
        <f t="shared" si="5"/>
        <v>56282321.503124997</v>
      </c>
      <c r="E39" s="294"/>
      <c r="F39" s="294"/>
      <c r="G39" s="294">
        <f t="shared" si="1"/>
        <v>312679563.90625</v>
      </c>
      <c r="H39" s="298">
        <f t="shared" si="0"/>
        <v>2188756947.34375</v>
      </c>
    </row>
    <row r="40" spans="1:8" x14ac:dyDescent="0.25">
      <c r="A40" s="329">
        <f>A39+92</f>
        <v>46559</v>
      </c>
      <c r="B40" s="297" t="s">
        <v>10</v>
      </c>
      <c r="C40" s="294">
        <f t="shared" si="2"/>
        <v>312679563.90625</v>
      </c>
      <c r="D40" s="294">
        <f t="shared" si="5"/>
        <v>49247031.315234378</v>
      </c>
      <c r="E40" s="294"/>
      <c r="F40" s="294"/>
      <c r="G40" s="294">
        <f t="shared" si="1"/>
        <v>312679563.90625</v>
      </c>
      <c r="H40" s="298">
        <f t="shared" si="0"/>
        <v>1876077383.4375</v>
      </c>
    </row>
    <row r="41" spans="1:8" x14ac:dyDescent="0.25">
      <c r="A41" s="329">
        <f>A40+92</f>
        <v>46651</v>
      </c>
      <c r="B41" s="297" t="s">
        <v>10</v>
      </c>
      <c r="C41" s="294">
        <f t="shared" si="2"/>
        <v>312679563.90625</v>
      </c>
      <c r="D41" s="294">
        <f t="shared" si="5"/>
        <v>42211741.127343751</v>
      </c>
      <c r="E41" s="294"/>
      <c r="F41" s="294"/>
      <c r="G41" s="294">
        <f t="shared" si="1"/>
        <v>312679563.90625</v>
      </c>
      <c r="H41" s="298">
        <f t="shared" si="0"/>
        <v>1563397819.53125</v>
      </c>
    </row>
    <row r="42" spans="1:8" x14ac:dyDescent="0.25">
      <c r="A42" s="329">
        <f>A41+91</f>
        <v>46742</v>
      </c>
      <c r="B42" s="297" t="s">
        <v>10</v>
      </c>
      <c r="C42" s="294">
        <f t="shared" si="2"/>
        <v>312679563.90625</v>
      </c>
      <c r="D42" s="294">
        <f t="shared" si="5"/>
        <v>35176450.939453125</v>
      </c>
      <c r="E42" s="294"/>
      <c r="F42" s="294"/>
      <c r="G42" s="294">
        <f t="shared" si="1"/>
        <v>312679563.90625</v>
      </c>
      <c r="H42" s="298">
        <f t="shared" si="0"/>
        <v>1250718255.625</v>
      </c>
    </row>
    <row r="43" spans="1:8" x14ac:dyDescent="0.25">
      <c r="A43" s="329">
        <f>A42+91</f>
        <v>46833</v>
      </c>
      <c r="B43" s="297" t="s">
        <v>10</v>
      </c>
      <c r="C43" s="294">
        <f t="shared" si="2"/>
        <v>312679563.90625</v>
      </c>
      <c r="D43" s="294">
        <f t="shared" si="5"/>
        <v>28141160.751562499</v>
      </c>
      <c r="E43" s="294"/>
      <c r="F43" s="294"/>
      <c r="G43" s="294">
        <f t="shared" si="1"/>
        <v>312679563.90625</v>
      </c>
      <c r="H43" s="298">
        <f t="shared" si="0"/>
        <v>938038691.71875</v>
      </c>
    </row>
    <row r="44" spans="1:8" x14ac:dyDescent="0.25">
      <c r="A44" s="329">
        <f>A43+92</f>
        <v>46925</v>
      </c>
      <c r="B44" s="297" t="s">
        <v>10</v>
      </c>
      <c r="C44" s="294">
        <f t="shared" si="2"/>
        <v>312679563.90625</v>
      </c>
      <c r="D44" s="294">
        <f t="shared" si="5"/>
        <v>21105870.563671876</v>
      </c>
      <c r="E44" s="294"/>
      <c r="F44" s="294"/>
      <c r="G44" s="294">
        <f t="shared" si="1"/>
        <v>312679563.90625</v>
      </c>
      <c r="H44" s="298">
        <f t="shared" si="0"/>
        <v>625359127.8125</v>
      </c>
    </row>
    <row r="45" spans="1:8" x14ac:dyDescent="0.25">
      <c r="A45" s="329">
        <f>A44+92</f>
        <v>47017</v>
      </c>
      <c r="B45" s="297" t="s">
        <v>10</v>
      </c>
      <c r="C45" s="294">
        <f t="shared" si="2"/>
        <v>312679563.90625</v>
      </c>
      <c r="D45" s="294">
        <f t="shared" si="5"/>
        <v>14070580.375781249</v>
      </c>
      <c r="E45" s="294"/>
      <c r="F45" s="294"/>
      <c r="G45" s="294">
        <f t="shared" si="1"/>
        <v>312679563.90625</v>
      </c>
      <c r="H45" s="298">
        <f t="shared" si="0"/>
        <v>312679563.90625</v>
      </c>
    </row>
    <row r="46" spans="1:8" x14ac:dyDescent="0.25">
      <c r="A46" s="329">
        <f>A45+91</f>
        <v>47108</v>
      </c>
      <c r="B46" s="297" t="s">
        <v>10</v>
      </c>
      <c r="C46" s="294">
        <f t="shared" si="2"/>
        <v>312679563.90625</v>
      </c>
      <c r="D46" s="294">
        <f t="shared" si="5"/>
        <v>7035290.1878906246</v>
      </c>
      <c r="E46" s="294"/>
      <c r="F46" s="294"/>
      <c r="G46" s="294">
        <f t="shared" si="1"/>
        <v>312679563.90625</v>
      </c>
      <c r="H46" s="298">
        <f t="shared" si="0"/>
        <v>0</v>
      </c>
    </row>
    <row r="47" spans="1:8" x14ac:dyDescent="0.25">
      <c r="A47" s="15"/>
      <c r="B47" s="16" t="s">
        <v>11</v>
      </c>
      <c r="C47" s="17">
        <f>SUM(C6:C46)</f>
        <v>10005746045</v>
      </c>
      <c r="D47" s="17">
        <f>SUM(D6:D46)</f>
        <v>5100010055.8231163</v>
      </c>
      <c r="E47" s="17">
        <f>+SUM(E7:E11)+SUM(E14:E46)</f>
        <v>1161216857.252475</v>
      </c>
      <c r="F47" s="17">
        <f>+SUM(F14:F21)</f>
        <v>409182483.07376379</v>
      </c>
      <c r="G47" s="17">
        <f>SUM(G7:G46)</f>
        <v>11576145385.326241</v>
      </c>
      <c r="H47" s="18"/>
    </row>
    <row r="48" spans="1:8" x14ac:dyDescent="0.25">
      <c r="A48" s="19" t="s">
        <v>42</v>
      </c>
      <c r="B48" s="20"/>
      <c r="C48" s="20"/>
      <c r="D48" s="20"/>
      <c r="E48" s="20"/>
      <c r="F48" s="20"/>
      <c r="G48" s="20"/>
      <c r="H48" s="20"/>
    </row>
    <row r="49" spans="1:12" x14ac:dyDescent="0.25">
      <c r="A49" s="39"/>
      <c r="B49" s="315" t="s">
        <v>3033</v>
      </c>
      <c r="C49" s="315" t="s">
        <v>3034</v>
      </c>
      <c r="D49" s="315" t="s">
        <v>3035</v>
      </c>
      <c r="E49" s="315" t="s">
        <v>3036</v>
      </c>
      <c r="F49" s="315" t="s">
        <v>3037</v>
      </c>
      <c r="G49" s="315" t="s">
        <v>3038</v>
      </c>
      <c r="H49" s="315" t="s">
        <v>3039</v>
      </c>
      <c r="I49" s="315" t="s">
        <v>3040</v>
      </c>
      <c r="J49" s="315" t="s">
        <v>3148</v>
      </c>
      <c r="K49" s="315" t="s">
        <v>3149</v>
      </c>
      <c r="L49" s="315" t="s">
        <v>3150</v>
      </c>
    </row>
    <row r="50" spans="1:12" ht="25.5" x14ac:dyDescent="0.25">
      <c r="A50" s="39" t="s">
        <v>2829</v>
      </c>
      <c r="B50" s="88">
        <v>4.1509999999999998E-2</v>
      </c>
      <c r="C50" s="88">
        <v>4.1369999999999997E-2</v>
      </c>
      <c r="D50" s="88">
        <v>4.0500000000000001E-2</v>
      </c>
      <c r="E50" s="88">
        <v>4.1270000000000001E-2</v>
      </c>
      <c r="F50" s="88">
        <v>4.1369999999999997E-2</v>
      </c>
      <c r="G50" s="88">
        <v>4.0969999999999999E-2</v>
      </c>
      <c r="H50" s="33">
        <v>2.333E-2</v>
      </c>
      <c r="I50" s="33">
        <v>1.8200000000000001E-2</v>
      </c>
      <c r="J50" s="33">
        <v>0.04</v>
      </c>
      <c r="K50" s="33">
        <v>4.4999999999999998E-2</v>
      </c>
      <c r="L50" s="33">
        <v>0.05</v>
      </c>
    </row>
    <row r="51" spans="1:12" x14ac:dyDescent="0.25">
      <c r="A51" s="39" t="s">
        <v>370</v>
      </c>
      <c r="B51" s="88">
        <v>0.04</v>
      </c>
      <c r="C51" s="88">
        <v>0.04</v>
      </c>
      <c r="D51" s="88">
        <v>0.04</v>
      </c>
      <c r="E51" s="88">
        <v>0.04</v>
      </c>
      <c r="F51" s="88">
        <v>0.04</v>
      </c>
      <c r="G51" s="88">
        <v>0.04</v>
      </c>
      <c r="H51" s="88">
        <v>0.04</v>
      </c>
      <c r="I51" s="88">
        <v>0.04</v>
      </c>
      <c r="J51" s="88">
        <v>0.04</v>
      </c>
      <c r="K51" s="88">
        <v>0.04</v>
      </c>
      <c r="L51" s="88">
        <v>0.04</v>
      </c>
    </row>
    <row r="52" spans="1:12" x14ac:dyDescent="0.25">
      <c r="A52" s="39" t="s">
        <v>377</v>
      </c>
      <c r="B52" s="67">
        <f>A7-A6</f>
        <v>90</v>
      </c>
      <c r="C52" s="67">
        <v>90</v>
      </c>
      <c r="D52" s="67">
        <v>90</v>
      </c>
      <c r="E52" s="67">
        <v>90</v>
      </c>
      <c r="F52" s="67">
        <v>90</v>
      </c>
      <c r="G52" s="67">
        <v>90</v>
      </c>
      <c r="H52" s="67">
        <v>90</v>
      </c>
      <c r="I52" s="67">
        <v>90</v>
      </c>
      <c r="J52" s="67">
        <v>90</v>
      </c>
      <c r="K52" s="67">
        <v>90</v>
      </c>
      <c r="L52" s="67">
        <v>90</v>
      </c>
    </row>
    <row r="53" spans="1:12" x14ac:dyDescent="0.25">
      <c r="A53" s="39" t="s">
        <v>2973</v>
      </c>
      <c r="B53" s="73">
        <f>B50+B51</f>
        <v>8.1509999999999999E-2</v>
      </c>
      <c r="C53" s="89">
        <f>+C50+C51</f>
        <v>8.1369999999999998E-2</v>
      </c>
      <c r="D53" s="73">
        <f>+D50+D51</f>
        <v>8.0500000000000002E-2</v>
      </c>
      <c r="E53" s="73">
        <f t="shared" ref="E53:I53" si="6">+E50+E51</f>
        <v>8.1270000000000009E-2</v>
      </c>
      <c r="F53" s="73">
        <f t="shared" si="6"/>
        <v>8.1369999999999998E-2</v>
      </c>
      <c r="G53" s="73">
        <f t="shared" si="6"/>
        <v>8.097E-2</v>
      </c>
      <c r="H53" s="73">
        <f t="shared" si="6"/>
        <v>6.3329999999999997E-2</v>
      </c>
      <c r="I53" s="73">
        <f t="shared" si="6"/>
        <v>5.8200000000000002E-2</v>
      </c>
      <c r="J53" s="73">
        <f t="shared" ref="J53:L53" si="7">+J50+J51</f>
        <v>0.08</v>
      </c>
      <c r="K53" s="73">
        <f t="shared" si="7"/>
        <v>8.4999999999999992E-2</v>
      </c>
      <c r="L53" s="73">
        <f t="shared" si="7"/>
        <v>0.09</v>
      </c>
    </row>
    <row r="54" spans="1:12" x14ac:dyDescent="0.25">
      <c r="A54" s="43" t="s">
        <v>39</v>
      </c>
      <c r="B54" s="44">
        <f>+E7</f>
        <v>203892090.03198752</v>
      </c>
      <c r="C54" s="44">
        <f>+E8</f>
        <v>203541888.92041248</v>
      </c>
      <c r="D54" s="44">
        <f>+E9</f>
        <v>201365639.15562502</v>
      </c>
      <c r="E54" s="44">
        <f>+E10</f>
        <v>203291745.26928753</v>
      </c>
      <c r="F54" s="44">
        <f>+E11</f>
        <v>203541888.92041248</v>
      </c>
      <c r="G54" s="44">
        <f>+E12</f>
        <v>202541314.31591251</v>
      </c>
      <c r="H54" s="44">
        <f>+E13</f>
        <v>158415974.2574625</v>
      </c>
      <c r="I54" s="44">
        <f>+E14</f>
        <v>145583604.95475</v>
      </c>
      <c r="J54" s="44"/>
      <c r="K54" s="44"/>
      <c r="L54" s="44"/>
    </row>
  </sheetData>
  <mergeCells count="4">
    <mergeCell ref="A1:H1"/>
    <mergeCell ref="A2:H2"/>
    <mergeCell ref="A3:H3"/>
    <mergeCell ref="A4:H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B050"/>
  </sheetPr>
  <dimension ref="A1:J60"/>
  <sheetViews>
    <sheetView zoomScale="90" zoomScaleNormal="90" workbookViewId="0">
      <selection activeCell="G53" sqref="G53"/>
    </sheetView>
  </sheetViews>
  <sheetFormatPr baseColWidth="10" defaultColWidth="11.5703125" defaultRowHeight="15" x14ac:dyDescent="0.25"/>
  <cols>
    <col min="1" max="1" width="15" customWidth="1"/>
    <col min="2" max="2" width="18.5703125" bestFit="1" customWidth="1"/>
    <col min="3" max="3" width="17.42578125" bestFit="1" customWidth="1"/>
    <col min="4" max="4" width="16.28515625" bestFit="1" customWidth="1"/>
    <col min="5" max="5" width="15" customWidth="1"/>
    <col min="6" max="6" width="14.140625" bestFit="1" customWidth="1"/>
    <col min="7" max="7" width="16.85546875" customWidth="1"/>
    <col min="8" max="8" width="17.7109375" customWidth="1"/>
    <col min="9" max="9" width="14.140625" bestFit="1" customWidth="1"/>
    <col min="10" max="10" width="13.5703125" bestFit="1" customWidth="1"/>
    <col min="11" max="11" width="12.7109375" bestFit="1" customWidth="1"/>
    <col min="253" max="253" width="15" customWidth="1"/>
    <col min="254" max="254" width="19" customWidth="1"/>
    <col min="255" max="255" width="18.5703125" customWidth="1"/>
    <col min="256" max="256" width="16.42578125" customWidth="1"/>
    <col min="257" max="257" width="16.85546875" customWidth="1"/>
    <col min="258" max="258" width="17.7109375" customWidth="1"/>
    <col min="259" max="263" width="13.5703125" bestFit="1" customWidth="1"/>
    <col min="264" max="266" width="12.7109375" bestFit="1" customWidth="1"/>
    <col min="267" max="267" width="13.7109375" bestFit="1" customWidth="1"/>
    <col min="509" max="509" width="15" customWidth="1"/>
    <col min="510" max="510" width="19" customWidth="1"/>
    <col min="511" max="511" width="18.5703125" customWidth="1"/>
    <col min="512" max="512" width="16.42578125" customWidth="1"/>
    <col min="513" max="513" width="16.85546875" customWidth="1"/>
    <col min="514" max="514" width="17.7109375" customWidth="1"/>
    <col min="515" max="519" width="13.5703125" bestFit="1" customWidth="1"/>
    <col min="520" max="522" width="12.7109375" bestFit="1" customWidth="1"/>
    <col min="523" max="523" width="13.7109375" bestFit="1" customWidth="1"/>
    <col min="765" max="765" width="15" customWidth="1"/>
    <col min="766" max="766" width="19" customWidth="1"/>
    <col min="767" max="767" width="18.5703125" customWidth="1"/>
    <col min="768" max="768" width="16.42578125" customWidth="1"/>
    <col min="769" max="769" width="16.85546875" customWidth="1"/>
    <col min="770" max="770" width="17.7109375" customWidth="1"/>
    <col min="771" max="775" width="13.5703125" bestFit="1" customWidth="1"/>
    <col min="776" max="778" width="12.7109375" bestFit="1" customWidth="1"/>
    <col min="779" max="779" width="13.7109375" bestFit="1" customWidth="1"/>
    <col min="1021" max="1021" width="15" customWidth="1"/>
    <col min="1022" max="1022" width="19" customWidth="1"/>
    <col min="1023" max="1023" width="18.5703125" customWidth="1"/>
    <col min="1024" max="1024" width="16.42578125" customWidth="1"/>
    <col min="1025" max="1025" width="16.85546875" customWidth="1"/>
    <col min="1026" max="1026" width="17.7109375" customWidth="1"/>
    <col min="1027" max="1031" width="13.5703125" bestFit="1" customWidth="1"/>
    <col min="1032" max="1034" width="12.7109375" bestFit="1" customWidth="1"/>
    <col min="1035" max="1035" width="13.7109375" bestFit="1" customWidth="1"/>
    <col min="1277" max="1277" width="15" customWidth="1"/>
    <col min="1278" max="1278" width="19" customWidth="1"/>
    <col min="1279" max="1279" width="18.5703125" customWidth="1"/>
    <col min="1280" max="1280" width="16.42578125" customWidth="1"/>
    <col min="1281" max="1281" width="16.85546875" customWidth="1"/>
    <col min="1282" max="1282" width="17.7109375" customWidth="1"/>
    <col min="1283" max="1287" width="13.5703125" bestFit="1" customWidth="1"/>
    <col min="1288" max="1290" width="12.7109375" bestFit="1" customWidth="1"/>
    <col min="1291" max="1291" width="13.7109375" bestFit="1" customWidth="1"/>
    <col min="1533" max="1533" width="15" customWidth="1"/>
    <col min="1534" max="1534" width="19" customWidth="1"/>
    <col min="1535" max="1535" width="18.5703125" customWidth="1"/>
    <col min="1536" max="1536" width="16.42578125" customWidth="1"/>
    <col min="1537" max="1537" width="16.85546875" customWidth="1"/>
    <col min="1538" max="1538" width="17.7109375" customWidth="1"/>
    <col min="1539" max="1543" width="13.5703125" bestFit="1" customWidth="1"/>
    <col min="1544" max="1546" width="12.7109375" bestFit="1" customWidth="1"/>
    <col min="1547" max="1547" width="13.7109375" bestFit="1" customWidth="1"/>
    <col min="1789" max="1789" width="15" customWidth="1"/>
    <col min="1790" max="1790" width="19" customWidth="1"/>
    <col min="1791" max="1791" width="18.5703125" customWidth="1"/>
    <col min="1792" max="1792" width="16.42578125" customWidth="1"/>
    <col min="1793" max="1793" width="16.85546875" customWidth="1"/>
    <col min="1794" max="1794" width="17.7109375" customWidth="1"/>
    <col min="1795" max="1799" width="13.5703125" bestFit="1" customWidth="1"/>
    <col min="1800" max="1802" width="12.7109375" bestFit="1" customWidth="1"/>
    <col min="1803" max="1803" width="13.7109375" bestFit="1" customWidth="1"/>
    <col min="2045" max="2045" width="15" customWidth="1"/>
    <col min="2046" max="2046" width="19" customWidth="1"/>
    <col min="2047" max="2047" width="18.5703125" customWidth="1"/>
    <col min="2048" max="2048" width="16.42578125" customWidth="1"/>
    <col min="2049" max="2049" width="16.85546875" customWidth="1"/>
    <col min="2050" max="2050" width="17.7109375" customWidth="1"/>
    <col min="2051" max="2055" width="13.5703125" bestFit="1" customWidth="1"/>
    <col min="2056" max="2058" width="12.7109375" bestFit="1" customWidth="1"/>
    <col min="2059" max="2059" width="13.7109375" bestFit="1" customWidth="1"/>
    <col min="2301" max="2301" width="15" customWidth="1"/>
    <col min="2302" max="2302" width="19" customWidth="1"/>
    <col min="2303" max="2303" width="18.5703125" customWidth="1"/>
    <col min="2304" max="2304" width="16.42578125" customWidth="1"/>
    <col min="2305" max="2305" width="16.85546875" customWidth="1"/>
    <col min="2306" max="2306" width="17.7109375" customWidth="1"/>
    <col min="2307" max="2311" width="13.5703125" bestFit="1" customWidth="1"/>
    <col min="2312" max="2314" width="12.7109375" bestFit="1" customWidth="1"/>
    <col min="2315" max="2315" width="13.7109375" bestFit="1" customWidth="1"/>
    <col min="2557" max="2557" width="15" customWidth="1"/>
    <col min="2558" max="2558" width="19" customWidth="1"/>
    <col min="2559" max="2559" width="18.5703125" customWidth="1"/>
    <col min="2560" max="2560" width="16.42578125" customWidth="1"/>
    <col min="2561" max="2561" width="16.85546875" customWidth="1"/>
    <col min="2562" max="2562" width="17.7109375" customWidth="1"/>
    <col min="2563" max="2567" width="13.5703125" bestFit="1" customWidth="1"/>
    <col min="2568" max="2570" width="12.7109375" bestFit="1" customWidth="1"/>
    <col min="2571" max="2571" width="13.7109375" bestFit="1" customWidth="1"/>
    <col min="2813" max="2813" width="15" customWidth="1"/>
    <col min="2814" max="2814" width="19" customWidth="1"/>
    <col min="2815" max="2815" width="18.5703125" customWidth="1"/>
    <col min="2816" max="2816" width="16.42578125" customWidth="1"/>
    <col min="2817" max="2817" width="16.85546875" customWidth="1"/>
    <col min="2818" max="2818" width="17.7109375" customWidth="1"/>
    <col min="2819" max="2823" width="13.5703125" bestFit="1" customWidth="1"/>
    <col min="2824" max="2826" width="12.7109375" bestFit="1" customWidth="1"/>
    <col min="2827" max="2827" width="13.7109375" bestFit="1" customWidth="1"/>
    <col min="3069" max="3069" width="15" customWidth="1"/>
    <col min="3070" max="3070" width="19" customWidth="1"/>
    <col min="3071" max="3071" width="18.5703125" customWidth="1"/>
    <col min="3072" max="3072" width="16.42578125" customWidth="1"/>
    <col min="3073" max="3073" width="16.85546875" customWidth="1"/>
    <col min="3074" max="3074" width="17.7109375" customWidth="1"/>
    <col min="3075" max="3079" width="13.5703125" bestFit="1" customWidth="1"/>
    <col min="3080" max="3082" width="12.7109375" bestFit="1" customWidth="1"/>
    <col min="3083" max="3083" width="13.7109375" bestFit="1" customWidth="1"/>
    <col min="3325" max="3325" width="15" customWidth="1"/>
    <col min="3326" max="3326" width="19" customWidth="1"/>
    <col min="3327" max="3327" width="18.5703125" customWidth="1"/>
    <col min="3328" max="3328" width="16.42578125" customWidth="1"/>
    <col min="3329" max="3329" width="16.85546875" customWidth="1"/>
    <col min="3330" max="3330" width="17.7109375" customWidth="1"/>
    <col min="3331" max="3335" width="13.5703125" bestFit="1" customWidth="1"/>
    <col min="3336" max="3338" width="12.7109375" bestFit="1" customWidth="1"/>
    <col min="3339" max="3339" width="13.7109375" bestFit="1" customWidth="1"/>
    <col min="3581" max="3581" width="15" customWidth="1"/>
    <col min="3582" max="3582" width="19" customWidth="1"/>
    <col min="3583" max="3583" width="18.5703125" customWidth="1"/>
    <col min="3584" max="3584" width="16.42578125" customWidth="1"/>
    <col min="3585" max="3585" width="16.85546875" customWidth="1"/>
    <col min="3586" max="3586" width="17.7109375" customWidth="1"/>
    <col min="3587" max="3591" width="13.5703125" bestFit="1" customWidth="1"/>
    <col min="3592" max="3594" width="12.7109375" bestFit="1" customWidth="1"/>
    <col min="3595" max="3595" width="13.7109375" bestFit="1" customWidth="1"/>
    <col min="3837" max="3837" width="15" customWidth="1"/>
    <col min="3838" max="3838" width="19" customWidth="1"/>
    <col min="3839" max="3839" width="18.5703125" customWidth="1"/>
    <col min="3840" max="3840" width="16.42578125" customWidth="1"/>
    <col min="3841" max="3841" width="16.85546875" customWidth="1"/>
    <col min="3842" max="3842" width="17.7109375" customWidth="1"/>
    <col min="3843" max="3847" width="13.5703125" bestFit="1" customWidth="1"/>
    <col min="3848" max="3850" width="12.7109375" bestFit="1" customWidth="1"/>
    <col min="3851" max="3851" width="13.7109375" bestFit="1" customWidth="1"/>
    <col min="4093" max="4093" width="15" customWidth="1"/>
    <col min="4094" max="4094" width="19" customWidth="1"/>
    <col min="4095" max="4095" width="18.5703125" customWidth="1"/>
    <col min="4096" max="4096" width="16.42578125" customWidth="1"/>
    <col min="4097" max="4097" width="16.85546875" customWidth="1"/>
    <col min="4098" max="4098" width="17.7109375" customWidth="1"/>
    <col min="4099" max="4103" width="13.5703125" bestFit="1" customWidth="1"/>
    <col min="4104" max="4106" width="12.7109375" bestFit="1" customWidth="1"/>
    <col min="4107" max="4107" width="13.7109375" bestFit="1" customWidth="1"/>
    <col min="4349" max="4349" width="15" customWidth="1"/>
    <col min="4350" max="4350" width="19" customWidth="1"/>
    <col min="4351" max="4351" width="18.5703125" customWidth="1"/>
    <col min="4352" max="4352" width="16.42578125" customWidth="1"/>
    <col min="4353" max="4353" width="16.85546875" customWidth="1"/>
    <col min="4354" max="4354" width="17.7109375" customWidth="1"/>
    <col min="4355" max="4359" width="13.5703125" bestFit="1" customWidth="1"/>
    <col min="4360" max="4362" width="12.7109375" bestFit="1" customWidth="1"/>
    <col min="4363" max="4363" width="13.7109375" bestFit="1" customWidth="1"/>
    <col min="4605" max="4605" width="15" customWidth="1"/>
    <col min="4606" max="4606" width="19" customWidth="1"/>
    <col min="4607" max="4607" width="18.5703125" customWidth="1"/>
    <col min="4608" max="4608" width="16.42578125" customWidth="1"/>
    <col min="4609" max="4609" width="16.85546875" customWidth="1"/>
    <col min="4610" max="4610" width="17.7109375" customWidth="1"/>
    <col min="4611" max="4615" width="13.5703125" bestFit="1" customWidth="1"/>
    <col min="4616" max="4618" width="12.7109375" bestFit="1" customWidth="1"/>
    <col min="4619" max="4619" width="13.7109375" bestFit="1" customWidth="1"/>
    <col min="4861" max="4861" width="15" customWidth="1"/>
    <col min="4862" max="4862" width="19" customWidth="1"/>
    <col min="4863" max="4863" width="18.5703125" customWidth="1"/>
    <col min="4864" max="4864" width="16.42578125" customWidth="1"/>
    <col min="4865" max="4865" width="16.85546875" customWidth="1"/>
    <col min="4866" max="4866" width="17.7109375" customWidth="1"/>
    <col min="4867" max="4871" width="13.5703125" bestFit="1" customWidth="1"/>
    <col min="4872" max="4874" width="12.7109375" bestFit="1" customWidth="1"/>
    <col min="4875" max="4875" width="13.7109375" bestFit="1" customWidth="1"/>
    <col min="5117" max="5117" width="15" customWidth="1"/>
    <col min="5118" max="5118" width="19" customWidth="1"/>
    <col min="5119" max="5119" width="18.5703125" customWidth="1"/>
    <col min="5120" max="5120" width="16.42578125" customWidth="1"/>
    <col min="5121" max="5121" width="16.85546875" customWidth="1"/>
    <col min="5122" max="5122" width="17.7109375" customWidth="1"/>
    <col min="5123" max="5127" width="13.5703125" bestFit="1" customWidth="1"/>
    <col min="5128" max="5130" width="12.7109375" bestFit="1" customWidth="1"/>
    <col min="5131" max="5131" width="13.7109375" bestFit="1" customWidth="1"/>
    <col min="5373" max="5373" width="15" customWidth="1"/>
    <col min="5374" max="5374" width="19" customWidth="1"/>
    <col min="5375" max="5375" width="18.5703125" customWidth="1"/>
    <col min="5376" max="5376" width="16.42578125" customWidth="1"/>
    <col min="5377" max="5377" width="16.85546875" customWidth="1"/>
    <col min="5378" max="5378" width="17.7109375" customWidth="1"/>
    <col min="5379" max="5383" width="13.5703125" bestFit="1" customWidth="1"/>
    <col min="5384" max="5386" width="12.7109375" bestFit="1" customWidth="1"/>
    <col min="5387" max="5387" width="13.7109375" bestFit="1" customWidth="1"/>
    <col min="5629" max="5629" width="15" customWidth="1"/>
    <col min="5630" max="5630" width="19" customWidth="1"/>
    <col min="5631" max="5631" width="18.5703125" customWidth="1"/>
    <col min="5632" max="5632" width="16.42578125" customWidth="1"/>
    <col min="5633" max="5633" width="16.85546875" customWidth="1"/>
    <col min="5634" max="5634" width="17.7109375" customWidth="1"/>
    <col min="5635" max="5639" width="13.5703125" bestFit="1" customWidth="1"/>
    <col min="5640" max="5642" width="12.7109375" bestFit="1" customWidth="1"/>
    <col min="5643" max="5643" width="13.7109375" bestFit="1" customWidth="1"/>
    <col min="5885" max="5885" width="15" customWidth="1"/>
    <col min="5886" max="5886" width="19" customWidth="1"/>
    <col min="5887" max="5887" width="18.5703125" customWidth="1"/>
    <col min="5888" max="5888" width="16.42578125" customWidth="1"/>
    <col min="5889" max="5889" width="16.85546875" customWidth="1"/>
    <col min="5890" max="5890" width="17.7109375" customWidth="1"/>
    <col min="5891" max="5895" width="13.5703125" bestFit="1" customWidth="1"/>
    <col min="5896" max="5898" width="12.7109375" bestFit="1" customWidth="1"/>
    <col min="5899" max="5899" width="13.7109375" bestFit="1" customWidth="1"/>
    <col min="6141" max="6141" width="15" customWidth="1"/>
    <col min="6142" max="6142" width="19" customWidth="1"/>
    <col min="6143" max="6143" width="18.5703125" customWidth="1"/>
    <col min="6144" max="6144" width="16.42578125" customWidth="1"/>
    <col min="6145" max="6145" width="16.85546875" customWidth="1"/>
    <col min="6146" max="6146" width="17.7109375" customWidth="1"/>
    <col min="6147" max="6151" width="13.5703125" bestFit="1" customWidth="1"/>
    <col min="6152" max="6154" width="12.7109375" bestFit="1" customWidth="1"/>
    <col min="6155" max="6155" width="13.7109375" bestFit="1" customWidth="1"/>
    <col min="6397" max="6397" width="15" customWidth="1"/>
    <col min="6398" max="6398" width="19" customWidth="1"/>
    <col min="6399" max="6399" width="18.5703125" customWidth="1"/>
    <col min="6400" max="6400" width="16.42578125" customWidth="1"/>
    <col min="6401" max="6401" width="16.85546875" customWidth="1"/>
    <col min="6402" max="6402" width="17.7109375" customWidth="1"/>
    <col min="6403" max="6407" width="13.5703125" bestFit="1" customWidth="1"/>
    <col min="6408" max="6410" width="12.7109375" bestFit="1" customWidth="1"/>
    <col min="6411" max="6411" width="13.7109375" bestFit="1" customWidth="1"/>
    <col min="6653" max="6653" width="15" customWidth="1"/>
    <col min="6654" max="6654" width="19" customWidth="1"/>
    <col min="6655" max="6655" width="18.5703125" customWidth="1"/>
    <col min="6656" max="6656" width="16.42578125" customWidth="1"/>
    <col min="6657" max="6657" width="16.85546875" customWidth="1"/>
    <col min="6658" max="6658" width="17.7109375" customWidth="1"/>
    <col min="6659" max="6663" width="13.5703125" bestFit="1" customWidth="1"/>
    <col min="6664" max="6666" width="12.7109375" bestFit="1" customWidth="1"/>
    <col min="6667" max="6667" width="13.7109375" bestFit="1" customWidth="1"/>
    <col min="6909" max="6909" width="15" customWidth="1"/>
    <col min="6910" max="6910" width="19" customWidth="1"/>
    <col min="6911" max="6911" width="18.5703125" customWidth="1"/>
    <col min="6912" max="6912" width="16.42578125" customWidth="1"/>
    <col min="6913" max="6913" width="16.85546875" customWidth="1"/>
    <col min="6914" max="6914" width="17.7109375" customWidth="1"/>
    <col min="6915" max="6919" width="13.5703125" bestFit="1" customWidth="1"/>
    <col min="6920" max="6922" width="12.7109375" bestFit="1" customWidth="1"/>
    <col min="6923" max="6923" width="13.7109375" bestFit="1" customWidth="1"/>
    <col min="7165" max="7165" width="15" customWidth="1"/>
    <col min="7166" max="7166" width="19" customWidth="1"/>
    <col min="7167" max="7167" width="18.5703125" customWidth="1"/>
    <col min="7168" max="7168" width="16.42578125" customWidth="1"/>
    <col min="7169" max="7169" width="16.85546875" customWidth="1"/>
    <col min="7170" max="7170" width="17.7109375" customWidth="1"/>
    <col min="7171" max="7175" width="13.5703125" bestFit="1" customWidth="1"/>
    <col min="7176" max="7178" width="12.7109375" bestFit="1" customWidth="1"/>
    <col min="7179" max="7179" width="13.7109375" bestFit="1" customWidth="1"/>
    <col min="7421" max="7421" width="15" customWidth="1"/>
    <col min="7422" max="7422" width="19" customWidth="1"/>
    <col min="7423" max="7423" width="18.5703125" customWidth="1"/>
    <col min="7424" max="7424" width="16.42578125" customWidth="1"/>
    <col min="7425" max="7425" width="16.85546875" customWidth="1"/>
    <col min="7426" max="7426" width="17.7109375" customWidth="1"/>
    <col min="7427" max="7431" width="13.5703125" bestFit="1" customWidth="1"/>
    <col min="7432" max="7434" width="12.7109375" bestFit="1" customWidth="1"/>
    <col min="7435" max="7435" width="13.7109375" bestFit="1" customWidth="1"/>
    <col min="7677" max="7677" width="15" customWidth="1"/>
    <col min="7678" max="7678" width="19" customWidth="1"/>
    <col min="7679" max="7679" width="18.5703125" customWidth="1"/>
    <col min="7680" max="7680" width="16.42578125" customWidth="1"/>
    <col min="7681" max="7681" width="16.85546875" customWidth="1"/>
    <col min="7682" max="7682" width="17.7109375" customWidth="1"/>
    <col min="7683" max="7687" width="13.5703125" bestFit="1" customWidth="1"/>
    <col min="7688" max="7690" width="12.7109375" bestFit="1" customWidth="1"/>
    <col min="7691" max="7691" width="13.7109375" bestFit="1" customWidth="1"/>
    <col min="7933" max="7933" width="15" customWidth="1"/>
    <col min="7934" max="7934" width="19" customWidth="1"/>
    <col min="7935" max="7935" width="18.5703125" customWidth="1"/>
    <col min="7936" max="7936" width="16.42578125" customWidth="1"/>
    <col min="7937" max="7937" width="16.85546875" customWidth="1"/>
    <col min="7938" max="7938" width="17.7109375" customWidth="1"/>
    <col min="7939" max="7943" width="13.5703125" bestFit="1" customWidth="1"/>
    <col min="7944" max="7946" width="12.7109375" bestFit="1" customWidth="1"/>
    <col min="7947" max="7947" width="13.7109375" bestFit="1" customWidth="1"/>
    <col min="8189" max="8189" width="15" customWidth="1"/>
    <col min="8190" max="8190" width="19" customWidth="1"/>
    <col min="8191" max="8191" width="18.5703125" customWidth="1"/>
    <col min="8192" max="8192" width="16.42578125" customWidth="1"/>
    <col min="8193" max="8193" width="16.85546875" customWidth="1"/>
    <col min="8194" max="8194" width="17.7109375" customWidth="1"/>
    <col min="8195" max="8199" width="13.5703125" bestFit="1" customWidth="1"/>
    <col min="8200" max="8202" width="12.7109375" bestFit="1" customWidth="1"/>
    <col min="8203" max="8203" width="13.7109375" bestFit="1" customWidth="1"/>
    <col min="8445" max="8445" width="15" customWidth="1"/>
    <col min="8446" max="8446" width="19" customWidth="1"/>
    <col min="8447" max="8447" width="18.5703125" customWidth="1"/>
    <col min="8448" max="8448" width="16.42578125" customWidth="1"/>
    <col min="8449" max="8449" width="16.85546875" customWidth="1"/>
    <col min="8450" max="8450" width="17.7109375" customWidth="1"/>
    <col min="8451" max="8455" width="13.5703125" bestFit="1" customWidth="1"/>
    <col min="8456" max="8458" width="12.7109375" bestFit="1" customWidth="1"/>
    <col min="8459" max="8459" width="13.7109375" bestFit="1" customWidth="1"/>
    <col min="8701" max="8701" width="15" customWidth="1"/>
    <col min="8702" max="8702" width="19" customWidth="1"/>
    <col min="8703" max="8703" width="18.5703125" customWidth="1"/>
    <col min="8704" max="8704" width="16.42578125" customWidth="1"/>
    <col min="8705" max="8705" width="16.85546875" customWidth="1"/>
    <col min="8706" max="8706" width="17.7109375" customWidth="1"/>
    <col min="8707" max="8711" width="13.5703125" bestFit="1" customWidth="1"/>
    <col min="8712" max="8714" width="12.7109375" bestFit="1" customWidth="1"/>
    <col min="8715" max="8715" width="13.7109375" bestFit="1" customWidth="1"/>
    <col min="8957" max="8957" width="15" customWidth="1"/>
    <col min="8958" max="8958" width="19" customWidth="1"/>
    <col min="8959" max="8959" width="18.5703125" customWidth="1"/>
    <col min="8960" max="8960" width="16.42578125" customWidth="1"/>
    <col min="8961" max="8961" width="16.85546875" customWidth="1"/>
    <col min="8962" max="8962" width="17.7109375" customWidth="1"/>
    <col min="8963" max="8967" width="13.5703125" bestFit="1" customWidth="1"/>
    <col min="8968" max="8970" width="12.7109375" bestFit="1" customWidth="1"/>
    <col min="8971" max="8971" width="13.7109375" bestFit="1" customWidth="1"/>
    <col min="9213" max="9213" width="15" customWidth="1"/>
    <col min="9214" max="9214" width="19" customWidth="1"/>
    <col min="9215" max="9215" width="18.5703125" customWidth="1"/>
    <col min="9216" max="9216" width="16.42578125" customWidth="1"/>
    <col min="9217" max="9217" width="16.85546875" customWidth="1"/>
    <col min="9218" max="9218" width="17.7109375" customWidth="1"/>
    <col min="9219" max="9223" width="13.5703125" bestFit="1" customWidth="1"/>
    <col min="9224" max="9226" width="12.7109375" bestFit="1" customWidth="1"/>
    <col min="9227" max="9227" width="13.7109375" bestFit="1" customWidth="1"/>
    <col min="9469" max="9469" width="15" customWidth="1"/>
    <col min="9470" max="9470" width="19" customWidth="1"/>
    <col min="9471" max="9471" width="18.5703125" customWidth="1"/>
    <col min="9472" max="9472" width="16.42578125" customWidth="1"/>
    <col min="9473" max="9473" width="16.85546875" customWidth="1"/>
    <col min="9474" max="9474" width="17.7109375" customWidth="1"/>
    <col min="9475" max="9479" width="13.5703125" bestFit="1" customWidth="1"/>
    <col min="9480" max="9482" width="12.7109375" bestFit="1" customWidth="1"/>
    <col min="9483" max="9483" width="13.7109375" bestFit="1" customWidth="1"/>
    <col min="9725" max="9725" width="15" customWidth="1"/>
    <col min="9726" max="9726" width="19" customWidth="1"/>
    <col min="9727" max="9727" width="18.5703125" customWidth="1"/>
    <col min="9728" max="9728" width="16.42578125" customWidth="1"/>
    <col min="9729" max="9729" width="16.85546875" customWidth="1"/>
    <col min="9730" max="9730" width="17.7109375" customWidth="1"/>
    <col min="9731" max="9735" width="13.5703125" bestFit="1" customWidth="1"/>
    <col min="9736" max="9738" width="12.7109375" bestFit="1" customWidth="1"/>
    <col min="9739" max="9739" width="13.7109375" bestFit="1" customWidth="1"/>
    <col min="9981" max="9981" width="15" customWidth="1"/>
    <col min="9982" max="9982" width="19" customWidth="1"/>
    <col min="9983" max="9983" width="18.5703125" customWidth="1"/>
    <col min="9984" max="9984" width="16.42578125" customWidth="1"/>
    <col min="9985" max="9985" width="16.85546875" customWidth="1"/>
    <col min="9986" max="9986" width="17.7109375" customWidth="1"/>
    <col min="9987" max="9991" width="13.5703125" bestFit="1" customWidth="1"/>
    <col min="9992" max="9994" width="12.7109375" bestFit="1" customWidth="1"/>
    <col min="9995" max="9995" width="13.7109375" bestFit="1" customWidth="1"/>
    <col min="10237" max="10237" width="15" customWidth="1"/>
    <col min="10238" max="10238" width="19" customWidth="1"/>
    <col min="10239" max="10239" width="18.5703125" customWidth="1"/>
    <col min="10240" max="10240" width="16.42578125" customWidth="1"/>
    <col min="10241" max="10241" width="16.85546875" customWidth="1"/>
    <col min="10242" max="10242" width="17.7109375" customWidth="1"/>
    <col min="10243" max="10247" width="13.5703125" bestFit="1" customWidth="1"/>
    <col min="10248" max="10250" width="12.7109375" bestFit="1" customWidth="1"/>
    <col min="10251" max="10251" width="13.7109375" bestFit="1" customWidth="1"/>
    <col min="10493" max="10493" width="15" customWidth="1"/>
    <col min="10494" max="10494" width="19" customWidth="1"/>
    <col min="10495" max="10495" width="18.5703125" customWidth="1"/>
    <col min="10496" max="10496" width="16.42578125" customWidth="1"/>
    <col min="10497" max="10497" width="16.85546875" customWidth="1"/>
    <col min="10498" max="10498" width="17.7109375" customWidth="1"/>
    <col min="10499" max="10503" width="13.5703125" bestFit="1" customWidth="1"/>
    <col min="10504" max="10506" width="12.7109375" bestFit="1" customWidth="1"/>
    <col min="10507" max="10507" width="13.7109375" bestFit="1" customWidth="1"/>
    <col min="10749" max="10749" width="15" customWidth="1"/>
    <col min="10750" max="10750" width="19" customWidth="1"/>
    <col min="10751" max="10751" width="18.5703125" customWidth="1"/>
    <col min="10752" max="10752" width="16.42578125" customWidth="1"/>
    <col min="10753" max="10753" width="16.85546875" customWidth="1"/>
    <col min="10754" max="10754" width="17.7109375" customWidth="1"/>
    <col min="10755" max="10759" width="13.5703125" bestFit="1" customWidth="1"/>
    <col min="10760" max="10762" width="12.7109375" bestFit="1" customWidth="1"/>
    <col min="10763" max="10763" width="13.7109375" bestFit="1" customWidth="1"/>
    <col min="11005" max="11005" width="15" customWidth="1"/>
    <col min="11006" max="11006" width="19" customWidth="1"/>
    <col min="11007" max="11007" width="18.5703125" customWidth="1"/>
    <col min="11008" max="11008" width="16.42578125" customWidth="1"/>
    <col min="11009" max="11009" width="16.85546875" customWidth="1"/>
    <col min="11010" max="11010" width="17.7109375" customWidth="1"/>
    <col min="11011" max="11015" width="13.5703125" bestFit="1" customWidth="1"/>
    <col min="11016" max="11018" width="12.7109375" bestFit="1" customWidth="1"/>
    <col min="11019" max="11019" width="13.7109375" bestFit="1" customWidth="1"/>
    <col min="11261" max="11261" width="15" customWidth="1"/>
    <col min="11262" max="11262" width="19" customWidth="1"/>
    <col min="11263" max="11263" width="18.5703125" customWidth="1"/>
    <col min="11264" max="11264" width="16.42578125" customWidth="1"/>
    <col min="11265" max="11265" width="16.85546875" customWidth="1"/>
    <col min="11266" max="11266" width="17.7109375" customWidth="1"/>
    <col min="11267" max="11271" width="13.5703125" bestFit="1" customWidth="1"/>
    <col min="11272" max="11274" width="12.7109375" bestFit="1" customWidth="1"/>
    <col min="11275" max="11275" width="13.7109375" bestFit="1" customWidth="1"/>
    <col min="11517" max="11517" width="15" customWidth="1"/>
    <col min="11518" max="11518" width="19" customWidth="1"/>
    <col min="11519" max="11519" width="18.5703125" customWidth="1"/>
    <col min="11520" max="11520" width="16.42578125" customWidth="1"/>
    <col min="11521" max="11521" width="16.85546875" customWidth="1"/>
    <col min="11522" max="11522" width="17.7109375" customWidth="1"/>
    <col min="11523" max="11527" width="13.5703125" bestFit="1" customWidth="1"/>
    <col min="11528" max="11530" width="12.7109375" bestFit="1" customWidth="1"/>
    <col min="11531" max="11531" width="13.7109375" bestFit="1" customWidth="1"/>
    <col min="11773" max="11773" width="15" customWidth="1"/>
    <col min="11774" max="11774" width="19" customWidth="1"/>
    <col min="11775" max="11775" width="18.5703125" customWidth="1"/>
    <col min="11776" max="11776" width="16.42578125" customWidth="1"/>
    <col min="11777" max="11777" width="16.85546875" customWidth="1"/>
    <col min="11778" max="11778" width="17.7109375" customWidth="1"/>
    <col min="11779" max="11783" width="13.5703125" bestFit="1" customWidth="1"/>
    <col min="11784" max="11786" width="12.7109375" bestFit="1" customWidth="1"/>
    <col min="11787" max="11787" width="13.7109375" bestFit="1" customWidth="1"/>
    <col min="12029" max="12029" width="15" customWidth="1"/>
    <col min="12030" max="12030" width="19" customWidth="1"/>
    <col min="12031" max="12031" width="18.5703125" customWidth="1"/>
    <col min="12032" max="12032" width="16.42578125" customWidth="1"/>
    <col min="12033" max="12033" width="16.85546875" customWidth="1"/>
    <col min="12034" max="12034" width="17.7109375" customWidth="1"/>
    <col min="12035" max="12039" width="13.5703125" bestFit="1" customWidth="1"/>
    <col min="12040" max="12042" width="12.7109375" bestFit="1" customWidth="1"/>
    <col min="12043" max="12043" width="13.7109375" bestFit="1" customWidth="1"/>
    <col min="12285" max="12285" width="15" customWidth="1"/>
    <col min="12286" max="12286" width="19" customWidth="1"/>
    <col min="12287" max="12287" width="18.5703125" customWidth="1"/>
    <col min="12288" max="12288" width="16.42578125" customWidth="1"/>
    <col min="12289" max="12289" width="16.85546875" customWidth="1"/>
    <col min="12290" max="12290" width="17.7109375" customWidth="1"/>
    <col min="12291" max="12295" width="13.5703125" bestFit="1" customWidth="1"/>
    <col min="12296" max="12298" width="12.7109375" bestFit="1" customWidth="1"/>
    <col min="12299" max="12299" width="13.7109375" bestFit="1" customWidth="1"/>
    <col min="12541" max="12541" width="15" customWidth="1"/>
    <col min="12542" max="12542" width="19" customWidth="1"/>
    <col min="12543" max="12543" width="18.5703125" customWidth="1"/>
    <col min="12544" max="12544" width="16.42578125" customWidth="1"/>
    <col min="12545" max="12545" width="16.85546875" customWidth="1"/>
    <col min="12546" max="12546" width="17.7109375" customWidth="1"/>
    <col min="12547" max="12551" width="13.5703125" bestFit="1" customWidth="1"/>
    <col min="12552" max="12554" width="12.7109375" bestFit="1" customWidth="1"/>
    <col min="12555" max="12555" width="13.7109375" bestFit="1" customWidth="1"/>
    <col min="12797" max="12797" width="15" customWidth="1"/>
    <col min="12798" max="12798" width="19" customWidth="1"/>
    <col min="12799" max="12799" width="18.5703125" customWidth="1"/>
    <col min="12800" max="12800" width="16.42578125" customWidth="1"/>
    <col min="12801" max="12801" width="16.85546875" customWidth="1"/>
    <col min="12802" max="12802" width="17.7109375" customWidth="1"/>
    <col min="12803" max="12807" width="13.5703125" bestFit="1" customWidth="1"/>
    <col min="12808" max="12810" width="12.7109375" bestFit="1" customWidth="1"/>
    <col min="12811" max="12811" width="13.7109375" bestFit="1" customWidth="1"/>
    <col min="13053" max="13053" width="15" customWidth="1"/>
    <col min="13054" max="13054" width="19" customWidth="1"/>
    <col min="13055" max="13055" width="18.5703125" customWidth="1"/>
    <col min="13056" max="13056" width="16.42578125" customWidth="1"/>
    <col min="13057" max="13057" width="16.85546875" customWidth="1"/>
    <col min="13058" max="13058" width="17.7109375" customWidth="1"/>
    <col min="13059" max="13063" width="13.5703125" bestFit="1" customWidth="1"/>
    <col min="13064" max="13066" width="12.7109375" bestFit="1" customWidth="1"/>
    <col min="13067" max="13067" width="13.7109375" bestFit="1" customWidth="1"/>
    <col min="13309" max="13309" width="15" customWidth="1"/>
    <col min="13310" max="13310" width="19" customWidth="1"/>
    <col min="13311" max="13311" width="18.5703125" customWidth="1"/>
    <col min="13312" max="13312" width="16.42578125" customWidth="1"/>
    <col min="13313" max="13313" width="16.85546875" customWidth="1"/>
    <col min="13314" max="13314" width="17.7109375" customWidth="1"/>
    <col min="13315" max="13319" width="13.5703125" bestFit="1" customWidth="1"/>
    <col min="13320" max="13322" width="12.7109375" bestFit="1" customWidth="1"/>
    <col min="13323" max="13323" width="13.7109375" bestFit="1" customWidth="1"/>
    <col min="13565" max="13565" width="15" customWidth="1"/>
    <col min="13566" max="13566" width="19" customWidth="1"/>
    <col min="13567" max="13567" width="18.5703125" customWidth="1"/>
    <col min="13568" max="13568" width="16.42578125" customWidth="1"/>
    <col min="13569" max="13569" width="16.85546875" customWidth="1"/>
    <col min="13570" max="13570" width="17.7109375" customWidth="1"/>
    <col min="13571" max="13575" width="13.5703125" bestFit="1" customWidth="1"/>
    <col min="13576" max="13578" width="12.7109375" bestFit="1" customWidth="1"/>
    <col min="13579" max="13579" width="13.7109375" bestFit="1" customWidth="1"/>
    <col min="13821" max="13821" width="15" customWidth="1"/>
    <col min="13822" max="13822" width="19" customWidth="1"/>
    <col min="13823" max="13823" width="18.5703125" customWidth="1"/>
    <col min="13824" max="13824" width="16.42578125" customWidth="1"/>
    <col min="13825" max="13825" width="16.85546875" customWidth="1"/>
    <col min="13826" max="13826" width="17.7109375" customWidth="1"/>
    <col min="13827" max="13831" width="13.5703125" bestFit="1" customWidth="1"/>
    <col min="13832" max="13834" width="12.7109375" bestFit="1" customWidth="1"/>
    <col min="13835" max="13835" width="13.7109375" bestFit="1" customWidth="1"/>
    <col min="14077" max="14077" width="15" customWidth="1"/>
    <col min="14078" max="14078" width="19" customWidth="1"/>
    <col min="14079" max="14079" width="18.5703125" customWidth="1"/>
    <col min="14080" max="14080" width="16.42578125" customWidth="1"/>
    <col min="14081" max="14081" width="16.85546875" customWidth="1"/>
    <col min="14082" max="14082" width="17.7109375" customWidth="1"/>
    <col min="14083" max="14087" width="13.5703125" bestFit="1" customWidth="1"/>
    <col min="14088" max="14090" width="12.7109375" bestFit="1" customWidth="1"/>
    <col min="14091" max="14091" width="13.7109375" bestFit="1" customWidth="1"/>
    <col min="14333" max="14333" width="15" customWidth="1"/>
    <col min="14334" max="14334" width="19" customWidth="1"/>
    <col min="14335" max="14335" width="18.5703125" customWidth="1"/>
    <col min="14336" max="14336" width="16.42578125" customWidth="1"/>
    <col min="14337" max="14337" width="16.85546875" customWidth="1"/>
    <col min="14338" max="14338" width="17.7109375" customWidth="1"/>
    <col min="14339" max="14343" width="13.5703125" bestFit="1" customWidth="1"/>
    <col min="14344" max="14346" width="12.7109375" bestFit="1" customWidth="1"/>
    <col min="14347" max="14347" width="13.7109375" bestFit="1" customWidth="1"/>
    <col min="14589" max="14589" width="15" customWidth="1"/>
    <col min="14590" max="14590" width="19" customWidth="1"/>
    <col min="14591" max="14591" width="18.5703125" customWidth="1"/>
    <col min="14592" max="14592" width="16.42578125" customWidth="1"/>
    <col min="14593" max="14593" width="16.85546875" customWidth="1"/>
    <col min="14594" max="14594" width="17.7109375" customWidth="1"/>
    <col min="14595" max="14599" width="13.5703125" bestFit="1" customWidth="1"/>
    <col min="14600" max="14602" width="12.7109375" bestFit="1" customWidth="1"/>
    <col min="14603" max="14603" width="13.7109375" bestFit="1" customWidth="1"/>
    <col min="14845" max="14845" width="15" customWidth="1"/>
    <col min="14846" max="14846" width="19" customWidth="1"/>
    <col min="14847" max="14847" width="18.5703125" customWidth="1"/>
    <col min="14848" max="14848" width="16.42578125" customWidth="1"/>
    <col min="14849" max="14849" width="16.85546875" customWidth="1"/>
    <col min="14850" max="14850" width="17.7109375" customWidth="1"/>
    <col min="14851" max="14855" width="13.5703125" bestFit="1" customWidth="1"/>
    <col min="14856" max="14858" width="12.7109375" bestFit="1" customWidth="1"/>
    <col min="14859" max="14859" width="13.7109375" bestFit="1" customWidth="1"/>
    <col min="15101" max="15101" width="15" customWidth="1"/>
    <col min="15102" max="15102" width="19" customWidth="1"/>
    <col min="15103" max="15103" width="18.5703125" customWidth="1"/>
    <col min="15104" max="15104" width="16.42578125" customWidth="1"/>
    <col min="15105" max="15105" width="16.85546875" customWidth="1"/>
    <col min="15106" max="15106" width="17.7109375" customWidth="1"/>
    <col min="15107" max="15111" width="13.5703125" bestFit="1" customWidth="1"/>
    <col min="15112" max="15114" width="12.7109375" bestFit="1" customWidth="1"/>
    <col min="15115" max="15115" width="13.7109375" bestFit="1" customWidth="1"/>
    <col min="15357" max="15357" width="15" customWidth="1"/>
    <col min="15358" max="15358" width="19" customWidth="1"/>
    <col min="15359" max="15359" width="18.5703125" customWidth="1"/>
    <col min="15360" max="15360" width="16.42578125" customWidth="1"/>
    <col min="15361" max="15361" width="16.85546875" customWidth="1"/>
    <col min="15362" max="15362" width="17.7109375" customWidth="1"/>
    <col min="15363" max="15367" width="13.5703125" bestFit="1" customWidth="1"/>
    <col min="15368" max="15370" width="12.7109375" bestFit="1" customWidth="1"/>
    <col min="15371" max="15371" width="13.7109375" bestFit="1" customWidth="1"/>
    <col min="15613" max="15613" width="15" customWidth="1"/>
    <col min="15614" max="15614" width="19" customWidth="1"/>
    <col min="15615" max="15615" width="18.5703125" customWidth="1"/>
    <col min="15616" max="15616" width="16.42578125" customWidth="1"/>
    <col min="15617" max="15617" width="16.85546875" customWidth="1"/>
    <col min="15618" max="15618" width="17.7109375" customWidth="1"/>
    <col min="15619" max="15623" width="13.5703125" bestFit="1" customWidth="1"/>
    <col min="15624" max="15626" width="12.7109375" bestFit="1" customWidth="1"/>
    <col min="15627" max="15627" width="13.7109375" bestFit="1" customWidth="1"/>
    <col min="15869" max="15869" width="15" customWidth="1"/>
    <col min="15870" max="15870" width="19" customWidth="1"/>
    <col min="15871" max="15871" width="18.5703125" customWidth="1"/>
    <col min="15872" max="15872" width="16.42578125" customWidth="1"/>
    <col min="15873" max="15873" width="16.85546875" customWidth="1"/>
    <col min="15874" max="15874" width="17.7109375" customWidth="1"/>
    <col min="15875" max="15879" width="13.5703125" bestFit="1" customWidth="1"/>
    <col min="15880" max="15882" width="12.7109375" bestFit="1" customWidth="1"/>
    <col min="15883" max="15883" width="13.7109375" bestFit="1" customWidth="1"/>
    <col min="16125" max="16125" width="15" customWidth="1"/>
    <col min="16126" max="16126" width="19" customWidth="1"/>
    <col min="16127" max="16127" width="18.5703125" customWidth="1"/>
    <col min="16128" max="16128" width="16.42578125" customWidth="1"/>
    <col min="16129" max="16129" width="16.85546875" customWidth="1"/>
    <col min="16130" max="16130" width="17.7109375" customWidth="1"/>
    <col min="16131" max="16135" width="13.5703125" bestFit="1" customWidth="1"/>
    <col min="16136" max="16138" width="12.7109375" bestFit="1" customWidth="1"/>
    <col min="16139" max="16139" width="13.7109375" bestFit="1" customWidth="1"/>
  </cols>
  <sheetData>
    <row r="1" spans="1:10" x14ac:dyDescent="0.25">
      <c r="A1" s="511" t="s">
        <v>2</v>
      </c>
      <c r="B1" s="512"/>
      <c r="C1" s="512"/>
      <c r="D1" s="512"/>
      <c r="E1" s="512"/>
      <c r="F1" s="512"/>
      <c r="G1" s="512"/>
      <c r="H1" s="512"/>
    </row>
    <row r="2" spans="1:10" x14ac:dyDescent="0.25">
      <c r="A2" s="511" t="s">
        <v>3085</v>
      </c>
      <c r="B2" s="512"/>
      <c r="C2" s="512"/>
      <c r="D2" s="512"/>
      <c r="E2" s="512"/>
      <c r="F2" s="512"/>
      <c r="G2" s="512"/>
      <c r="H2" s="512"/>
    </row>
    <row r="3" spans="1:10" x14ac:dyDescent="0.25">
      <c r="A3" s="511" t="s">
        <v>3086</v>
      </c>
      <c r="B3" s="512"/>
      <c r="C3" s="512"/>
      <c r="D3" s="512"/>
      <c r="E3" s="512"/>
      <c r="F3" s="512"/>
      <c r="G3" s="512"/>
      <c r="H3" s="512"/>
    </row>
    <row r="4" spans="1:10" ht="15.75" thickBot="1" x14ac:dyDescent="0.3">
      <c r="A4" s="515" t="s">
        <v>3097</v>
      </c>
      <c r="B4" s="516"/>
      <c r="C4" s="516"/>
      <c r="D4" s="516"/>
      <c r="E4" s="516"/>
      <c r="F4" s="516"/>
      <c r="G4" s="516"/>
      <c r="H4" s="516"/>
    </row>
    <row r="5" spans="1:10" ht="45.75" thickBot="1" x14ac:dyDescent="0.3">
      <c r="A5" s="103" t="s">
        <v>5</v>
      </c>
      <c r="B5" s="2" t="s">
        <v>6</v>
      </c>
      <c r="C5" s="3" t="s">
        <v>7</v>
      </c>
      <c r="D5" s="3" t="s">
        <v>40</v>
      </c>
      <c r="E5" s="3" t="s">
        <v>41</v>
      </c>
      <c r="F5" s="3" t="s">
        <v>3132</v>
      </c>
      <c r="G5" s="4" t="s">
        <v>3078</v>
      </c>
      <c r="H5" s="5" t="s">
        <v>8</v>
      </c>
    </row>
    <row r="6" spans="1:10" x14ac:dyDescent="0.25">
      <c r="A6" s="6">
        <v>43664</v>
      </c>
      <c r="B6" s="7" t="s">
        <v>359</v>
      </c>
      <c r="C6" s="8">
        <v>0</v>
      </c>
      <c r="D6" s="8">
        <v>0</v>
      </c>
      <c r="E6" s="8"/>
      <c r="F6" s="8"/>
      <c r="G6" s="8"/>
      <c r="H6" s="9">
        <v>3218371325</v>
      </c>
      <c r="I6" s="54"/>
      <c r="J6" s="54"/>
    </row>
    <row r="7" spans="1:10" x14ac:dyDescent="0.25">
      <c r="A7" s="135">
        <f>A6+92</f>
        <v>43756</v>
      </c>
      <c r="B7" s="11" t="s">
        <v>9</v>
      </c>
      <c r="C7" s="12">
        <v>0</v>
      </c>
      <c r="D7" s="294">
        <f>H6*$B$53*B$52/360</f>
        <v>65172019.331249997</v>
      </c>
      <c r="E7" s="294">
        <v>65172019.331249997</v>
      </c>
      <c r="F7" s="294"/>
      <c r="G7" s="12">
        <f>E7+C7+F7</f>
        <v>65172019.331249997</v>
      </c>
      <c r="H7" s="13">
        <f t="shared" ref="H7:H46" si="0">+H6-C7</f>
        <v>3218371325</v>
      </c>
      <c r="J7" s="54"/>
    </row>
    <row r="8" spans="1:10" x14ac:dyDescent="0.25">
      <c r="A8" s="135">
        <f>A7+92</f>
        <v>43848</v>
      </c>
      <c r="B8" s="11" t="s">
        <v>9</v>
      </c>
      <c r="C8" s="12">
        <v>0</v>
      </c>
      <c r="D8" s="294">
        <f>H7*$C$53*C$52/360</f>
        <v>65493856.463750005</v>
      </c>
      <c r="E8" s="294">
        <v>65493856.463750005</v>
      </c>
      <c r="F8" s="294"/>
      <c r="G8" s="12">
        <f>E8+C8+F8</f>
        <v>65493856.463750005</v>
      </c>
      <c r="H8" s="13">
        <f t="shared" si="0"/>
        <v>3218371325</v>
      </c>
    </row>
    <row r="9" spans="1:10" x14ac:dyDescent="0.25">
      <c r="A9" s="135">
        <f>A8+91</f>
        <v>43939</v>
      </c>
      <c r="B9" s="11" t="s">
        <v>9</v>
      </c>
      <c r="C9" s="12">
        <v>0</v>
      </c>
      <c r="D9" s="161">
        <f>H8*$D$53*D$52/360</f>
        <v>65485810.535437502</v>
      </c>
      <c r="E9" s="161">
        <v>65485810.535437502</v>
      </c>
      <c r="F9" s="294"/>
      <c r="G9" s="12">
        <f>C9</f>
        <v>0</v>
      </c>
      <c r="H9" s="13">
        <f t="shared" si="0"/>
        <v>3218371325</v>
      </c>
    </row>
    <row r="10" spans="1:10" x14ac:dyDescent="0.25">
      <c r="A10" s="135">
        <f>A9+91</f>
        <v>44030</v>
      </c>
      <c r="B10" s="11" t="s">
        <v>9</v>
      </c>
      <c r="C10" s="12">
        <v>0</v>
      </c>
      <c r="D10" s="161">
        <f>H9*$E$53*E$52/360</f>
        <v>56941034.667562492</v>
      </c>
      <c r="E10" s="161">
        <v>56941034.667562492</v>
      </c>
      <c r="F10" s="462">
        <f>+SUM(F11:F18)</f>
        <v>132304027</v>
      </c>
      <c r="G10" s="12">
        <f>C10</f>
        <v>0</v>
      </c>
      <c r="H10" s="13">
        <f t="shared" si="0"/>
        <v>3218371325</v>
      </c>
    </row>
    <row r="11" spans="1:10" x14ac:dyDescent="0.25">
      <c r="A11" s="135">
        <f>A10+92</f>
        <v>44122</v>
      </c>
      <c r="B11" s="11" t="s">
        <v>9</v>
      </c>
      <c r="C11" s="12">
        <v>0</v>
      </c>
      <c r="D11" s="294">
        <f>H10*$F$53*F$52/360</f>
        <v>49570964.333312504</v>
      </c>
      <c r="E11" s="294">
        <v>49570964.333312504</v>
      </c>
      <c r="F11" s="294">
        <v>16538003</v>
      </c>
      <c r="G11" s="12">
        <f t="shared" ref="G11:G46" si="1">E11+C11+F11</f>
        <v>66108967.333312504</v>
      </c>
      <c r="H11" s="13">
        <f t="shared" si="0"/>
        <v>3218371325</v>
      </c>
      <c r="I11" s="105"/>
    </row>
    <row r="12" spans="1:10" x14ac:dyDescent="0.25">
      <c r="A12" s="135">
        <f>A11+92</f>
        <v>44214</v>
      </c>
      <c r="B12" s="11" t="s">
        <v>9</v>
      </c>
      <c r="C12" s="12">
        <v>0</v>
      </c>
      <c r="D12" s="294">
        <f>H11*$G$53*G$52/360</f>
        <v>45692826.886687502</v>
      </c>
      <c r="E12" s="294">
        <v>45692827</v>
      </c>
      <c r="F12" s="294">
        <v>16538003</v>
      </c>
      <c r="G12" s="12">
        <f t="shared" si="1"/>
        <v>62230830</v>
      </c>
      <c r="H12" s="13">
        <f t="shared" si="0"/>
        <v>3218371325</v>
      </c>
    </row>
    <row r="13" spans="1:10" x14ac:dyDescent="0.25">
      <c r="A13" s="135">
        <f>A12+90</f>
        <v>44304</v>
      </c>
      <c r="B13" s="11" t="s">
        <v>9</v>
      </c>
      <c r="C13" s="12">
        <v>0</v>
      </c>
      <c r="D13" s="294">
        <f>H12*$H$53*H$52/360</f>
        <v>64367426.5</v>
      </c>
      <c r="E13" s="294"/>
      <c r="F13" s="294">
        <v>16538003</v>
      </c>
      <c r="G13" s="12">
        <f t="shared" si="1"/>
        <v>16538003</v>
      </c>
      <c r="H13" s="13">
        <f t="shared" si="0"/>
        <v>3218371325</v>
      </c>
    </row>
    <row r="14" spans="1:10" x14ac:dyDescent="0.25">
      <c r="A14" s="135">
        <f>A13+91</f>
        <v>44395</v>
      </c>
      <c r="B14" s="11" t="s">
        <v>9</v>
      </c>
      <c r="C14" s="12">
        <v>0</v>
      </c>
      <c r="D14" s="294">
        <f>H13*$H$53*H$52/360</f>
        <v>64367426.5</v>
      </c>
      <c r="E14" s="294"/>
      <c r="F14" s="294">
        <v>16538003</v>
      </c>
      <c r="G14" s="12">
        <f t="shared" si="1"/>
        <v>16538003</v>
      </c>
      <c r="H14" s="13">
        <f t="shared" si="0"/>
        <v>3218371325</v>
      </c>
    </row>
    <row r="15" spans="1:10" x14ac:dyDescent="0.25">
      <c r="A15" s="135">
        <f>A14+92</f>
        <v>44487</v>
      </c>
      <c r="B15" s="11" t="s">
        <v>10</v>
      </c>
      <c r="C15" s="294">
        <f>+$H$6/32</f>
        <v>100574103.90625</v>
      </c>
      <c r="D15" s="294">
        <f>H14*$H$53*H$52/360</f>
        <v>64367426.5</v>
      </c>
      <c r="E15" s="294"/>
      <c r="F15" s="294">
        <v>16538003</v>
      </c>
      <c r="G15" s="12">
        <f t="shared" si="1"/>
        <v>117112106.90625</v>
      </c>
      <c r="H15" s="13">
        <f t="shared" si="0"/>
        <v>3117797221.09375</v>
      </c>
    </row>
    <row r="16" spans="1:10" x14ac:dyDescent="0.25">
      <c r="A16" s="135">
        <f>A15+92</f>
        <v>44579</v>
      </c>
      <c r="B16" s="11" t="s">
        <v>10</v>
      </c>
      <c r="C16" s="294">
        <f t="shared" ref="C16:C46" si="2">+$H$6/32</f>
        <v>100574103.90625</v>
      </c>
      <c r="D16" s="294">
        <f>H15*$I$53*I$52/360</f>
        <v>66253190.94824218</v>
      </c>
      <c r="E16" s="294"/>
      <c r="F16" s="294">
        <v>16538003</v>
      </c>
      <c r="G16" s="12">
        <f t="shared" si="1"/>
        <v>117112106.90625</v>
      </c>
      <c r="H16" s="13">
        <f t="shared" si="0"/>
        <v>3017223117.1875</v>
      </c>
    </row>
    <row r="17" spans="1:8" x14ac:dyDescent="0.25">
      <c r="A17" s="135">
        <f>A16+90</f>
        <v>44669</v>
      </c>
      <c r="B17" s="11" t="s">
        <v>10</v>
      </c>
      <c r="C17" s="294">
        <f t="shared" si="2"/>
        <v>100574103.90625</v>
      </c>
      <c r="D17" s="294">
        <f>H16*$I$53*I$52/360</f>
        <v>64115991.240234368</v>
      </c>
      <c r="E17" s="294"/>
      <c r="F17" s="294">
        <v>16538003</v>
      </c>
      <c r="G17" s="12">
        <f t="shared" si="1"/>
        <v>117112106.90625</v>
      </c>
      <c r="H17" s="13">
        <f t="shared" si="0"/>
        <v>2916649013.28125</v>
      </c>
    </row>
    <row r="18" spans="1:8" x14ac:dyDescent="0.25">
      <c r="A18" s="135">
        <f>A17+91</f>
        <v>44760</v>
      </c>
      <c r="B18" s="11" t="s">
        <v>10</v>
      </c>
      <c r="C18" s="294">
        <f t="shared" si="2"/>
        <v>100574103.90625</v>
      </c>
      <c r="D18" s="294">
        <f>H17*$I$53*I$52/360</f>
        <v>61978791.532226555</v>
      </c>
      <c r="E18" s="294"/>
      <c r="F18" s="294">
        <v>16538006</v>
      </c>
      <c r="G18" s="12">
        <f t="shared" si="1"/>
        <v>117112109.90625</v>
      </c>
      <c r="H18" s="13">
        <f t="shared" si="0"/>
        <v>2816074909.375</v>
      </c>
    </row>
    <row r="19" spans="1:8" x14ac:dyDescent="0.25">
      <c r="A19" s="135">
        <f>A18+92</f>
        <v>44852</v>
      </c>
      <c r="B19" s="11" t="s">
        <v>10</v>
      </c>
      <c r="C19" s="12">
        <f t="shared" si="2"/>
        <v>100574103.90625</v>
      </c>
      <c r="D19" s="294">
        <f>H18*$I$53*I$52/360</f>
        <v>59841591.824218743</v>
      </c>
      <c r="E19" s="294"/>
      <c r="F19" s="294"/>
      <c r="G19" s="12">
        <f t="shared" si="1"/>
        <v>100574103.90625</v>
      </c>
      <c r="H19" s="13">
        <f t="shared" si="0"/>
        <v>2715500805.46875</v>
      </c>
    </row>
    <row r="20" spans="1:8" x14ac:dyDescent="0.25">
      <c r="A20" s="135">
        <f>A19+92</f>
        <v>44944</v>
      </c>
      <c r="B20" s="11" t="s">
        <v>10</v>
      </c>
      <c r="C20" s="12">
        <f t="shared" si="2"/>
        <v>100574103.90625</v>
      </c>
      <c r="D20" s="294">
        <f t="shared" ref="D20:D46" si="3">H19*$J$53*J$52/360</f>
        <v>61098768.123046875</v>
      </c>
      <c r="E20" s="294"/>
      <c r="F20" s="294"/>
      <c r="G20" s="12">
        <f t="shared" si="1"/>
        <v>100574103.90625</v>
      </c>
      <c r="H20" s="13">
        <f t="shared" si="0"/>
        <v>2614926701.5625</v>
      </c>
    </row>
    <row r="21" spans="1:8" x14ac:dyDescent="0.25">
      <c r="A21" s="135">
        <f>A20+90</f>
        <v>45034</v>
      </c>
      <c r="B21" s="11" t="s">
        <v>10</v>
      </c>
      <c r="C21" s="12">
        <f t="shared" si="2"/>
        <v>100574103.90625</v>
      </c>
      <c r="D21" s="294">
        <f t="shared" si="3"/>
        <v>58835850.78515625</v>
      </c>
      <c r="E21" s="294"/>
      <c r="F21" s="294"/>
      <c r="G21" s="12">
        <f t="shared" si="1"/>
        <v>100574103.90625</v>
      </c>
      <c r="H21" s="13">
        <f t="shared" si="0"/>
        <v>2514352597.65625</v>
      </c>
    </row>
    <row r="22" spans="1:8" x14ac:dyDescent="0.25">
      <c r="A22" s="135">
        <f>A21+91</f>
        <v>45125</v>
      </c>
      <c r="B22" s="11" t="s">
        <v>10</v>
      </c>
      <c r="C22" s="12">
        <f t="shared" si="2"/>
        <v>100574103.90625</v>
      </c>
      <c r="D22" s="294">
        <f t="shared" si="3"/>
        <v>56572933.447265625</v>
      </c>
      <c r="E22" s="294"/>
      <c r="F22" s="294"/>
      <c r="G22" s="12">
        <f t="shared" si="1"/>
        <v>100574103.90625</v>
      </c>
      <c r="H22" s="13">
        <f t="shared" si="0"/>
        <v>2413778493.75</v>
      </c>
    </row>
    <row r="23" spans="1:8" x14ac:dyDescent="0.25">
      <c r="A23" s="135">
        <f>A22+92</f>
        <v>45217</v>
      </c>
      <c r="B23" s="11" t="s">
        <v>10</v>
      </c>
      <c r="C23" s="12">
        <f t="shared" si="2"/>
        <v>100574103.90625</v>
      </c>
      <c r="D23" s="294">
        <f t="shared" si="3"/>
        <v>54310016.109375</v>
      </c>
      <c r="E23" s="294"/>
      <c r="F23" s="294"/>
      <c r="G23" s="12">
        <f t="shared" si="1"/>
        <v>100574103.90625</v>
      </c>
      <c r="H23" s="13">
        <f t="shared" si="0"/>
        <v>2313204389.84375</v>
      </c>
    </row>
    <row r="24" spans="1:8" x14ac:dyDescent="0.25">
      <c r="A24" s="135">
        <f>A23+92</f>
        <v>45309</v>
      </c>
      <c r="B24" s="11" t="s">
        <v>10</v>
      </c>
      <c r="C24" s="12">
        <f t="shared" si="2"/>
        <v>100574103.90625</v>
      </c>
      <c r="D24" s="294">
        <f t="shared" si="3"/>
        <v>52047098.771484375</v>
      </c>
      <c r="E24" s="294"/>
      <c r="F24" s="294"/>
      <c r="G24" s="12">
        <f t="shared" si="1"/>
        <v>100574103.90625</v>
      </c>
      <c r="H24" s="13">
        <f t="shared" si="0"/>
        <v>2212630285.9375</v>
      </c>
    </row>
    <row r="25" spans="1:8" x14ac:dyDescent="0.25">
      <c r="A25" s="135">
        <f>A24+91</f>
        <v>45400</v>
      </c>
      <c r="B25" s="11" t="s">
        <v>10</v>
      </c>
      <c r="C25" s="12">
        <f t="shared" si="2"/>
        <v>100574103.90625</v>
      </c>
      <c r="D25" s="294">
        <f t="shared" si="3"/>
        <v>49784181.43359375</v>
      </c>
      <c r="E25" s="294"/>
      <c r="F25" s="294"/>
      <c r="G25" s="12">
        <f t="shared" si="1"/>
        <v>100574103.90625</v>
      </c>
      <c r="H25" s="13">
        <f t="shared" si="0"/>
        <v>2112056182.03125</v>
      </c>
    </row>
    <row r="26" spans="1:8" x14ac:dyDescent="0.25">
      <c r="A26" s="135">
        <f>A25+91</f>
        <v>45491</v>
      </c>
      <c r="B26" s="11" t="s">
        <v>10</v>
      </c>
      <c r="C26" s="12">
        <f t="shared" si="2"/>
        <v>100574103.90625</v>
      </c>
      <c r="D26" s="294">
        <f t="shared" si="3"/>
        <v>47521264.095703125</v>
      </c>
      <c r="E26" s="294"/>
      <c r="F26" s="294"/>
      <c r="G26" s="12">
        <f t="shared" si="1"/>
        <v>100574103.90625</v>
      </c>
      <c r="H26" s="13">
        <f t="shared" si="0"/>
        <v>2011482078.125</v>
      </c>
    </row>
    <row r="27" spans="1:8" x14ac:dyDescent="0.25">
      <c r="A27" s="135">
        <f>A26+92</f>
        <v>45583</v>
      </c>
      <c r="B27" s="11" t="s">
        <v>10</v>
      </c>
      <c r="C27" s="12">
        <f t="shared" si="2"/>
        <v>100574103.90625</v>
      </c>
      <c r="D27" s="294">
        <f t="shared" si="3"/>
        <v>45258346.7578125</v>
      </c>
      <c r="E27" s="294"/>
      <c r="F27" s="294"/>
      <c r="G27" s="12">
        <f t="shared" si="1"/>
        <v>100574103.90625</v>
      </c>
      <c r="H27" s="13">
        <f t="shared" si="0"/>
        <v>1910907974.21875</v>
      </c>
    </row>
    <row r="28" spans="1:8" x14ac:dyDescent="0.25">
      <c r="A28" s="135">
        <f>A27+92</f>
        <v>45675</v>
      </c>
      <c r="B28" s="11" t="s">
        <v>10</v>
      </c>
      <c r="C28" s="12">
        <f t="shared" si="2"/>
        <v>100574103.90625</v>
      </c>
      <c r="D28" s="294">
        <f t="shared" si="3"/>
        <v>42995429.419921875</v>
      </c>
      <c r="E28" s="294"/>
      <c r="F28" s="294"/>
      <c r="G28" s="12">
        <f t="shared" si="1"/>
        <v>100574103.90625</v>
      </c>
      <c r="H28" s="13">
        <f t="shared" si="0"/>
        <v>1810333870.3125</v>
      </c>
    </row>
    <row r="29" spans="1:8" x14ac:dyDescent="0.25">
      <c r="A29" s="135">
        <f>A28+90</f>
        <v>45765</v>
      </c>
      <c r="B29" s="11" t="s">
        <v>10</v>
      </c>
      <c r="C29" s="12">
        <f t="shared" si="2"/>
        <v>100574103.90625</v>
      </c>
      <c r="D29" s="294">
        <f t="shared" si="3"/>
        <v>40732512.08203125</v>
      </c>
      <c r="E29" s="294"/>
      <c r="F29" s="294"/>
      <c r="G29" s="12">
        <f t="shared" si="1"/>
        <v>100574103.90625</v>
      </c>
      <c r="H29" s="13">
        <f t="shared" si="0"/>
        <v>1709759766.40625</v>
      </c>
    </row>
    <row r="30" spans="1:8" x14ac:dyDescent="0.25">
      <c r="A30" s="135">
        <f>A29+91</f>
        <v>45856</v>
      </c>
      <c r="B30" s="11" t="s">
        <v>10</v>
      </c>
      <c r="C30" s="12">
        <f t="shared" si="2"/>
        <v>100574103.90625</v>
      </c>
      <c r="D30" s="294">
        <f t="shared" si="3"/>
        <v>38469594.744140625</v>
      </c>
      <c r="E30" s="294"/>
      <c r="F30" s="294"/>
      <c r="G30" s="12">
        <f t="shared" si="1"/>
        <v>100574103.90625</v>
      </c>
      <c r="H30" s="13">
        <f t="shared" si="0"/>
        <v>1609185662.5</v>
      </c>
    </row>
    <row r="31" spans="1:8" x14ac:dyDescent="0.25">
      <c r="A31" s="135">
        <f>A30+92</f>
        <v>45948</v>
      </c>
      <c r="B31" s="11" t="s">
        <v>10</v>
      </c>
      <c r="C31" s="12">
        <f t="shared" si="2"/>
        <v>100574103.90625</v>
      </c>
      <c r="D31" s="294">
        <f t="shared" si="3"/>
        <v>36206677.40625</v>
      </c>
      <c r="E31" s="294"/>
      <c r="F31" s="294"/>
      <c r="G31" s="12">
        <f t="shared" si="1"/>
        <v>100574103.90625</v>
      </c>
      <c r="H31" s="13">
        <f t="shared" si="0"/>
        <v>1508611558.59375</v>
      </c>
    </row>
    <row r="32" spans="1:8" x14ac:dyDescent="0.25">
      <c r="A32" s="135">
        <f>A31+92</f>
        <v>46040</v>
      </c>
      <c r="B32" s="11" t="s">
        <v>10</v>
      </c>
      <c r="C32" s="12">
        <f t="shared" si="2"/>
        <v>100574103.90625</v>
      </c>
      <c r="D32" s="294">
        <f t="shared" si="3"/>
        <v>33943760.068359375</v>
      </c>
      <c r="E32" s="294"/>
      <c r="F32" s="294"/>
      <c r="G32" s="12">
        <f t="shared" si="1"/>
        <v>100574103.90625</v>
      </c>
      <c r="H32" s="13">
        <f t="shared" si="0"/>
        <v>1408037454.6875</v>
      </c>
    </row>
    <row r="33" spans="1:8" x14ac:dyDescent="0.25">
      <c r="A33" s="135">
        <f>A32+90</f>
        <v>46130</v>
      </c>
      <c r="B33" s="11" t="s">
        <v>10</v>
      </c>
      <c r="C33" s="12">
        <f t="shared" si="2"/>
        <v>100574103.90625</v>
      </c>
      <c r="D33" s="294">
        <f t="shared" si="3"/>
        <v>31680842.73046875</v>
      </c>
      <c r="E33" s="294"/>
      <c r="F33" s="294"/>
      <c r="G33" s="12">
        <f t="shared" si="1"/>
        <v>100574103.90625</v>
      </c>
      <c r="H33" s="13">
        <f t="shared" si="0"/>
        <v>1307463350.78125</v>
      </c>
    </row>
    <row r="34" spans="1:8" x14ac:dyDescent="0.25">
      <c r="A34" s="135">
        <f>A33+91</f>
        <v>46221</v>
      </c>
      <c r="B34" s="11" t="s">
        <v>10</v>
      </c>
      <c r="C34" s="12">
        <f t="shared" si="2"/>
        <v>100574103.90625</v>
      </c>
      <c r="D34" s="294">
        <f t="shared" si="3"/>
        <v>29417925.392578125</v>
      </c>
      <c r="E34" s="294"/>
      <c r="F34" s="294"/>
      <c r="G34" s="12">
        <f t="shared" si="1"/>
        <v>100574103.90625</v>
      </c>
      <c r="H34" s="13">
        <f t="shared" si="0"/>
        <v>1206889246.875</v>
      </c>
    </row>
    <row r="35" spans="1:8" x14ac:dyDescent="0.25">
      <c r="A35" s="135">
        <f>A34+92</f>
        <v>46313</v>
      </c>
      <c r="B35" s="11" t="s">
        <v>10</v>
      </c>
      <c r="C35" s="12">
        <f t="shared" si="2"/>
        <v>100574103.90625</v>
      </c>
      <c r="D35" s="294">
        <f t="shared" si="3"/>
        <v>27155008.0546875</v>
      </c>
      <c r="E35" s="294"/>
      <c r="F35" s="294"/>
      <c r="G35" s="12">
        <f t="shared" si="1"/>
        <v>100574103.90625</v>
      </c>
      <c r="H35" s="13">
        <f t="shared" si="0"/>
        <v>1106315142.96875</v>
      </c>
    </row>
    <row r="36" spans="1:8" x14ac:dyDescent="0.25">
      <c r="A36" s="135">
        <f>A35+92</f>
        <v>46405</v>
      </c>
      <c r="B36" s="11" t="s">
        <v>10</v>
      </c>
      <c r="C36" s="12">
        <f t="shared" si="2"/>
        <v>100574103.90625</v>
      </c>
      <c r="D36" s="294">
        <f t="shared" si="3"/>
        <v>24892090.716796875</v>
      </c>
      <c r="E36" s="294"/>
      <c r="F36" s="294"/>
      <c r="G36" s="12">
        <f t="shared" si="1"/>
        <v>100574103.90625</v>
      </c>
      <c r="H36" s="13">
        <f t="shared" si="0"/>
        <v>1005741039.0625</v>
      </c>
    </row>
    <row r="37" spans="1:8" x14ac:dyDescent="0.25">
      <c r="A37" s="135">
        <f>A36+90</f>
        <v>46495</v>
      </c>
      <c r="B37" s="11" t="s">
        <v>10</v>
      </c>
      <c r="C37" s="12">
        <f t="shared" si="2"/>
        <v>100574103.90625</v>
      </c>
      <c r="D37" s="294">
        <f t="shared" si="3"/>
        <v>22629173.37890625</v>
      </c>
      <c r="E37" s="294"/>
      <c r="F37" s="294"/>
      <c r="G37" s="12">
        <f t="shared" si="1"/>
        <v>100574103.90625</v>
      </c>
      <c r="H37" s="13">
        <f t="shared" si="0"/>
        <v>905166935.15625</v>
      </c>
    </row>
    <row r="38" spans="1:8" x14ac:dyDescent="0.25">
      <c r="A38" s="135">
        <f>A37+91</f>
        <v>46586</v>
      </c>
      <c r="B38" s="11" t="s">
        <v>10</v>
      </c>
      <c r="C38" s="12">
        <f t="shared" si="2"/>
        <v>100574103.90625</v>
      </c>
      <c r="D38" s="294">
        <f t="shared" si="3"/>
        <v>20366256.041015625</v>
      </c>
      <c r="E38" s="294"/>
      <c r="F38" s="294"/>
      <c r="G38" s="12">
        <f t="shared" si="1"/>
        <v>100574103.90625</v>
      </c>
      <c r="H38" s="13">
        <f t="shared" si="0"/>
        <v>804592831.25</v>
      </c>
    </row>
    <row r="39" spans="1:8" x14ac:dyDescent="0.25">
      <c r="A39" s="135">
        <f>A38+92</f>
        <v>46678</v>
      </c>
      <c r="B39" s="11" t="s">
        <v>10</v>
      </c>
      <c r="C39" s="12">
        <f t="shared" si="2"/>
        <v>100574103.90625</v>
      </c>
      <c r="D39" s="294">
        <f t="shared" si="3"/>
        <v>18103338.703125</v>
      </c>
      <c r="E39" s="294"/>
      <c r="F39" s="294"/>
      <c r="G39" s="12">
        <f t="shared" si="1"/>
        <v>100574103.90625</v>
      </c>
      <c r="H39" s="13">
        <f t="shared" si="0"/>
        <v>704018727.34375</v>
      </c>
    </row>
    <row r="40" spans="1:8" x14ac:dyDescent="0.25">
      <c r="A40" s="135">
        <f>A39+92</f>
        <v>46770</v>
      </c>
      <c r="B40" s="11" t="s">
        <v>10</v>
      </c>
      <c r="C40" s="12">
        <f t="shared" si="2"/>
        <v>100574103.90625</v>
      </c>
      <c r="D40" s="294">
        <f t="shared" si="3"/>
        <v>15840421.365234375</v>
      </c>
      <c r="E40" s="294"/>
      <c r="F40" s="294"/>
      <c r="G40" s="12">
        <f t="shared" si="1"/>
        <v>100574103.90625</v>
      </c>
      <c r="H40" s="13">
        <f t="shared" si="0"/>
        <v>603444623.4375</v>
      </c>
    </row>
    <row r="41" spans="1:8" x14ac:dyDescent="0.25">
      <c r="A41" s="135">
        <f>A40+91</f>
        <v>46861</v>
      </c>
      <c r="B41" s="11" t="s">
        <v>10</v>
      </c>
      <c r="C41" s="12">
        <f t="shared" si="2"/>
        <v>100574103.90625</v>
      </c>
      <c r="D41" s="294">
        <f t="shared" si="3"/>
        <v>13577504.02734375</v>
      </c>
      <c r="E41" s="294"/>
      <c r="F41" s="294"/>
      <c r="G41" s="12">
        <f t="shared" si="1"/>
        <v>100574103.90625</v>
      </c>
      <c r="H41" s="13">
        <f t="shared" si="0"/>
        <v>502870519.53125</v>
      </c>
    </row>
    <row r="42" spans="1:8" x14ac:dyDescent="0.25">
      <c r="A42" s="135">
        <f>A41+91</f>
        <v>46952</v>
      </c>
      <c r="B42" s="11" t="s">
        <v>10</v>
      </c>
      <c r="C42" s="12">
        <f t="shared" si="2"/>
        <v>100574103.90625</v>
      </c>
      <c r="D42" s="294">
        <f t="shared" si="3"/>
        <v>11314586.689453125</v>
      </c>
      <c r="E42" s="294"/>
      <c r="F42" s="294"/>
      <c r="G42" s="12">
        <f t="shared" si="1"/>
        <v>100574103.90625</v>
      </c>
      <c r="H42" s="13">
        <f t="shared" si="0"/>
        <v>402296415.625</v>
      </c>
    </row>
    <row r="43" spans="1:8" x14ac:dyDescent="0.25">
      <c r="A43" s="135">
        <f>A42+92</f>
        <v>47044</v>
      </c>
      <c r="B43" s="11" t="s">
        <v>10</v>
      </c>
      <c r="C43" s="12">
        <f t="shared" si="2"/>
        <v>100574103.90625</v>
      </c>
      <c r="D43" s="294">
        <f t="shared" si="3"/>
        <v>9051669.3515625</v>
      </c>
      <c r="E43" s="294"/>
      <c r="F43" s="294"/>
      <c r="G43" s="12">
        <f t="shared" si="1"/>
        <v>100574103.90625</v>
      </c>
      <c r="H43" s="13">
        <f t="shared" si="0"/>
        <v>301722311.71875</v>
      </c>
    </row>
    <row r="44" spans="1:8" x14ac:dyDescent="0.25">
      <c r="A44" s="135">
        <f>A43+92</f>
        <v>47136</v>
      </c>
      <c r="B44" s="11" t="s">
        <v>10</v>
      </c>
      <c r="C44" s="12">
        <f t="shared" si="2"/>
        <v>100574103.90625</v>
      </c>
      <c r="D44" s="294">
        <f t="shared" si="3"/>
        <v>6788752.013671875</v>
      </c>
      <c r="E44" s="294"/>
      <c r="F44" s="294"/>
      <c r="G44" s="12">
        <f t="shared" si="1"/>
        <v>100574103.90625</v>
      </c>
      <c r="H44" s="13">
        <f t="shared" si="0"/>
        <v>201148207.8125</v>
      </c>
    </row>
    <row r="45" spans="1:8" x14ac:dyDescent="0.25">
      <c r="A45" s="135">
        <f>A44+90</f>
        <v>47226</v>
      </c>
      <c r="B45" s="11" t="s">
        <v>10</v>
      </c>
      <c r="C45" s="12">
        <f t="shared" si="2"/>
        <v>100574103.90625</v>
      </c>
      <c r="D45" s="294">
        <f t="shared" si="3"/>
        <v>4525834.67578125</v>
      </c>
      <c r="E45" s="294"/>
      <c r="F45" s="294"/>
      <c r="G45" s="12">
        <f t="shared" si="1"/>
        <v>100574103.90625</v>
      </c>
      <c r="H45" s="13">
        <f t="shared" si="0"/>
        <v>100574103.90625</v>
      </c>
    </row>
    <row r="46" spans="1:8" x14ac:dyDescent="0.25">
      <c r="A46" s="135">
        <f>A45+91</f>
        <v>47317</v>
      </c>
      <c r="B46" s="11" t="s">
        <v>10</v>
      </c>
      <c r="C46" s="12">
        <f t="shared" si="2"/>
        <v>100574103.90625</v>
      </c>
      <c r="D46" s="294">
        <f t="shared" si="3"/>
        <v>2262917.337890625</v>
      </c>
      <c r="E46" s="294"/>
      <c r="F46" s="294"/>
      <c r="G46" s="12">
        <f t="shared" si="1"/>
        <v>100574103.90625</v>
      </c>
      <c r="H46" s="13">
        <f t="shared" si="0"/>
        <v>0</v>
      </c>
    </row>
    <row r="47" spans="1:8" x14ac:dyDescent="0.25">
      <c r="A47" s="15"/>
      <c r="B47" s="16" t="s">
        <v>11</v>
      </c>
      <c r="C47" s="17">
        <f>SUM(C6:C46)</f>
        <v>3218371325</v>
      </c>
      <c r="D47" s="17">
        <f>SUM(D6:D46)</f>
        <v>1649031110.9855781</v>
      </c>
      <c r="E47" s="17">
        <f>+SUM(E7:E8)+SUM(E11:E46)</f>
        <v>225929667.12831253</v>
      </c>
      <c r="F47" s="17">
        <f>+SUM(F11:F46)</f>
        <v>132304027</v>
      </c>
      <c r="G47" s="17">
        <f>SUM(G7:G46)</f>
        <v>3576605019.1283126</v>
      </c>
      <c r="H47" s="18"/>
    </row>
    <row r="48" spans="1:8" x14ac:dyDescent="0.25">
      <c r="A48" s="19" t="s">
        <v>42</v>
      </c>
      <c r="B48" s="20"/>
      <c r="C48" s="20"/>
      <c r="D48" s="20"/>
      <c r="E48" s="20"/>
      <c r="F48" s="20"/>
      <c r="G48" s="20"/>
      <c r="H48" s="20"/>
    </row>
    <row r="49" spans="1:10" x14ac:dyDescent="0.25">
      <c r="A49" s="39"/>
      <c r="B49" s="315" t="s">
        <v>3036</v>
      </c>
      <c r="C49" s="315" t="s">
        <v>3037</v>
      </c>
      <c r="D49" s="315" t="s">
        <v>3038</v>
      </c>
      <c r="E49" s="315" t="s">
        <v>3039</v>
      </c>
      <c r="F49" s="315" t="s">
        <v>3040</v>
      </c>
      <c r="G49" s="315" t="s">
        <v>3168</v>
      </c>
      <c r="H49" s="315" t="s">
        <v>3148</v>
      </c>
      <c r="I49" s="315" t="s">
        <v>3149</v>
      </c>
      <c r="J49" s="315" t="s">
        <v>3150</v>
      </c>
    </row>
    <row r="50" spans="1:10" ht="25.5" x14ac:dyDescent="0.25">
      <c r="A50" s="39" t="s">
        <v>2829</v>
      </c>
      <c r="B50" s="33">
        <v>4.1000000000000002E-2</v>
      </c>
      <c r="C50" s="88">
        <v>4.1399999999999999E-2</v>
      </c>
      <c r="D50" s="88">
        <v>4.1390000000000003E-2</v>
      </c>
      <c r="E50" s="88">
        <v>3.0769999999999999E-2</v>
      </c>
      <c r="F50" s="33">
        <v>2.1610000000000001E-2</v>
      </c>
      <c r="G50" s="88">
        <v>1.6789999999999999E-2</v>
      </c>
      <c r="H50" s="33">
        <v>0.04</v>
      </c>
      <c r="I50" s="33">
        <v>4.4999999999999998E-2</v>
      </c>
      <c r="J50" s="33">
        <v>0.05</v>
      </c>
    </row>
    <row r="51" spans="1:10" x14ac:dyDescent="0.25">
      <c r="A51" s="39" t="s">
        <v>370</v>
      </c>
      <c r="B51" s="88">
        <v>0.04</v>
      </c>
      <c r="C51" s="88">
        <v>0.04</v>
      </c>
      <c r="D51" s="88">
        <v>0.04</v>
      </c>
      <c r="E51" s="88">
        <v>0.04</v>
      </c>
      <c r="F51" s="88">
        <v>0.04</v>
      </c>
      <c r="G51" s="88">
        <v>0.04</v>
      </c>
      <c r="H51" s="88">
        <v>0.04</v>
      </c>
      <c r="I51" s="88">
        <v>0.04</v>
      </c>
      <c r="J51" s="88">
        <v>0.04</v>
      </c>
    </row>
    <row r="52" spans="1:10" x14ac:dyDescent="0.25">
      <c r="A52" s="39" t="s">
        <v>377</v>
      </c>
      <c r="B52" s="67">
        <v>90</v>
      </c>
      <c r="C52" s="67">
        <v>90</v>
      </c>
      <c r="D52" s="67">
        <v>90</v>
      </c>
      <c r="E52" s="67">
        <v>90</v>
      </c>
      <c r="F52" s="67">
        <v>90</v>
      </c>
      <c r="G52" s="67">
        <v>90</v>
      </c>
      <c r="H52" s="67">
        <v>90</v>
      </c>
      <c r="I52" s="67">
        <v>90</v>
      </c>
      <c r="J52" s="67">
        <v>90</v>
      </c>
    </row>
    <row r="53" spans="1:10" x14ac:dyDescent="0.25">
      <c r="A53" s="39" t="s">
        <v>2973</v>
      </c>
      <c r="B53" s="73">
        <f>B50+B51</f>
        <v>8.1000000000000003E-2</v>
      </c>
      <c r="C53" s="73">
        <f>+C50+C51</f>
        <v>8.14E-2</v>
      </c>
      <c r="D53" s="73">
        <f>+D50+D51</f>
        <v>8.1390000000000004E-2</v>
      </c>
      <c r="E53" s="73">
        <f>+E50+E51</f>
        <v>7.077E-2</v>
      </c>
      <c r="F53" s="85">
        <f>+F50+F51</f>
        <v>6.1609999999999998E-2</v>
      </c>
      <c r="G53" s="85">
        <f t="shared" ref="G53:J53" si="4">+G50+G51</f>
        <v>5.679E-2</v>
      </c>
      <c r="H53" s="85">
        <f t="shared" si="4"/>
        <v>0.08</v>
      </c>
      <c r="I53" s="85">
        <f t="shared" si="4"/>
        <v>8.4999999999999992E-2</v>
      </c>
      <c r="J53" s="85">
        <f t="shared" si="4"/>
        <v>0.09</v>
      </c>
    </row>
    <row r="54" spans="1:10" x14ac:dyDescent="0.25">
      <c r="A54" s="43" t="s">
        <v>39</v>
      </c>
      <c r="B54" s="44">
        <f>+E7</f>
        <v>65172019.331249997</v>
      </c>
      <c r="C54" s="44">
        <f>+E8</f>
        <v>65493856.463750005</v>
      </c>
      <c r="D54" s="44">
        <f>+E9</f>
        <v>65485810.535437502</v>
      </c>
      <c r="E54" s="44">
        <f>E10</f>
        <v>56941034.667562492</v>
      </c>
      <c r="F54" s="44">
        <f>+E11</f>
        <v>49570964.333312504</v>
      </c>
      <c r="G54" s="44">
        <f>+E12</f>
        <v>45692827</v>
      </c>
      <c r="H54" s="44"/>
      <c r="I54" s="44"/>
      <c r="J54" s="44"/>
    </row>
    <row r="60" spans="1:10" x14ac:dyDescent="0.25">
      <c r="B60" s="50"/>
      <c r="C60" s="50"/>
    </row>
  </sheetData>
  <mergeCells count="4">
    <mergeCell ref="A1:H1"/>
    <mergeCell ref="A2:H2"/>
    <mergeCell ref="A3:H3"/>
    <mergeCell ref="A4:H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R181"/>
  <sheetViews>
    <sheetView workbookViewId="0">
      <selection activeCell="D27" sqref="D27"/>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9" customWidth="1"/>
    <col min="6" max="6" width="13" customWidth="1"/>
    <col min="7" max="7" width="16.85546875" customWidth="1"/>
    <col min="8" max="8" width="17.7109375" customWidth="1"/>
    <col min="9" max="9" width="14.140625" bestFit="1" customWidth="1"/>
    <col min="10" max="10" width="13.5703125" bestFit="1" customWidth="1"/>
    <col min="11" max="11" width="12.710937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ht="15.75" x14ac:dyDescent="0.25">
      <c r="A1" s="502" t="s">
        <v>2</v>
      </c>
      <c r="B1" s="503"/>
      <c r="C1" s="503"/>
      <c r="D1" s="503"/>
      <c r="E1" s="503"/>
      <c r="F1" s="503"/>
      <c r="G1" s="503"/>
      <c r="H1" s="504"/>
    </row>
    <row r="2" spans="1:15" ht="15.75" x14ac:dyDescent="0.25">
      <c r="A2" s="500" t="s">
        <v>3003</v>
      </c>
      <c r="B2" s="501"/>
      <c r="C2" s="501"/>
      <c r="D2" s="501"/>
      <c r="E2" s="501"/>
      <c r="F2" s="501"/>
      <c r="G2" s="501"/>
      <c r="H2" s="507"/>
    </row>
    <row r="3" spans="1:15" ht="16.5" thickBot="1" x14ac:dyDescent="0.3">
      <c r="A3" s="505" t="s">
        <v>4</v>
      </c>
      <c r="B3" s="506"/>
      <c r="C3" s="506"/>
      <c r="D3" s="506"/>
      <c r="E3" s="506"/>
      <c r="F3" s="506"/>
      <c r="G3" s="506"/>
      <c r="H3" s="508"/>
    </row>
    <row r="4" spans="1:15" ht="45.75" thickBot="1" x14ac:dyDescent="0.3">
      <c r="A4" s="103" t="s">
        <v>5</v>
      </c>
      <c r="B4" s="2" t="s">
        <v>6</v>
      </c>
      <c r="C4" s="3" t="s">
        <v>7</v>
      </c>
      <c r="D4" s="3" t="s">
        <v>40</v>
      </c>
      <c r="E4" s="4" t="s">
        <v>383</v>
      </c>
      <c r="F4" s="3" t="s">
        <v>41</v>
      </c>
      <c r="G4" s="4" t="s">
        <v>384</v>
      </c>
      <c r="H4" s="5" t="s">
        <v>8</v>
      </c>
    </row>
    <row r="5" spans="1:15" x14ac:dyDescent="0.25">
      <c r="A5" s="6">
        <v>43665</v>
      </c>
      <c r="B5" s="7" t="s">
        <v>359</v>
      </c>
      <c r="C5" s="8">
        <v>0</v>
      </c>
      <c r="D5" s="8">
        <v>0</v>
      </c>
      <c r="E5" s="8"/>
      <c r="F5" s="8"/>
      <c r="G5" s="8">
        <f>+C5+D5</f>
        <v>0</v>
      </c>
      <c r="H5" s="9">
        <v>6902230650</v>
      </c>
    </row>
    <row r="6" spans="1:15" x14ac:dyDescent="0.25">
      <c r="A6" s="135">
        <f t="shared" ref="A6:A13" si="0">A5+30</f>
        <v>43695</v>
      </c>
      <c r="B6" s="11" t="s">
        <v>9</v>
      </c>
      <c r="C6" s="12">
        <v>0</v>
      </c>
      <c r="D6" s="12">
        <f>H5*((1+$B$170)^(B$169/360)-1)</f>
        <v>166331153.88373128</v>
      </c>
      <c r="E6" s="12">
        <f>D6+C6</f>
        <v>166331153.88373128</v>
      </c>
      <c r="F6" s="12">
        <v>0</v>
      </c>
      <c r="G6" s="12">
        <f>+C6+F6</f>
        <v>0</v>
      </c>
      <c r="H6" s="13">
        <f t="shared" ref="H6:H62" si="1">+H5-C6</f>
        <v>6902230650</v>
      </c>
    </row>
    <row r="7" spans="1:15" x14ac:dyDescent="0.25">
      <c r="A7" s="135">
        <f t="shared" si="0"/>
        <v>43725</v>
      </c>
      <c r="B7" s="11" t="s">
        <v>9</v>
      </c>
      <c r="C7" s="12">
        <v>0</v>
      </c>
      <c r="D7" s="12">
        <f>H6*((1+$D$170)^(D$169/360)-1)</f>
        <v>173749009.70426667</v>
      </c>
      <c r="E7" s="12">
        <f t="shared" ref="E7:E62" si="2">D7+C7</f>
        <v>173749009.70426667</v>
      </c>
      <c r="F7" s="12">
        <v>0</v>
      </c>
      <c r="G7" s="12">
        <f t="shared" ref="G7:G62" si="3">+C7+F7</f>
        <v>0</v>
      </c>
      <c r="H7" s="13">
        <f t="shared" si="1"/>
        <v>6902230650</v>
      </c>
    </row>
    <row r="8" spans="1:15" x14ac:dyDescent="0.25">
      <c r="A8" s="135">
        <f t="shared" si="0"/>
        <v>43755</v>
      </c>
      <c r="B8" s="11" t="s">
        <v>9</v>
      </c>
      <c r="C8" s="12">
        <v>0</v>
      </c>
      <c r="D8" s="12">
        <f>H7*((1+$E$170)^(E$169/360)-1)</f>
        <v>191440522.2469497</v>
      </c>
      <c r="E8" s="12">
        <f t="shared" si="2"/>
        <v>191440522.2469497</v>
      </c>
      <c r="F8" s="12">
        <v>0</v>
      </c>
      <c r="G8" s="12">
        <f t="shared" si="3"/>
        <v>0</v>
      </c>
      <c r="H8" s="13">
        <f t="shared" si="1"/>
        <v>6902230650</v>
      </c>
    </row>
    <row r="9" spans="1:15" x14ac:dyDescent="0.25">
      <c r="A9" s="92">
        <f t="shared" si="0"/>
        <v>43785</v>
      </c>
      <c r="B9" s="11" t="s">
        <v>9</v>
      </c>
      <c r="C9" s="12">
        <v>0</v>
      </c>
      <c r="D9" s="12">
        <f>H8*((1+$E$170)^(E$169/360)-1)</f>
        <v>191440522.2469497</v>
      </c>
      <c r="E9" s="12">
        <f t="shared" si="2"/>
        <v>191440522.2469497</v>
      </c>
      <c r="F9" s="12">
        <v>0</v>
      </c>
      <c r="G9" s="12">
        <f t="shared" si="3"/>
        <v>0</v>
      </c>
      <c r="H9" s="13">
        <f t="shared" si="1"/>
        <v>6902230650</v>
      </c>
    </row>
    <row r="10" spans="1:15" x14ac:dyDescent="0.25">
      <c r="A10" s="92">
        <f t="shared" si="0"/>
        <v>43815</v>
      </c>
      <c r="B10" s="11" t="s">
        <v>9</v>
      </c>
      <c r="C10" s="12">
        <v>0</v>
      </c>
      <c r="D10" s="12">
        <f>H9*((1+$E$170)^(E$169/360)-1)</f>
        <v>191440522.2469497</v>
      </c>
      <c r="E10" s="12">
        <f t="shared" si="2"/>
        <v>191440522.2469497</v>
      </c>
      <c r="F10" s="12">
        <v>0</v>
      </c>
      <c r="G10" s="12">
        <f t="shared" si="3"/>
        <v>0</v>
      </c>
      <c r="H10" s="13">
        <f t="shared" si="1"/>
        <v>6902230650</v>
      </c>
    </row>
    <row r="11" spans="1:15" x14ac:dyDescent="0.25">
      <c r="A11" s="92">
        <f t="shared" si="0"/>
        <v>43845</v>
      </c>
      <c r="B11" s="11" t="s">
        <v>9</v>
      </c>
      <c r="C11" s="12">
        <v>0</v>
      </c>
      <c r="D11" s="12">
        <f>H10*((1+$E$170)^(E$169/360)-1)</f>
        <v>191440522.2469497</v>
      </c>
      <c r="E11" s="12">
        <f t="shared" si="2"/>
        <v>191440522.2469497</v>
      </c>
      <c r="F11" s="12">
        <v>0</v>
      </c>
      <c r="G11" s="12">
        <f t="shared" si="3"/>
        <v>0</v>
      </c>
      <c r="H11" s="13">
        <f t="shared" si="1"/>
        <v>6902230650</v>
      </c>
    </row>
    <row r="12" spans="1:15" x14ac:dyDescent="0.25">
      <c r="A12" s="92">
        <f t="shared" si="0"/>
        <v>43875</v>
      </c>
      <c r="B12" s="11" t="s">
        <v>9</v>
      </c>
      <c r="C12" s="12">
        <v>0</v>
      </c>
      <c r="D12" s="12">
        <f>H11*((1+$F$170)^(F$169/360)-1)</f>
        <v>191440522.2469497</v>
      </c>
      <c r="E12" s="12">
        <f t="shared" si="2"/>
        <v>191440522.2469497</v>
      </c>
      <c r="F12" s="12">
        <v>0</v>
      </c>
      <c r="G12" s="12">
        <f t="shared" si="3"/>
        <v>0</v>
      </c>
      <c r="H12" s="13">
        <f t="shared" si="1"/>
        <v>6902230650</v>
      </c>
    </row>
    <row r="13" spans="1:15" x14ac:dyDescent="0.25">
      <c r="A13" s="135">
        <f t="shared" si="0"/>
        <v>43905</v>
      </c>
      <c r="B13" s="11" t="s">
        <v>9</v>
      </c>
      <c r="C13" s="12">
        <v>0</v>
      </c>
      <c r="D13" s="12">
        <f>H12*((1+$F$170)^(F$169/360)-1)</f>
        <v>191440522.2469497</v>
      </c>
      <c r="E13" s="12">
        <f t="shared" si="2"/>
        <v>191440522.2469497</v>
      </c>
      <c r="F13" s="12">
        <v>0</v>
      </c>
      <c r="G13" s="12">
        <f t="shared" si="3"/>
        <v>0</v>
      </c>
      <c r="H13" s="13">
        <f t="shared" si="1"/>
        <v>6902230650</v>
      </c>
      <c r="N13" s="54"/>
      <c r="O13" s="54"/>
    </row>
    <row r="14" spans="1:15" x14ac:dyDescent="0.25">
      <c r="A14" s="135">
        <f t="shared" ref="A14:A30" si="4">A13+30</f>
        <v>43935</v>
      </c>
      <c r="B14" s="11" t="s">
        <v>9</v>
      </c>
      <c r="C14" s="12">
        <v>0</v>
      </c>
      <c r="D14" s="12">
        <f t="shared" ref="D14:D30" si="5">H13*((1+$F$170)^(F$169/360)-1)</f>
        <v>191440522.2469497</v>
      </c>
      <c r="E14" s="12"/>
      <c r="F14" s="12"/>
      <c r="G14" s="12"/>
      <c r="H14" s="13"/>
      <c r="N14" s="54"/>
      <c r="O14" s="54"/>
    </row>
    <row r="15" spans="1:15" x14ac:dyDescent="0.25">
      <c r="A15" s="135">
        <f t="shared" si="4"/>
        <v>43965</v>
      </c>
      <c r="B15" s="11" t="s">
        <v>9</v>
      </c>
      <c r="C15" s="12">
        <v>0</v>
      </c>
      <c r="D15" s="12">
        <f t="shared" si="5"/>
        <v>0</v>
      </c>
      <c r="E15" s="12"/>
      <c r="F15" s="12"/>
      <c r="G15" s="12"/>
      <c r="H15" s="13"/>
      <c r="N15" s="54"/>
      <c r="O15" s="54"/>
    </row>
    <row r="16" spans="1:15" x14ac:dyDescent="0.25">
      <c r="A16" s="135">
        <f t="shared" si="4"/>
        <v>43995</v>
      </c>
      <c r="B16" s="11" t="s">
        <v>9</v>
      </c>
      <c r="C16" s="12">
        <v>0</v>
      </c>
      <c r="D16" s="12">
        <f t="shared" si="5"/>
        <v>0</v>
      </c>
      <c r="E16" s="12"/>
      <c r="F16" s="12"/>
      <c r="G16" s="12"/>
      <c r="H16" s="13"/>
      <c r="N16" s="54"/>
      <c r="O16" s="54"/>
    </row>
    <row r="17" spans="1:15" x14ac:dyDescent="0.25">
      <c r="A17" s="135">
        <f t="shared" si="4"/>
        <v>44025</v>
      </c>
      <c r="B17" s="11" t="s">
        <v>9</v>
      </c>
      <c r="C17" s="12">
        <v>0</v>
      </c>
      <c r="D17" s="12">
        <f t="shared" si="5"/>
        <v>0</v>
      </c>
      <c r="E17" s="12"/>
      <c r="F17" s="12"/>
      <c r="G17" s="12"/>
      <c r="H17" s="13"/>
      <c r="N17" s="54"/>
      <c r="O17" s="54"/>
    </row>
    <row r="18" spans="1:15" x14ac:dyDescent="0.25">
      <c r="A18" s="135">
        <f t="shared" si="4"/>
        <v>44055</v>
      </c>
      <c r="B18" s="11" t="s">
        <v>9</v>
      </c>
      <c r="C18" s="12">
        <v>0</v>
      </c>
      <c r="D18" s="12">
        <f t="shared" si="5"/>
        <v>0</v>
      </c>
      <c r="E18" s="12"/>
      <c r="F18" s="12"/>
      <c r="G18" s="12"/>
      <c r="H18" s="13"/>
      <c r="N18" s="54"/>
      <c r="O18" s="54"/>
    </row>
    <row r="19" spans="1:15" x14ac:dyDescent="0.25">
      <c r="A19" s="135">
        <f t="shared" si="4"/>
        <v>44085</v>
      </c>
      <c r="B19" s="11" t="s">
        <v>9</v>
      </c>
      <c r="C19" s="12">
        <v>0</v>
      </c>
      <c r="D19" s="12">
        <f t="shared" si="5"/>
        <v>0</v>
      </c>
      <c r="E19" s="12"/>
      <c r="F19" s="12"/>
      <c r="G19" s="12"/>
      <c r="H19" s="13"/>
      <c r="N19" s="54"/>
      <c r="O19" s="54"/>
    </row>
    <row r="20" spans="1:15" x14ac:dyDescent="0.25">
      <c r="A20" s="135">
        <f t="shared" si="4"/>
        <v>44115</v>
      </c>
      <c r="B20" s="11" t="s">
        <v>9</v>
      </c>
      <c r="C20" s="12">
        <v>0</v>
      </c>
      <c r="D20" s="12">
        <f t="shared" si="5"/>
        <v>0</v>
      </c>
      <c r="E20" s="12"/>
      <c r="F20" s="12"/>
      <c r="G20" s="12"/>
      <c r="H20" s="13"/>
      <c r="N20" s="54"/>
      <c r="O20" s="54"/>
    </row>
    <row r="21" spans="1:15" x14ac:dyDescent="0.25">
      <c r="A21" s="135">
        <f t="shared" si="4"/>
        <v>44145</v>
      </c>
      <c r="B21" s="11" t="s">
        <v>9</v>
      </c>
      <c r="C21" s="12">
        <v>0</v>
      </c>
      <c r="D21" s="12">
        <f t="shared" si="5"/>
        <v>0</v>
      </c>
      <c r="E21" s="12"/>
      <c r="F21" s="12"/>
      <c r="G21" s="12"/>
      <c r="H21" s="13"/>
      <c r="N21" s="54"/>
      <c r="O21" s="54"/>
    </row>
    <row r="22" spans="1:15" x14ac:dyDescent="0.25">
      <c r="A22" s="135">
        <f t="shared" si="4"/>
        <v>44175</v>
      </c>
      <c r="B22" s="11" t="s">
        <v>9</v>
      </c>
      <c r="C22" s="12">
        <v>0</v>
      </c>
      <c r="D22" s="12">
        <f t="shared" si="5"/>
        <v>0</v>
      </c>
      <c r="E22" s="12"/>
      <c r="F22" s="12"/>
      <c r="G22" s="12"/>
      <c r="H22" s="13"/>
      <c r="N22" s="54"/>
      <c r="O22" s="54"/>
    </row>
    <row r="23" spans="1:15" x14ac:dyDescent="0.25">
      <c r="A23" s="135">
        <f t="shared" si="4"/>
        <v>44205</v>
      </c>
      <c r="B23" s="11" t="s">
        <v>9</v>
      </c>
      <c r="C23" s="12">
        <v>0</v>
      </c>
      <c r="D23" s="12">
        <f t="shared" si="5"/>
        <v>0</v>
      </c>
      <c r="E23" s="12"/>
      <c r="F23" s="12"/>
      <c r="G23" s="12"/>
      <c r="H23" s="13"/>
      <c r="N23" s="54"/>
      <c r="O23" s="54"/>
    </row>
    <row r="24" spans="1:15" x14ac:dyDescent="0.25">
      <c r="A24" s="135">
        <f t="shared" si="4"/>
        <v>44235</v>
      </c>
      <c r="B24" s="11" t="s">
        <v>9</v>
      </c>
      <c r="C24" s="12">
        <v>0</v>
      </c>
      <c r="D24" s="12">
        <f t="shared" si="5"/>
        <v>0</v>
      </c>
      <c r="E24" s="12"/>
      <c r="F24" s="12"/>
      <c r="G24" s="12"/>
      <c r="H24" s="13"/>
      <c r="N24" s="54"/>
      <c r="O24" s="54"/>
    </row>
    <row r="25" spans="1:15" x14ac:dyDescent="0.25">
      <c r="A25" s="135">
        <f t="shared" si="4"/>
        <v>44265</v>
      </c>
      <c r="B25" s="11" t="s">
        <v>9</v>
      </c>
      <c r="C25" s="12">
        <v>0</v>
      </c>
      <c r="D25" s="12">
        <f t="shared" si="5"/>
        <v>0</v>
      </c>
      <c r="E25" s="12"/>
      <c r="F25" s="12"/>
      <c r="G25" s="12"/>
      <c r="H25" s="13"/>
      <c r="N25" s="54"/>
      <c r="O25" s="54"/>
    </row>
    <row r="26" spans="1:15" x14ac:dyDescent="0.25">
      <c r="A26" s="135">
        <f t="shared" si="4"/>
        <v>44295</v>
      </c>
      <c r="B26" s="11" t="s">
        <v>9</v>
      </c>
      <c r="C26" s="12">
        <v>0</v>
      </c>
      <c r="D26" s="12">
        <f t="shared" si="5"/>
        <v>0</v>
      </c>
      <c r="E26" s="12"/>
      <c r="F26" s="12"/>
      <c r="G26" s="12"/>
      <c r="H26" s="13"/>
      <c r="N26" s="54"/>
      <c r="O26" s="54"/>
    </row>
    <row r="27" spans="1:15" x14ac:dyDescent="0.25">
      <c r="A27" s="135">
        <f t="shared" si="4"/>
        <v>44325</v>
      </c>
      <c r="B27" s="11" t="s">
        <v>9</v>
      </c>
      <c r="C27" s="12">
        <v>0</v>
      </c>
      <c r="D27" s="12">
        <f t="shared" si="5"/>
        <v>0</v>
      </c>
      <c r="E27" s="12"/>
      <c r="F27" s="12"/>
      <c r="G27" s="12"/>
      <c r="H27" s="13"/>
      <c r="N27" s="54"/>
      <c r="O27" s="54"/>
    </row>
    <row r="28" spans="1:15" x14ac:dyDescent="0.25">
      <c r="A28" s="135">
        <f t="shared" si="4"/>
        <v>44355</v>
      </c>
      <c r="B28" s="11" t="s">
        <v>9</v>
      </c>
      <c r="C28" s="12">
        <v>0</v>
      </c>
      <c r="D28" s="12">
        <f t="shared" si="5"/>
        <v>0</v>
      </c>
      <c r="E28" s="12"/>
      <c r="F28" s="12"/>
      <c r="G28" s="12"/>
      <c r="H28" s="13"/>
      <c r="N28" s="54"/>
      <c r="O28" s="54"/>
    </row>
    <row r="29" spans="1:15" x14ac:dyDescent="0.25">
      <c r="A29" s="135">
        <f t="shared" si="4"/>
        <v>44385</v>
      </c>
      <c r="B29" s="11" t="s">
        <v>9</v>
      </c>
      <c r="C29" s="12">
        <v>0</v>
      </c>
      <c r="D29" s="12">
        <f t="shared" si="5"/>
        <v>0</v>
      </c>
      <c r="E29" s="12"/>
      <c r="F29" s="12"/>
      <c r="G29" s="12"/>
      <c r="H29" s="13"/>
      <c r="N29" s="54"/>
      <c r="O29" s="54"/>
    </row>
    <row r="30" spans="1:15" x14ac:dyDescent="0.25">
      <c r="A30" s="135">
        <f t="shared" si="4"/>
        <v>44415</v>
      </c>
      <c r="B30" s="11" t="s">
        <v>9</v>
      </c>
      <c r="C30" s="12">
        <v>0</v>
      </c>
      <c r="D30" s="12">
        <f t="shared" si="5"/>
        <v>0</v>
      </c>
      <c r="E30" s="12"/>
      <c r="F30" s="12"/>
      <c r="G30" s="12"/>
      <c r="H30" s="13"/>
      <c r="N30" s="54"/>
      <c r="O30" s="54"/>
    </row>
    <row r="31" spans="1:15" x14ac:dyDescent="0.25">
      <c r="A31" s="135">
        <f>A13+30</f>
        <v>43935</v>
      </c>
      <c r="B31" s="11" t="s">
        <v>10</v>
      </c>
      <c r="C31" s="18">
        <f>+$H$5/120</f>
        <v>57518588.75</v>
      </c>
      <c r="D31" s="12">
        <f>H13*((1+$F$170)^(F$169/360)-1)</f>
        <v>191440522.2469497</v>
      </c>
      <c r="E31" s="12">
        <f t="shared" si="2"/>
        <v>248959110.9969497</v>
      </c>
      <c r="F31" s="12"/>
      <c r="G31" s="12">
        <f t="shared" si="3"/>
        <v>57518588.75</v>
      </c>
      <c r="H31" s="13">
        <f>+H13-C31</f>
        <v>6844712061.25</v>
      </c>
    </row>
    <row r="32" spans="1:15" x14ac:dyDescent="0.25">
      <c r="A32" s="135">
        <f>A31+92</f>
        <v>44027</v>
      </c>
      <c r="B32" s="11" t="s">
        <v>10</v>
      </c>
      <c r="C32" s="18">
        <f t="shared" ref="C32:C95" si="6">+$H$5/120</f>
        <v>57518588.75</v>
      </c>
      <c r="D32" s="12">
        <f>H31*((1+$F$170)^(F$169/360)-1)</f>
        <v>189845184.56155846</v>
      </c>
      <c r="E32" s="12">
        <f t="shared" si="2"/>
        <v>247363773.31155846</v>
      </c>
      <c r="F32" s="12"/>
      <c r="G32" s="12">
        <f t="shared" si="3"/>
        <v>57518588.75</v>
      </c>
      <c r="H32" s="13">
        <f t="shared" si="1"/>
        <v>6787193472.5</v>
      </c>
    </row>
    <row r="33" spans="1:8" x14ac:dyDescent="0.25">
      <c r="A33" s="135">
        <f>A32+92</f>
        <v>44119</v>
      </c>
      <c r="B33" s="11" t="s">
        <v>10</v>
      </c>
      <c r="C33" s="18">
        <f t="shared" si="6"/>
        <v>57518588.75</v>
      </c>
      <c r="D33" s="12">
        <f>H32*((1+$G$170)^(G$169/360)-1)</f>
        <v>188249846.87616721</v>
      </c>
      <c r="E33" s="12">
        <f t="shared" si="2"/>
        <v>245768435.62616721</v>
      </c>
      <c r="F33" s="12"/>
      <c r="G33" s="12">
        <f t="shared" si="3"/>
        <v>57518588.75</v>
      </c>
      <c r="H33" s="13">
        <f t="shared" si="1"/>
        <v>6729674883.75</v>
      </c>
    </row>
    <row r="34" spans="1:8" x14ac:dyDescent="0.25">
      <c r="A34" s="92">
        <f>A33+92</f>
        <v>44211</v>
      </c>
      <c r="B34" s="11" t="s">
        <v>10</v>
      </c>
      <c r="C34" s="18">
        <f t="shared" si="6"/>
        <v>57518588.75</v>
      </c>
      <c r="D34" s="12">
        <f>H33*((1+$G$170)^(G$169/360)-1)</f>
        <v>186654509.19077596</v>
      </c>
      <c r="E34" s="12">
        <f t="shared" si="2"/>
        <v>244173097.94077596</v>
      </c>
      <c r="F34" s="12"/>
      <c r="G34" s="12">
        <f t="shared" si="3"/>
        <v>57518588.75</v>
      </c>
      <c r="H34" s="13">
        <f t="shared" si="1"/>
        <v>6672156295</v>
      </c>
    </row>
    <row r="35" spans="1:8" x14ac:dyDescent="0.25">
      <c r="A35" s="92">
        <f>A34+89</f>
        <v>44300</v>
      </c>
      <c r="B35" s="11" t="s">
        <v>10</v>
      </c>
      <c r="C35" s="18">
        <f t="shared" si="6"/>
        <v>57518588.75</v>
      </c>
      <c r="D35" s="12">
        <f>H34*((1+$G$170)^(G$169/360)-1)</f>
        <v>185059171.50538471</v>
      </c>
      <c r="E35" s="12">
        <f t="shared" si="2"/>
        <v>242577760.25538471</v>
      </c>
      <c r="F35" s="12"/>
      <c r="G35" s="12">
        <f t="shared" si="3"/>
        <v>57518588.75</v>
      </c>
      <c r="H35" s="13">
        <f t="shared" si="1"/>
        <v>6614637706.25</v>
      </c>
    </row>
    <row r="36" spans="1:8" x14ac:dyDescent="0.25">
      <c r="A36" s="92">
        <f>A35+92</f>
        <v>44392</v>
      </c>
      <c r="B36" s="11" t="s">
        <v>10</v>
      </c>
      <c r="C36" s="18">
        <f t="shared" si="6"/>
        <v>57518588.75</v>
      </c>
      <c r="D36" s="12">
        <f>H35*((1+$G$170)^(G$169/360)-1)</f>
        <v>183463833.81999347</v>
      </c>
      <c r="E36" s="12">
        <f t="shared" si="2"/>
        <v>240982422.56999347</v>
      </c>
      <c r="F36" s="12"/>
      <c r="G36" s="12">
        <f t="shared" si="3"/>
        <v>57518588.75</v>
      </c>
      <c r="H36" s="13">
        <f t="shared" si="1"/>
        <v>6557119117.5</v>
      </c>
    </row>
    <row r="37" spans="1:8" x14ac:dyDescent="0.25">
      <c r="A37" s="92">
        <f>A36+92</f>
        <v>44484</v>
      </c>
      <c r="B37" s="11" t="s">
        <v>10</v>
      </c>
      <c r="C37" s="18">
        <f t="shared" si="6"/>
        <v>57518588.75</v>
      </c>
      <c r="D37" s="12">
        <f>H36*((1+$H$170)^(H$169/360)-1)</f>
        <v>181868496.13460222</v>
      </c>
      <c r="E37" s="12">
        <f t="shared" si="2"/>
        <v>239387084.88460222</v>
      </c>
      <c r="F37" s="12"/>
      <c r="G37" s="12">
        <f t="shared" si="3"/>
        <v>57518588.75</v>
      </c>
      <c r="H37" s="13">
        <f t="shared" si="1"/>
        <v>6499600528.75</v>
      </c>
    </row>
    <row r="38" spans="1:8" x14ac:dyDescent="0.25">
      <c r="A38" s="135">
        <f>A37+92</f>
        <v>44576</v>
      </c>
      <c r="B38" s="11" t="s">
        <v>10</v>
      </c>
      <c r="C38" s="18">
        <f t="shared" si="6"/>
        <v>57518588.75</v>
      </c>
      <c r="D38" s="12">
        <f>H37*((1+$H$170)^(H$169/360)-1)</f>
        <v>180273158.44921097</v>
      </c>
      <c r="E38" s="12">
        <f t="shared" si="2"/>
        <v>237791747.19921097</v>
      </c>
      <c r="F38" s="12"/>
      <c r="G38" s="12">
        <f t="shared" si="3"/>
        <v>57518588.75</v>
      </c>
      <c r="H38" s="13">
        <f t="shared" si="1"/>
        <v>6442081940</v>
      </c>
    </row>
    <row r="39" spans="1:8" x14ac:dyDescent="0.25">
      <c r="A39" s="135">
        <f>A38+89</f>
        <v>44665</v>
      </c>
      <c r="B39" s="11" t="s">
        <v>10</v>
      </c>
      <c r="C39" s="18">
        <f t="shared" si="6"/>
        <v>57518588.75</v>
      </c>
      <c r="D39" s="12">
        <f>H38*((1+$H$170)^(H$169/360)-1)</f>
        <v>178677820.76381972</v>
      </c>
      <c r="E39" s="12">
        <f t="shared" si="2"/>
        <v>236196409.51381972</v>
      </c>
      <c r="F39" s="12"/>
      <c r="G39" s="12">
        <f t="shared" si="3"/>
        <v>57518588.75</v>
      </c>
      <c r="H39" s="13">
        <f t="shared" si="1"/>
        <v>6384563351.25</v>
      </c>
    </row>
    <row r="40" spans="1:8" x14ac:dyDescent="0.25">
      <c r="A40" s="135">
        <f>A39+92</f>
        <v>44757</v>
      </c>
      <c r="B40" s="11" t="s">
        <v>10</v>
      </c>
      <c r="C40" s="18">
        <f t="shared" si="6"/>
        <v>57518588.75</v>
      </c>
      <c r="D40" s="12">
        <f>H39*((1+$H$170)^(H$169/360)-1)</f>
        <v>177082483.07842848</v>
      </c>
      <c r="E40" s="12">
        <f t="shared" si="2"/>
        <v>234601071.82842848</v>
      </c>
      <c r="F40" s="12"/>
      <c r="G40" s="12">
        <f t="shared" si="3"/>
        <v>57518588.75</v>
      </c>
      <c r="H40" s="13">
        <f t="shared" si="1"/>
        <v>6327044762.5</v>
      </c>
    </row>
    <row r="41" spans="1:8" x14ac:dyDescent="0.25">
      <c r="A41" s="135">
        <f>A40+92</f>
        <v>44849</v>
      </c>
      <c r="B41" s="11" t="s">
        <v>10</v>
      </c>
      <c r="C41" s="18">
        <f t="shared" si="6"/>
        <v>57518588.75</v>
      </c>
      <c r="D41" s="12">
        <f>H40*((1+$I$170)^(I$169/360)-1)</f>
        <v>175487145.39303723</v>
      </c>
      <c r="E41" s="12">
        <f t="shared" si="2"/>
        <v>233005734.14303723</v>
      </c>
      <c r="F41" s="12"/>
      <c r="G41" s="12">
        <f t="shared" si="3"/>
        <v>57518588.75</v>
      </c>
      <c r="H41" s="13">
        <f t="shared" si="1"/>
        <v>6269526173.75</v>
      </c>
    </row>
    <row r="42" spans="1:8" x14ac:dyDescent="0.25">
      <c r="A42" s="92">
        <f>A41+92</f>
        <v>44941</v>
      </c>
      <c r="B42" s="11" t="s">
        <v>10</v>
      </c>
      <c r="C42" s="18">
        <f t="shared" si="6"/>
        <v>57518588.75</v>
      </c>
      <c r="D42" s="12">
        <f>H41*((1+$I$170)^(I$169/360)-1)</f>
        <v>173891807.70764598</v>
      </c>
      <c r="E42" s="12">
        <f t="shared" si="2"/>
        <v>231410396.45764598</v>
      </c>
      <c r="F42" s="12"/>
      <c r="G42" s="12">
        <f t="shared" si="3"/>
        <v>57518588.75</v>
      </c>
      <c r="H42" s="13">
        <f t="shared" si="1"/>
        <v>6212007585</v>
      </c>
    </row>
    <row r="43" spans="1:8" x14ac:dyDescent="0.25">
      <c r="A43" s="92">
        <f>A42+90</f>
        <v>45031</v>
      </c>
      <c r="B43" s="11" t="s">
        <v>10</v>
      </c>
      <c r="C43" s="18">
        <f t="shared" si="6"/>
        <v>57518588.75</v>
      </c>
      <c r="D43" s="12">
        <f>H42*((1+$I$170)^(I$169/360)-1)</f>
        <v>172296470.02225474</v>
      </c>
      <c r="E43" s="12">
        <f t="shared" si="2"/>
        <v>229815058.77225474</v>
      </c>
      <c r="F43" s="12"/>
      <c r="G43" s="12">
        <f t="shared" si="3"/>
        <v>57518588.75</v>
      </c>
      <c r="H43" s="13">
        <f t="shared" si="1"/>
        <v>6154488996.25</v>
      </c>
    </row>
    <row r="44" spans="1:8" x14ac:dyDescent="0.25">
      <c r="A44" s="92">
        <f>A43+92</f>
        <v>45123</v>
      </c>
      <c r="B44" s="11" t="s">
        <v>10</v>
      </c>
      <c r="C44" s="18">
        <f t="shared" si="6"/>
        <v>57518588.75</v>
      </c>
      <c r="D44" s="12">
        <f>H43*((1+$I$170)^(I$169/360)-1)</f>
        <v>170701132.33686349</v>
      </c>
      <c r="E44" s="12">
        <f t="shared" si="2"/>
        <v>228219721.08686349</v>
      </c>
      <c r="F44" s="12"/>
      <c r="G44" s="12">
        <f t="shared" si="3"/>
        <v>57518588.75</v>
      </c>
      <c r="H44" s="13">
        <f t="shared" si="1"/>
        <v>6096970407.5</v>
      </c>
    </row>
    <row r="45" spans="1:8" x14ac:dyDescent="0.25">
      <c r="A45" s="92">
        <f>A44+92</f>
        <v>45215</v>
      </c>
      <c r="B45" s="11" t="s">
        <v>10</v>
      </c>
      <c r="C45" s="18">
        <f t="shared" si="6"/>
        <v>57518588.75</v>
      </c>
      <c r="D45" s="12">
        <f>H44*((1+$J$170)^(J$169/360)-1)</f>
        <v>169105794.65147224</v>
      </c>
      <c r="E45" s="12">
        <f t="shared" si="2"/>
        <v>226624383.40147224</v>
      </c>
      <c r="F45" s="12"/>
      <c r="G45" s="12">
        <f t="shared" si="3"/>
        <v>57518588.75</v>
      </c>
      <c r="H45" s="13">
        <f t="shared" si="1"/>
        <v>6039451818.75</v>
      </c>
    </row>
    <row r="46" spans="1:8" x14ac:dyDescent="0.25">
      <c r="A46" s="135">
        <f>A45+92</f>
        <v>45307</v>
      </c>
      <c r="B46" s="11" t="s">
        <v>10</v>
      </c>
      <c r="C46" s="18">
        <f t="shared" si="6"/>
        <v>57518588.75</v>
      </c>
      <c r="D46" s="12">
        <f>H45*((1+$J$170)^(J$169/360)-1)</f>
        <v>167510456.96608099</v>
      </c>
      <c r="E46" s="12">
        <f t="shared" si="2"/>
        <v>225029045.71608099</v>
      </c>
      <c r="F46" s="12"/>
      <c r="G46" s="12">
        <f t="shared" si="3"/>
        <v>57518588.75</v>
      </c>
      <c r="H46" s="13">
        <f t="shared" si="1"/>
        <v>5981933230</v>
      </c>
    </row>
    <row r="47" spans="1:8" x14ac:dyDescent="0.25">
      <c r="A47" s="135">
        <f>A46+89</f>
        <v>45396</v>
      </c>
      <c r="B47" s="11" t="s">
        <v>10</v>
      </c>
      <c r="C47" s="18">
        <f t="shared" si="6"/>
        <v>57518588.75</v>
      </c>
      <c r="D47" s="12">
        <f>H46*((1+$J$170)^(J$169/360)-1)</f>
        <v>165915119.28068975</v>
      </c>
      <c r="E47" s="12">
        <f t="shared" si="2"/>
        <v>223433708.03068975</v>
      </c>
      <c r="F47" s="12"/>
      <c r="G47" s="12">
        <f t="shared" si="3"/>
        <v>57518588.75</v>
      </c>
      <c r="H47" s="13">
        <f t="shared" si="1"/>
        <v>5924414641.25</v>
      </c>
    </row>
    <row r="48" spans="1:8" x14ac:dyDescent="0.25">
      <c r="A48" s="135">
        <f>A47+92</f>
        <v>45488</v>
      </c>
      <c r="B48" s="11" t="s">
        <v>10</v>
      </c>
      <c r="C48" s="18">
        <f t="shared" si="6"/>
        <v>57518588.75</v>
      </c>
      <c r="D48" s="12">
        <f>H47*((1+$J$170)^(J$169/360)-1)</f>
        <v>164319781.5952985</v>
      </c>
      <c r="E48" s="12">
        <f t="shared" si="2"/>
        <v>221838370.3452985</v>
      </c>
      <c r="F48" s="12"/>
      <c r="G48" s="12">
        <f t="shared" si="3"/>
        <v>57518588.75</v>
      </c>
      <c r="H48" s="13">
        <f t="shared" si="1"/>
        <v>5866896052.5</v>
      </c>
    </row>
    <row r="49" spans="1:8" x14ac:dyDescent="0.25">
      <c r="A49" s="135">
        <f>A48+92</f>
        <v>45580</v>
      </c>
      <c r="B49" s="11" t="s">
        <v>10</v>
      </c>
      <c r="C49" s="18">
        <f t="shared" si="6"/>
        <v>57518588.75</v>
      </c>
      <c r="D49" s="12">
        <f>H48*((1+$K$170)^(K$169/360)-1)</f>
        <v>162724443.90990725</v>
      </c>
      <c r="E49" s="12">
        <f t="shared" si="2"/>
        <v>220243032.65990725</v>
      </c>
      <c r="F49" s="12"/>
      <c r="G49" s="12">
        <f t="shared" si="3"/>
        <v>57518588.75</v>
      </c>
      <c r="H49" s="13">
        <f t="shared" si="1"/>
        <v>5809377463.75</v>
      </c>
    </row>
    <row r="50" spans="1:8" x14ac:dyDescent="0.25">
      <c r="A50" s="92">
        <f>A49+92</f>
        <v>45672</v>
      </c>
      <c r="B50" s="11" t="s">
        <v>10</v>
      </c>
      <c r="C50" s="18">
        <f t="shared" si="6"/>
        <v>57518588.75</v>
      </c>
      <c r="D50" s="12">
        <f>H49*((1+$K$170)^(K$169/360)-1)</f>
        <v>161129106.224516</v>
      </c>
      <c r="E50" s="12">
        <f t="shared" si="2"/>
        <v>218647694.974516</v>
      </c>
      <c r="F50" s="12"/>
      <c r="G50" s="12">
        <f t="shared" si="3"/>
        <v>57518588.75</v>
      </c>
      <c r="H50" s="13">
        <f t="shared" si="1"/>
        <v>5751858875</v>
      </c>
    </row>
    <row r="51" spans="1:8" x14ac:dyDescent="0.25">
      <c r="A51" s="92">
        <f>A50+89</f>
        <v>45761</v>
      </c>
      <c r="B51" s="11" t="s">
        <v>10</v>
      </c>
      <c r="C51" s="18">
        <f t="shared" si="6"/>
        <v>57518588.75</v>
      </c>
      <c r="D51" s="12">
        <f>H50*((1+$K$170)^(K$169/360)-1)</f>
        <v>159533768.53912476</v>
      </c>
      <c r="E51" s="12">
        <f t="shared" si="2"/>
        <v>217052357.28912476</v>
      </c>
      <c r="F51" s="12"/>
      <c r="G51" s="12">
        <f t="shared" si="3"/>
        <v>57518588.75</v>
      </c>
      <c r="H51" s="13">
        <f t="shared" si="1"/>
        <v>5694340286.25</v>
      </c>
    </row>
    <row r="52" spans="1:8" x14ac:dyDescent="0.25">
      <c r="A52" s="92">
        <f>A51+92</f>
        <v>45853</v>
      </c>
      <c r="B52" s="11" t="s">
        <v>10</v>
      </c>
      <c r="C52" s="18">
        <f t="shared" si="6"/>
        <v>57518588.75</v>
      </c>
      <c r="D52" s="12">
        <f>H51*((1+$K$170)^(K$169/360)-1)</f>
        <v>157938430.85373351</v>
      </c>
      <c r="E52" s="12">
        <f t="shared" si="2"/>
        <v>215457019.60373351</v>
      </c>
      <c r="F52" s="12"/>
      <c r="G52" s="12">
        <f t="shared" si="3"/>
        <v>57518588.75</v>
      </c>
      <c r="H52" s="13">
        <f t="shared" si="1"/>
        <v>5636821697.5</v>
      </c>
    </row>
    <row r="53" spans="1:8" x14ac:dyDescent="0.25">
      <c r="A53" s="92">
        <f>A52+92</f>
        <v>45945</v>
      </c>
      <c r="B53" s="11" t="s">
        <v>10</v>
      </c>
      <c r="C53" s="18">
        <f t="shared" si="6"/>
        <v>57518588.75</v>
      </c>
      <c r="D53" s="12">
        <f>H52*((1+$L$170)^(L$169/360)-1)</f>
        <v>156343093.16834226</v>
      </c>
      <c r="E53" s="12">
        <f t="shared" si="2"/>
        <v>213861681.91834226</v>
      </c>
      <c r="F53" s="12"/>
      <c r="G53" s="12">
        <f t="shared" si="3"/>
        <v>57518588.75</v>
      </c>
      <c r="H53" s="13">
        <f t="shared" si="1"/>
        <v>5579303108.75</v>
      </c>
    </row>
    <row r="54" spans="1:8" x14ac:dyDescent="0.25">
      <c r="A54" s="135">
        <f>A53+92</f>
        <v>46037</v>
      </c>
      <c r="B54" s="11" t="s">
        <v>10</v>
      </c>
      <c r="C54" s="18">
        <f t="shared" si="6"/>
        <v>57518588.75</v>
      </c>
      <c r="D54" s="12">
        <f>H53*((1+$L$170)^(L$169/360)-1)</f>
        <v>154747755.48295102</v>
      </c>
      <c r="E54" s="12">
        <f t="shared" si="2"/>
        <v>212266344.23295102</v>
      </c>
      <c r="F54" s="12"/>
      <c r="G54" s="12">
        <f t="shared" si="3"/>
        <v>57518588.75</v>
      </c>
      <c r="H54" s="13">
        <f t="shared" si="1"/>
        <v>5521784520</v>
      </c>
    </row>
    <row r="55" spans="1:8" x14ac:dyDescent="0.25">
      <c r="A55" s="135">
        <f>A54+89</f>
        <v>46126</v>
      </c>
      <c r="B55" s="11" t="s">
        <v>10</v>
      </c>
      <c r="C55" s="18">
        <f t="shared" si="6"/>
        <v>57518588.75</v>
      </c>
      <c r="D55" s="12">
        <f>H54*((1+$L$170)^(L$169/360)-1)</f>
        <v>153152417.79755977</v>
      </c>
      <c r="E55" s="12">
        <f t="shared" si="2"/>
        <v>210671006.54755977</v>
      </c>
      <c r="F55" s="12"/>
      <c r="G55" s="12">
        <f t="shared" si="3"/>
        <v>57518588.75</v>
      </c>
      <c r="H55" s="13">
        <f t="shared" si="1"/>
        <v>5464265931.25</v>
      </c>
    </row>
    <row r="56" spans="1:8" x14ac:dyDescent="0.25">
      <c r="A56" s="135">
        <f>A55+92</f>
        <v>46218</v>
      </c>
      <c r="B56" s="11" t="s">
        <v>10</v>
      </c>
      <c r="C56" s="18">
        <f t="shared" si="6"/>
        <v>57518588.75</v>
      </c>
      <c r="D56" s="12">
        <f>H55*((1+$L$170)^(L$169/360)-1)</f>
        <v>151557080.11216852</v>
      </c>
      <c r="E56" s="12">
        <f t="shared" si="2"/>
        <v>209075668.86216852</v>
      </c>
      <c r="F56" s="12"/>
      <c r="G56" s="12">
        <f t="shared" si="3"/>
        <v>57518588.75</v>
      </c>
      <c r="H56" s="13">
        <f t="shared" si="1"/>
        <v>5406747342.5</v>
      </c>
    </row>
    <row r="57" spans="1:8" x14ac:dyDescent="0.25">
      <c r="A57" s="135">
        <f>A56+92</f>
        <v>46310</v>
      </c>
      <c r="B57" s="11" t="s">
        <v>10</v>
      </c>
      <c r="C57" s="18">
        <f t="shared" si="6"/>
        <v>57518588.75</v>
      </c>
      <c r="D57" s="12">
        <f>H56*((1+$M$170)^(M$169/360)-1)</f>
        <v>149961742.42677727</v>
      </c>
      <c r="E57" s="12">
        <f t="shared" si="2"/>
        <v>207480331.17677727</v>
      </c>
      <c r="F57" s="12"/>
      <c r="G57" s="12">
        <f t="shared" si="3"/>
        <v>57518588.75</v>
      </c>
      <c r="H57" s="13">
        <f t="shared" si="1"/>
        <v>5349228753.75</v>
      </c>
    </row>
    <row r="58" spans="1:8" x14ac:dyDescent="0.25">
      <c r="A58" s="92">
        <f>A57+92</f>
        <v>46402</v>
      </c>
      <c r="B58" s="11" t="s">
        <v>10</v>
      </c>
      <c r="C58" s="18">
        <f t="shared" si="6"/>
        <v>57518588.75</v>
      </c>
      <c r="D58" s="12">
        <f>H57*((1+$M$170)^(M$169/360)-1)</f>
        <v>148366404.74138603</v>
      </c>
      <c r="E58" s="12">
        <f t="shared" si="2"/>
        <v>205884993.49138603</v>
      </c>
      <c r="F58" s="12"/>
      <c r="G58" s="12">
        <f t="shared" si="3"/>
        <v>57518588.75</v>
      </c>
      <c r="H58" s="13">
        <f t="shared" si="1"/>
        <v>5291710165</v>
      </c>
    </row>
    <row r="59" spans="1:8" x14ac:dyDescent="0.25">
      <c r="A59" s="92">
        <f>A58+90</f>
        <v>46492</v>
      </c>
      <c r="B59" s="11" t="s">
        <v>10</v>
      </c>
      <c r="C59" s="18">
        <f t="shared" si="6"/>
        <v>57518588.75</v>
      </c>
      <c r="D59" s="12">
        <f>H58*((1+$M$170)^(M$169/360)-1)</f>
        <v>146771067.05599478</v>
      </c>
      <c r="E59" s="12">
        <f t="shared" si="2"/>
        <v>204289655.80599478</v>
      </c>
      <c r="F59" s="12"/>
      <c r="G59" s="12">
        <f t="shared" si="3"/>
        <v>57518588.75</v>
      </c>
      <c r="H59" s="13">
        <f t="shared" si="1"/>
        <v>5234191576.25</v>
      </c>
    </row>
    <row r="60" spans="1:8" x14ac:dyDescent="0.25">
      <c r="A60" s="92">
        <f>A59+92</f>
        <v>46584</v>
      </c>
      <c r="B60" s="11" t="s">
        <v>10</v>
      </c>
      <c r="C60" s="18">
        <f t="shared" si="6"/>
        <v>57518588.75</v>
      </c>
      <c r="D60" s="12">
        <f>H59*((1+$M$170)^(M$169/360)-1)</f>
        <v>145175729.37060353</v>
      </c>
      <c r="E60" s="12">
        <f t="shared" si="2"/>
        <v>202694318.12060353</v>
      </c>
      <c r="F60" s="12"/>
      <c r="G60" s="12">
        <f t="shared" si="3"/>
        <v>57518588.75</v>
      </c>
      <c r="H60" s="13">
        <f t="shared" si="1"/>
        <v>5176672987.5</v>
      </c>
    </row>
    <row r="61" spans="1:8" x14ac:dyDescent="0.25">
      <c r="A61" s="92">
        <f>A60+92</f>
        <v>46676</v>
      </c>
      <c r="B61" s="11" t="s">
        <v>10</v>
      </c>
      <c r="C61" s="18">
        <f t="shared" si="6"/>
        <v>57518588.75</v>
      </c>
      <c r="D61" s="12">
        <f>H60*((1+$N$170)^(N$169/360)-1)</f>
        <v>143580391.68521228</v>
      </c>
      <c r="E61" s="12">
        <f t="shared" si="2"/>
        <v>201098980.43521228</v>
      </c>
      <c r="F61" s="12"/>
      <c r="G61" s="12">
        <f t="shared" si="3"/>
        <v>57518588.75</v>
      </c>
      <c r="H61" s="13">
        <f t="shared" si="1"/>
        <v>5119154398.75</v>
      </c>
    </row>
    <row r="62" spans="1:8" x14ac:dyDescent="0.25">
      <c r="A62" s="135">
        <f>A61+92</f>
        <v>46768</v>
      </c>
      <c r="B62" s="11" t="s">
        <v>10</v>
      </c>
      <c r="C62" s="18">
        <f t="shared" si="6"/>
        <v>57518588.75</v>
      </c>
      <c r="D62" s="12">
        <f>H61*((1+$N$170)^(N$169/360)-1)</f>
        <v>141985053.99982104</v>
      </c>
      <c r="E62" s="12">
        <f t="shared" si="2"/>
        <v>199503642.74982104</v>
      </c>
      <c r="F62" s="12"/>
      <c r="G62" s="12">
        <f t="shared" si="3"/>
        <v>57518588.75</v>
      </c>
      <c r="H62" s="13">
        <f t="shared" si="1"/>
        <v>5061635810</v>
      </c>
    </row>
    <row r="63" spans="1:8" x14ac:dyDescent="0.25">
      <c r="A63" s="309"/>
      <c r="B63" s="11"/>
      <c r="C63" s="18">
        <f t="shared" si="6"/>
        <v>57518588.75</v>
      </c>
      <c r="D63" s="12"/>
      <c r="E63" s="12"/>
      <c r="F63" s="12"/>
      <c r="G63" s="12"/>
      <c r="H63" s="96"/>
    </row>
    <row r="64" spans="1:8" x14ac:dyDescent="0.25">
      <c r="A64" s="309"/>
      <c r="B64" s="11"/>
      <c r="C64" s="18">
        <f t="shared" si="6"/>
        <v>57518588.75</v>
      </c>
      <c r="D64" s="12"/>
      <c r="E64" s="12"/>
      <c r="F64" s="12"/>
      <c r="G64" s="12"/>
      <c r="H64" s="96"/>
    </row>
    <row r="65" spans="1:8" x14ac:dyDescent="0.25">
      <c r="A65" s="309"/>
      <c r="B65" s="11"/>
      <c r="C65" s="18">
        <f t="shared" si="6"/>
        <v>57518588.75</v>
      </c>
      <c r="D65" s="12"/>
      <c r="E65" s="12"/>
      <c r="F65" s="12"/>
      <c r="G65" s="12"/>
      <c r="H65" s="96"/>
    </row>
    <row r="66" spans="1:8" x14ac:dyDescent="0.25">
      <c r="A66" s="309"/>
      <c r="B66" s="11"/>
      <c r="C66" s="18">
        <f t="shared" si="6"/>
        <v>57518588.75</v>
      </c>
      <c r="D66" s="12"/>
      <c r="E66" s="12"/>
      <c r="F66" s="12"/>
      <c r="G66" s="12"/>
      <c r="H66" s="96"/>
    </row>
    <row r="67" spans="1:8" x14ac:dyDescent="0.25">
      <c r="A67" s="309"/>
      <c r="B67" s="11"/>
      <c r="C67" s="18">
        <f t="shared" si="6"/>
        <v>57518588.75</v>
      </c>
      <c r="D67" s="12"/>
      <c r="E67" s="12"/>
      <c r="F67" s="12"/>
      <c r="G67" s="12"/>
      <c r="H67" s="96"/>
    </row>
    <row r="68" spans="1:8" x14ac:dyDescent="0.25">
      <c r="A68" s="309"/>
      <c r="B68" s="11"/>
      <c r="C68" s="18">
        <f t="shared" si="6"/>
        <v>57518588.75</v>
      </c>
      <c r="D68" s="12"/>
      <c r="E68" s="12"/>
      <c r="F68" s="12"/>
      <c r="G68" s="12"/>
      <c r="H68" s="96"/>
    </row>
    <row r="69" spans="1:8" x14ac:dyDescent="0.25">
      <c r="A69" s="309"/>
      <c r="B69" s="11"/>
      <c r="C69" s="18">
        <f t="shared" si="6"/>
        <v>57518588.75</v>
      </c>
      <c r="D69" s="12"/>
      <c r="E69" s="12"/>
      <c r="F69" s="12"/>
      <c r="G69" s="12"/>
      <c r="H69" s="96"/>
    </row>
    <row r="70" spans="1:8" x14ac:dyDescent="0.25">
      <c r="A70" s="309"/>
      <c r="B70" s="11"/>
      <c r="C70" s="18">
        <f t="shared" si="6"/>
        <v>57518588.75</v>
      </c>
      <c r="D70" s="12"/>
      <c r="E70" s="12"/>
      <c r="F70" s="12"/>
      <c r="G70" s="12"/>
      <c r="H70" s="96"/>
    </row>
    <row r="71" spans="1:8" x14ac:dyDescent="0.25">
      <c r="A71" s="309"/>
      <c r="B71" s="11"/>
      <c r="C71" s="18">
        <f t="shared" si="6"/>
        <v>57518588.75</v>
      </c>
      <c r="D71" s="12"/>
      <c r="E71" s="12"/>
      <c r="F71" s="12"/>
      <c r="G71" s="12"/>
      <c r="H71" s="96"/>
    </row>
    <row r="72" spans="1:8" x14ac:dyDescent="0.25">
      <c r="A72" s="309"/>
      <c r="B72" s="11"/>
      <c r="C72" s="18">
        <f t="shared" si="6"/>
        <v>57518588.75</v>
      </c>
      <c r="D72" s="12"/>
      <c r="E72" s="12"/>
      <c r="F72" s="12"/>
      <c r="G72" s="12"/>
      <c r="H72" s="96"/>
    </row>
    <row r="73" spans="1:8" x14ac:dyDescent="0.25">
      <c r="A73" s="309"/>
      <c r="B73" s="11"/>
      <c r="C73" s="18">
        <f t="shared" si="6"/>
        <v>57518588.75</v>
      </c>
      <c r="D73" s="12"/>
      <c r="E73" s="12"/>
      <c r="F73" s="12"/>
      <c r="G73" s="12"/>
      <c r="H73" s="96"/>
    </row>
    <row r="74" spans="1:8" x14ac:dyDescent="0.25">
      <c r="A74" s="309"/>
      <c r="B74" s="11"/>
      <c r="C74" s="18">
        <f t="shared" si="6"/>
        <v>57518588.75</v>
      </c>
      <c r="D74" s="12"/>
      <c r="E74" s="12"/>
      <c r="F74" s="12"/>
      <c r="G74" s="12"/>
      <c r="H74" s="96"/>
    </row>
    <row r="75" spans="1:8" x14ac:dyDescent="0.25">
      <c r="A75" s="309"/>
      <c r="B75" s="11"/>
      <c r="C75" s="18">
        <f t="shared" si="6"/>
        <v>57518588.75</v>
      </c>
      <c r="D75" s="12"/>
      <c r="E75" s="12"/>
      <c r="F75" s="12"/>
      <c r="G75" s="12"/>
      <c r="H75" s="96"/>
    </row>
    <row r="76" spans="1:8" x14ac:dyDescent="0.25">
      <c r="A76" s="309"/>
      <c r="B76" s="11"/>
      <c r="C76" s="18">
        <f t="shared" si="6"/>
        <v>57518588.75</v>
      </c>
      <c r="D76" s="12"/>
      <c r="E76" s="12"/>
      <c r="F76" s="12"/>
      <c r="G76" s="12"/>
      <c r="H76" s="96"/>
    </row>
    <row r="77" spans="1:8" x14ac:dyDescent="0.25">
      <c r="A77" s="309"/>
      <c r="B77" s="11"/>
      <c r="C77" s="18">
        <f t="shared" si="6"/>
        <v>57518588.75</v>
      </c>
      <c r="D77" s="12"/>
      <c r="E77" s="12"/>
      <c r="F77" s="12"/>
      <c r="G77" s="12"/>
      <c r="H77" s="96"/>
    </row>
    <row r="78" spans="1:8" x14ac:dyDescent="0.25">
      <c r="A78" s="309"/>
      <c r="B78" s="11"/>
      <c r="C78" s="18">
        <f t="shared" si="6"/>
        <v>57518588.75</v>
      </c>
      <c r="D78" s="12"/>
      <c r="E78" s="12"/>
      <c r="F78" s="12"/>
      <c r="G78" s="12"/>
      <c r="H78" s="96"/>
    </row>
    <row r="79" spans="1:8" x14ac:dyDescent="0.25">
      <c r="A79" s="309"/>
      <c r="B79" s="11"/>
      <c r="C79" s="18">
        <f t="shared" si="6"/>
        <v>57518588.75</v>
      </c>
      <c r="D79" s="12"/>
      <c r="E79" s="12"/>
      <c r="F79" s="12"/>
      <c r="G79" s="12"/>
      <c r="H79" s="96"/>
    </row>
    <row r="80" spans="1:8" x14ac:dyDescent="0.25">
      <c r="A80" s="309"/>
      <c r="B80" s="11"/>
      <c r="C80" s="18">
        <f t="shared" si="6"/>
        <v>57518588.75</v>
      </c>
      <c r="D80" s="12"/>
      <c r="E80" s="12"/>
      <c r="F80" s="12"/>
      <c r="G80" s="12"/>
      <c r="H80" s="96"/>
    </row>
    <row r="81" spans="1:8" x14ac:dyDescent="0.25">
      <c r="A81" s="309"/>
      <c r="B81" s="11"/>
      <c r="C81" s="18">
        <f t="shared" si="6"/>
        <v>57518588.75</v>
      </c>
      <c r="D81" s="12"/>
      <c r="E81" s="12"/>
      <c r="F81" s="12"/>
      <c r="G81" s="12"/>
      <c r="H81" s="96"/>
    </row>
    <row r="82" spans="1:8" x14ac:dyDescent="0.25">
      <c r="A82" s="309"/>
      <c r="B82" s="11"/>
      <c r="C82" s="18">
        <f t="shared" si="6"/>
        <v>57518588.75</v>
      </c>
      <c r="D82" s="12"/>
      <c r="E82" s="12"/>
      <c r="F82" s="12"/>
      <c r="G82" s="12"/>
      <c r="H82" s="96"/>
    </row>
    <row r="83" spans="1:8" x14ac:dyDescent="0.25">
      <c r="A83" s="309"/>
      <c r="B83" s="11"/>
      <c r="C83" s="18">
        <f t="shared" si="6"/>
        <v>57518588.75</v>
      </c>
      <c r="D83" s="12"/>
      <c r="E83" s="12"/>
      <c r="F83" s="12"/>
      <c r="G83" s="12"/>
      <c r="H83" s="96"/>
    </row>
    <row r="84" spans="1:8" x14ac:dyDescent="0.25">
      <c r="A84" s="309"/>
      <c r="B84" s="11"/>
      <c r="C84" s="18">
        <f t="shared" si="6"/>
        <v>57518588.75</v>
      </c>
      <c r="D84" s="12"/>
      <c r="E84" s="12"/>
      <c r="F84" s="12"/>
      <c r="G84" s="12"/>
      <c r="H84" s="96"/>
    </row>
    <row r="85" spans="1:8" x14ac:dyDescent="0.25">
      <c r="A85" s="309"/>
      <c r="B85" s="11"/>
      <c r="C85" s="18">
        <f t="shared" si="6"/>
        <v>57518588.75</v>
      </c>
      <c r="D85" s="12"/>
      <c r="E85" s="12"/>
      <c r="F85" s="12"/>
      <c r="G85" s="12"/>
      <c r="H85" s="96"/>
    </row>
    <row r="86" spans="1:8" x14ac:dyDescent="0.25">
      <c r="A86" s="309"/>
      <c r="B86" s="11"/>
      <c r="C86" s="18">
        <f t="shared" si="6"/>
        <v>57518588.75</v>
      </c>
      <c r="D86" s="12"/>
      <c r="E86" s="12"/>
      <c r="F86" s="12"/>
      <c r="G86" s="12"/>
      <c r="H86" s="96"/>
    </row>
    <row r="87" spans="1:8" x14ac:dyDescent="0.25">
      <c r="A87" s="309"/>
      <c r="B87" s="11"/>
      <c r="C87" s="18">
        <f t="shared" si="6"/>
        <v>57518588.75</v>
      </c>
      <c r="D87" s="12"/>
      <c r="E87" s="12"/>
      <c r="F87" s="12"/>
      <c r="G87" s="12"/>
      <c r="H87" s="96"/>
    </row>
    <row r="88" spans="1:8" x14ac:dyDescent="0.25">
      <c r="A88" s="309"/>
      <c r="B88" s="11"/>
      <c r="C88" s="18">
        <f t="shared" si="6"/>
        <v>57518588.75</v>
      </c>
      <c r="D88" s="12"/>
      <c r="E88" s="12"/>
      <c r="F88" s="12"/>
      <c r="G88" s="12"/>
      <c r="H88" s="96"/>
    </row>
    <row r="89" spans="1:8" x14ac:dyDescent="0.25">
      <c r="A89" s="309"/>
      <c r="B89" s="11"/>
      <c r="C89" s="18">
        <f t="shared" si="6"/>
        <v>57518588.75</v>
      </c>
      <c r="D89" s="12"/>
      <c r="E89" s="12"/>
      <c r="F89" s="12"/>
      <c r="G89" s="12"/>
      <c r="H89" s="96"/>
    </row>
    <row r="90" spans="1:8" x14ac:dyDescent="0.25">
      <c r="A90" s="309"/>
      <c r="B90" s="11"/>
      <c r="C90" s="18">
        <f t="shared" si="6"/>
        <v>57518588.75</v>
      </c>
      <c r="D90" s="12"/>
      <c r="E90" s="12"/>
      <c r="F90" s="12"/>
      <c r="G90" s="12"/>
      <c r="H90" s="96"/>
    </row>
    <row r="91" spans="1:8" x14ac:dyDescent="0.25">
      <c r="A91" s="309"/>
      <c r="B91" s="11"/>
      <c r="C91" s="18">
        <f t="shared" si="6"/>
        <v>57518588.75</v>
      </c>
      <c r="D91" s="12"/>
      <c r="E91" s="12"/>
      <c r="F91" s="12"/>
      <c r="G91" s="12"/>
      <c r="H91" s="96"/>
    </row>
    <row r="92" spans="1:8" x14ac:dyDescent="0.25">
      <c r="A92" s="309"/>
      <c r="B92" s="11"/>
      <c r="C92" s="18">
        <f t="shared" si="6"/>
        <v>57518588.75</v>
      </c>
      <c r="D92" s="12"/>
      <c r="E92" s="12"/>
      <c r="F92" s="12"/>
      <c r="G92" s="12"/>
      <c r="H92" s="96"/>
    </row>
    <row r="93" spans="1:8" x14ac:dyDescent="0.25">
      <c r="A93" s="309"/>
      <c r="B93" s="11"/>
      <c r="C93" s="18">
        <f t="shared" si="6"/>
        <v>57518588.75</v>
      </c>
      <c r="D93" s="12"/>
      <c r="E93" s="12"/>
      <c r="F93" s="12"/>
      <c r="G93" s="12"/>
      <c r="H93" s="96"/>
    </row>
    <row r="94" spans="1:8" x14ac:dyDescent="0.25">
      <c r="A94" s="309"/>
      <c r="B94" s="11"/>
      <c r="C94" s="18">
        <f t="shared" si="6"/>
        <v>57518588.75</v>
      </c>
      <c r="D94" s="12"/>
      <c r="E94" s="12"/>
      <c r="F94" s="12"/>
      <c r="G94" s="12"/>
      <c r="H94" s="96"/>
    </row>
    <row r="95" spans="1:8" x14ac:dyDescent="0.25">
      <c r="A95" s="309"/>
      <c r="B95" s="11"/>
      <c r="C95" s="18">
        <f t="shared" si="6"/>
        <v>57518588.75</v>
      </c>
      <c r="D95" s="12"/>
      <c r="E95" s="12"/>
      <c r="F95" s="12"/>
      <c r="G95" s="12"/>
      <c r="H95" s="96"/>
    </row>
    <row r="96" spans="1:8" x14ac:dyDescent="0.25">
      <c r="A96" s="309"/>
      <c r="B96" s="11"/>
      <c r="C96" s="18">
        <f t="shared" ref="C96:C150" si="7">+$H$5/120</f>
        <v>57518588.75</v>
      </c>
      <c r="D96" s="12"/>
      <c r="E96" s="12"/>
      <c r="F96" s="12"/>
      <c r="G96" s="12"/>
      <c r="H96" s="96"/>
    </row>
    <row r="97" spans="1:8" x14ac:dyDescent="0.25">
      <c r="A97" s="309"/>
      <c r="B97" s="11"/>
      <c r="C97" s="18">
        <f t="shared" si="7"/>
        <v>57518588.75</v>
      </c>
      <c r="D97" s="12"/>
      <c r="E97" s="12"/>
      <c r="F97" s="12"/>
      <c r="G97" s="12"/>
      <c r="H97" s="96"/>
    </row>
    <row r="98" spans="1:8" x14ac:dyDescent="0.25">
      <c r="A98" s="309"/>
      <c r="B98" s="11"/>
      <c r="C98" s="18">
        <f t="shared" si="7"/>
        <v>57518588.75</v>
      </c>
      <c r="D98" s="12"/>
      <c r="E98" s="12"/>
      <c r="F98" s="12"/>
      <c r="G98" s="12"/>
      <c r="H98" s="96"/>
    </row>
    <row r="99" spans="1:8" x14ac:dyDescent="0.25">
      <c r="A99" s="309"/>
      <c r="B99" s="11"/>
      <c r="C99" s="18">
        <f t="shared" si="7"/>
        <v>57518588.75</v>
      </c>
      <c r="D99" s="12"/>
      <c r="E99" s="12"/>
      <c r="F99" s="12"/>
      <c r="G99" s="12"/>
      <c r="H99" s="96"/>
    </row>
    <row r="100" spans="1:8" x14ac:dyDescent="0.25">
      <c r="A100" s="309"/>
      <c r="B100" s="11"/>
      <c r="C100" s="18">
        <f t="shared" si="7"/>
        <v>57518588.75</v>
      </c>
      <c r="D100" s="12"/>
      <c r="E100" s="12"/>
      <c r="F100" s="12"/>
      <c r="G100" s="12"/>
      <c r="H100" s="96"/>
    </row>
    <row r="101" spans="1:8" x14ac:dyDescent="0.25">
      <c r="A101" s="309"/>
      <c r="B101" s="11"/>
      <c r="C101" s="18">
        <f t="shared" si="7"/>
        <v>57518588.75</v>
      </c>
      <c r="D101" s="12"/>
      <c r="E101" s="12"/>
      <c r="F101" s="12"/>
      <c r="G101" s="12"/>
      <c r="H101" s="96"/>
    </row>
    <row r="102" spans="1:8" x14ac:dyDescent="0.25">
      <c r="A102" s="309"/>
      <c r="B102" s="11"/>
      <c r="C102" s="18">
        <f t="shared" si="7"/>
        <v>57518588.75</v>
      </c>
      <c r="D102" s="12"/>
      <c r="E102" s="12"/>
      <c r="F102" s="12"/>
      <c r="G102" s="12"/>
      <c r="H102" s="96"/>
    </row>
    <row r="103" spans="1:8" x14ac:dyDescent="0.25">
      <c r="A103" s="309"/>
      <c r="B103" s="11"/>
      <c r="C103" s="18">
        <f t="shared" si="7"/>
        <v>57518588.75</v>
      </c>
      <c r="D103" s="12"/>
      <c r="E103" s="12"/>
      <c r="F103" s="12"/>
      <c r="G103" s="12"/>
      <c r="H103" s="96"/>
    </row>
    <row r="104" spans="1:8" x14ac:dyDescent="0.25">
      <c r="A104" s="309"/>
      <c r="B104" s="11"/>
      <c r="C104" s="18">
        <f t="shared" si="7"/>
        <v>57518588.75</v>
      </c>
      <c r="D104" s="12"/>
      <c r="E104" s="12"/>
      <c r="F104" s="12"/>
      <c r="G104" s="12"/>
      <c r="H104" s="96"/>
    </row>
    <row r="105" spans="1:8" x14ac:dyDescent="0.25">
      <c r="A105" s="309"/>
      <c r="B105" s="11"/>
      <c r="C105" s="18">
        <f t="shared" si="7"/>
        <v>57518588.75</v>
      </c>
      <c r="D105" s="12"/>
      <c r="E105" s="12"/>
      <c r="F105" s="12"/>
      <c r="G105" s="12"/>
      <c r="H105" s="96"/>
    </row>
    <row r="106" spans="1:8" x14ac:dyDescent="0.25">
      <c r="A106" s="309"/>
      <c r="B106" s="11"/>
      <c r="C106" s="18">
        <f t="shared" si="7"/>
        <v>57518588.75</v>
      </c>
      <c r="D106" s="12"/>
      <c r="E106" s="12"/>
      <c r="F106" s="12"/>
      <c r="G106" s="12"/>
      <c r="H106" s="96"/>
    </row>
    <row r="107" spans="1:8" x14ac:dyDescent="0.25">
      <c r="A107" s="309"/>
      <c r="B107" s="11"/>
      <c r="C107" s="18">
        <f t="shared" si="7"/>
        <v>57518588.75</v>
      </c>
      <c r="D107" s="12"/>
      <c r="E107" s="12"/>
      <c r="F107" s="12"/>
      <c r="G107" s="12"/>
      <c r="H107" s="96"/>
    </row>
    <row r="108" spans="1:8" x14ac:dyDescent="0.25">
      <c r="A108" s="309"/>
      <c r="B108" s="11"/>
      <c r="C108" s="18">
        <f t="shared" si="7"/>
        <v>57518588.75</v>
      </c>
      <c r="D108" s="12"/>
      <c r="E108" s="12"/>
      <c r="F108" s="12"/>
      <c r="G108" s="12"/>
      <c r="H108" s="96"/>
    </row>
    <row r="109" spans="1:8" x14ac:dyDescent="0.25">
      <c r="A109" s="309"/>
      <c r="B109" s="11"/>
      <c r="C109" s="18">
        <f t="shared" si="7"/>
        <v>57518588.75</v>
      </c>
      <c r="D109" s="12"/>
      <c r="E109" s="12"/>
      <c r="F109" s="12"/>
      <c r="G109" s="12"/>
      <c r="H109" s="96"/>
    </row>
    <row r="110" spans="1:8" x14ac:dyDescent="0.25">
      <c r="A110" s="309"/>
      <c r="B110" s="11"/>
      <c r="C110" s="18">
        <f t="shared" si="7"/>
        <v>57518588.75</v>
      </c>
      <c r="D110" s="12"/>
      <c r="E110" s="12"/>
      <c r="F110" s="12"/>
      <c r="G110" s="12"/>
      <c r="H110" s="96"/>
    </row>
    <row r="111" spans="1:8" x14ac:dyDescent="0.25">
      <c r="A111" s="309"/>
      <c r="B111" s="11"/>
      <c r="C111" s="18">
        <f t="shared" si="7"/>
        <v>57518588.75</v>
      </c>
      <c r="D111" s="12"/>
      <c r="E111" s="12"/>
      <c r="F111" s="12"/>
      <c r="G111" s="12"/>
      <c r="H111" s="96"/>
    </row>
    <row r="112" spans="1:8" x14ac:dyDescent="0.25">
      <c r="A112" s="309"/>
      <c r="B112" s="11"/>
      <c r="C112" s="18">
        <f t="shared" si="7"/>
        <v>57518588.75</v>
      </c>
      <c r="D112" s="12"/>
      <c r="E112" s="12"/>
      <c r="F112" s="12"/>
      <c r="G112" s="12"/>
      <c r="H112" s="96"/>
    </row>
    <row r="113" spans="1:8" x14ac:dyDescent="0.25">
      <c r="A113" s="309"/>
      <c r="B113" s="11"/>
      <c r="C113" s="18">
        <f t="shared" si="7"/>
        <v>57518588.75</v>
      </c>
      <c r="D113" s="12"/>
      <c r="E113" s="12"/>
      <c r="F113" s="12"/>
      <c r="G113" s="12"/>
      <c r="H113" s="96"/>
    </row>
    <row r="114" spans="1:8" x14ac:dyDescent="0.25">
      <c r="A114" s="309"/>
      <c r="B114" s="11"/>
      <c r="C114" s="18">
        <f t="shared" si="7"/>
        <v>57518588.75</v>
      </c>
      <c r="D114" s="12"/>
      <c r="E114" s="12"/>
      <c r="F114" s="12"/>
      <c r="G114" s="12"/>
      <c r="H114" s="96"/>
    </row>
    <row r="115" spans="1:8" x14ac:dyDescent="0.25">
      <c r="A115" s="309"/>
      <c r="B115" s="11"/>
      <c r="C115" s="18">
        <f t="shared" si="7"/>
        <v>57518588.75</v>
      </c>
      <c r="D115" s="12"/>
      <c r="E115" s="12"/>
      <c r="F115" s="12"/>
      <c r="G115" s="12"/>
      <c r="H115" s="96"/>
    </row>
    <row r="116" spans="1:8" x14ac:dyDescent="0.25">
      <c r="A116" s="309"/>
      <c r="B116" s="11"/>
      <c r="C116" s="18">
        <f t="shared" si="7"/>
        <v>57518588.75</v>
      </c>
      <c r="D116" s="12"/>
      <c r="E116" s="12"/>
      <c r="F116" s="12"/>
      <c r="G116" s="12"/>
      <c r="H116" s="96"/>
    </row>
    <row r="117" spans="1:8" x14ac:dyDescent="0.25">
      <c r="A117" s="309"/>
      <c r="B117" s="11"/>
      <c r="C117" s="18">
        <f t="shared" si="7"/>
        <v>57518588.75</v>
      </c>
      <c r="D117" s="12"/>
      <c r="E117" s="12"/>
      <c r="F117" s="12"/>
      <c r="G117" s="12"/>
      <c r="H117" s="96"/>
    </row>
    <row r="118" spans="1:8" x14ac:dyDescent="0.25">
      <c r="A118" s="309"/>
      <c r="B118" s="11"/>
      <c r="C118" s="18">
        <f t="shared" si="7"/>
        <v>57518588.75</v>
      </c>
      <c r="D118" s="12"/>
      <c r="E118" s="12"/>
      <c r="F118" s="12"/>
      <c r="G118" s="12"/>
      <c r="H118" s="96"/>
    </row>
    <row r="119" spans="1:8" x14ac:dyDescent="0.25">
      <c r="A119" s="309"/>
      <c r="B119" s="11"/>
      <c r="C119" s="18">
        <f t="shared" si="7"/>
        <v>57518588.75</v>
      </c>
      <c r="D119" s="12"/>
      <c r="E119" s="12"/>
      <c r="F119" s="12"/>
      <c r="G119" s="12"/>
      <c r="H119" s="96"/>
    </row>
    <row r="120" spans="1:8" x14ac:dyDescent="0.25">
      <c r="A120" s="309"/>
      <c r="B120" s="11"/>
      <c r="C120" s="18">
        <f t="shared" si="7"/>
        <v>57518588.75</v>
      </c>
      <c r="D120" s="12"/>
      <c r="E120" s="12"/>
      <c r="F120" s="12"/>
      <c r="G120" s="12"/>
      <c r="H120" s="96"/>
    </row>
    <row r="121" spans="1:8" x14ac:dyDescent="0.25">
      <c r="A121" s="309"/>
      <c r="B121" s="11"/>
      <c r="C121" s="18">
        <f t="shared" si="7"/>
        <v>57518588.75</v>
      </c>
      <c r="D121" s="12"/>
      <c r="E121" s="12"/>
      <c r="F121" s="12"/>
      <c r="G121" s="12"/>
      <c r="H121" s="96"/>
    </row>
    <row r="122" spans="1:8" x14ac:dyDescent="0.25">
      <c r="A122" s="309"/>
      <c r="B122" s="11"/>
      <c r="C122" s="18">
        <f t="shared" si="7"/>
        <v>57518588.75</v>
      </c>
      <c r="D122" s="12"/>
      <c r="E122" s="12"/>
      <c r="F122" s="12"/>
      <c r="G122" s="12"/>
      <c r="H122" s="96"/>
    </row>
    <row r="123" spans="1:8" x14ac:dyDescent="0.25">
      <c r="A123" s="309"/>
      <c r="B123" s="11"/>
      <c r="C123" s="18">
        <f t="shared" si="7"/>
        <v>57518588.75</v>
      </c>
      <c r="D123" s="12"/>
      <c r="E123" s="12"/>
      <c r="F123" s="12"/>
      <c r="G123" s="12"/>
      <c r="H123" s="96"/>
    </row>
    <row r="124" spans="1:8" x14ac:dyDescent="0.25">
      <c r="A124" s="309"/>
      <c r="B124" s="11"/>
      <c r="C124" s="18">
        <f t="shared" si="7"/>
        <v>57518588.75</v>
      </c>
      <c r="D124" s="12"/>
      <c r="E124" s="12"/>
      <c r="F124" s="12"/>
      <c r="G124" s="12"/>
      <c r="H124" s="96"/>
    </row>
    <row r="125" spans="1:8" x14ac:dyDescent="0.25">
      <c r="A125" s="309"/>
      <c r="B125" s="11"/>
      <c r="C125" s="18">
        <f t="shared" si="7"/>
        <v>57518588.75</v>
      </c>
      <c r="D125" s="12"/>
      <c r="E125" s="12"/>
      <c r="F125" s="12"/>
      <c r="G125" s="12"/>
      <c r="H125" s="96"/>
    </row>
    <row r="126" spans="1:8" x14ac:dyDescent="0.25">
      <c r="A126" s="309"/>
      <c r="B126" s="11"/>
      <c r="C126" s="18">
        <f t="shared" si="7"/>
        <v>57518588.75</v>
      </c>
      <c r="D126" s="12"/>
      <c r="E126" s="12"/>
      <c r="F126" s="12"/>
      <c r="G126" s="12"/>
      <c r="H126" s="96"/>
    </row>
    <row r="127" spans="1:8" x14ac:dyDescent="0.25">
      <c r="A127" s="309"/>
      <c r="B127" s="11"/>
      <c r="C127" s="18">
        <f t="shared" si="7"/>
        <v>57518588.75</v>
      </c>
      <c r="D127" s="12"/>
      <c r="E127" s="12"/>
      <c r="F127" s="12"/>
      <c r="G127" s="12"/>
      <c r="H127" s="96"/>
    </row>
    <row r="128" spans="1:8" x14ac:dyDescent="0.25">
      <c r="A128" s="309"/>
      <c r="B128" s="11"/>
      <c r="C128" s="18">
        <f t="shared" si="7"/>
        <v>57518588.75</v>
      </c>
      <c r="D128" s="12"/>
      <c r="E128" s="12"/>
      <c r="F128" s="12"/>
      <c r="G128" s="12"/>
      <c r="H128" s="96"/>
    </row>
    <row r="129" spans="1:8" x14ac:dyDescent="0.25">
      <c r="A129" s="309"/>
      <c r="B129" s="11"/>
      <c r="C129" s="18">
        <f t="shared" si="7"/>
        <v>57518588.75</v>
      </c>
      <c r="D129" s="12"/>
      <c r="E129" s="12"/>
      <c r="F129" s="12"/>
      <c r="G129" s="12"/>
      <c r="H129" s="96"/>
    </row>
    <row r="130" spans="1:8" x14ac:dyDescent="0.25">
      <c r="A130" s="309"/>
      <c r="B130" s="11"/>
      <c r="C130" s="18">
        <f t="shared" si="7"/>
        <v>57518588.75</v>
      </c>
      <c r="D130" s="12"/>
      <c r="E130" s="12"/>
      <c r="F130" s="12"/>
      <c r="G130" s="12"/>
      <c r="H130" s="96"/>
    </row>
    <row r="131" spans="1:8" x14ac:dyDescent="0.25">
      <c r="A131" s="309"/>
      <c r="B131" s="11"/>
      <c r="C131" s="18">
        <f t="shared" si="7"/>
        <v>57518588.75</v>
      </c>
      <c r="D131" s="12"/>
      <c r="E131" s="12"/>
      <c r="F131" s="12"/>
      <c r="G131" s="12"/>
      <c r="H131" s="96"/>
    </row>
    <row r="132" spans="1:8" x14ac:dyDescent="0.25">
      <c r="A132" s="309"/>
      <c r="B132" s="11"/>
      <c r="C132" s="18">
        <f t="shared" si="7"/>
        <v>57518588.75</v>
      </c>
      <c r="D132" s="12"/>
      <c r="E132" s="12"/>
      <c r="F132" s="12"/>
      <c r="G132" s="12"/>
      <c r="H132" s="96"/>
    </row>
    <row r="133" spans="1:8" x14ac:dyDescent="0.25">
      <c r="A133" s="309"/>
      <c r="B133" s="11"/>
      <c r="C133" s="18">
        <f t="shared" si="7"/>
        <v>57518588.75</v>
      </c>
      <c r="D133" s="12"/>
      <c r="E133" s="12"/>
      <c r="F133" s="12"/>
      <c r="G133" s="12"/>
      <c r="H133" s="96"/>
    </row>
    <row r="134" spans="1:8" x14ac:dyDescent="0.25">
      <c r="A134" s="309"/>
      <c r="B134" s="11"/>
      <c r="C134" s="18">
        <f t="shared" si="7"/>
        <v>57518588.75</v>
      </c>
      <c r="D134" s="12"/>
      <c r="E134" s="12"/>
      <c r="F134" s="12"/>
      <c r="G134" s="12"/>
      <c r="H134" s="96"/>
    </row>
    <row r="135" spans="1:8" x14ac:dyDescent="0.25">
      <c r="A135" s="309"/>
      <c r="B135" s="11"/>
      <c r="C135" s="18">
        <f t="shared" si="7"/>
        <v>57518588.75</v>
      </c>
      <c r="D135" s="12"/>
      <c r="E135" s="12"/>
      <c r="F135" s="12"/>
      <c r="G135" s="12"/>
      <c r="H135" s="96"/>
    </row>
    <row r="136" spans="1:8" x14ac:dyDescent="0.25">
      <c r="A136" s="309"/>
      <c r="B136" s="11"/>
      <c r="C136" s="18">
        <f t="shared" si="7"/>
        <v>57518588.75</v>
      </c>
      <c r="D136" s="12"/>
      <c r="E136" s="12"/>
      <c r="F136" s="12"/>
      <c r="G136" s="12"/>
      <c r="H136" s="96"/>
    </row>
    <row r="137" spans="1:8" x14ac:dyDescent="0.25">
      <c r="A137" s="309"/>
      <c r="B137" s="11"/>
      <c r="C137" s="18">
        <f t="shared" si="7"/>
        <v>57518588.75</v>
      </c>
      <c r="D137" s="12"/>
      <c r="E137" s="12"/>
      <c r="F137" s="12"/>
      <c r="G137" s="12"/>
      <c r="H137" s="96"/>
    </row>
    <row r="138" spans="1:8" x14ac:dyDescent="0.25">
      <c r="A138" s="309"/>
      <c r="B138" s="11"/>
      <c r="C138" s="18">
        <f t="shared" si="7"/>
        <v>57518588.75</v>
      </c>
      <c r="D138" s="12"/>
      <c r="E138" s="12"/>
      <c r="F138" s="12"/>
      <c r="G138" s="12"/>
      <c r="H138" s="96"/>
    </row>
    <row r="139" spans="1:8" x14ac:dyDescent="0.25">
      <c r="A139" s="309"/>
      <c r="B139" s="11"/>
      <c r="C139" s="18">
        <f t="shared" si="7"/>
        <v>57518588.75</v>
      </c>
      <c r="D139" s="12"/>
      <c r="E139" s="12"/>
      <c r="F139" s="12"/>
      <c r="G139" s="12"/>
      <c r="H139" s="96"/>
    </row>
    <row r="140" spans="1:8" x14ac:dyDescent="0.25">
      <c r="A140" s="309"/>
      <c r="B140" s="11"/>
      <c r="C140" s="18">
        <f t="shared" si="7"/>
        <v>57518588.75</v>
      </c>
      <c r="D140" s="12"/>
      <c r="E140" s="12"/>
      <c r="F140" s="12"/>
      <c r="G140" s="12"/>
      <c r="H140" s="96"/>
    </row>
    <row r="141" spans="1:8" x14ac:dyDescent="0.25">
      <c r="A141" s="309"/>
      <c r="B141" s="11"/>
      <c r="C141" s="18">
        <f t="shared" si="7"/>
        <v>57518588.75</v>
      </c>
      <c r="D141" s="12"/>
      <c r="E141" s="12"/>
      <c r="F141" s="12"/>
      <c r="G141" s="12"/>
      <c r="H141" s="96"/>
    </row>
    <row r="142" spans="1:8" x14ac:dyDescent="0.25">
      <c r="A142" s="309"/>
      <c r="B142" s="11"/>
      <c r="C142" s="18">
        <f t="shared" si="7"/>
        <v>57518588.75</v>
      </c>
      <c r="D142" s="12"/>
      <c r="E142" s="12"/>
      <c r="F142" s="12"/>
      <c r="G142" s="12"/>
      <c r="H142" s="96"/>
    </row>
    <row r="143" spans="1:8" x14ac:dyDescent="0.25">
      <c r="A143" s="309"/>
      <c r="B143" s="11"/>
      <c r="C143" s="18">
        <f t="shared" si="7"/>
        <v>57518588.75</v>
      </c>
      <c r="D143" s="12"/>
      <c r="E143" s="12"/>
      <c r="F143" s="12"/>
      <c r="G143" s="12"/>
      <c r="H143" s="96"/>
    </row>
    <row r="144" spans="1:8" x14ac:dyDescent="0.25">
      <c r="A144" s="309"/>
      <c r="B144" s="11"/>
      <c r="C144" s="18">
        <f t="shared" si="7"/>
        <v>57518588.75</v>
      </c>
      <c r="D144" s="12"/>
      <c r="E144" s="12"/>
      <c r="F144" s="12"/>
      <c r="G144" s="12"/>
      <c r="H144" s="96"/>
    </row>
    <row r="145" spans="1:9" x14ac:dyDescent="0.25">
      <c r="A145" s="309"/>
      <c r="B145" s="11"/>
      <c r="C145" s="18">
        <f t="shared" si="7"/>
        <v>57518588.75</v>
      </c>
      <c r="D145" s="12"/>
      <c r="E145" s="12"/>
      <c r="F145" s="12"/>
      <c r="G145" s="12"/>
      <c r="H145" s="96"/>
    </row>
    <row r="146" spans="1:9" x14ac:dyDescent="0.25">
      <c r="A146" s="309"/>
      <c r="B146" s="11"/>
      <c r="C146" s="18">
        <f t="shared" si="7"/>
        <v>57518588.75</v>
      </c>
      <c r="D146" s="12"/>
      <c r="E146" s="12"/>
      <c r="F146" s="12"/>
      <c r="G146" s="12"/>
      <c r="H146" s="96"/>
    </row>
    <row r="147" spans="1:9" x14ac:dyDescent="0.25">
      <c r="A147" s="309"/>
      <c r="B147" s="11"/>
      <c r="C147" s="18">
        <f t="shared" si="7"/>
        <v>57518588.75</v>
      </c>
      <c r="D147" s="12"/>
      <c r="E147" s="12"/>
      <c r="F147" s="12"/>
      <c r="G147" s="12"/>
      <c r="H147" s="96"/>
    </row>
    <row r="148" spans="1:9" x14ac:dyDescent="0.25">
      <c r="A148" s="309"/>
      <c r="B148" s="11"/>
      <c r="C148" s="18">
        <f t="shared" si="7"/>
        <v>57518588.75</v>
      </c>
      <c r="D148" s="12"/>
      <c r="E148" s="12"/>
      <c r="F148" s="12"/>
      <c r="G148" s="12"/>
      <c r="H148" s="96"/>
    </row>
    <row r="149" spans="1:9" x14ac:dyDescent="0.25">
      <c r="A149" s="309"/>
      <c r="B149" s="11"/>
      <c r="C149" s="18">
        <f t="shared" si="7"/>
        <v>57518588.75</v>
      </c>
      <c r="D149" s="12"/>
      <c r="E149" s="12"/>
      <c r="F149" s="12"/>
      <c r="G149" s="12"/>
      <c r="H149" s="96"/>
    </row>
    <row r="150" spans="1:9" x14ac:dyDescent="0.25">
      <c r="A150" s="309"/>
      <c r="B150" s="11"/>
      <c r="C150" s="18">
        <f t="shared" si="7"/>
        <v>57518588.75</v>
      </c>
      <c r="D150" s="12"/>
      <c r="E150" s="12"/>
      <c r="F150" s="12"/>
      <c r="G150" s="12"/>
      <c r="H150" s="96"/>
    </row>
    <row r="151" spans="1:9" x14ac:dyDescent="0.25">
      <c r="A151" s="15"/>
      <c r="B151" s="16" t="s">
        <v>11</v>
      </c>
      <c r="C151" s="17">
        <f>SUM(C5:C150)</f>
        <v>6902230650</v>
      </c>
      <c r="D151" s="17">
        <f>SUM(D5:D62)</f>
        <v>7014973039.2649775</v>
      </c>
      <c r="E151" s="17">
        <f>SUM(E6:E62)</f>
        <v>8664127357.0180283</v>
      </c>
      <c r="F151" s="17"/>
      <c r="G151" s="17">
        <f>+C151+D151</f>
        <v>13917203689.264977</v>
      </c>
      <c r="H151" s="18"/>
    </row>
    <row r="152" spans="1:9" x14ac:dyDescent="0.25">
      <c r="A152" s="19" t="s">
        <v>42</v>
      </c>
      <c r="B152" s="20"/>
      <c r="C152" s="20"/>
      <c r="D152" s="20"/>
      <c r="E152" s="20"/>
      <c r="F152" s="20"/>
      <c r="G152" s="20"/>
      <c r="H152" s="20"/>
    </row>
    <row r="153" spans="1:9" ht="15.75" x14ac:dyDescent="0.25">
      <c r="A153" s="52" t="s">
        <v>363</v>
      </c>
      <c r="B153" s="20"/>
      <c r="C153" s="20"/>
      <c r="D153" s="20"/>
      <c r="E153" s="20"/>
      <c r="F153" s="20"/>
      <c r="G153" s="20"/>
      <c r="H153" s="20"/>
    </row>
    <row r="154" spans="1:9" x14ac:dyDescent="0.25">
      <c r="A154" s="19"/>
      <c r="B154" s="20"/>
      <c r="C154" s="20"/>
      <c r="D154" s="20"/>
      <c r="E154" s="20"/>
      <c r="F154" s="20"/>
      <c r="G154" s="20"/>
      <c r="H154" s="20"/>
    </row>
    <row r="155" spans="1:9" ht="37.5" customHeight="1" x14ac:dyDescent="0.25">
      <c r="A155" s="53" t="s">
        <v>361</v>
      </c>
      <c r="B155" s="509" t="s">
        <v>362</v>
      </c>
      <c r="C155" s="510"/>
      <c r="D155" s="20"/>
      <c r="E155" s="20"/>
      <c r="F155" s="20"/>
      <c r="G155" s="20"/>
      <c r="H155" s="20"/>
    </row>
    <row r="156" spans="1:9" ht="15.75" thickBot="1" x14ac:dyDescent="0.3">
      <c r="A156" s="19"/>
      <c r="B156" s="20"/>
      <c r="C156" s="20"/>
      <c r="D156" s="20"/>
      <c r="E156" s="20"/>
      <c r="F156" s="20"/>
      <c r="G156" s="20"/>
      <c r="H156" s="20"/>
    </row>
    <row r="157" spans="1:9" ht="26.25" thickBot="1" x14ac:dyDescent="0.3">
      <c r="A157" s="21" t="s">
        <v>13</v>
      </c>
      <c r="B157" s="22" t="s">
        <v>14</v>
      </c>
      <c r="C157" s="22" t="s">
        <v>15</v>
      </c>
      <c r="D157" s="22" t="s">
        <v>16</v>
      </c>
      <c r="E157" s="22"/>
      <c r="F157" s="22"/>
      <c r="G157" s="22" t="s">
        <v>7</v>
      </c>
      <c r="H157" s="22" t="s">
        <v>365</v>
      </c>
      <c r="I157" s="23" t="s">
        <v>17</v>
      </c>
    </row>
    <row r="158" spans="1:9" ht="25.5" x14ac:dyDescent="0.25">
      <c r="A158" s="24" t="s">
        <v>385</v>
      </c>
      <c r="B158" s="25" t="s">
        <v>18</v>
      </c>
      <c r="C158" s="26"/>
      <c r="D158" s="27">
        <v>40000000000</v>
      </c>
      <c r="E158" s="27"/>
      <c r="F158" s="27"/>
      <c r="G158" s="27">
        <v>0</v>
      </c>
      <c r="H158" s="59">
        <f>D158*((1+C163)^(C162/360)-1)</f>
        <v>783235214.55078375</v>
      </c>
      <c r="I158" s="60">
        <f>+G158+H158</f>
        <v>783235214.55078375</v>
      </c>
    </row>
    <row r="159" spans="1:9" ht="25.5" x14ac:dyDescent="0.25">
      <c r="A159" s="28" t="s">
        <v>20</v>
      </c>
      <c r="B159" s="61">
        <v>14675926776</v>
      </c>
      <c r="C159" s="28" t="s">
        <v>366</v>
      </c>
      <c r="D159" s="30" t="s">
        <v>367</v>
      </c>
      <c r="E159" s="30"/>
      <c r="F159" s="30"/>
      <c r="G159" s="31"/>
      <c r="H159" s="31"/>
      <c r="I159" s="32"/>
    </row>
    <row r="160" spans="1:9" ht="26.25" x14ac:dyDescent="0.25">
      <c r="A160" s="62" t="s">
        <v>368</v>
      </c>
      <c r="B160" s="29"/>
      <c r="C160" s="33">
        <v>5.0599999999999999E-2</v>
      </c>
      <c r="D160" s="63" t="s">
        <v>369</v>
      </c>
      <c r="E160" s="63"/>
      <c r="F160" s="63"/>
      <c r="G160" s="31"/>
      <c r="H160" s="35"/>
      <c r="I160" s="32"/>
    </row>
    <row r="161" spans="1:18" x14ac:dyDescent="0.25">
      <c r="A161" s="64" t="s">
        <v>370</v>
      </c>
      <c r="B161" s="29"/>
      <c r="C161" s="33">
        <v>2.7E-2</v>
      </c>
      <c r="D161" s="65" t="s">
        <v>371</v>
      </c>
      <c r="E161" s="65"/>
      <c r="F161" s="65"/>
      <c r="G161" s="31"/>
      <c r="H161" s="31"/>
      <c r="I161" s="32"/>
    </row>
    <row r="162" spans="1:18" x14ac:dyDescent="0.25">
      <c r="A162" s="66" t="s">
        <v>372</v>
      </c>
      <c r="B162" s="29"/>
      <c r="C162" s="67">
        <v>90</v>
      </c>
      <c r="D162" s="36"/>
      <c r="E162" s="36"/>
      <c r="F162" s="36"/>
      <c r="G162" s="31"/>
      <c r="H162" s="31"/>
      <c r="I162" s="32"/>
    </row>
    <row r="163" spans="1:18" ht="38.25" x14ac:dyDescent="0.25">
      <c r="A163" s="28" t="s">
        <v>373</v>
      </c>
      <c r="B163" s="29"/>
      <c r="C163" s="68">
        <f>(1+(C160+C161)/90)^90-1</f>
        <v>8.0654163803858259E-2</v>
      </c>
      <c r="D163" s="34">
        <f>C160+C161</f>
        <v>7.7600000000000002E-2</v>
      </c>
      <c r="E163" s="34"/>
      <c r="F163" s="36" t="s">
        <v>42</v>
      </c>
      <c r="G163" s="31"/>
      <c r="H163" s="31"/>
      <c r="I163" s="32"/>
    </row>
    <row r="164" spans="1:18" ht="25.5" x14ac:dyDescent="0.25">
      <c r="A164" s="37" t="s">
        <v>22</v>
      </c>
      <c r="B164" s="69"/>
      <c r="C164" s="38"/>
      <c r="D164" s="93" t="s">
        <v>42</v>
      </c>
      <c r="E164" s="31"/>
      <c r="F164" s="31"/>
      <c r="G164" s="31"/>
      <c r="H164" s="31"/>
      <c r="I164" s="32"/>
    </row>
    <row r="165" spans="1:18" ht="25.5" x14ac:dyDescent="0.25">
      <c r="A165" s="37" t="s">
        <v>374</v>
      </c>
      <c r="B165" s="28" t="s">
        <v>24</v>
      </c>
      <c r="C165" s="28" t="s">
        <v>25</v>
      </c>
      <c r="D165" s="133">
        <f>EFFECT(E167+E168,4)</f>
        <v>0.11407896360974612</v>
      </c>
      <c r="E165" s="71"/>
      <c r="F165" s="71"/>
      <c r="G165" s="71"/>
      <c r="H165" s="71"/>
      <c r="I165" s="72"/>
    </row>
    <row r="166" spans="1:18" x14ac:dyDescent="0.25">
      <c r="A166" s="39"/>
      <c r="B166" s="40" t="s">
        <v>28</v>
      </c>
      <c r="C166" s="40" t="s">
        <v>2779</v>
      </c>
      <c r="D166" s="40" t="s">
        <v>2780</v>
      </c>
      <c r="E166" s="40" t="s">
        <v>29</v>
      </c>
      <c r="F166" s="40" t="s">
        <v>30</v>
      </c>
      <c r="G166" s="40" t="s">
        <v>31</v>
      </c>
      <c r="H166" s="40" t="s">
        <v>32</v>
      </c>
      <c r="I166" s="40" t="s">
        <v>33</v>
      </c>
      <c r="J166" s="40" t="s">
        <v>34</v>
      </c>
      <c r="K166" s="40" t="s">
        <v>35</v>
      </c>
      <c r="L166" s="40" t="s">
        <v>36</v>
      </c>
      <c r="M166" s="40" t="s">
        <v>37</v>
      </c>
      <c r="N166" s="40" t="s">
        <v>38</v>
      </c>
      <c r="O166" s="40" t="s">
        <v>2734</v>
      </c>
      <c r="P166" s="40" t="s">
        <v>2832</v>
      </c>
    </row>
    <row r="167" spans="1:18" ht="25.5" x14ac:dyDescent="0.25">
      <c r="A167" s="39" t="s">
        <v>2829</v>
      </c>
      <c r="B167" s="33">
        <v>4.58E-2</v>
      </c>
      <c r="C167" s="33">
        <v>0.05</v>
      </c>
      <c r="D167" s="33">
        <v>0.05</v>
      </c>
      <c r="E167" s="33">
        <v>0.06</v>
      </c>
      <c r="F167" s="33">
        <v>0.06</v>
      </c>
      <c r="G167" s="33">
        <v>0.06</v>
      </c>
      <c r="H167" s="33">
        <v>0.06</v>
      </c>
      <c r="I167" s="33">
        <v>0.06</v>
      </c>
      <c r="J167" s="33">
        <v>0.06</v>
      </c>
      <c r="K167" s="33">
        <v>0.06</v>
      </c>
      <c r="L167" s="33">
        <v>0.06</v>
      </c>
      <c r="M167" s="33">
        <v>0.06</v>
      </c>
      <c r="N167" s="33">
        <v>0.06</v>
      </c>
      <c r="O167" s="33">
        <v>0.06</v>
      </c>
      <c r="P167" s="33">
        <v>0.06</v>
      </c>
    </row>
    <row r="168" spans="1:18" x14ac:dyDescent="0.25">
      <c r="A168" s="39" t="s">
        <v>370</v>
      </c>
      <c r="B168" s="88">
        <v>4.9500000000000002E-2</v>
      </c>
      <c r="C168" s="88">
        <v>4.9500000000000002E-2</v>
      </c>
      <c r="D168" s="88">
        <v>4.9500000000000002E-2</v>
      </c>
      <c r="E168" s="88">
        <v>4.9500000000000002E-2</v>
      </c>
      <c r="F168" s="88">
        <v>4.9500000000000002E-2</v>
      </c>
      <c r="G168" s="88">
        <v>4.9500000000000002E-2</v>
      </c>
      <c r="H168" s="88">
        <v>4.9500000000000002E-2</v>
      </c>
      <c r="I168" s="88">
        <v>4.9500000000000002E-2</v>
      </c>
      <c r="J168" s="88">
        <v>4.9500000000000002E-2</v>
      </c>
      <c r="K168" s="88">
        <v>4.9500000000000002E-2</v>
      </c>
      <c r="L168" s="88">
        <v>4.9500000000000002E-2</v>
      </c>
      <c r="M168" s="88">
        <v>4.9500000000000002E-2</v>
      </c>
      <c r="N168" s="88">
        <v>4.9500000000000002E-2</v>
      </c>
      <c r="O168" s="88">
        <v>4.9500000000000002E-2</v>
      </c>
      <c r="P168" s="88">
        <v>4.9500000000000002E-2</v>
      </c>
    </row>
    <row r="169" spans="1:18" x14ac:dyDescent="0.25">
      <c r="A169" s="39" t="s">
        <v>377</v>
      </c>
      <c r="B169" s="67">
        <v>90</v>
      </c>
      <c r="C169" s="67">
        <v>90</v>
      </c>
      <c r="D169" s="67">
        <v>90</v>
      </c>
      <c r="E169" s="67">
        <v>90</v>
      </c>
      <c r="F169" s="67">
        <v>90</v>
      </c>
      <c r="G169" s="67">
        <v>90</v>
      </c>
      <c r="H169" s="67">
        <v>90</v>
      </c>
      <c r="I169" s="67">
        <v>90</v>
      </c>
      <c r="J169" s="67">
        <v>90</v>
      </c>
      <c r="K169" s="67">
        <v>90</v>
      </c>
      <c r="L169" s="67">
        <v>90</v>
      </c>
      <c r="M169" s="67">
        <v>90</v>
      </c>
      <c r="N169" s="67">
        <v>90</v>
      </c>
      <c r="O169" s="67">
        <v>90</v>
      </c>
      <c r="P169" s="67">
        <v>90</v>
      </c>
    </row>
    <row r="170" spans="1:18" ht="38.25" x14ac:dyDescent="0.25">
      <c r="A170" s="39" t="s">
        <v>373</v>
      </c>
      <c r="B170" s="73">
        <f t="shared" ref="B170:P170" si="8">(1+(B167+B168)/90)^90-1</f>
        <v>9.9933341722880487E-2</v>
      </c>
      <c r="C170" s="73">
        <f>(1+(C167+C168)/90)^90-1</f>
        <v>0.10455776160019181</v>
      </c>
      <c r="D170" s="73">
        <f t="shared" si="8"/>
        <v>0.10455776160019181</v>
      </c>
      <c r="E170" s="73">
        <f t="shared" si="8"/>
        <v>0.11564581273075714</v>
      </c>
      <c r="F170" s="73">
        <f t="shared" si="8"/>
        <v>0.11564581273075714</v>
      </c>
      <c r="G170" s="73">
        <f t="shared" si="8"/>
        <v>0.11564581273075714</v>
      </c>
      <c r="H170" s="73">
        <f t="shared" si="8"/>
        <v>0.11564581273075714</v>
      </c>
      <c r="I170" s="73">
        <f t="shared" si="8"/>
        <v>0.11564581273075714</v>
      </c>
      <c r="J170" s="73">
        <f t="shared" si="8"/>
        <v>0.11564581273075714</v>
      </c>
      <c r="K170" s="73">
        <f t="shared" si="8"/>
        <v>0.11564581273075714</v>
      </c>
      <c r="L170" s="73">
        <f t="shared" si="8"/>
        <v>0.11564581273075714</v>
      </c>
      <c r="M170" s="73">
        <f t="shared" si="8"/>
        <v>0.11564581273075714</v>
      </c>
      <c r="N170" s="73">
        <f t="shared" si="8"/>
        <v>0.11564581273075714</v>
      </c>
      <c r="O170" s="73">
        <f t="shared" si="8"/>
        <v>0.11564581273075714</v>
      </c>
      <c r="P170" s="73">
        <f t="shared" si="8"/>
        <v>0.11564581273075714</v>
      </c>
    </row>
    <row r="171" spans="1:18" ht="38.25" x14ac:dyDescent="0.25">
      <c r="A171" s="41" t="s">
        <v>378</v>
      </c>
      <c r="B171" s="42">
        <v>2018</v>
      </c>
      <c r="C171" s="42"/>
      <c r="D171" s="42"/>
      <c r="E171" s="41">
        <v>2019</v>
      </c>
      <c r="F171" s="41">
        <f>E171+1</f>
        <v>2020</v>
      </c>
      <c r="G171" s="41">
        <f t="shared" ref="G171:P171" si="9">F171+1</f>
        <v>2021</v>
      </c>
      <c r="H171" s="41">
        <f t="shared" si="9"/>
        <v>2022</v>
      </c>
      <c r="I171" s="41">
        <f t="shared" si="9"/>
        <v>2023</v>
      </c>
      <c r="J171" s="41">
        <f t="shared" si="9"/>
        <v>2024</v>
      </c>
      <c r="K171" s="41">
        <f t="shared" si="9"/>
        <v>2025</v>
      </c>
      <c r="L171" s="41">
        <f t="shared" si="9"/>
        <v>2026</v>
      </c>
      <c r="M171" s="41">
        <f t="shared" si="9"/>
        <v>2027</v>
      </c>
      <c r="N171" s="41">
        <f t="shared" si="9"/>
        <v>2028</v>
      </c>
      <c r="O171" s="41">
        <f t="shared" si="9"/>
        <v>2029</v>
      </c>
      <c r="P171" s="41">
        <f t="shared" si="9"/>
        <v>2030</v>
      </c>
      <c r="R171" s="46" t="s">
        <v>379</v>
      </c>
    </row>
    <row r="172" spans="1:18" x14ac:dyDescent="0.25">
      <c r="A172" s="43" t="s">
        <v>39</v>
      </c>
      <c r="B172" s="44">
        <f>D$6</f>
        <v>166331153.88373128</v>
      </c>
      <c r="C172" s="44">
        <f>D$7</f>
        <v>173749009.70426667</v>
      </c>
      <c r="D172" s="44">
        <f>D$8</f>
        <v>191440522.2469497</v>
      </c>
      <c r="E172" s="44">
        <f>+D$9+D$10+D$11+D$12</f>
        <v>765762088.98779881</v>
      </c>
      <c r="F172" s="44">
        <f>+D$13+D$31+D$32+D$33</f>
        <v>760976075.93162501</v>
      </c>
      <c r="G172" s="44">
        <f>+D$34+D$35+D$36+D$37</f>
        <v>737046010.65075636</v>
      </c>
      <c r="H172" s="44">
        <f>+D$38+D$39+D$40+D$41</f>
        <v>711520607.6844964</v>
      </c>
      <c r="I172" s="44">
        <f>+D$42+D$43+D$44+D$45</f>
        <v>685995204.71823645</v>
      </c>
      <c r="J172" s="44">
        <f>+D$46+D$47+D$48+D$49</f>
        <v>660469801.75197649</v>
      </c>
      <c r="K172" s="44">
        <f>+D$50+D$51+D$52+D$53</f>
        <v>634944398.78571653</v>
      </c>
      <c r="L172" s="44">
        <f>+D$54+D$55+D$56+D$57</f>
        <v>609418995.81945658</v>
      </c>
      <c r="M172" s="44">
        <f>+D$58+D$59+D$60+D$61</f>
        <v>583893592.85319662</v>
      </c>
      <c r="N172" s="44">
        <f>+D$62</f>
        <v>141985053.99982104</v>
      </c>
      <c r="O172" s="44">
        <v>0</v>
      </c>
      <c r="P172" s="44">
        <v>0</v>
      </c>
      <c r="Q172" s="54">
        <f>SUM(B172:P172)</f>
        <v>6823532517.0180283</v>
      </c>
      <c r="R172" s="74">
        <f>+Q172-D155</f>
        <v>6823532517.0180283</v>
      </c>
    </row>
    <row r="173" spans="1:18" ht="51" x14ac:dyDescent="0.25">
      <c r="A173" s="41" t="s">
        <v>380</v>
      </c>
      <c r="B173" s="42">
        <v>2018</v>
      </c>
      <c r="C173" s="41" t="s">
        <v>42</v>
      </c>
      <c r="D173" s="41" t="s">
        <v>42</v>
      </c>
      <c r="E173" s="41">
        <v>2019</v>
      </c>
      <c r="F173" s="42">
        <f>E173+1</f>
        <v>2020</v>
      </c>
      <c r="G173" s="42">
        <f t="shared" ref="G173:P173" si="10">F173+1</f>
        <v>2021</v>
      </c>
      <c r="H173" s="42">
        <f t="shared" si="10"/>
        <v>2022</v>
      </c>
      <c r="I173" s="42">
        <f t="shared" si="10"/>
        <v>2023</v>
      </c>
      <c r="J173" s="42">
        <f t="shared" si="10"/>
        <v>2024</v>
      </c>
      <c r="K173" s="42">
        <f t="shared" si="10"/>
        <v>2025</v>
      </c>
      <c r="L173" s="42">
        <f t="shared" si="10"/>
        <v>2026</v>
      </c>
      <c r="M173" s="42">
        <f t="shared" si="10"/>
        <v>2027</v>
      </c>
      <c r="N173" s="42">
        <f t="shared" si="10"/>
        <v>2028</v>
      </c>
      <c r="O173" s="42">
        <f t="shared" si="10"/>
        <v>2029</v>
      </c>
      <c r="P173" s="42">
        <f t="shared" si="10"/>
        <v>2030</v>
      </c>
    </row>
    <row r="174" spans="1:18" x14ac:dyDescent="0.25">
      <c r="A174" s="47" t="s">
        <v>39</v>
      </c>
      <c r="B174" s="44">
        <f>C$6+C$7</f>
        <v>0</v>
      </c>
      <c r="C174" s="44" t="str">
        <f>B$6</f>
        <v>Intereses</v>
      </c>
      <c r="D174" s="44">
        <f>C$6</f>
        <v>0</v>
      </c>
      <c r="E174" s="44">
        <f>+D$7+D$8+D$9+D$10</f>
        <v>748070576.44511569</v>
      </c>
      <c r="F174" s="44">
        <f>+C$11+C$12+C$13+C$31</f>
        <v>57518588.75</v>
      </c>
      <c r="G174" s="44">
        <f>+C$32+C$33+C$34+C$35</f>
        <v>230074355</v>
      </c>
      <c r="H174" s="44">
        <f>+C$36+C$37+C$38+C$39</f>
        <v>230074355</v>
      </c>
      <c r="I174" s="44">
        <f>+C$40+C$41+C$42+C$43</f>
        <v>230074355</v>
      </c>
      <c r="J174" s="44">
        <f>+C$44+C$45+C$46+C$47</f>
        <v>230074355</v>
      </c>
      <c r="K174" s="44">
        <f>+C$48+C$49+C$50+C$51</f>
        <v>230074355</v>
      </c>
      <c r="L174" s="44">
        <f>+C$52+C$53+C$54+C$55</f>
        <v>230074355</v>
      </c>
      <c r="M174" s="44">
        <f>+C$56+C$57+C$58+C$59</f>
        <v>230074355</v>
      </c>
      <c r="N174" s="44">
        <f>+C$60+C$61+C$62</f>
        <v>172555766.25</v>
      </c>
      <c r="O174" s="44">
        <v>0</v>
      </c>
      <c r="P174" s="44">
        <v>0</v>
      </c>
    </row>
    <row r="175" spans="1:18" x14ac:dyDescent="0.25">
      <c r="Q175" s="45">
        <f>SUM(B175:P175)</f>
        <v>0</v>
      </c>
    </row>
    <row r="178" spans="2:17" x14ac:dyDescent="0.25">
      <c r="Q178" s="45">
        <f>SUM(B178:P178)</f>
        <v>0</v>
      </c>
    </row>
    <row r="181" spans="2:17" x14ac:dyDescent="0.25">
      <c r="B181" s="50">
        <f>B171+0.00495</f>
        <v>2018.00495</v>
      </c>
      <c r="C181" s="50">
        <f>E171+0.00495</f>
        <v>2019.00495</v>
      </c>
    </row>
  </sheetData>
  <mergeCells count="4">
    <mergeCell ref="A1:H1"/>
    <mergeCell ref="A2:H2"/>
    <mergeCell ref="A3:H3"/>
    <mergeCell ref="B155:C155"/>
  </mergeCells>
  <hyperlinks>
    <hyperlink ref="B155" r:id="rId1" xr:uid="{00000000-0004-0000-45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B050"/>
  </sheetPr>
  <dimension ref="A1:J60"/>
  <sheetViews>
    <sheetView zoomScale="90" zoomScaleNormal="90" workbookViewId="0">
      <selection activeCell="E53" sqref="E53:I53"/>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6.28515625" customWidth="1"/>
    <col min="6" max="6" width="13" customWidth="1"/>
    <col min="7" max="7" width="16.85546875" customWidth="1"/>
    <col min="8" max="8" width="17.7109375" customWidth="1"/>
    <col min="9" max="9" width="14.140625" bestFit="1" customWidth="1"/>
    <col min="10" max="10" width="13.5703125" bestFit="1" customWidth="1"/>
    <col min="11" max="11" width="12.7109375" bestFit="1" customWidth="1"/>
    <col min="253" max="253" width="15" customWidth="1"/>
    <col min="254" max="254" width="19" customWidth="1"/>
    <col min="255" max="255" width="18.5703125" customWidth="1"/>
    <col min="256" max="256" width="16.42578125" customWidth="1"/>
    <col min="257" max="257" width="16.85546875" customWidth="1"/>
    <col min="258" max="258" width="17.7109375" customWidth="1"/>
    <col min="259" max="263" width="13.5703125" bestFit="1" customWidth="1"/>
    <col min="264" max="266" width="12.7109375" bestFit="1" customWidth="1"/>
    <col min="267" max="267" width="13.7109375" bestFit="1" customWidth="1"/>
    <col min="509" max="509" width="15" customWidth="1"/>
    <col min="510" max="510" width="19" customWidth="1"/>
    <col min="511" max="511" width="18.5703125" customWidth="1"/>
    <col min="512" max="512" width="16.42578125" customWidth="1"/>
    <col min="513" max="513" width="16.85546875" customWidth="1"/>
    <col min="514" max="514" width="17.7109375" customWidth="1"/>
    <col min="515" max="519" width="13.5703125" bestFit="1" customWidth="1"/>
    <col min="520" max="522" width="12.7109375" bestFit="1" customWidth="1"/>
    <col min="523" max="523" width="13.7109375" bestFit="1" customWidth="1"/>
    <col min="765" max="765" width="15" customWidth="1"/>
    <col min="766" max="766" width="19" customWidth="1"/>
    <col min="767" max="767" width="18.5703125" customWidth="1"/>
    <col min="768" max="768" width="16.42578125" customWidth="1"/>
    <col min="769" max="769" width="16.85546875" customWidth="1"/>
    <col min="770" max="770" width="17.7109375" customWidth="1"/>
    <col min="771" max="775" width="13.5703125" bestFit="1" customWidth="1"/>
    <col min="776" max="778" width="12.7109375" bestFit="1" customWidth="1"/>
    <col min="779" max="779" width="13.7109375" bestFit="1" customWidth="1"/>
    <col min="1021" max="1021" width="15" customWidth="1"/>
    <col min="1022" max="1022" width="19" customWidth="1"/>
    <col min="1023" max="1023" width="18.5703125" customWidth="1"/>
    <col min="1024" max="1024" width="16.42578125" customWidth="1"/>
    <col min="1025" max="1025" width="16.85546875" customWidth="1"/>
    <col min="1026" max="1026" width="17.7109375" customWidth="1"/>
    <col min="1027" max="1031" width="13.5703125" bestFit="1" customWidth="1"/>
    <col min="1032" max="1034" width="12.7109375" bestFit="1" customWidth="1"/>
    <col min="1035" max="1035" width="13.7109375" bestFit="1" customWidth="1"/>
    <col min="1277" max="1277" width="15" customWidth="1"/>
    <col min="1278" max="1278" width="19" customWidth="1"/>
    <col min="1279" max="1279" width="18.5703125" customWidth="1"/>
    <col min="1280" max="1280" width="16.42578125" customWidth="1"/>
    <col min="1281" max="1281" width="16.85546875" customWidth="1"/>
    <col min="1282" max="1282" width="17.7109375" customWidth="1"/>
    <col min="1283" max="1287" width="13.5703125" bestFit="1" customWidth="1"/>
    <col min="1288" max="1290" width="12.7109375" bestFit="1" customWidth="1"/>
    <col min="1291" max="1291" width="13.7109375" bestFit="1" customWidth="1"/>
    <col min="1533" max="1533" width="15" customWidth="1"/>
    <col min="1534" max="1534" width="19" customWidth="1"/>
    <col min="1535" max="1535" width="18.5703125" customWidth="1"/>
    <col min="1536" max="1536" width="16.42578125" customWidth="1"/>
    <col min="1537" max="1537" width="16.85546875" customWidth="1"/>
    <col min="1538" max="1538" width="17.7109375" customWidth="1"/>
    <col min="1539" max="1543" width="13.5703125" bestFit="1" customWidth="1"/>
    <col min="1544" max="1546" width="12.7109375" bestFit="1" customWidth="1"/>
    <col min="1547" max="1547" width="13.7109375" bestFit="1" customWidth="1"/>
    <col min="1789" max="1789" width="15" customWidth="1"/>
    <col min="1790" max="1790" width="19" customWidth="1"/>
    <col min="1791" max="1791" width="18.5703125" customWidth="1"/>
    <col min="1792" max="1792" width="16.42578125" customWidth="1"/>
    <col min="1793" max="1793" width="16.85546875" customWidth="1"/>
    <col min="1794" max="1794" width="17.7109375" customWidth="1"/>
    <col min="1795" max="1799" width="13.5703125" bestFit="1" customWidth="1"/>
    <col min="1800" max="1802" width="12.7109375" bestFit="1" customWidth="1"/>
    <col min="1803" max="1803" width="13.7109375" bestFit="1" customWidth="1"/>
    <col min="2045" max="2045" width="15" customWidth="1"/>
    <col min="2046" max="2046" width="19" customWidth="1"/>
    <col min="2047" max="2047" width="18.5703125" customWidth="1"/>
    <col min="2048" max="2048" width="16.42578125" customWidth="1"/>
    <col min="2049" max="2049" width="16.85546875" customWidth="1"/>
    <col min="2050" max="2050" width="17.7109375" customWidth="1"/>
    <col min="2051" max="2055" width="13.5703125" bestFit="1" customWidth="1"/>
    <col min="2056" max="2058" width="12.7109375" bestFit="1" customWidth="1"/>
    <col min="2059" max="2059" width="13.7109375" bestFit="1" customWidth="1"/>
    <col min="2301" max="2301" width="15" customWidth="1"/>
    <col min="2302" max="2302" width="19" customWidth="1"/>
    <col min="2303" max="2303" width="18.5703125" customWidth="1"/>
    <col min="2304" max="2304" width="16.42578125" customWidth="1"/>
    <col min="2305" max="2305" width="16.85546875" customWidth="1"/>
    <col min="2306" max="2306" width="17.7109375" customWidth="1"/>
    <col min="2307" max="2311" width="13.5703125" bestFit="1" customWidth="1"/>
    <col min="2312" max="2314" width="12.7109375" bestFit="1" customWidth="1"/>
    <col min="2315" max="2315" width="13.7109375" bestFit="1" customWidth="1"/>
    <col min="2557" max="2557" width="15" customWidth="1"/>
    <col min="2558" max="2558" width="19" customWidth="1"/>
    <col min="2559" max="2559" width="18.5703125" customWidth="1"/>
    <col min="2560" max="2560" width="16.42578125" customWidth="1"/>
    <col min="2561" max="2561" width="16.85546875" customWidth="1"/>
    <col min="2562" max="2562" width="17.7109375" customWidth="1"/>
    <col min="2563" max="2567" width="13.5703125" bestFit="1" customWidth="1"/>
    <col min="2568" max="2570" width="12.7109375" bestFit="1" customWidth="1"/>
    <col min="2571" max="2571" width="13.7109375" bestFit="1" customWidth="1"/>
    <col min="2813" max="2813" width="15" customWidth="1"/>
    <col min="2814" max="2814" width="19" customWidth="1"/>
    <col min="2815" max="2815" width="18.5703125" customWidth="1"/>
    <col min="2816" max="2816" width="16.42578125" customWidth="1"/>
    <col min="2817" max="2817" width="16.85546875" customWidth="1"/>
    <col min="2818" max="2818" width="17.7109375" customWidth="1"/>
    <col min="2819" max="2823" width="13.5703125" bestFit="1" customWidth="1"/>
    <col min="2824" max="2826" width="12.7109375" bestFit="1" customWidth="1"/>
    <col min="2827" max="2827" width="13.7109375" bestFit="1" customWidth="1"/>
    <col min="3069" max="3069" width="15" customWidth="1"/>
    <col min="3070" max="3070" width="19" customWidth="1"/>
    <col min="3071" max="3071" width="18.5703125" customWidth="1"/>
    <col min="3072" max="3072" width="16.42578125" customWidth="1"/>
    <col min="3073" max="3073" width="16.85546875" customWidth="1"/>
    <col min="3074" max="3074" width="17.7109375" customWidth="1"/>
    <col min="3075" max="3079" width="13.5703125" bestFit="1" customWidth="1"/>
    <col min="3080" max="3082" width="12.7109375" bestFit="1" customWidth="1"/>
    <col min="3083" max="3083" width="13.7109375" bestFit="1" customWidth="1"/>
    <col min="3325" max="3325" width="15" customWidth="1"/>
    <col min="3326" max="3326" width="19" customWidth="1"/>
    <col min="3327" max="3327" width="18.5703125" customWidth="1"/>
    <col min="3328" max="3328" width="16.42578125" customWidth="1"/>
    <col min="3329" max="3329" width="16.85546875" customWidth="1"/>
    <col min="3330" max="3330" width="17.7109375" customWidth="1"/>
    <col min="3331" max="3335" width="13.5703125" bestFit="1" customWidth="1"/>
    <col min="3336" max="3338" width="12.7109375" bestFit="1" customWidth="1"/>
    <col min="3339" max="3339" width="13.7109375" bestFit="1" customWidth="1"/>
    <col min="3581" max="3581" width="15" customWidth="1"/>
    <col min="3582" max="3582" width="19" customWidth="1"/>
    <col min="3583" max="3583" width="18.5703125" customWidth="1"/>
    <col min="3584" max="3584" width="16.42578125" customWidth="1"/>
    <col min="3585" max="3585" width="16.85546875" customWidth="1"/>
    <col min="3586" max="3586" width="17.7109375" customWidth="1"/>
    <col min="3587" max="3591" width="13.5703125" bestFit="1" customWidth="1"/>
    <col min="3592" max="3594" width="12.7109375" bestFit="1" customWidth="1"/>
    <col min="3595" max="3595" width="13.7109375" bestFit="1" customWidth="1"/>
    <col min="3837" max="3837" width="15" customWidth="1"/>
    <col min="3838" max="3838" width="19" customWidth="1"/>
    <col min="3839" max="3839" width="18.5703125" customWidth="1"/>
    <col min="3840" max="3840" width="16.42578125" customWidth="1"/>
    <col min="3841" max="3841" width="16.85546875" customWidth="1"/>
    <col min="3842" max="3842" width="17.7109375" customWidth="1"/>
    <col min="3843" max="3847" width="13.5703125" bestFit="1" customWidth="1"/>
    <col min="3848" max="3850" width="12.7109375" bestFit="1" customWidth="1"/>
    <col min="3851" max="3851" width="13.7109375" bestFit="1" customWidth="1"/>
    <col min="4093" max="4093" width="15" customWidth="1"/>
    <col min="4094" max="4094" width="19" customWidth="1"/>
    <col min="4095" max="4095" width="18.5703125" customWidth="1"/>
    <col min="4096" max="4096" width="16.42578125" customWidth="1"/>
    <col min="4097" max="4097" width="16.85546875" customWidth="1"/>
    <col min="4098" max="4098" width="17.7109375" customWidth="1"/>
    <col min="4099" max="4103" width="13.5703125" bestFit="1" customWidth="1"/>
    <col min="4104" max="4106" width="12.7109375" bestFit="1" customWidth="1"/>
    <col min="4107" max="4107" width="13.7109375" bestFit="1" customWidth="1"/>
    <col min="4349" max="4349" width="15" customWidth="1"/>
    <col min="4350" max="4350" width="19" customWidth="1"/>
    <col min="4351" max="4351" width="18.5703125" customWidth="1"/>
    <col min="4352" max="4352" width="16.42578125" customWidth="1"/>
    <col min="4353" max="4353" width="16.85546875" customWidth="1"/>
    <col min="4354" max="4354" width="17.7109375" customWidth="1"/>
    <col min="4355" max="4359" width="13.5703125" bestFit="1" customWidth="1"/>
    <col min="4360" max="4362" width="12.7109375" bestFit="1" customWidth="1"/>
    <col min="4363" max="4363" width="13.7109375" bestFit="1" customWidth="1"/>
    <col min="4605" max="4605" width="15" customWidth="1"/>
    <col min="4606" max="4606" width="19" customWidth="1"/>
    <col min="4607" max="4607" width="18.5703125" customWidth="1"/>
    <col min="4608" max="4608" width="16.42578125" customWidth="1"/>
    <col min="4609" max="4609" width="16.85546875" customWidth="1"/>
    <col min="4610" max="4610" width="17.7109375" customWidth="1"/>
    <col min="4611" max="4615" width="13.5703125" bestFit="1" customWidth="1"/>
    <col min="4616" max="4618" width="12.7109375" bestFit="1" customWidth="1"/>
    <col min="4619" max="4619" width="13.7109375" bestFit="1" customWidth="1"/>
    <col min="4861" max="4861" width="15" customWidth="1"/>
    <col min="4862" max="4862" width="19" customWidth="1"/>
    <col min="4863" max="4863" width="18.5703125" customWidth="1"/>
    <col min="4864" max="4864" width="16.42578125" customWidth="1"/>
    <col min="4865" max="4865" width="16.85546875" customWidth="1"/>
    <col min="4866" max="4866" width="17.7109375" customWidth="1"/>
    <col min="4867" max="4871" width="13.5703125" bestFit="1" customWidth="1"/>
    <col min="4872" max="4874" width="12.7109375" bestFit="1" customWidth="1"/>
    <col min="4875" max="4875" width="13.7109375" bestFit="1" customWidth="1"/>
    <col min="5117" max="5117" width="15" customWidth="1"/>
    <col min="5118" max="5118" width="19" customWidth="1"/>
    <col min="5119" max="5119" width="18.5703125" customWidth="1"/>
    <col min="5120" max="5120" width="16.42578125" customWidth="1"/>
    <col min="5121" max="5121" width="16.85546875" customWidth="1"/>
    <col min="5122" max="5122" width="17.7109375" customWidth="1"/>
    <col min="5123" max="5127" width="13.5703125" bestFit="1" customWidth="1"/>
    <col min="5128" max="5130" width="12.7109375" bestFit="1" customWidth="1"/>
    <col min="5131" max="5131" width="13.7109375" bestFit="1" customWidth="1"/>
    <col min="5373" max="5373" width="15" customWidth="1"/>
    <col min="5374" max="5374" width="19" customWidth="1"/>
    <col min="5375" max="5375" width="18.5703125" customWidth="1"/>
    <col min="5376" max="5376" width="16.42578125" customWidth="1"/>
    <col min="5377" max="5377" width="16.85546875" customWidth="1"/>
    <col min="5378" max="5378" width="17.7109375" customWidth="1"/>
    <col min="5379" max="5383" width="13.5703125" bestFit="1" customWidth="1"/>
    <col min="5384" max="5386" width="12.7109375" bestFit="1" customWidth="1"/>
    <col min="5387" max="5387" width="13.7109375" bestFit="1" customWidth="1"/>
    <col min="5629" max="5629" width="15" customWidth="1"/>
    <col min="5630" max="5630" width="19" customWidth="1"/>
    <col min="5631" max="5631" width="18.5703125" customWidth="1"/>
    <col min="5632" max="5632" width="16.42578125" customWidth="1"/>
    <col min="5633" max="5633" width="16.85546875" customWidth="1"/>
    <col min="5634" max="5634" width="17.7109375" customWidth="1"/>
    <col min="5635" max="5639" width="13.5703125" bestFit="1" customWidth="1"/>
    <col min="5640" max="5642" width="12.7109375" bestFit="1" customWidth="1"/>
    <col min="5643" max="5643" width="13.7109375" bestFit="1" customWidth="1"/>
    <col min="5885" max="5885" width="15" customWidth="1"/>
    <col min="5886" max="5886" width="19" customWidth="1"/>
    <col min="5887" max="5887" width="18.5703125" customWidth="1"/>
    <col min="5888" max="5888" width="16.42578125" customWidth="1"/>
    <col min="5889" max="5889" width="16.85546875" customWidth="1"/>
    <col min="5890" max="5890" width="17.7109375" customWidth="1"/>
    <col min="5891" max="5895" width="13.5703125" bestFit="1" customWidth="1"/>
    <col min="5896" max="5898" width="12.7109375" bestFit="1" customWidth="1"/>
    <col min="5899" max="5899" width="13.7109375" bestFit="1" customWidth="1"/>
    <col min="6141" max="6141" width="15" customWidth="1"/>
    <col min="6142" max="6142" width="19" customWidth="1"/>
    <col min="6143" max="6143" width="18.5703125" customWidth="1"/>
    <col min="6144" max="6144" width="16.42578125" customWidth="1"/>
    <col min="6145" max="6145" width="16.85546875" customWidth="1"/>
    <col min="6146" max="6146" width="17.7109375" customWidth="1"/>
    <col min="6147" max="6151" width="13.5703125" bestFit="1" customWidth="1"/>
    <col min="6152" max="6154" width="12.7109375" bestFit="1" customWidth="1"/>
    <col min="6155" max="6155" width="13.7109375" bestFit="1" customWidth="1"/>
    <col min="6397" max="6397" width="15" customWidth="1"/>
    <col min="6398" max="6398" width="19" customWidth="1"/>
    <col min="6399" max="6399" width="18.5703125" customWidth="1"/>
    <col min="6400" max="6400" width="16.42578125" customWidth="1"/>
    <col min="6401" max="6401" width="16.85546875" customWidth="1"/>
    <col min="6402" max="6402" width="17.7109375" customWidth="1"/>
    <col min="6403" max="6407" width="13.5703125" bestFit="1" customWidth="1"/>
    <col min="6408" max="6410" width="12.7109375" bestFit="1" customWidth="1"/>
    <col min="6411" max="6411" width="13.7109375" bestFit="1" customWidth="1"/>
    <col min="6653" max="6653" width="15" customWidth="1"/>
    <col min="6654" max="6654" width="19" customWidth="1"/>
    <col min="6655" max="6655" width="18.5703125" customWidth="1"/>
    <col min="6656" max="6656" width="16.42578125" customWidth="1"/>
    <col min="6657" max="6657" width="16.85546875" customWidth="1"/>
    <col min="6658" max="6658" width="17.7109375" customWidth="1"/>
    <col min="6659" max="6663" width="13.5703125" bestFit="1" customWidth="1"/>
    <col min="6664" max="6666" width="12.7109375" bestFit="1" customWidth="1"/>
    <col min="6667" max="6667" width="13.7109375" bestFit="1" customWidth="1"/>
    <col min="6909" max="6909" width="15" customWidth="1"/>
    <col min="6910" max="6910" width="19" customWidth="1"/>
    <col min="6911" max="6911" width="18.5703125" customWidth="1"/>
    <col min="6912" max="6912" width="16.42578125" customWidth="1"/>
    <col min="6913" max="6913" width="16.85546875" customWidth="1"/>
    <col min="6914" max="6914" width="17.7109375" customWidth="1"/>
    <col min="6915" max="6919" width="13.5703125" bestFit="1" customWidth="1"/>
    <col min="6920" max="6922" width="12.7109375" bestFit="1" customWidth="1"/>
    <col min="6923" max="6923" width="13.7109375" bestFit="1" customWidth="1"/>
    <col min="7165" max="7165" width="15" customWidth="1"/>
    <col min="7166" max="7166" width="19" customWidth="1"/>
    <col min="7167" max="7167" width="18.5703125" customWidth="1"/>
    <col min="7168" max="7168" width="16.42578125" customWidth="1"/>
    <col min="7169" max="7169" width="16.85546875" customWidth="1"/>
    <col min="7170" max="7170" width="17.7109375" customWidth="1"/>
    <col min="7171" max="7175" width="13.5703125" bestFit="1" customWidth="1"/>
    <col min="7176" max="7178" width="12.7109375" bestFit="1" customWidth="1"/>
    <col min="7179" max="7179" width="13.7109375" bestFit="1" customWidth="1"/>
    <col min="7421" max="7421" width="15" customWidth="1"/>
    <col min="7422" max="7422" width="19" customWidth="1"/>
    <col min="7423" max="7423" width="18.5703125" customWidth="1"/>
    <col min="7424" max="7424" width="16.42578125" customWidth="1"/>
    <col min="7425" max="7425" width="16.85546875" customWidth="1"/>
    <col min="7426" max="7426" width="17.7109375" customWidth="1"/>
    <col min="7427" max="7431" width="13.5703125" bestFit="1" customWidth="1"/>
    <col min="7432" max="7434" width="12.7109375" bestFit="1" customWidth="1"/>
    <col min="7435" max="7435" width="13.7109375" bestFit="1" customWidth="1"/>
    <col min="7677" max="7677" width="15" customWidth="1"/>
    <col min="7678" max="7678" width="19" customWidth="1"/>
    <col min="7679" max="7679" width="18.5703125" customWidth="1"/>
    <col min="7680" max="7680" width="16.42578125" customWidth="1"/>
    <col min="7681" max="7681" width="16.85546875" customWidth="1"/>
    <col min="7682" max="7682" width="17.7109375" customWidth="1"/>
    <col min="7683" max="7687" width="13.5703125" bestFit="1" customWidth="1"/>
    <col min="7688" max="7690" width="12.7109375" bestFit="1" customWidth="1"/>
    <col min="7691" max="7691" width="13.7109375" bestFit="1" customWidth="1"/>
    <col min="7933" max="7933" width="15" customWidth="1"/>
    <col min="7934" max="7934" width="19" customWidth="1"/>
    <col min="7935" max="7935" width="18.5703125" customWidth="1"/>
    <col min="7936" max="7936" width="16.42578125" customWidth="1"/>
    <col min="7937" max="7937" width="16.85546875" customWidth="1"/>
    <col min="7938" max="7938" width="17.7109375" customWidth="1"/>
    <col min="7939" max="7943" width="13.5703125" bestFit="1" customWidth="1"/>
    <col min="7944" max="7946" width="12.7109375" bestFit="1" customWidth="1"/>
    <col min="7947" max="7947" width="13.7109375" bestFit="1" customWidth="1"/>
    <col min="8189" max="8189" width="15" customWidth="1"/>
    <col min="8190" max="8190" width="19" customWidth="1"/>
    <col min="8191" max="8191" width="18.5703125" customWidth="1"/>
    <col min="8192" max="8192" width="16.42578125" customWidth="1"/>
    <col min="8193" max="8193" width="16.85546875" customWidth="1"/>
    <col min="8194" max="8194" width="17.7109375" customWidth="1"/>
    <col min="8195" max="8199" width="13.5703125" bestFit="1" customWidth="1"/>
    <col min="8200" max="8202" width="12.7109375" bestFit="1" customWidth="1"/>
    <col min="8203" max="8203" width="13.7109375" bestFit="1" customWidth="1"/>
    <col min="8445" max="8445" width="15" customWidth="1"/>
    <col min="8446" max="8446" width="19" customWidth="1"/>
    <col min="8447" max="8447" width="18.5703125" customWidth="1"/>
    <col min="8448" max="8448" width="16.42578125" customWidth="1"/>
    <col min="8449" max="8449" width="16.85546875" customWidth="1"/>
    <col min="8450" max="8450" width="17.7109375" customWidth="1"/>
    <col min="8451" max="8455" width="13.5703125" bestFit="1" customWidth="1"/>
    <col min="8456" max="8458" width="12.7109375" bestFit="1" customWidth="1"/>
    <col min="8459" max="8459" width="13.7109375" bestFit="1" customWidth="1"/>
    <col min="8701" max="8701" width="15" customWidth="1"/>
    <col min="8702" max="8702" width="19" customWidth="1"/>
    <col min="8703" max="8703" width="18.5703125" customWidth="1"/>
    <col min="8704" max="8704" width="16.42578125" customWidth="1"/>
    <col min="8705" max="8705" width="16.85546875" customWidth="1"/>
    <col min="8706" max="8706" width="17.7109375" customWidth="1"/>
    <col min="8707" max="8711" width="13.5703125" bestFit="1" customWidth="1"/>
    <col min="8712" max="8714" width="12.7109375" bestFit="1" customWidth="1"/>
    <col min="8715" max="8715" width="13.7109375" bestFit="1" customWidth="1"/>
    <col min="8957" max="8957" width="15" customWidth="1"/>
    <col min="8958" max="8958" width="19" customWidth="1"/>
    <col min="8959" max="8959" width="18.5703125" customWidth="1"/>
    <col min="8960" max="8960" width="16.42578125" customWidth="1"/>
    <col min="8961" max="8961" width="16.85546875" customWidth="1"/>
    <col min="8962" max="8962" width="17.7109375" customWidth="1"/>
    <col min="8963" max="8967" width="13.5703125" bestFit="1" customWidth="1"/>
    <col min="8968" max="8970" width="12.7109375" bestFit="1" customWidth="1"/>
    <col min="8971" max="8971" width="13.7109375" bestFit="1" customWidth="1"/>
    <col min="9213" max="9213" width="15" customWidth="1"/>
    <col min="9214" max="9214" width="19" customWidth="1"/>
    <col min="9215" max="9215" width="18.5703125" customWidth="1"/>
    <col min="9216" max="9216" width="16.42578125" customWidth="1"/>
    <col min="9217" max="9217" width="16.85546875" customWidth="1"/>
    <col min="9218" max="9218" width="17.7109375" customWidth="1"/>
    <col min="9219" max="9223" width="13.5703125" bestFit="1" customWidth="1"/>
    <col min="9224" max="9226" width="12.7109375" bestFit="1" customWidth="1"/>
    <col min="9227" max="9227" width="13.7109375" bestFit="1" customWidth="1"/>
    <col min="9469" max="9469" width="15" customWidth="1"/>
    <col min="9470" max="9470" width="19" customWidth="1"/>
    <col min="9471" max="9471" width="18.5703125" customWidth="1"/>
    <col min="9472" max="9472" width="16.42578125" customWidth="1"/>
    <col min="9473" max="9473" width="16.85546875" customWidth="1"/>
    <col min="9474" max="9474" width="17.7109375" customWidth="1"/>
    <col min="9475" max="9479" width="13.5703125" bestFit="1" customWidth="1"/>
    <col min="9480" max="9482" width="12.7109375" bestFit="1" customWidth="1"/>
    <col min="9483" max="9483" width="13.7109375" bestFit="1" customWidth="1"/>
    <col min="9725" max="9725" width="15" customWidth="1"/>
    <col min="9726" max="9726" width="19" customWidth="1"/>
    <col min="9727" max="9727" width="18.5703125" customWidth="1"/>
    <col min="9728" max="9728" width="16.42578125" customWidth="1"/>
    <col min="9729" max="9729" width="16.85546875" customWidth="1"/>
    <col min="9730" max="9730" width="17.7109375" customWidth="1"/>
    <col min="9731" max="9735" width="13.5703125" bestFit="1" customWidth="1"/>
    <col min="9736" max="9738" width="12.7109375" bestFit="1" customWidth="1"/>
    <col min="9739" max="9739" width="13.7109375" bestFit="1" customWidth="1"/>
    <col min="9981" max="9981" width="15" customWidth="1"/>
    <col min="9982" max="9982" width="19" customWidth="1"/>
    <col min="9983" max="9983" width="18.5703125" customWidth="1"/>
    <col min="9984" max="9984" width="16.42578125" customWidth="1"/>
    <col min="9985" max="9985" width="16.85546875" customWidth="1"/>
    <col min="9986" max="9986" width="17.7109375" customWidth="1"/>
    <col min="9987" max="9991" width="13.5703125" bestFit="1" customWidth="1"/>
    <col min="9992" max="9994" width="12.7109375" bestFit="1" customWidth="1"/>
    <col min="9995" max="9995" width="13.7109375" bestFit="1" customWidth="1"/>
    <col min="10237" max="10237" width="15" customWidth="1"/>
    <col min="10238" max="10238" width="19" customWidth="1"/>
    <col min="10239" max="10239" width="18.5703125" customWidth="1"/>
    <col min="10240" max="10240" width="16.42578125" customWidth="1"/>
    <col min="10241" max="10241" width="16.85546875" customWidth="1"/>
    <col min="10242" max="10242" width="17.7109375" customWidth="1"/>
    <col min="10243" max="10247" width="13.5703125" bestFit="1" customWidth="1"/>
    <col min="10248" max="10250" width="12.7109375" bestFit="1" customWidth="1"/>
    <col min="10251" max="10251" width="13.7109375" bestFit="1" customWidth="1"/>
    <col min="10493" max="10493" width="15" customWidth="1"/>
    <col min="10494" max="10494" width="19" customWidth="1"/>
    <col min="10495" max="10495" width="18.5703125" customWidth="1"/>
    <col min="10496" max="10496" width="16.42578125" customWidth="1"/>
    <col min="10497" max="10497" width="16.85546875" customWidth="1"/>
    <col min="10498" max="10498" width="17.7109375" customWidth="1"/>
    <col min="10499" max="10503" width="13.5703125" bestFit="1" customWidth="1"/>
    <col min="10504" max="10506" width="12.7109375" bestFit="1" customWidth="1"/>
    <col min="10507" max="10507" width="13.7109375" bestFit="1" customWidth="1"/>
    <col min="10749" max="10749" width="15" customWidth="1"/>
    <col min="10750" max="10750" width="19" customWidth="1"/>
    <col min="10751" max="10751" width="18.5703125" customWidth="1"/>
    <col min="10752" max="10752" width="16.42578125" customWidth="1"/>
    <col min="10753" max="10753" width="16.85546875" customWidth="1"/>
    <col min="10754" max="10754" width="17.7109375" customWidth="1"/>
    <col min="10755" max="10759" width="13.5703125" bestFit="1" customWidth="1"/>
    <col min="10760" max="10762" width="12.7109375" bestFit="1" customWidth="1"/>
    <col min="10763" max="10763" width="13.7109375" bestFit="1" customWidth="1"/>
    <col min="11005" max="11005" width="15" customWidth="1"/>
    <col min="11006" max="11006" width="19" customWidth="1"/>
    <col min="11007" max="11007" width="18.5703125" customWidth="1"/>
    <col min="11008" max="11008" width="16.42578125" customWidth="1"/>
    <col min="11009" max="11009" width="16.85546875" customWidth="1"/>
    <col min="11010" max="11010" width="17.7109375" customWidth="1"/>
    <col min="11011" max="11015" width="13.5703125" bestFit="1" customWidth="1"/>
    <col min="11016" max="11018" width="12.7109375" bestFit="1" customWidth="1"/>
    <col min="11019" max="11019" width="13.7109375" bestFit="1" customWidth="1"/>
    <col min="11261" max="11261" width="15" customWidth="1"/>
    <col min="11262" max="11262" width="19" customWidth="1"/>
    <col min="11263" max="11263" width="18.5703125" customWidth="1"/>
    <col min="11264" max="11264" width="16.42578125" customWidth="1"/>
    <col min="11265" max="11265" width="16.85546875" customWidth="1"/>
    <col min="11266" max="11266" width="17.7109375" customWidth="1"/>
    <col min="11267" max="11271" width="13.5703125" bestFit="1" customWidth="1"/>
    <col min="11272" max="11274" width="12.7109375" bestFit="1" customWidth="1"/>
    <col min="11275" max="11275" width="13.7109375" bestFit="1" customWidth="1"/>
    <col min="11517" max="11517" width="15" customWidth="1"/>
    <col min="11518" max="11518" width="19" customWidth="1"/>
    <col min="11519" max="11519" width="18.5703125" customWidth="1"/>
    <col min="11520" max="11520" width="16.42578125" customWidth="1"/>
    <col min="11521" max="11521" width="16.85546875" customWidth="1"/>
    <col min="11522" max="11522" width="17.7109375" customWidth="1"/>
    <col min="11523" max="11527" width="13.5703125" bestFit="1" customWidth="1"/>
    <col min="11528" max="11530" width="12.7109375" bestFit="1" customWidth="1"/>
    <col min="11531" max="11531" width="13.7109375" bestFit="1" customWidth="1"/>
    <col min="11773" max="11773" width="15" customWidth="1"/>
    <col min="11774" max="11774" width="19" customWidth="1"/>
    <col min="11775" max="11775" width="18.5703125" customWidth="1"/>
    <col min="11776" max="11776" width="16.42578125" customWidth="1"/>
    <col min="11777" max="11777" width="16.85546875" customWidth="1"/>
    <col min="11778" max="11778" width="17.7109375" customWidth="1"/>
    <col min="11779" max="11783" width="13.5703125" bestFit="1" customWidth="1"/>
    <col min="11784" max="11786" width="12.7109375" bestFit="1" customWidth="1"/>
    <col min="11787" max="11787" width="13.7109375" bestFit="1" customWidth="1"/>
    <col min="12029" max="12029" width="15" customWidth="1"/>
    <col min="12030" max="12030" width="19" customWidth="1"/>
    <col min="12031" max="12031" width="18.5703125" customWidth="1"/>
    <col min="12032" max="12032" width="16.42578125" customWidth="1"/>
    <col min="12033" max="12033" width="16.85546875" customWidth="1"/>
    <col min="12034" max="12034" width="17.7109375" customWidth="1"/>
    <col min="12035" max="12039" width="13.5703125" bestFit="1" customWidth="1"/>
    <col min="12040" max="12042" width="12.7109375" bestFit="1" customWidth="1"/>
    <col min="12043" max="12043" width="13.7109375" bestFit="1" customWidth="1"/>
    <col min="12285" max="12285" width="15" customWidth="1"/>
    <col min="12286" max="12286" width="19" customWidth="1"/>
    <col min="12287" max="12287" width="18.5703125" customWidth="1"/>
    <col min="12288" max="12288" width="16.42578125" customWidth="1"/>
    <col min="12289" max="12289" width="16.85546875" customWidth="1"/>
    <col min="12290" max="12290" width="17.7109375" customWidth="1"/>
    <col min="12291" max="12295" width="13.5703125" bestFit="1" customWidth="1"/>
    <col min="12296" max="12298" width="12.7109375" bestFit="1" customWidth="1"/>
    <col min="12299" max="12299" width="13.7109375" bestFit="1" customWidth="1"/>
    <col min="12541" max="12541" width="15" customWidth="1"/>
    <col min="12542" max="12542" width="19" customWidth="1"/>
    <col min="12543" max="12543" width="18.5703125" customWidth="1"/>
    <col min="12544" max="12544" width="16.42578125" customWidth="1"/>
    <col min="12545" max="12545" width="16.85546875" customWidth="1"/>
    <col min="12546" max="12546" width="17.7109375" customWidth="1"/>
    <col min="12547" max="12551" width="13.5703125" bestFit="1" customWidth="1"/>
    <col min="12552" max="12554" width="12.7109375" bestFit="1" customWidth="1"/>
    <col min="12555" max="12555" width="13.7109375" bestFit="1" customWidth="1"/>
    <col min="12797" max="12797" width="15" customWidth="1"/>
    <col min="12798" max="12798" width="19" customWidth="1"/>
    <col min="12799" max="12799" width="18.5703125" customWidth="1"/>
    <col min="12800" max="12800" width="16.42578125" customWidth="1"/>
    <col min="12801" max="12801" width="16.85546875" customWidth="1"/>
    <col min="12802" max="12802" width="17.7109375" customWidth="1"/>
    <col min="12803" max="12807" width="13.5703125" bestFit="1" customWidth="1"/>
    <col min="12808" max="12810" width="12.7109375" bestFit="1" customWidth="1"/>
    <col min="12811" max="12811" width="13.7109375" bestFit="1" customWidth="1"/>
    <col min="13053" max="13053" width="15" customWidth="1"/>
    <col min="13054" max="13054" width="19" customWidth="1"/>
    <col min="13055" max="13055" width="18.5703125" customWidth="1"/>
    <col min="13056" max="13056" width="16.42578125" customWidth="1"/>
    <col min="13057" max="13057" width="16.85546875" customWidth="1"/>
    <col min="13058" max="13058" width="17.7109375" customWidth="1"/>
    <col min="13059" max="13063" width="13.5703125" bestFit="1" customWidth="1"/>
    <col min="13064" max="13066" width="12.7109375" bestFit="1" customWidth="1"/>
    <col min="13067" max="13067" width="13.7109375" bestFit="1" customWidth="1"/>
    <col min="13309" max="13309" width="15" customWidth="1"/>
    <col min="13310" max="13310" width="19" customWidth="1"/>
    <col min="13311" max="13311" width="18.5703125" customWidth="1"/>
    <col min="13312" max="13312" width="16.42578125" customWidth="1"/>
    <col min="13313" max="13313" width="16.85546875" customWidth="1"/>
    <col min="13314" max="13314" width="17.7109375" customWidth="1"/>
    <col min="13315" max="13319" width="13.5703125" bestFit="1" customWidth="1"/>
    <col min="13320" max="13322" width="12.7109375" bestFit="1" customWidth="1"/>
    <col min="13323" max="13323" width="13.7109375" bestFit="1" customWidth="1"/>
    <col min="13565" max="13565" width="15" customWidth="1"/>
    <col min="13566" max="13566" width="19" customWidth="1"/>
    <col min="13567" max="13567" width="18.5703125" customWidth="1"/>
    <col min="13568" max="13568" width="16.42578125" customWidth="1"/>
    <col min="13569" max="13569" width="16.85546875" customWidth="1"/>
    <col min="13570" max="13570" width="17.7109375" customWidth="1"/>
    <col min="13571" max="13575" width="13.5703125" bestFit="1" customWidth="1"/>
    <col min="13576" max="13578" width="12.7109375" bestFit="1" customWidth="1"/>
    <col min="13579" max="13579" width="13.7109375" bestFit="1" customWidth="1"/>
    <col min="13821" max="13821" width="15" customWidth="1"/>
    <col min="13822" max="13822" width="19" customWidth="1"/>
    <col min="13823" max="13823" width="18.5703125" customWidth="1"/>
    <col min="13824" max="13824" width="16.42578125" customWidth="1"/>
    <col min="13825" max="13825" width="16.85546875" customWidth="1"/>
    <col min="13826" max="13826" width="17.7109375" customWidth="1"/>
    <col min="13827" max="13831" width="13.5703125" bestFit="1" customWidth="1"/>
    <col min="13832" max="13834" width="12.7109375" bestFit="1" customWidth="1"/>
    <col min="13835" max="13835" width="13.7109375" bestFit="1" customWidth="1"/>
    <col min="14077" max="14077" width="15" customWidth="1"/>
    <col min="14078" max="14078" width="19" customWidth="1"/>
    <col min="14079" max="14079" width="18.5703125" customWidth="1"/>
    <col min="14080" max="14080" width="16.42578125" customWidth="1"/>
    <col min="14081" max="14081" width="16.85546875" customWidth="1"/>
    <col min="14082" max="14082" width="17.7109375" customWidth="1"/>
    <col min="14083" max="14087" width="13.5703125" bestFit="1" customWidth="1"/>
    <col min="14088" max="14090" width="12.7109375" bestFit="1" customWidth="1"/>
    <col min="14091" max="14091" width="13.7109375" bestFit="1" customWidth="1"/>
    <col min="14333" max="14333" width="15" customWidth="1"/>
    <col min="14334" max="14334" width="19" customWidth="1"/>
    <col min="14335" max="14335" width="18.5703125" customWidth="1"/>
    <col min="14336" max="14336" width="16.42578125" customWidth="1"/>
    <col min="14337" max="14337" width="16.85546875" customWidth="1"/>
    <col min="14338" max="14338" width="17.7109375" customWidth="1"/>
    <col min="14339" max="14343" width="13.5703125" bestFit="1" customWidth="1"/>
    <col min="14344" max="14346" width="12.7109375" bestFit="1" customWidth="1"/>
    <col min="14347" max="14347" width="13.7109375" bestFit="1" customWidth="1"/>
    <col min="14589" max="14589" width="15" customWidth="1"/>
    <col min="14590" max="14590" width="19" customWidth="1"/>
    <col min="14591" max="14591" width="18.5703125" customWidth="1"/>
    <col min="14592" max="14592" width="16.42578125" customWidth="1"/>
    <col min="14593" max="14593" width="16.85546875" customWidth="1"/>
    <col min="14594" max="14594" width="17.7109375" customWidth="1"/>
    <col min="14595" max="14599" width="13.5703125" bestFit="1" customWidth="1"/>
    <col min="14600" max="14602" width="12.7109375" bestFit="1" customWidth="1"/>
    <col min="14603" max="14603" width="13.7109375" bestFit="1" customWidth="1"/>
    <col min="14845" max="14845" width="15" customWidth="1"/>
    <col min="14846" max="14846" width="19" customWidth="1"/>
    <col min="14847" max="14847" width="18.5703125" customWidth="1"/>
    <col min="14848" max="14848" width="16.42578125" customWidth="1"/>
    <col min="14849" max="14849" width="16.85546875" customWidth="1"/>
    <col min="14850" max="14850" width="17.7109375" customWidth="1"/>
    <col min="14851" max="14855" width="13.5703125" bestFit="1" customWidth="1"/>
    <col min="14856" max="14858" width="12.7109375" bestFit="1" customWidth="1"/>
    <col min="14859" max="14859" width="13.7109375" bestFit="1" customWidth="1"/>
    <col min="15101" max="15101" width="15" customWidth="1"/>
    <col min="15102" max="15102" width="19" customWidth="1"/>
    <col min="15103" max="15103" width="18.5703125" customWidth="1"/>
    <col min="15104" max="15104" width="16.42578125" customWidth="1"/>
    <col min="15105" max="15105" width="16.85546875" customWidth="1"/>
    <col min="15106" max="15106" width="17.7109375" customWidth="1"/>
    <col min="15107" max="15111" width="13.5703125" bestFit="1" customWidth="1"/>
    <col min="15112" max="15114" width="12.7109375" bestFit="1" customWidth="1"/>
    <col min="15115" max="15115" width="13.7109375" bestFit="1" customWidth="1"/>
    <col min="15357" max="15357" width="15" customWidth="1"/>
    <col min="15358" max="15358" width="19" customWidth="1"/>
    <col min="15359" max="15359" width="18.5703125" customWidth="1"/>
    <col min="15360" max="15360" width="16.42578125" customWidth="1"/>
    <col min="15361" max="15361" width="16.85546875" customWidth="1"/>
    <col min="15362" max="15362" width="17.7109375" customWidth="1"/>
    <col min="15363" max="15367" width="13.5703125" bestFit="1" customWidth="1"/>
    <col min="15368" max="15370" width="12.7109375" bestFit="1" customWidth="1"/>
    <col min="15371" max="15371" width="13.7109375" bestFit="1" customWidth="1"/>
    <col min="15613" max="15613" width="15" customWidth="1"/>
    <col min="15614" max="15614" width="19" customWidth="1"/>
    <col min="15615" max="15615" width="18.5703125" customWidth="1"/>
    <col min="15616" max="15616" width="16.42578125" customWidth="1"/>
    <col min="15617" max="15617" width="16.85546875" customWidth="1"/>
    <col min="15618" max="15618" width="17.7109375" customWidth="1"/>
    <col min="15619" max="15623" width="13.5703125" bestFit="1" customWidth="1"/>
    <col min="15624" max="15626" width="12.7109375" bestFit="1" customWidth="1"/>
    <col min="15627" max="15627" width="13.7109375" bestFit="1" customWidth="1"/>
    <col min="15869" max="15869" width="15" customWidth="1"/>
    <col min="15870" max="15870" width="19" customWidth="1"/>
    <col min="15871" max="15871" width="18.5703125" customWidth="1"/>
    <col min="15872" max="15872" width="16.42578125" customWidth="1"/>
    <col min="15873" max="15873" width="16.85546875" customWidth="1"/>
    <col min="15874" max="15874" width="17.7109375" customWidth="1"/>
    <col min="15875" max="15879" width="13.5703125" bestFit="1" customWidth="1"/>
    <col min="15880" max="15882" width="12.7109375" bestFit="1" customWidth="1"/>
    <col min="15883" max="15883" width="13.7109375" bestFit="1" customWidth="1"/>
    <col min="16125" max="16125" width="15" customWidth="1"/>
    <col min="16126" max="16126" width="19" customWidth="1"/>
    <col min="16127" max="16127" width="18.5703125" customWidth="1"/>
    <col min="16128" max="16128" width="16.42578125" customWidth="1"/>
    <col min="16129" max="16129" width="16.85546875" customWidth="1"/>
    <col min="16130" max="16130" width="17.7109375" customWidth="1"/>
    <col min="16131" max="16135" width="13.5703125" bestFit="1" customWidth="1"/>
    <col min="16136" max="16138" width="12.7109375" bestFit="1" customWidth="1"/>
    <col min="16139" max="16139" width="13.7109375" bestFit="1" customWidth="1"/>
  </cols>
  <sheetData>
    <row r="1" spans="1:10" x14ac:dyDescent="0.25">
      <c r="A1" s="511" t="s">
        <v>2</v>
      </c>
      <c r="B1" s="512"/>
      <c r="C1" s="512"/>
      <c r="D1" s="512"/>
      <c r="E1" s="512"/>
      <c r="F1" s="512"/>
      <c r="G1" s="512"/>
      <c r="H1" s="512"/>
    </row>
    <row r="2" spans="1:10" x14ac:dyDescent="0.25">
      <c r="A2" s="511" t="s">
        <v>3087</v>
      </c>
      <c r="B2" s="512"/>
      <c r="C2" s="512"/>
      <c r="D2" s="512"/>
      <c r="E2" s="512"/>
      <c r="F2" s="512"/>
      <c r="G2" s="512"/>
      <c r="H2" s="512"/>
    </row>
    <row r="3" spans="1:10" x14ac:dyDescent="0.25">
      <c r="A3" s="511" t="s">
        <v>3088</v>
      </c>
      <c r="B3" s="512"/>
      <c r="C3" s="512"/>
      <c r="D3" s="512"/>
      <c r="E3" s="512"/>
      <c r="F3" s="512"/>
      <c r="G3" s="512"/>
      <c r="H3" s="512"/>
    </row>
    <row r="4" spans="1:10" ht="15.75" thickBot="1" x14ac:dyDescent="0.3">
      <c r="A4" s="515" t="s">
        <v>3104</v>
      </c>
      <c r="B4" s="516"/>
      <c r="C4" s="516"/>
      <c r="D4" s="516"/>
      <c r="E4" s="516"/>
      <c r="F4" s="516"/>
      <c r="G4" s="516"/>
      <c r="H4" s="516"/>
    </row>
    <row r="5" spans="1:10" ht="45.75" thickBot="1" x14ac:dyDescent="0.3">
      <c r="A5" s="103" t="s">
        <v>5</v>
      </c>
      <c r="B5" s="2" t="s">
        <v>6</v>
      </c>
      <c r="C5" s="3" t="s">
        <v>7</v>
      </c>
      <c r="D5" s="3" t="s">
        <v>40</v>
      </c>
      <c r="E5" s="3" t="s">
        <v>41</v>
      </c>
      <c r="F5" s="3" t="s">
        <v>3132</v>
      </c>
      <c r="G5" s="4" t="s">
        <v>3078</v>
      </c>
      <c r="H5" s="5" t="s">
        <v>8</v>
      </c>
    </row>
    <row r="6" spans="1:10" x14ac:dyDescent="0.25">
      <c r="A6" s="6">
        <v>43760</v>
      </c>
      <c r="B6" s="7" t="s">
        <v>359</v>
      </c>
      <c r="C6" s="8">
        <v>0</v>
      </c>
      <c r="D6" s="8">
        <v>0</v>
      </c>
      <c r="E6" s="8"/>
      <c r="F6" s="8"/>
      <c r="G6" s="8"/>
      <c r="H6" s="9">
        <v>744561604</v>
      </c>
      <c r="I6" s="54"/>
      <c r="J6" s="54"/>
    </row>
    <row r="7" spans="1:10" x14ac:dyDescent="0.25">
      <c r="A7" s="135">
        <f>A6+92</f>
        <v>43852</v>
      </c>
      <c r="B7" s="11" t="s">
        <v>9</v>
      </c>
      <c r="C7" s="12">
        <v>0</v>
      </c>
      <c r="D7" s="294">
        <f>H6*$B$53*B$52/360</f>
        <v>15153690.045410004</v>
      </c>
      <c r="E7" s="294">
        <v>15153690.045410004</v>
      </c>
      <c r="F7" s="294"/>
      <c r="G7" s="12">
        <f>E7+C7+F7</f>
        <v>15153690.045410004</v>
      </c>
      <c r="H7" s="13">
        <f t="shared" ref="H7:H46" si="0">+H6-C7</f>
        <v>744561604</v>
      </c>
      <c r="J7" s="54"/>
    </row>
    <row r="8" spans="1:10" x14ac:dyDescent="0.25">
      <c r="A8" s="135">
        <f>A7+91</f>
        <v>43943</v>
      </c>
      <c r="B8" s="11" t="s">
        <v>9</v>
      </c>
      <c r="C8" s="12">
        <v>0</v>
      </c>
      <c r="D8" s="161">
        <f>H7*$C$53*C$52/360</f>
        <v>15148105.833380001</v>
      </c>
      <c r="E8" s="161">
        <v>15148105.833380001</v>
      </c>
      <c r="F8" s="462">
        <f>SUM(D8:D9)</f>
        <v>28140705.823180001</v>
      </c>
      <c r="G8" s="12">
        <f>C8</f>
        <v>0</v>
      </c>
      <c r="H8" s="13">
        <f t="shared" si="0"/>
        <v>744561604</v>
      </c>
      <c r="I8" t="s">
        <v>3158</v>
      </c>
    </row>
    <row r="9" spans="1:10" x14ac:dyDescent="0.25">
      <c r="A9" s="135">
        <f>A8+91</f>
        <v>44034</v>
      </c>
      <c r="B9" s="11" t="s">
        <v>9</v>
      </c>
      <c r="C9" s="12">
        <v>0</v>
      </c>
      <c r="D9" s="161">
        <f>H8*$D$53*D$52/360</f>
        <v>12992599.989800001</v>
      </c>
      <c r="E9" s="161">
        <v>12992599.989800001</v>
      </c>
      <c r="F9" s="294">
        <v>30604386</v>
      </c>
      <c r="G9" s="12">
        <f>C9</f>
        <v>0</v>
      </c>
      <c r="H9" s="13">
        <f t="shared" si="0"/>
        <v>744561604</v>
      </c>
      <c r="I9" t="s">
        <v>3134</v>
      </c>
    </row>
    <row r="10" spans="1:10" x14ac:dyDescent="0.25">
      <c r="A10" s="135">
        <f>A9+92</f>
        <v>44126</v>
      </c>
      <c r="B10" s="11" t="s">
        <v>9</v>
      </c>
      <c r="C10" s="12">
        <v>0</v>
      </c>
      <c r="D10" s="294">
        <f>H9*$E$53*E$52/360</f>
        <v>11447634.661499999</v>
      </c>
      <c r="E10" s="294">
        <v>11447634.661499999</v>
      </c>
      <c r="F10" s="294">
        <f>+F9/8</f>
        <v>3825548.25</v>
      </c>
      <c r="G10" s="12">
        <f t="shared" ref="G10:G46" si="1">E10+C10+F10</f>
        <v>15273182.911499999</v>
      </c>
      <c r="H10" s="13">
        <f t="shared" si="0"/>
        <v>744561604</v>
      </c>
    </row>
    <row r="11" spans="1:10" x14ac:dyDescent="0.25">
      <c r="A11" s="135">
        <f>A10+92</f>
        <v>44218</v>
      </c>
      <c r="B11" s="11" t="s">
        <v>9</v>
      </c>
      <c r="C11" s="12">
        <v>0</v>
      </c>
      <c r="D11" s="294">
        <f>H10*$F$53*F$52/360</f>
        <v>10623032.685069999</v>
      </c>
      <c r="E11" s="294">
        <v>10606280</v>
      </c>
      <c r="F11" s="294">
        <v>3825548.25</v>
      </c>
      <c r="G11" s="12">
        <f t="shared" si="1"/>
        <v>14431828.25</v>
      </c>
      <c r="H11" s="13">
        <f t="shared" si="0"/>
        <v>744561604</v>
      </c>
    </row>
    <row r="12" spans="1:10" x14ac:dyDescent="0.25">
      <c r="A12" s="135">
        <f>A11+90</f>
        <v>44308</v>
      </c>
      <c r="B12" s="11" t="s">
        <v>9</v>
      </c>
      <c r="C12" s="12">
        <v>0</v>
      </c>
      <c r="D12" s="294">
        <f>H11*$G$53*G$52/360</f>
        <v>14891232.08</v>
      </c>
      <c r="E12" s="294"/>
      <c r="F12" s="294">
        <v>3825548.25</v>
      </c>
      <c r="G12" s="12">
        <f t="shared" si="1"/>
        <v>3825548.25</v>
      </c>
      <c r="H12" s="13">
        <f t="shared" si="0"/>
        <v>744561604</v>
      </c>
    </row>
    <row r="13" spans="1:10" x14ac:dyDescent="0.25">
      <c r="A13" s="135">
        <f>A12+91</f>
        <v>44399</v>
      </c>
      <c r="B13" s="11" t="s">
        <v>9</v>
      </c>
      <c r="C13" s="12">
        <v>0</v>
      </c>
      <c r="D13" s="294">
        <f>H12*$G$53*G$52/360</f>
        <v>14891232.08</v>
      </c>
      <c r="E13" s="294"/>
      <c r="F13" s="294">
        <v>3825548.25</v>
      </c>
      <c r="G13" s="12">
        <f t="shared" si="1"/>
        <v>3825548.25</v>
      </c>
      <c r="H13" s="13">
        <f t="shared" si="0"/>
        <v>744561604</v>
      </c>
    </row>
    <row r="14" spans="1:10" x14ac:dyDescent="0.25">
      <c r="A14" s="135">
        <f>A13+92</f>
        <v>44491</v>
      </c>
      <c r="B14" s="11" t="s">
        <v>9</v>
      </c>
      <c r="C14" s="12">
        <v>0</v>
      </c>
      <c r="D14" s="294">
        <f>H13*$G$53*G$52/360</f>
        <v>14891232.08</v>
      </c>
      <c r="E14" s="294"/>
      <c r="F14" s="294">
        <v>3825548.25</v>
      </c>
      <c r="G14" s="12">
        <f t="shared" si="1"/>
        <v>3825548.25</v>
      </c>
      <c r="H14" s="13">
        <f t="shared" si="0"/>
        <v>744561604</v>
      </c>
    </row>
    <row r="15" spans="1:10" x14ac:dyDescent="0.25">
      <c r="A15" s="135">
        <f>A14+92</f>
        <v>44583</v>
      </c>
      <c r="B15" s="11" t="s">
        <v>10</v>
      </c>
      <c r="C15" s="12">
        <f>+$H$6/32</f>
        <v>23267550.125</v>
      </c>
      <c r="D15" s="294">
        <f>H14*$H$53*H$52/360</f>
        <v>15821934.084999999</v>
      </c>
      <c r="E15" s="294"/>
      <c r="F15" s="294">
        <v>3825548.25</v>
      </c>
      <c r="G15" s="12">
        <f t="shared" si="1"/>
        <v>27093098.375</v>
      </c>
      <c r="H15" s="13">
        <f t="shared" si="0"/>
        <v>721294053.875</v>
      </c>
    </row>
    <row r="16" spans="1:10" x14ac:dyDescent="0.25">
      <c r="A16" s="135">
        <f>A15+90</f>
        <v>44673</v>
      </c>
      <c r="B16" s="11" t="s">
        <v>10</v>
      </c>
      <c r="C16" s="447">
        <f t="shared" ref="C16:C46" si="2">+$H$6/32</f>
        <v>23267550.125</v>
      </c>
      <c r="D16" s="294">
        <f>H15*$H$53*H$52/360</f>
        <v>15327498.644843748</v>
      </c>
      <c r="E16" s="294"/>
      <c r="F16" s="294">
        <v>3825548.25</v>
      </c>
      <c r="G16" s="12">
        <f t="shared" si="1"/>
        <v>27093098.375</v>
      </c>
      <c r="H16" s="13">
        <f t="shared" si="0"/>
        <v>698026503.75</v>
      </c>
    </row>
    <row r="17" spans="1:8" x14ac:dyDescent="0.25">
      <c r="A17" s="135">
        <f>A16+91</f>
        <v>44764</v>
      </c>
      <c r="B17" s="11" t="s">
        <v>10</v>
      </c>
      <c r="C17" s="447">
        <f t="shared" si="2"/>
        <v>23267550.125</v>
      </c>
      <c r="D17" s="294">
        <f>H16*$H$53*H$52/360</f>
        <v>14833063.204687497</v>
      </c>
      <c r="E17" s="294"/>
      <c r="F17" s="294">
        <v>3825548.25</v>
      </c>
      <c r="G17" s="12">
        <f t="shared" si="1"/>
        <v>27093098.375</v>
      </c>
      <c r="H17" s="13">
        <f t="shared" si="0"/>
        <v>674758953.625</v>
      </c>
    </row>
    <row r="18" spans="1:8" x14ac:dyDescent="0.25">
      <c r="A18" s="135">
        <f>A17+92</f>
        <v>44856</v>
      </c>
      <c r="B18" s="11" t="s">
        <v>10</v>
      </c>
      <c r="C18" s="12">
        <f t="shared" si="2"/>
        <v>23267550.125</v>
      </c>
      <c r="D18" s="294">
        <f>H17*$H$53*H$52/360</f>
        <v>14338627.764531249</v>
      </c>
      <c r="E18" s="294"/>
      <c r="F18" s="294"/>
      <c r="G18" s="12">
        <f t="shared" si="1"/>
        <v>23267550.125</v>
      </c>
      <c r="H18" s="13">
        <f t="shared" si="0"/>
        <v>651491403.5</v>
      </c>
    </row>
    <row r="19" spans="1:8" x14ac:dyDescent="0.25">
      <c r="A19" s="135">
        <f>A18+92</f>
        <v>44948</v>
      </c>
      <c r="B19" s="11" t="s">
        <v>10</v>
      </c>
      <c r="C19" s="12">
        <f t="shared" si="2"/>
        <v>23267550.125</v>
      </c>
      <c r="D19" s="294">
        <f t="shared" ref="D19:D46" si="3">H18*$I$53*I$52/360</f>
        <v>14658556.578749998</v>
      </c>
      <c r="E19" s="294"/>
      <c r="F19" s="294"/>
      <c r="G19" s="12">
        <f t="shared" si="1"/>
        <v>23267550.125</v>
      </c>
      <c r="H19" s="13">
        <f t="shared" si="0"/>
        <v>628223853.375</v>
      </c>
    </row>
    <row r="20" spans="1:8" x14ac:dyDescent="0.25">
      <c r="A20" s="135">
        <f>A19+90</f>
        <v>45038</v>
      </c>
      <c r="B20" s="11" t="s">
        <v>10</v>
      </c>
      <c r="C20" s="12">
        <f t="shared" si="2"/>
        <v>23267550.125</v>
      </c>
      <c r="D20" s="294">
        <f t="shared" si="3"/>
        <v>14135036.700937498</v>
      </c>
      <c r="E20" s="294"/>
      <c r="F20" s="294"/>
      <c r="G20" s="12">
        <f t="shared" si="1"/>
        <v>23267550.125</v>
      </c>
      <c r="H20" s="13">
        <f t="shared" si="0"/>
        <v>604956303.25</v>
      </c>
    </row>
    <row r="21" spans="1:8" x14ac:dyDescent="0.25">
      <c r="A21" s="135">
        <f>A20+91</f>
        <v>45129</v>
      </c>
      <c r="B21" s="11" t="s">
        <v>10</v>
      </c>
      <c r="C21" s="12">
        <f t="shared" si="2"/>
        <v>23267550.125</v>
      </c>
      <c r="D21" s="294">
        <f t="shared" si="3"/>
        <v>13611516.823124999</v>
      </c>
      <c r="E21" s="294"/>
      <c r="F21" s="294"/>
      <c r="G21" s="12">
        <f t="shared" si="1"/>
        <v>23267550.125</v>
      </c>
      <c r="H21" s="13">
        <f t="shared" si="0"/>
        <v>581688753.125</v>
      </c>
    </row>
    <row r="22" spans="1:8" x14ac:dyDescent="0.25">
      <c r="A22" s="135">
        <f>A21+92</f>
        <v>45221</v>
      </c>
      <c r="B22" s="11" t="s">
        <v>10</v>
      </c>
      <c r="C22" s="12">
        <f t="shared" si="2"/>
        <v>23267550.125</v>
      </c>
      <c r="D22" s="294">
        <f t="shared" si="3"/>
        <v>13087996.9453125</v>
      </c>
      <c r="E22" s="294"/>
      <c r="F22" s="294"/>
      <c r="G22" s="12">
        <f t="shared" si="1"/>
        <v>23267550.125</v>
      </c>
      <c r="H22" s="13">
        <f t="shared" si="0"/>
        <v>558421203</v>
      </c>
    </row>
    <row r="23" spans="1:8" x14ac:dyDescent="0.25">
      <c r="A23" s="135">
        <f>A22+92</f>
        <v>45313</v>
      </c>
      <c r="B23" s="11" t="s">
        <v>10</v>
      </c>
      <c r="C23" s="12">
        <f t="shared" si="2"/>
        <v>23267550.125</v>
      </c>
      <c r="D23" s="294">
        <f t="shared" si="3"/>
        <v>12564477.067499997</v>
      </c>
      <c r="E23" s="294"/>
      <c r="F23" s="294"/>
      <c r="G23" s="12">
        <f t="shared" si="1"/>
        <v>23267550.125</v>
      </c>
      <c r="H23" s="13">
        <f t="shared" si="0"/>
        <v>535153652.875</v>
      </c>
    </row>
    <row r="24" spans="1:8" x14ac:dyDescent="0.25">
      <c r="A24" s="135">
        <f>A23+91</f>
        <v>45404</v>
      </c>
      <c r="B24" s="11" t="s">
        <v>10</v>
      </c>
      <c r="C24" s="12">
        <f t="shared" si="2"/>
        <v>23267550.125</v>
      </c>
      <c r="D24" s="294">
        <f t="shared" si="3"/>
        <v>12040957.189687502</v>
      </c>
      <c r="E24" s="294"/>
      <c r="F24" s="294"/>
      <c r="G24" s="12">
        <f t="shared" si="1"/>
        <v>23267550.125</v>
      </c>
      <c r="H24" s="13">
        <f t="shared" si="0"/>
        <v>511886102.75</v>
      </c>
    </row>
    <row r="25" spans="1:8" x14ac:dyDescent="0.25">
      <c r="A25" s="135">
        <f>A24+91</f>
        <v>45495</v>
      </c>
      <c r="B25" s="11" t="s">
        <v>10</v>
      </c>
      <c r="C25" s="12">
        <f t="shared" si="2"/>
        <v>23267550.125</v>
      </c>
      <c r="D25" s="294">
        <f t="shared" si="3"/>
        <v>11517437.311874999</v>
      </c>
      <c r="E25" s="294"/>
      <c r="F25" s="294"/>
      <c r="G25" s="12">
        <f t="shared" si="1"/>
        <v>23267550.125</v>
      </c>
      <c r="H25" s="13">
        <f t="shared" si="0"/>
        <v>488618552.625</v>
      </c>
    </row>
    <row r="26" spans="1:8" x14ac:dyDescent="0.25">
      <c r="A26" s="135">
        <f>A25+92</f>
        <v>45587</v>
      </c>
      <c r="B26" s="11" t="s">
        <v>10</v>
      </c>
      <c r="C26" s="12">
        <f t="shared" si="2"/>
        <v>23267550.125</v>
      </c>
      <c r="D26" s="294">
        <f t="shared" si="3"/>
        <v>10993917.4340625</v>
      </c>
      <c r="E26" s="294"/>
      <c r="F26" s="294"/>
      <c r="G26" s="12">
        <f t="shared" si="1"/>
        <v>23267550.125</v>
      </c>
      <c r="H26" s="13">
        <f t="shared" si="0"/>
        <v>465351002.5</v>
      </c>
    </row>
    <row r="27" spans="1:8" x14ac:dyDescent="0.25">
      <c r="A27" s="135">
        <f>A26+92</f>
        <v>45679</v>
      </c>
      <c r="B27" s="11" t="s">
        <v>10</v>
      </c>
      <c r="C27" s="12">
        <f t="shared" si="2"/>
        <v>23267550.125</v>
      </c>
      <c r="D27" s="294">
        <f t="shared" si="3"/>
        <v>10470397.55625</v>
      </c>
      <c r="E27" s="294"/>
      <c r="F27" s="294"/>
      <c r="G27" s="12">
        <f t="shared" si="1"/>
        <v>23267550.125</v>
      </c>
      <c r="H27" s="13">
        <f t="shared" si="0"/>
        <v>442083452.375</v>
      </c>
    </row>
    <row r="28" spans="1:8" x14ac:dyDescent="0.25">
      <c r="A28" s="135">
        <f>A27+90</f>
        <v>45769</v>
      </c>
      <c r="B28" s="11" t="s">
        <v>10</v>
      </c>
      <c r="C28" s="12">
        <f t="shared" si="2"/>
        <v>23267550.125</v>
      </c>
      <c r="D28" s="294">
        <f t="shared" si="3"/>
        <v>9946877.6784374993</v>
      </c>
      <c r="E28" s="294"/>
      <c r="F28" s="294"/>
      <c r="G28" s="12">
        <f t="shared" si="1"/>
        <v>23267550.125</v>
      </c>
      <c r="H28" s="13">
        <f t="shared" si="0"/>
        <v>418815902.25</v>
      </c>
    </row>
    <row r="29" spans="1:8" x14ac:dyDescent="0.25">
      <c r="A29" s="135">
        <f>A28+91</f>
        <v>45860</v>
      </c>
      <c r="B29" s="11" t="s">
        <v>10</v>
      </c>
      <c r="C29" s="12">
        <f t="shared" si="2"/>
        <v>23267550.125</v>
      </c>
      <c r="D29" s="294">
        <f t="shared" si="3"/>
        <v>9423357.8006250001</v>
      </c>
      <c r="E29" s="294"/>
      <c r="F29" s="294"/>
      <c r="G29" s="12">
        <f t="shared" si="1"/>
        <v>23267550.125</v>
      </c>
      <c r="H29" s="13">
        <f t="shared" si="0"/>
        <v>395548352.125</v>
      </c>
    </row>
    <row r="30" spans="1:8" x14ac:dyDescent="0.25">
      <c r="A30" s="135">
        <f>A29+92</f>
        <v>45952</v>
      </c>
      <c r="B30" s="11" t="s">
        <v>10</v>
      </c>
      <c r="C30" s="12">
        <f t="shared" si="2"/>
        <v>23267550.125</v>
      </c>
      <c r="D30" s="294">
        <f t="shared" si="3"/>
        <v>8899837.9228124991</v>
      </c>
      <c r="E30" s="294"/>
      <c r="F30" s="294"/>
      <c r="G30" s="12">
        <f t="shared" si="1"/>
        <v>23267550.125</v>
      </c>
      <c r="H30" s="13">
        <f t="shared" si="0"/>
        <v>372280802</v>
      </c>
    </row>
    <row r="31" spans="1:8" x14ac:dyDescent="0.25">
      <c r="A31" s="135">
        <f>A30+92</f>
        <v>46044</v>
      </c>
      <c r="B31" s="11" t="s">
        <v>10</v>
      </c>
      <c r="C31" s="12">
        <f t="shared" si="2"/>
        <v>23267550.125</v>
      </c>
      <c r="D31" s="294">
        <f t="shared" si="3"/>
        <v>8376318.0449999999</v>
      </c>
      <c r="E31" s="294"/>
      <c r="F31" s="294"/>
      <c r="G31" s="12">
        <f t="shared" si="1"/>
        <v>23267550.125</v>
      </c>
      <c r="H31" s="13">
        <f t="shared" si="0"/>
        <v>349013251.875</v>
      </c>
    </row>
    <row r="32" spans="1:8" x14ac:dyDescent="0.25">
      <c r="A32" s="135">
        <f>A31+90</f>
        <v>46134</v>
      </c>
      <c r="B32" s="11" t="s">
        <v>10</v>
      </c>
      <c r="C32" s="12">
        <f t="shared" si="2"/>
        <v>23267550.125</v>
      </c>
      <c r="D32" s="294">
        <f t="shared" si="3"/>
        <v>7852798.1671874998</v>
      </c>
      <c r="E32" s="294"/>
      <c r="F32" s="294"/>
      <c r="G32" s="12">
        <f t="shared" si="1"/>
        <v>23267550.125</v>
      </c>
      <c r="H32" s="13">
        <f t="shared" si="0"/>
        <v>325745701.75</v>
      </c>
    </row>
    <row r="33" spans="1:8" x14ac:dyDescent="0.25">
      <c r="A33" s="135">
        <f>A32+91</f>
        <v>46225</v>
      </c>
      <c r="B33" s="11" t="s">
        <v>10</v>
      </c>
      <c r="C33" s="12">
        <f t="shared" si="2"/>
        <v>23267550.125</v>
      </c>
      <c r="D33" s="294">
        <f t="shared" si="3"/>
        <v>7329278.2893749988</v>
      </c>
      <c r="E33" s="294"/>
      <c r="F33" s="294"/>
      <c r="G33" s="12">
        <f t="shared" si="1"/>
        <v>23267550.125</v>
      </c>
      <c r="H33" s="13">
        <f t="shared" si="0"/>
        <v>302478151.625</v>
      </c>
    </row>
    <row r="34" spans="1:8" x14ac:dyDescent="0.25">
      <c r="A34" s="135">
        <f>A33+92</f>
        <v>46317</v>
      </c>
      <c r="B34" s="11" t="s">
        <v>10</v>
      </c>
      <c r="C34" s="12">
        <f t="shared" si="2"/>
        <v>23267550.125</v>
      </c>
      <c r="D34" s="294">
        <f t="shared" si="3"/>
        <v>6805758.4115624996</v>
      </c>
      <c r="E34" s="294"/>
      <c r="F34" s="294"/>
      <c r="G34" s="12">
        <f t="shared" si="1"/>
        <v>23267550.125</v>
      </c>
      <c r="H34" s="13">
        <f t="shared" si="0"/>
        <v>279210601.5</v>
      </c>
    </row>
    <row r="35" spans="1:8" x14ac:dyDescent="0.25">
      <c r="A35" s="135">
        <f>A34+92</f>
        <v>46409</v>
      </c>
      <c r="B35" s="11" t="s">
        <v>10</v>
      </c>
      <c r="C35" s="12">
        <f t="shared" si="2"/>
        <v>23267550.125</v>
      </c>
      <c r="D35" s="294">
        <f t="shared" si="3"/>
        <v>6282238.5337499985</v>
      </c>
      <c r="E35" s="294"/>
      <c r="F35" s="294"/>
      <c r="G35" s="12">
        <f t="shared" si="1"/>
        <v>23267550.125</v>
      </c>
      <c r="H35" s="13">
        <f t="shared" si="0"/>
        <v>255943051.375</v>
      </c>
    </row>
    <row r="36" spans="1:8" x14ac:dyDescent="0.25">
      <c r="A36" s="135">
        <f>A35+90</f>
        <v>46499</v>
      </c>
      <c r="B36" s="11" t="s">
        <v>10</v>
      </c>
      <c r="C36" s="12">
        <f t="shared" si="2"/>
        <v>23267550.125</v>
      </c>
      <c r="D36" s="294">
        <f t="shared" si="3"/>
        <v>5758718.6559374994</v>
      </c>
      <c r="E36" s="294"/>
      <c r="F36" s="294"/>
      <c r="G36" s="12">
        <f t="shared" si="1"/>
        <v>23267550.125</v>
      </c>
      <c r="H36" s="13">
        <f t="shared" si="0"/>
        <v>232675501.25</v>
      </c>
    </row>
    <row r="37" spans="1:8" x14ac:dyDescent="0.25">
      <c r="A37" s="135">
        <f>A36+91</f>
        <v>46590</v>
      </c>
      <c r="B37" s="11" t="s">
        <v>10</v>
      </c>
      <c r="C37" s="12">
        <f t="shared" si="2"/>
        <v>23267550.125</v>
      </c>
      <c r="D37" s="294">
        <f t="shared" si="3"/>
        <v>5235198.7781250002</v>
      </c>
      <c r="E37" s="294"/>
      <c r="F37" s="294"/>
      <c r="G37" s="12">
        <f t="shared" si="1"/>
        <v>23267550.125</v>
      </c>
      <c r="H37" s="13">
        <f t="shared" si="0"/>
        <v>209407951.125</v>
      </c>
    </row>
    <row r="38" spans="1:8" x14ac:dyDescent="0.25">
      <c r="A38" s="135">
        <f>A37+92</f>
        <v>46682</v>
      </c>
      <c r="B38" s="11" t="s">
        <v>10</v>
      </c>
      <c r="C38" s="12">
        <f t="shared" si="2"/>
        <v>23267550.125</v>
      </c>
      <c r="D38" s="294">
        <f t="shared" si="3"/>
        <v>4711678.9003125001</v>
      </c>
      <c r="E38" s="294"/>
      <c r="F38" s="294"/>
      <c r="G38" s="12">
        <f t="shared" si="1"/>
        <v>23267550.125</v>
      </c>
      <c r="H38" s="13">
        <f t="shared" si="0"/>
        <v>186140401</v>
      </c>
    </row>
    <row r="39" spans="1:8" x14ac:dyDescent="0.25">
      <c r="A39" s="135">
        <f>A38+92</f>
        <v>46774</v>
      </c>
      <c r="B39" s="11" t="s">
        <v>10</v>
      </c>
      <c r="C39" s="12">
        <f t="shared" si="2"/>
        <v>23267550.125</v>
      </c>
      <c r="D39" s="294">
        <f t="shared" si="3"/>
        <v>4188159.0225</v>
      </c>
      <c r="E39" s="294"/>
      <c r="F39" s="294"/>
      <c r="G39" s="12">
        <f t="shared" si="1"/>
        <v>23267550.125</v>
      </c>
      <c r="H39" s="13">
        <f t="shared" si="0"/>
        <v>162872850.875</v>
      </c>
    </row>
    <row r="40" spans="1:8" x14ac:dyDescent="0.25">
      <c r="A40" s="135">
        <f>A39+91</f>
        <v>46865</v>
      </c>
      <c r="B40" s="11" t="s">
        <v>10</v>
      </c>
      <c r="C40" s="12">
        <f t="shared" si="2"/>
        <v>23267550.125</v>
      </c>
      <c r="D40" s="294">
        <f t="shared" si="3"/>
        <v>3664639.1446874994</v>
      </c>
      <c r="E40" s="294"/>
      <c r="F40" s="294"/>
      <c r="G40" s="12">
        <f t="shared" si="1"/>
        <v>23267550.125</v>
      </c>
      <c r="H40" s="13">
        <f t="shared" si="0"/>
        <v>139605300.75</v>
      </c>
    </row>
    <row r="41" spans="1:8" x14ac:dyDescent="0.25">
      <c r="A41" s="135">
        <f>A40+91</f>
        <v>46956</v>
      </c>
      <c r="B41" s="11" t="s">
        <v>10</v>
      </c>
      <c r="C41" s="12">
        <f t="shared" si="2"/>
        <v>23267550.125</v>
      </c>
      <c r="D41" s="294">
        <f t="shared" si="3"/>
        <v>3141119.2668749993</v>
      </c>
      <c r="E41" s="294"/>
      <c r="F41" s="294"/>
      <c r="G41" s="12">
        <f t="shared" si="1"/>
        <v>23267550.125</v>
      </c>
      <c r="H41" s="13">
        <f t="shared" si="0"/>
        <v>116337750.625</v>
      </c>
    </row>
    <row r="42" spans="1:8" x14ac:dyDescent="0.25">
      <c r="A42" s="135">
        <f>A41+92</f>
        <v>47048</v>
      </c>
      <c r="B42" s="11" t="s">
        <v>10</v>
      </c>
      <c r="C42" s="12">
        <f t="shared" si="2"/>
        <v>23267550.125</v>
      </c>
      <c r="D42" s="294">
        <f t="shared" si="3"/>
        <v>2617599.3890625001</v>
      </c>
      <c r="E42" s="294"/>
      <c r="F42" s="294"/>
      <c r="G42" s="12">
        <f t="shared" si="1"/>
        <v>23267550.125</v>
      </c>
      <c r="H42" s="13">
        <f t="shared" si="0"/>
        <v>93070200.5</v>
      </c>
    </row>
    <row r="43" spans="1:8" x14ac:dyDescent="0.25">
      <c r="A43" s="135">
        <f>A42+92</f>
        <v>47140</v>
      </c>
      <c r="B43" s="11" t="s">
        <v>10</v>
      </c>
      <c r="C43" s="12">
        <f t="shared" si="2"/>
        <v>23267550.125</v>
      </c>
      <c r="D43" s="294">
        <f t="shared" si="3"/>
        <v>2094079.51125</v>
      </c>
      <c r="E43" s="294"/>
      <c r="F43" s="294"/>
      <c r="G43" s="12">
        <f t="shared" si="1"/>
        <v>23267550.125</v>
      </c>
      <c r="H43" s="13">
        <f t="shared" si="0"/>
        <v>69802650.375</v>
      </c>
    </row>
    <row r="44" spans="1:8" x14ac:dyDescent="0.25">
      <c r="A44" s="135">
        <f>A43+90</f>
        <v>47230</v>
      </c>
      <c r="B44" s="11" t="s">
        <v>10</v>
      </c>
      <c r="C44" s="12">
        <f t="shared" si="2"/>
        <v>23267550.125</v>
      </c>
      <c r="D44" s="294">
        <f t="shared" si="3"/>
        <v>1570559.6334374996</v>
      </c>
      <c r="E44" s="294"/>
      <c r="F44" s="294"/>
      <c r="G44" s="12">
        <f t="shared" si="1"/>
        <v>23267550.125</v>
      </c>
      <c r="H44" s="13">
        <f t="shared" si="0"/>
        <v>46535100.25</v>
      </c>
    </row>
    <row r="45" spans="1:8" x14ac:dyDescent="0.25">
      <c r="A45" s="135">
        <f>A44+91</f>
        <v>47321</v>
      </c>
      <c r="B45" s="11" t="s">
        <v>10</v>
      </c>
      <c r="C45" s="12">
        <f t="shared" si="2"/>
        <v>23267550.125</v>
      </c>
      <c r="D45" s="294">
        <f t="shared" si="3"/>
        <v>1047039.755625</v>
      </c>
      <c r="E45" s="294"/>
      <c r="F45" s="294"/>
      <c r="G45" s="12">
        <f t="shared" si="1"/>
        <v>23267550.125</v>
      </c>
      <c r="H45" s="13">
        <f t="shared" si="0"/>
        <v>23267550.125</v>
      </c>
    </row>
    <row r="46" spans="1:8" x14ac:dyDescent="0.25">
      <c r="A46" s="135">
        <f>A45+92</f>
        <v>47413</v>
      </c>
      <c r="B46" s="11" t="s">
        <v>10</v>
      </c>
      <c r="C46" s="12">
        <f t="shared" si="2"/>
        <v>23267550.125</v>
      </c>
      <c r="D46" s="294">
        <f t="shared" si="3"/>
        <v>523519.8778125</v>
      </c>
      <c r="E46" s="294"/>
      <c r="F46" s="294"/>
      <c r="G46" s="12">
        <f t="shared" si="1"/>
        <v>23267550.125</v>
      </c>
      <c r="H46" s="13">
        <f t="shared" si="0"/>
        <v>0</v>
      </c>
    </row>
    <row r="47" spans="1:8" x14ac:dyDescent="0.25">
      <c r="A47" s="15"/>
      <c r="B47" s="16" t="s">
        <v>11</v>
      </c>
      <c r="C47" s="17">
        <f>SUM(C6:C46)</f>
        <v>744561604</v>
      </c>
      <c r="D47" s="17">
        <f>SUM(D6:D46)</f>
        <v>382908953.54609752</v>
      </c>
      <c r="E47" s="17">
        <f>+E7+SUM(E10:E46)</f>
        <v>37207604.706909999</v>
      </c>
      <c r="F47" s="17">
        <f>+SUM(F10:F46)</f>
        <v>30604386</v>
      </c>
      <c r="G47" s="17">
        <f>SUM(G7:G46)</f>
        <v>812373594.70691001</v>
      </c>
      <c r="H47" s="18"/>
    </row>
    <row r="48" spans="1:8" x14ac:dyDescent="0.25">
      <c r="A48" s="19" t="s">
        <v>42</v>
      </c>
      <c r="B48" s="20"/>
      <c r="C48" s="20"/>
      <c r="D48" s="20"/>
      <c r="E48" s="20"/>
      <c r="F48" s="20"/>
      <c r="G48" s="20"/>
      <c r="H48" s="20"/>
    </row>
    <row r="49" spans="1:9" x14ac:dyDescent="0.25">
      <c r="A49" s="39"/>
      <c r="B49" s="315" t="s">
        <v>3037</v>
      </c>
      <c r="C49" s="315" t="s">
        <v>3038</v>
      </c>
      <c r="D49" s="315" t="s">
        <v>3039</v>
      </c>
      <c r="E49" s="315" t="s">
        <v>3040</v>
      </c>
      <c r="F49" s="315" t="s">
        <v>3168</v>
      </c>
      <c r="G49" s="315" t="s">
        <v>3148</v>
      </c>
      <c r="H49" s="315" t="s">
        <v>3149</v>
      </c>
      <c r="I49" s="315" t="s">
        <v>3150</v>
      </c>
    </row>
    <row r="50" spans="1:9" ht="25.5" x14ac:dyDescent="0.25">
      <c r="A50" s="39" t="s">
        <v>2829</v>
      </c>
      <c r="B50" s="88">
        <v>4.1410000000000002E-2</v>
      </c>
      <c r="C50" s="88">
        <v>4.138E-2</v>
      </c>
      <c r="D50" s="88">
        <v>2.98E-2</v>
      </c>
      <c r="E50" s="88">
        <v>2.1499999999999998E-2</v>
      </c>
      <c r="F50" s="33">
        <v>1.7069999999999998E-2</v>
      </c>
      <c r="G50" s="33">
        <v>0.04</v>
      </c>
      <c r="H50" s="33">
        <v>4.4999999999999998E-2</v>
      </c>
      <c r="I50" s="33">
        <v>0.05</v>
      </c>
    </row>
    <row r="51" spans="1:9" x14ac:dyDescent="0.25">
      <c r="A51" s="39" t="s">
        <v>370</v>
      </c>
      <c r="B51" s="88">
        <v>0.04</v>
      </c>
      <c r="C51" s="88">
        <v>0.04</v>
      </c>
      <c r="D51" s="88">
        <v>0.04</v>
      </c>
      <c r="E51" s="88">
        <v>0.04</v>
      </c>
      <c r="F51" s="88">
        <v>0.04</v>
      </c>
      <c r="G51" s="88">
        <v>0.04</v>
      </c>
      <c r="H51" s="88">
        <v>0.04</v>
      </c>
      <c r="I51" s="88">
        <v>0.04</v>
      </c>
    </row>
    <row r="52" spans="1:9" x14ac:dyDescent="0.25">
      <c r="A52" s="39" t="s">
        <v>377</v>
      </c>
      <c r="B52" s="67">
        <v>90</v>
      </c>
      <c r="C52" s="67">
        <v>90</v>
      </c>
      <c r="D52" s="67">
        <v>90</v>
      </c>
      <c r="E52" s="67">
        <v>90</v>
      </c>
      <c r="F52" s="67">
        <v>90</v>
      </c>
      <c r="G52" s="67">
        <v>90</v>
      </c>
      <c r="H52" s="67">
        <v>90</v>
      </c>
      <c r="I52" s="67">
        <v>90</v>
      </c>
    </row>
    <row r="53" spans="1:9" x14ac:dyDescent="0.25">
      <c r="A53" s="39" t="s">
        <v>2973</v>
      </c>
      <c r="B53" s="73">
        <f>B50+B51</f>
        <v>8.141000000000001E-2</v>
      </c>
      <c r="C53" s="73">
        <f>C50+C51</f>
        <v>8.1380000000000008E-2</v>
      </c>
      <c r="D53" s="73">
        <f>D50+D51</f>
        <v>6.9800000000000001E-2</v>
      </c>
      <c r="E53" s="73">
        <f>E50+E51</f>
        <v>6.1499999999999999E-2</v>
      </c>
      <c r="F53" s="73">
        <f t="shared" ref="F53:I53" si="4">F50+F51</f>
        <v>5.7069999999999996E-2</v>
      </c>
      <c r="G53" s="73">
        <f t="shared" si="4"/>
        <v>0.08</v>
      </c>
      <c r="H53" s="73">
        <f t="shared" si="4"/>
        <v>8.4999999999999992E-2</v>
      </c>
      <c r="I53" s="73">
        <f t="shared" si="4"/>
        <v>0.09</v>
      </c>
    </row>
    <row r="54" spans="1:9" x14ac:dyDescent="0.25">
      <c r="A54" s="43" t="s">
        <v>39</v>
      </c>
      <c r="B54" s="44">
        <f>+E7</f>
        <v>15153690.045410004</v>
      </c>
      <c r="C54" s="44">
        <f>+E8</f>
        <v>15148105.833380001</v>
      </c>
      <c r="D54" s="44">
        <f>+E9</f>
        <v>12992599.989800001</v>
      </c>
      <c r="E54" s="44">
        <f>+E10</f>
        <v>11447634.661499999</v>
      </c>
      <c r="F54" s="44">
        <f>+E11</f>
        <v>10606280</v>
      </c>
      <c r="G54" s="44"/>
      <c r="H54" s="44"/>
      <c r="I54" s="44"/>
    </row>
    <row r="60" spans="1:9" x14ac:dyDescent="0.25">
      <c r="B60" s="50"/>
      <c r="C60" s="50"/>
    </row>
  </sheetData>
  <mergeCells count="4">
    <mergeCell ref="A1:H1"/>
    <mergeCell ref="A2:H2"/>
    <mergeCell ref="A3:H3"/>
    <mergeCell ref="A4:H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B050"/>
  </sheetPr>
  <dimension ref="A1:J60"/>
  <sheetViews>
    <sheetView zoomScale="90" zoomScaleNormal="90" workbookViewId="0">
      <selection activeCell="E10" sqref="E10"/>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9" customWidth="1"/>
    <col min="6" max="6" width="15.140625" customWidth="1"/>
    <col min="7" max="7" width="16.85546875" customWidth="1"/>
    <col min="8" max="8" width="17.7109375" customWidth="1"/>
    <col min="9" max="9" width="14.140625" bestFit="1" customWidth="1"/>
    <col min="10" max="10" width="13.5703125" bestFit="1" customWidth="1"/>
    <col min="11" max="11" width="12.7109375" bestFit="1" customWidth="1"/>
    <col min="253" max="253" width="15" customWidth="1"/>
    <col min="254" max="254" width="19" customWidth="1"/>
    <col min="255" max="255" width="18.5703125" customWidth="1"/>
    <col min="256" max="256" width="16.42578125" customWidth="1"/>
    <col min="257" max="257" width="16.85546875" customWidth="1"/>
    <col min="258" max="258" width="17.7109375" customWidth="1"/>
    <col min="259" max="263" width="13.5703125" bestFit="1" customWidth="1"/>
    <col min="264" max="266" width="12.7109375" bestFit="1" customWidth="1"/>
    <col min="267" max="267" width="13.7109375" bestFit="1" customWidth="1"/>
    <col min="509" max="509" width="15" customWidth="1"/>
    <col min="510" max="510" width="19" customWidth="1"/>
    <col min="511" max="511" width="18.5703125" customWidth="1"/>
    <col min="512" max="512" width="16.42578125" customWidth="1"/>
    <col min="513" max="513" width="16.85546875" customWidth="1"/>
    <col min="514" max="514" width="17.7109375" customWidth="1"/>
    <col min="515" max="519" width="13.5703125" bestFit="1" customWidth="1"/>
    <col min="520" max="522" width="12.7109375" bestFit="1" customWidth="1"/>
    <col min="523" max="523" width="13.7109375" bestFit="1" customWidth="1"/>
    <col min="765" max="765" width="15" customWidth="1"/>
    <col min="766" max="766" width="19" customWidth="1"/>
    <col min="767" max="767" width="18.5703125" customWidth="1"/>
    <col min="768" max="768" width="16.42578125" customWidth="1"/>
    <col min="769" max="769" width="16.85546875" customWidth="1"/>
    <col min="770" max="770" width="17.7109375" customWidth="1"/>
    <col min="771" max="775" width="13.5703125" bestFit="1" customWidth="1"/>
    <col min="776" max="778" width="12.7109375" bestFit="1" customWidth="1"/>
    <col min="779" max="779" width="13.7109375" bestFit="1" customWidth="1"/>
    <col min="1021" max="1021" width="15" customWidth="1"/>
    <col min="1022" max="1022" width="19" customWidth="1"/>
    <col min="1023" max="1023" width="18.5703125" customWidth="1"/>
    <col min="1024" max="1024" width="16.42578125" customWidth="1"/>
    <col min="1025" max="1025" width="16.85546875" customWidth="1"/>
    <col min="1026" max="1026" width="17.7109375" customWidth="1"/>
    <col min="1027" max="1031" width="13.5703125" bestFit="1" customWidth="1"/>
    <col min="1032" max="1034" width="12.7109375" bestFit="1" customWidth="1"/>
    <col min="1035" max="1035" width="13.7109375" bestFit="1" customWidth="1"/>
    <col min="1277" max="1277" width="15" customWidth="1"/>
    <col min="1278" max="1278" width="19" customWidth="1"/>
    <col min="1279" max="1279" width="18.5703125" customWidth="1"/>
    <col min="1280" max="1280" width="16.42578125" customWidth="1"/>
    <col min="1281" max="1281" width="16.85546875" customWidth="1"/>
    <col min="1282" max="1282" width="17.7109375" customWidth="1"/>
    <col min="1283" max="1287" width="13.5703125" bestFit="1" customWidth="1"/>
    <col min="1288" max="1290" width="12.7109375" bestFit="1" customWidth="1"/>
    <col min="1291" max="1291" width="13.7109375" bestFit="1" customWidth="1"/>
    <col min="1533" max="1533" width="15" customWidth="1"/>
    <col min="1534" max="1534" width="19" customWidth="1"/>
    <col min="1535" max="1535" width="18.5703125" customWidth="1"/>
    <col min="1536" max="1536" width="16.42578125" customWidth="1"/>
    <col min="1537" max="1537" width="16.85546875" customWidth="1"/>
    <col min="1538" max="1538" width="17.7109375" customWidth="1"/>
    <col min="1539" max="1543" width="13.5703125" bestFit="1" customWidth="1"/>
    <col min="1544" max="1546" width="12.7109375" bestFit="1" customWidth="1"/>
    <col min="1547" max="1547" width="13.7109375" bestFit="1" customWidth="1"/>
    <col min="1789" max="1789" width="15" customWidth="1"/>
    <col min="1790" max="1790" width="19" customWidth="1"/>
    <col min="1791" max="1791" width="18.5703125" customWidth="1"/>
    <col min="1792" max="1792" width="16.42578125" customWidth="1"/>
    <col min="1793" max="1793" width="16.85546875" customWidth="1"/>
    <col min="1794" max="1794" width="17.7109375" customWidth="1"/>
    <col min="1795" max="1799" width="13.5703125" bestFit="1" customWidth="1"/>
    <col min="1800" max="1802" width="12.7109375" bestFit="1" customWidth="1"/>
    <col min="1803" max="1803" width="13.7109375" bestFit="1" customWidth="1"/>
    <col min="2045" max="2045" width="15" customWidth="1"/>
    <col min="2046" max="2046" width="19" customWidth="1"/>
    <col min="2047" max="2047" width="18.5703125" customWidth="1"/>
    <col min="2048" max="2048" width="16.42578125" customWidth="1"/>
    <col min="2049" max="2049" width="16.85546875" customWidth="1"/>
    <col min="2050" max="2050" width="17.7109375" customWidth="1"/>
    <col min="2051" max="2055" width="13.5703125" bestFit="1" customWidth="1"/>
    <col min="2056" max="2058" width="12.7109375" bestFit="1" customWidth="1"/>
    <col min="2059" max="2059" width="13.7109375" bestFit="1" customWidth="1"/>
    <col min="2301" max="2301" width="15" customWidth="1"/>
    <col min="2302" max="2302" width="19" customWidth="1"/>
    <col min="2303" max="2303" width="18.5703125" customWidth="1"/>
    <col min="2304" max="2304" width="16.42578125" customWidth="1"/>
    <col min="2305" max="2305" width="16.85546875" customWidth="1"/>
    <col min="2306" max="2306" width="17.7109375" customWidth="1"/>
    <col min="2307" max="2311" width="13.5703125" bestFit="1" customWidth="1"/>
    <col min="2312" max="2314" width="12.7109375" bestFit="1" customWidth="1"/>
    <col min="2315" max="2315" width="13.7109375" bestFit="1" customWidth="1"/>
    <col min="2557" max="2557" width="15" customWidth="1"/>
    <col min="2558" max="2558" width="19" customWidth="1"/>
    <col min="2559" max="2559" width="18.5703125" customWidth="1"/>
    <col min="2560" max="2560" width="16.42578125" customWidth="1"/>
    <col min="2561" max="2561" width="16.85546875" customWidth="1"/>
    <col min="2562" max="2562" width="17.7109375" customWidth="1"/>
    <col min="2563" max="2567" width="13.5703125" bestFit="1" customWidth="1"/>
    <col min="2568" max="2570" width="12.7109375" bestFit="1" customWidth="1"/>
    <col min="2571" max="2571" width="13.7109375" bestFit="1" customWidth="1"/>
    <col min="2813" max="2813" width="15" customWidth="1"/>
    <col min="2814" max="2814" width="19" customWidth="1"/>
    <col min="2815" max="2815" width="18.5703125" customWidth="1"/>
    <col min="2816" max="2816" width="16.42578125" customWidth="1"/>
    <col min="2817" max="2817" width="16.85546875" customWidth="1"/>
    <col min="2818" max="2818" width="17.7109375" customWidth="1"/>
    <col min="2819" max="2823" width="13.5703125" bestFit="1" customWidth="1"/>
    <col min="2824" max="2826" width="12.7109375" bestFit="1" customWidth="1"/>
    <col min="2827" max="2827" width="13.7109375" bestFit="1" customWidth="1"/>
    <col min="3069" max="3069" width="15" customWidth="1"/>
    <col min="3070" max="3070" width="19" customWidth="1"/>
    <col min="3071" max="3071" width="18.5703125" customWidth="1"/>
    <col min="3072" max="3072" width="16.42578125" customWidth="1"/>
    <col min="3073" max="3073" width="16.85546875" customWidth="1"/>
    <col min="3074" max="3074" width="17.7109375" customWidth="1"/>
    <col min="3075" max="3079" width="13.5703125" bestFit="1" customWidth="1"/>
    <col min="3080" max="3082" width="12.7109375" bestFit="1" customWidth="1"/>
    <col min="3083" max="3083" width="13.7109375" bestFit="1" customWidth="1"/>
    <col min="3325" max="3325" width="15" customWidth="1"/>
    <col min="3326" max="3326" width="19" customWidth="1"/>
    <col min="3327" max="3327" width="18.5703125" customWidth="1"/>
    <col min="3328" max="3328" width="16.42578125" customWidth="1"/>
    <col min="3329" max="3329" width="16.85546875" customWidth="1"/>
    <col min="3330" max="3330" width="17.7109375" customWidth="1"/>
    <col min="3331" max="3335" width="13.5703125" bestFit="1" customWidth="1"/>
    <col min="3336" max="3338" width="12.7109375" bestFit="1" customWidth="1"/>
    <col min="3339" max="3339" width="13.7109375" bestFit="1" customWidth="1"/>
    <col min="3581" max="3581" width="15" customWidth="1"/>
    <col min="3582" max="3582" width="19" customWidth="1"/>
    <col min="3583" max="3583" width="18.5703125" customWidth="1"/>
    <col min="3584" max="3584" width="16.42578125" customWidth="1"/>
    <col min="3585" max="3585" width="16.85546875" customWidth="1"/>
    <col min="3586" max="3586" width="17.7109375" customWidth="1"/>
    <col min="3587" max="3591" width="13.5703125" bestFit="1" customWidth="1"/>
    <col min="3592" max="3594" width="12.7109375" bestFit="1" customWidth="1"/>
    <col min="3595" max="3595" width="13.7109375" bestFit="1" customWidth="1"/>
    <col min="3837" max="3837" width="15" customWidth="1"/>
    <col min="3838" max="3838" width="19" customWidth="1"/>
    <col min="3839" max="3839" width="18.5703125" customWidth="1"/>
    <col min="3840" max="3840" width="16.42578125" customWidth="1"/>
    <col min="3841" max="3841" width="16.85546875" customWidth="1"/>
    <col min="3842" max="3842" width="17.7109375" customWidth="1"/>
    <col min="3843" max="3847" width="13.5703125" bestFit="1" customWidth="1"/>
    <col min="3848" max="3850" width="12.7109375" bestFit="1" customWidth="1"/>
    <col min="3851" max="3851" width="13.7109375" bestFit="1" customWidth="1"/>
    <col min="4093" max="4093" width="15" customWidth="1"/>
    <col min="4094" max="4094" width="19" customWidth="1"/>
    <col min="4095" max="4095" width="18.5703125" customWidth="1"/>
    <col min="4096" max="4096" width="16.42578125" customWidth="1"/>
    <col min="4097" max="4097" width="16.85546875" customWidth="1"/>
    <col min="4098" max="4098" width="17.7109375" customWidth="1"/>
    <col min="4099" max="4103" width="13.5703125" bestFit="1" customWidth="1"/>
    <col min="4104" max="4106" width="12.7109375" bestFit="1" customWidth="1"/>
    <col min="4107" max="4107" width="13.7109375" bestFit="1" customWidth="1"/>
    <col min="4349" max="4349" width="15" customWidth="1"/>
    <col min="4350" max="4350" width="19" customWidth="1"/>
    <col min="4351" max="4351" width="18.5703125" customWidth="1"/>
    <col min="4352" max="4352" width="16.42578125" customWidth="1"/>
    <col min="4353" max="4353" width="16.85546875" customWidth="1"/>
    <col min="4354" max="4354" width="17.7109375" customWidth="1"/>
    <col min="4355" max="4359" width="13.5703125" bestFit="1" customWidth="1"/>
    <col min="4360" max="4362" width="12.7109375" bestFit="1" customWidth="1"/>
    <col min="4363" max="4363" width="13.7109375" bestFit="1" customWidth="1"/>
    <col min="4605" max="4605" width="15" customWidth="1"/>
    <col min="4606" max="4606" width="19" customWidth="1"/>
    <col min="4607" max="4607" width="18.5703125" customWidth="1"/>
    <col min="4608" max="4608" width="16.42578125" customWidth="1"/>
    <col min="4609" max="4609" width="16.85546875" customWidth="1"/>
    <col min="4610" max="4610" width="17.7109375" customWidth="1"/>
    <col min="4611" max="4615" width="13.5703125" bestFit="1" customWidth="1"/>
    <col min="4616" max="4618" width="12.7109375" bestFit="1" customWidth="1"/>
    <col min="4619" max="4619" width="13.7109375" bestFit="1" customWidth="1"/>
    <col min="4861" max="4861" width="15" customWidth="1"/>
    <col min="4862" max="4862" width="19" customWidth="1"/>
    <col min="4863" max="4863" width="18.5703125" customWidth="1"/>
    <col min="4864" max="4864" width="16.42578125" customWidth="1"/>
    <col min="4865" max="4865" width="16.85546875" customWidth="1"/>
    <col min="4866" max="4866" width="17.7109375" customWidth="1"/>
    <col min="4867" max="4871" width="13.5703125" bestFit="1" customWidth="1"/>
    <col min="4872" max="4874" width="12.7109375" bestFit="1" customWidth="1"/>
    <col min="4875" max="4875" width="13.7109375" bestFit="1" customWidth="1"/>
    <col min="5117" max="5117" width="15" customWidth="1"/>
    <col min="5118" max="5118" width="19" customWidth="1"/>
    <col min="5119" max="5119" width="18.5703125" customWidth="1"/>
    <col min="5120" max="5120" width="16.42578125" customWidth="1"/>
    <col min="5121" max="5121" width="16.85546875" customWidth="1"/>
    <col min="5122" max="5122" width="17.7109375" customWidth="1"/>
    <col min="5123" max="5127" width="13.5703125" bestFit="1" customWidth="1"/>
    <col min="5128" max="5130" width="12.7109375" bestFit="1" customWidth="1"/>
    <col min="5131" max="5131" width="13.7109375" bestFit="1" customWidth="1"/>
    <col min="5373" max="5373" width="15" customWidth="1"/>
    <col min="5374" max="5374" width="19" customWidth="1"/>
    <col min="5375" max="5375" width="18.5703125" customWidth="1"/>
    <col min="5376" max="5376" width="16.42578125" customWidth="1"/>
    <col min="5377" max="5377" width="16.85546875" customWidth="1"/>
    <col min="5378" max="5378" width="17.7109375" customWidth="1"/>
    <col min="5379" max="5383" width="13.5703125" bestFit="1" customWidth="1"/>
    <col min="5384" max="5386" width="12.7109375" bestFit="1" customWidth="1"/>
    <col min="5387" max="5387" width="13.7109375" bestFit="1" customWidth="1"/>
    <col min="5629" max="5629" width="15" customWidth="1"/>
    <col min="5630" max="5630" width="19" customWidth="1"/>
    <col min="5631" max="5631" width="18.5703125" customWidth="1"/>
    <col min="5632" max="5632" width="16.42578125" customWidth="1"/>
    <col min="5633" max="5633" width="16.85546875" customWidth="1"/>
    <col min="5634" max="5634" width="17.7109375" customWidth="1"/>
    <col min="5635" max="5639" width="13.5703125" bestFit="1" customWidth="1"/>
    <col min="5640" max="5642" width="12.7109375" bestFit="1" customWidth="1"/>
    <col min="5643" max="5643" width="13.7109375" bestFit="1" customWidth="1"/>
    <col min="5885" max="5885" width="15" customWidth="1"/>
    <col min="5886" max="5886" width="19" customWidth="1"/>
    <col min="5887" max="5887" width="18.5703125" customWidth="1"/>
    <col min="5888" max="5888" width="16.42578125" customWidth="1"/>
    <col min="5889" max="5889" width="16.85546875" customWidth="1"/>
    <col min="5890" max="5890" width="17.7109375" customWidth="1"/>
    <col min="5891" max="5895" width="13.5703125" bestFit="1" customWidth="1"/>
    <col min="5896" max="5898" width="12.7109375" bestFit="1" customWidth="1"/>
    <col min="5899" max="5899" width="13.7109375" bestFit="1" customWidth="1"/>
    <col min="6141" max="6141" width="15" customWidth="1"/>
    <col min="6142" max="6142" width="19" customWidth="1"/>
    <col min="6143" max="6143" width="18.5703125" customWidth="1"/>
    <col min="6144" max="6144" width="16.42578125" customWidth="1"/>
    <col min="6145" max="6145" width="16.85546875" customWidth="1"/>
    <col min="6146" max="6146" width="17.7109375" customWidth="1"/>
    <col min="6147" max="6151" width="13.5703125" bestFit="1" customWidth="1"/>
    <col min="6152" max="6154" width="12.7109375" bestFit="1" customWidth="1"/>
    <col min="6155" max="6155" width="13.7109375" bestFit="1" customWidth="1"/>
    <col min="6397" max="6397" width="15" customWidth="1"/>
    <col min="6398" max="6398" width="19" customWidth="1"/>
    <col min="6399" max="6399" width="18.5703125" customWidth="1"/>
    <col min="6400" max="6400" width="16.42578125" customWidth="1"/>
    <col min="6401" max="6401" width="16.85546875" customWidth="1"/>
    <col min="6402" max="6402" width="17.7109375" customWidth="1"/>
    <col min="6403" max="6407" width="13.5703125" bestFit="1" customWidth="1"/>
    <col min="6408" max="6410" width="12.7109375" bestFit="1" customWidth="1"/>
    <col min="6411" max="6411" width="13.7109375" bestFit="1" customWidth="1"/>
    <col min="6653" max="6653" width="15" customWidth="1"/>
    <col min="6654" max="6654" width="19" customWidth="1"/>
    <col min="6655" max="6655" width="18.5703125" customWidth="1"/>
    <col min="6656" max="6656" width="16.42578125" customWidth="1"/>
    <col min="6657" max="6657" width="16.85546875" customWidth="1"/>
    <col min="6658" max="6658" width="17.7109375" customWidth="1"/>
    <col min="6659" max="6663" width="13.5703125" bestFit="1" customWidth="1"/>
    <col min="6664" max="6666" width="12.7109375" bestFit="1" customWidth="1"/>
    <col min="6667" max="6667" width="13.7109375" bestFit="1" customWidth="1"/>
    <col min="6909" max="6909" width="15" customWidth="1"/>
    <col min="6910" max="6910" width="19" customWidth="1"/>
    <col min="6911" max="6911" width="18.5703125" customWidth="1"/>
    <col min="6912" max="6912" width="16.42578125" customWidth="1"/>
    <col min="6913" max="6913" width="16.85546875" customWidth="1"/>
    <col min="6914" max="6914" width="17.7109375" customWidth="1"/>
    <col min="6915" max="6919" width="13.5703125" bestFit="1" customWidth="1"/>
    <col min="6920" max="6922" width="12.7109375" bestFit="1" customWidth="1"/>
    <col min="6923" max="6923" width="13.7109375" bestFit="1" customWidth="1"/>
    <col min="7165" max="7165" width="15" customWidth="1"/>
    <col min="7166" max="7166" width="19" customWidth="1"/>
    <col min="7167" max="7167" width="18.5703125" customWidth="1"/>
    <col min="7168" max="7168" width="16.42578125" customWidth="1"/>
    <col min="7169" max="7169" width="16.85546875" customWidth="1"/>
    <col min="7170" max="7170" width="17.7109375" customWidth="1"/>
    <col min="7171" max="7175" width="13.5703125" bestFit="1" customWidth="1"/>
    <col min="7176" max="7178" width="12.7109375" bestFit="1" customWidth="1"/>
    <col min="7179" max="7179" width="13.7109375" bestFit="1" customWidth="1"/>
    <col min="7421" max="7421" width="15" customWidth="1"/>
    <col min="7422" max="7422" width="19" customWidth="1"/>
    <col min="7423" max="7423" width="18.5703125" customWidth="1"/>
    <col min="7424" max="7424" width="16.42578125" customWidth="1"/>
    <col min="7425" max="7425" width="16.85546875" customWidth="1"/>
    <col min="7426" max="7426" width="17.7109375" customWidth="1"/>
    <col min="7427" max="7431" width="13.5703125" bestFit="1" customWidth="1"/>
    <col min="7432" max="7434" width="12.7109375" bestFit="1" customWidth="1"/>
    <col min="7435" max="7435" width="13.7109375" bestFit="1" customWidth="1"/>
    <col min="7677" max="7677" width="15" customWidth="1"/>
    <col min="7678" max="7678" width="19" customWidth="1"/>
    <col min="7679" max="7679" width="18.5703125" customWidth="1"/>
    <col min="7680" max="7680" width="16.42578125" customWidth="1"/>
    <col min="7681" max="7681" width="16.85546875" customWidth="1"/>
    <col min="7682" max="7682" width="17.7109375" customWidth="1"/>
    <col min="7683" max="7687" width="13.5703125" bestFit="1" customWidth="1"/>
    <col min="7688" max="7690" width="12.7109375" bestFit="1" customWidth="1"/>
    <col min="7691" max="7691" width="13.7109375" bestFit="1" customWidth="1"/>
    <col min="7933" max="7933" width="15" customWidth="1"/>
    <col min="7934" max="7934" width="19" customWidth="1"/>
    <col min="7935" max="7935" width="18.5703125" customWidth="1"/>
    <col min="7936" max="7936" width="16.42578125" customWidth="1"/>
    <col min="7937" max="7937" width="16.85546875" customWidth="1"/>
    <col min="7938" max="7938" width="17.7109375" customWidth="1"/>
    <col min="7939" max="7943" width="13.5703125" bestFit="1" customWidth="1"/>
    <col min="7944" max="7946" width="12.7109375" bestFit="1" customWidth="1"/>
    <col min="7947" max="7947" width="13.7109375" bestFit="1" customWidth="1"/>
    <col min="8189" max="8189" width="15" customWidth="1"/>
    <col min="8190" max="8190" width="19" customWidth="1"/>
    <col min="8191" max="8191" width="18.5703125" customWidth="1"/>
    <col min="8192" max="8192" width="16.42578125" customWidth="1"/>
    <col min="8193" max="8193" width="16.85546875" customWidth="1"/>
    <col min="8194" max="8194" width="17.7109375" customWidth="1"/>
    <col min="8195" max="8199" width="13.5703125" bestFit="1" customWidth="1"/>
    <col min="8200" max="8202" width="12.7109375" bestFit="1" customWidth="1"/>
    <col min="8203" max="8203" width="13.7109375" bestFit="1" customWidth="1"/>
    <col min="8445" max="8445" width="15" customWidth="1"/>
    <col min="8446" max="8446" width="19" customWidth="1"/>
    <col min="8447" max="8447" width="18.5703125" customWidth="1"/>
    <col min="8448" max="8448" width="16.42578125" customWidth="1"/>
    <col min="8449" max="8449" width="16.85546875" customWidth="1"/>
    <col min="8450" max="8450" width="17.7109375" customWidth="1"/>
    <col min="8451" max="8455" width="13.5703125" bestFit="1" customWidth="1"/>
    <col min="8456" max="8458" width="12.7109375" bestFit="1" customWidth="1"/>
    <col min="8459" max="8459" width="13.7109375" bestFit="1" customWidth="1"/>
    <col min="8701" max="8701" width="15" customWidth="1"/>
    <col min="8702" max="8702" width="19" customWidth="1"/>
    <col min="8703" max="8703" width="18.5703125" customWidth="1"/>
    <col min="8704" max="8704" width="16.42578125" customWidth="1"/>
    <col min="8705" max="8705" width="16.85546875" customWidth="1"/>
    <col min="8706" max="8706" width="17.7109375" customWidth="1"/>
    <col min="8707" max="8711" width="13.5703125" bestFit="1" customWidth="1"/>
    <col min="8712" max="8714" width="12.7109375" bestFit="1" customWidth="1"/>
    <col min="8715" max="8715" width="13.7109375" bestFit="1" customWidth="1"/>
    <col min="8957" max="8957" width="15" customWidth="1"/>
    <col min="8958" max="8958" width="19" customWidth="1"/>
    <col min="8959" max="8959" width="18.5703125" customWidth="1"/>
    <col min="8960" max="8960" width="16.42578125" customWidth="1"/>
    <col min="8961" max="8961" width="16.85546875" customWidth="1"/>
    <col min="8962" max="8962" width="17.7109375" customWidth="1"/>
    <col min="8963" max="8967" width="13.5703125" bestFit="1" customWidth="1"/>
    <col min="8968" max="8970" width="12.7109375" bestFit="1" customWidth="1"/>
    <col min="8971" max="8971" width="13.7109375" bestFit="1" customWidth="1"/>
    <col min="9213" max="9213" width="15" customWidth="1"/>
    <col min="9214" max="9214" width="19" customWidth="1"/>
    <col min="9215" max="9215" width="18.5703125" customWidth="1"/>
    <col min="9216" max="9216" width="16.42578125" customWidth="1"/>
    <col min="9217" max="9217" width="16.85546875" customWidth="1"/>
    <col min="9218" max="9218" width="17.7109375" customWidth="1"/>
    <col min="9219" max="9223" width="13.5703125" bestFit="1" customWidth="1"/>
    <col min="9224" max="9226" width="12.7109375" bestFit="1" customWidth="1"/>
    <col min="9227" max="9227" width="13.7109375" bestFit="1" customWidth="1"/>
    <col min="9469" max="9469" width="15" customWidth="1"/>
    <col min="9470" max="9470" width="19" customWidth="1"/>
    <col min="9471" max="9471" width="18.5703125" customWidth="1"/>
    <col min="9472" max="9472" width="16.42578125" customWidth="1"/>
    <col min="9473" max="9473" width="16.85546875" customWidth="1"/>
    <col min="9474" max="9474" width="17.7109375" customWidth="1"/>
    <col min="9475" max="9479" width="13.5703125" bestFit="1" customWidth="1"/>
    <col min="9480" max="9482" width="12.7109375" bestFit="1" customWidth="1"/>
    <col min="9483" max="9483" width="13.7109375" bestFit="1" customWidth="1"/>
    <col min="9725" max="9725" width="15" customWidth="1"/>
    <col min="9726" max="9726" width="19" customWidth="1"/>
    <col min="9727" max="9727" width="18.5703125" customWidth="1"/>
    <col min="9728" max="9728" width="16.42578125" customWidth="1"/>
    <col min="9729" max="9729" width="16.85546875" customWidth="1"/>
    <col min="9730" max="9730" width="17.7109375" customWidth="1"/>
    <col min="9731" max="9735" width="13.5703125" bestFit="1" customWidth="1"/>
    <col min="9736" max="9738" width="12.7109375" bestFit="1" customWidth="1"/>
    <col min="9739" max="9739" width="13.7109375" bestFit="1" customWidth="1"/>
    <col min="9981" max="9981" width="15" customWidth="1"/>
    <col min="9982" max="9982" width="19" customWidth="1"/>
    <col min="9983" max="9983" width="18.5703125" customWidth="1"/>
    <col min="9984" max="9984" width="16.42578125" customWidth="1"/>
    <col min="9985" max="9985" width="16.85546875" customWidth="1"/>
    <col min="9986" max="9986" width="17.7109375" customWidth="1"/>
    <col min="9987" max="9991" width="13.5703125" bestFit="1" customWidth="1"/>
    <col min="9992" max="9994" width="12.7109375" bestFit="1" customWidth="1"/>
    <col min="9995" max="9995" width="13.7109375" bestFit="1" customWidth="1"/>
    <col min="10237" max="10237" width="15" customWidth="1"/>
    <col min="10238" max="10238" width="19" customWidth="1"/>
    <col min="10239" max="10239" width="18.5703125" customWidth="1"/>
    <col min="10240" max="10240" width="16.42578125" customWidth="1"/>
    <col min="10241" max="10241" width="16.85546875" customWidth="1"/>
    <col min="10242" max="10242" width="17.7109375" customWidth="1"/>
    <col min="10243" max="10247" width="13.5703125" bestFit="1" customWidth="1"/>
    <col min="10248" max="10250" width="12.7109375" bestFit="1" customWidth="1"/>
    <col min="10251" max="10251" width="13.7109375" bestFit="1" customWidth="1"/>
    <col min="10493" max="10493" width="15" customWidth="1"/>
    <col min="10494" max="10494" width="19" customWidth="1"/>
    <col min="10495" max="10495" width="18.5703125" customWidth="1"/>
    <col min="10496" max="10496" width="16.42578125" customWidth="1"/>
    <col min="10497" max="10497" width="16.85546875" customWidth="1"/>
    <col min="10498" max="10498" width="17.7109375" customWidth="1"/>
    <col min="10499" max="10503" width="13.5703125" bestFit="1" customWidth="1"/>
    <col min="10504" max="10506" width="12.7109375" bestFit="1" customWidth="1"/>
    <col min="10507" max="10507" width="13.7109375" bestFit="1" customWidth="1"/>
    <col min="10749" max="10749" width="15" customWidth="1"/>
    <col min="10750" max="10750" width="19" customWidth="1"/>
    <col min="10751" max="10751" width="18.5703125" customWidth="1"/>
    <col min="10752" max="10752" width="16.42578125" customWidth="1"/>
    <col min="10753" max="10753" width="16.85546875" customWidth="1"/>
    <col min="10754" max="10754" width="17.7109375" customWidth="1"/>
    <col min="10755" max="10759" width="13.5703125" bestFit="1" customWidth="1"/>
    <col min="10760" max="10762" width="12.7109375" bestFit="1" customWidth="1"/>
    <col min="10763" max="10763" width="13.7109375" bestFit="1" customWidth="1"/>
    <col min="11005" max="11005" width="15" customWidth="1"/>
    <col min="11006" max="11006" width="19" customWidth="1"/>
    <col min="11007" max="11007" width="18.5703125" customWidth="1"/>
    <col min="11008" max="11008" width="16.42578125" customWidth="1"/>
    <col min="11009" max="11009" width="16.85546875" customWidth="1"/>
    <col min="11010" max="11010" width="17.7109375" customWidth="1"/>
    <col min="11011" max="11015" width="13.5703125" bestFit="1" customWidth="1"/>
    <col min="11016" max="11018" width="12.7109375" bestFit="1" customWidth="1"/>
    <col min="11019" max="11019" width="13.7109375" bestFit="1" customWidth="1"/>
    <col min="11261" max="11261" width="15" customWidth="1"/>
    <col min="11262" max="11262" width="19" customWidth="1"/>
    <col min="11263" max="11263" width="18.5703125" customWidth="1"/>
    <col min="11264" max="11264" width="16.42578125" customWidth="1"/>
    <col min="11265" max="11265" width="16.85546875" customWidth="1"/>
    <col min="11266" max="11266" width="17.7109375" customWidth="1"/>
    <col min="11267" max="11271" width="13.5703125" bestFit="1" customWidth="1"/>
    <col min="11272" max="11274" width="12.7109375" bestFit="1" customWidth="1"/>
    <col min="11275" max="11275" width="13.7109375" bestFit="1" customWidth="1"/>
    <col min="11517" max="11517" width="15" customWidth="1"/>
    <col min="11518" max="11518" width="19" customWidth="1"/>
    <col min="11519" max="11519" width="18.5703125" customWidth="1"/>
    <col min="11520" max="11520" width="16.42578125" customWidth="1"/>
    <col min="11521" max="11521" width="16.85546875" customWidth="1"/>
    <col min="11522" max="11522" width="17.7109375" customWidth="1"/>
    <col min="11523" max="11527" width="13.5703125" bestFit="1" customWidth="1"/>
    <col min="11528" max="11530" width="12.7109375" bestFit="1" customWidth="1"/>
    <col min="11531" max="11531" width="13.7109375" bestFit="1" customWidth="1"/>
    <col min="11773" max="11773" width="15" customWidth="1"/>
    <col min="11774" max="11774" width="19" customWidth="1"/>
    <col min="11775" max="11775" width="18.5703125" customWidth="1"/>
    <col min="11776" max="11776" width="16.42578125" customWidth="1"/>
    <col min="11777" max="11777" width="16.85546875" customWidth="1"/>
    <col min="11778" max="11778" width="17.7109375" customWidth="1"/>
    <col min="11779" max="11783" width="13.5703125" bestFit="1" customWidth="1"/>
    <col min="11784" max="11786" width="12.7109375" bestFit="1" customWidth="1"/>
    <col min="11787" max="11787" width="13.7109375" bestFit="1" customWidth="1"/>
    <col min="12029" max="12029" width="15" customWidth="1"/>
    <col min="12030" max="12030" width="19" customWidth="1"/>
    <col min="12031" max="12031" width="18.5703125" customWidth="1"/>
    <col min="12032" max="12032" width="16.42578125" customWidth="1"/>
    <col min="12033" max="12033" width="16.85546875" customWidth="1"/>
    <col min="12034" max="12034" width="17.7109375" customWidth="1"/>
    <col min="12035" max="12039" width="13.5703125" bestFit="1" customWidth="1"/>
    <col min="12040" max="12042" width="12.7109375" bestFit="1" customWidth="1"/>
    <col min="12043" max="12043" width="13.7109375" bestFit="1" customWidth="1"/>
    <col min="12285" max="12285" width="15" customWidth="1"/>
    <col min="12286" max="12286" width="19" customWidth="1"/>
    <col min="12287" max="12287" width="18.5703125" customWidth="1"/>
    <col min="12288" max="12288" width="16.42578125" customWidth="1"/>
    <col min="12289" max="12289" width="16.85546875" customWidth="1"/>
    <col min="12290" max="12290" width="17.7109375" customWidth="1"/>
    <col min="12291" max="12295" width="13.5703125" bestFit="1" customWidth="1"/>
    <col min="12296" max="12298" width="12.7109375" bestFit="1" customWidth="1"/>
    <col min="12299" max="12299" width="13.7109375" bestFit="1" customWidth="1"/>
    <col min="12541" max="12541" width="15" customWidth="1"/>
    <col min="12542" max="12542" width="19" customWidth="1"/>
    <col min="12543" max="12543" width="18.5703125" customWidth="1"/>
    <col min="12544" max="12544" width="16.42578125" customWidth="1"/>
    <col min="12545" max="12545" width="16.85546875" customWidth="1"/>
    <col min="12546" max="12546" width="17.7109375" customWidth="1"/>
    <col min="12547" max="12551" width="13.5703125" bestFit="1" customWidth="1"/>
    <col min="12552" max="12554" width="12.7109375" bestFit="1" customWidth="1"/>
    <col min="12555" max="12555" width="13.7109375" bestFit="1" customWidth="1"/>
    <col min="12797" max="12797" width="15" customWidth="1"/>
    <col min="12798" max="12798" width="19" customWidth="1"/>
    <col min="12799" max="12799" width="18.5703125" customWidth="1"/>
    <col min="12800" max="12800" width="16.42578125" customWidth="1"/>
    <col min="12801" max="12801" width="16.85546875" customWidth="1"/>
    <col min="12802" max="12802" width="17.7109375" customWidth="1"/>
    <col min="12803" max="12807" width="13.5703125" bestFit="1" customWidth="1"/>
    <col min="12808" max="12810" width="12.7109375" bestFit="1" customWidth="1"/>
    <col min="12811" max="12811" width="13.7109375" bestFit="1" customWidth="1"/>
    <col min="13053" max="13053" width="15" customWidth="1"/>
    <col min="13054" max="13054" width="19" customWidth="1"/>
    <col min="13055" max="13055" width="18.5703125" customWidth="1"/>
    <col min="13056" max="13056" width="16.42578125" customWidth="1"/>
    <col min="13057" max="13057" width="16.85546875" customWidth="1"/>
    <col min="13058" max="13058" width="17.7109375" customWidth="1"/>
    <col min="13059" max="13063" width="13.5703125" bestFit="1" customWidth="1"/>
    <col min="13064" max="13066" width="12.7109375" bestFit="1" customWidth="1"/>
    <col min="13067" max="13067" width="13.7109375" bestFit="1" customWidth="1"/>
    <col min="13309" max="13309" width="15" customWidth="1"/>
    <col min="13310" max="13310" width="19" customWidth="1"/>
    <col min="13311" max="13311" width="18.5703125" customWidth="1"/>
    <col min="13312" max="13312" width="16.42578125" customWidth="1"/>
    <col min="13313" max="13313" width="16.85546875" customWidth="1"/>
    <col min="13314" max="13314" width="17.7109375" customWidth="1"/>
    <col min="13315" max="13319" width="13.5703125" bestFit="1" customWidth="1"/>
    <col min="13320" max="13322" width="12.7109375" bestFit="1" customWidth="1"/>
    <col min="13323" max="13323" width="13.7109375" bestFit="1" customWidth="1"/>
    <col min="13565" max="13565" width="15" customWidth="1"/>
    <col min="13566" max="13566" width="19" customWidth="1"/>
    <col min="13567" max="13567" width="18.5703125" customWidth="1"/>
    <col min="13568" max="13568" width="16.42578125" customWidth="1"/>
    <col min="13569" max="13569" width="16.85546875" customWidth="1"/>
    <col min="13570" max="13570" width="17.7109375" customWidth="1"/>
    <col min="13571" max="13575" width="13.5703125" bestFit="1" customWidth="1"/>
    <col min="13576" max="13578" width="12.7109375" bestFit="1" customWidth="1"/>
    <col min="13579" max="13579" width="13.7109375" bestFit="1" customWidth="1"/>
    <col min="13821" max="13821" width="15" customWidth="1"/>
    <col min="13822" max="13822" width="19" customWidth="1"/>
    <col min="13823" max="13823" width="18.5703125" customWidth="1"/>
    <col min="13824" max="13824" width="16.42578125" customWidth="1"/>
    <col min="13825" max="13825" width="16.85546875" customWidth="1"/>
    <col min="13826" max="13826" width="17.7109375" customWidth="1"/>
    <col min="13827" max="13831" width="13.5703125" bestFit="1" customWidth="1"/>
    <col min="13832" max="13834" width="12.7109375" bestFit="1" customWidth="1"/>
    <col min="13835" max="13835" width="13.7109375" bestFit="1" customWidth="1"/>
    <col min="14077" max="14077" width="15" customWidth="1"/>
    <col min="14078" max="14078" width="19" customWidth="1"/>
    <col min="14079" max="14079" width="18.5703125" customWidth="1"/>
    <col min="14080" max="14080" width="16.42578125" customWidth="1"/>
    <col min="14081" max="14081" width="16.85546875" customWidth="1"/>
    <col min="14082" max="14082" width="17.7109375" customWidth="1"/>
    <col min="14083" max="14087" width="13.5703125" bestFit="1" customWidth="1"/>
    <col min="14088" max="14090" width="12.7109375" bestFit="1" customWidth="1"/>
    <col min="14091" max="14091" width="13.7109375" bestFit="1" customWidth="1"/>
    <col min="14333" max="14333" width="15" customWidth="1"/>
    <col min="14334" max="14334" width="19" customWidth="1"/>
    <col min="14335" max="14335" width="18.5703125" customWidth="1"/>
    <col min="14336" max="14336" width="16.42578125" customWidth="1"/>
    <col min="14337" max="14337" width="16.85546875" customWidth="1"/>
    <col min="14338" max="14338" width="17.7109375" customWidth="1"/>
    <col min="14339" max="14343" width="13.5703125" bestFit="1" customWidth="1"/>
    <col min="14344" max="14346" width="12.7109375" bestFit="1" customWidth="1"/>
    <col min="14347" max="14347" width="13.7109375" bestFit="1" customWidth="1"/>
    <col min="14589" max="14589" width="15" customWidth="1"/>
    <col min="14590" max="14590" width="19" customWidth="1"/>
    <col min="14591" max="14591" width="18.5703125" customWidth="1"/>
    <col min="14592" max="14592" width="16.42578125" customWidth="1"/>
    <col min="14593" max="14593" width="16.85546875" customWidth="1"/>
    <col min="14594" max="14594" width="17.7109375" customWidth="1"/>
    <col min="14595" max="14599" width="13.5703125" bestFit="1" customWidth="1"/>
    <col min="14600" max="14602" width="12.7109375" bestFit="1" customWidth="1"/>
    <col min="14603" max="14603" width="13.7109375" bestFit="1" customWidth="1"/>
    <col min="14845" max="14845" width="15" customWidth="1"/>
    <col min="14846" max="14846" width="19" customWidth="1"/>
    <col min="14847" max="14847" width="18.5703125" customWidth="1"/>
    <col min="14848" max="14848" width="16.42578125" customWidth="1"/>
    <col min="14849" max="14849" width="16.85546875" customWidth="1"/>
    <col min="14850" max="14850" width="17.7109375" customWidth="1"/>
    <col min="14851" max="14855" width="13.5703125" bestFit="1" customWidth="1"/>
    <col min="14856" max="14858" width="12.7109375" bestFit="1" customWidth="1"/>
    <col min="14859" max="14859" width="13.7109375" bestFit="1" customWidth="1"/>
    <col min="15101" max="15101" width="15" customWidth="1"/>
    <col min="15102" max="15102" width="19" customWidth="1"/>
    <col min="15103" max="15103" width="18.5703125" customWidth="1"/>
    <col min="15104" max="15104" width="16.42578125" customWidth="1"/>
    <col min="15105" max="15105" width="16.85546875" customWidth="1"/>
    <col min="15106" max="15106" width="17.7109375" customWidth="1"/>
    <col min="15107" max="15111" width="13.5703125" bestFit="1" customWidth="1"/>
    <col min="15112" max="15114" width="12.7109375" bestFit="1" customWidth="1"/>
    <col min="15115" max="15115" width="13.7109375" bestFit="1" customWidth="1"/>
    <col min="15357" max="15357" width="15" customWidth="1"/>
    <col min="15358" max="15358" width="19" customWidth="1"/>
    <col min="15359" max="15359" width="18.5703125" customWidth="1"/>
    <col min="15360" max="15360" width="16.42578125" customWidth="1"/>
    <col min="15361" max="15361" width="16.85546875" customWidth="1"/>
    <col min="15362" max="15362" width="17.7109375" customWidth="1"/>
    <col min="15363" max="15367" width="13.5703125" bestFit="1" customWidth="1"/>
    <col min="15368" max="15370" width="12.7109375" bestFit="1" customWidth="1"/>
    <col min="15371" max="15371" width="13.7109375" bestFit="1" customWidth="1"/>
    <col min="15613" max="15613" width="15" customWidth="1"/>
    <col min="15614" max="15614" width="19" customWidth="1"/>
    <col min="15615" max="15615" width="18.5703125" customWidth="1"/>
    <col min="15616" max="15616" width="16.42578125" customWidth="1"/>
    <col min="15617" max="15617" width="16.85546875" customWidth="1"/>
    <col min="15618" max="15618" width="17.7109375" customWidth="1"/>
    <col min="15619" max="15623" width="13.5703125" bestFit="1" customWidth="1"/>
    <col min="15624" max="15626" width="12.7109375" bestFit="1" customWidth="1"/>
    <col min="15627" max="15627" width="13.7109375" bestFit="1" customWidth="1"/>
    <col min="15869" max="15869" width="15" customWidth="1"/>
    <col min="15870" max="15870" width="19" customWidth="1"/>
    <col min="15871" max="15871" width="18.5703125" customWidth="1"/>
    <col min="15872" max="15872" width="16.42578125" customWidth="1"/>
    <col min="15873" max="15873" width="16.85546875" customWidth="1"/>
    <col min="15874" max="15874" width="17.7109375" customWidth="1"/>
    <col min="15875" max="15879" width="13.5703125" bestFit="1" customWidth="1"/>
    <col min="15880" max="15882" width="12.7109375" bestFit="1" customWidth="1"/>
    <col min="15883" max="15883" width="13.7109375" bestFit="1" customWidth="1"/>
    <col min="16125" max="16125" width="15" customWidth="1"/>
    <col min="16126" max="16126" width="19" customWidth="1"/>
    <col min="16127" max="16127" width="18.5703125" customWidth="1"/>
    <col min="16128" max="16128" width="16.42578125" customWidth="1"/>
    <col min="16129" max="16129" width="16.85546875" customWidth="1"/>
    <col min="16130" max="16130" width="17.7109375" customWidth="1"/>
    <col min="16131" max="16135" width="13.5703125" bestFit="1" customWidth="1"/>
    <col min="16136" max="16138" width="12.7109375" bestFit="1" customWidth="1"/>
    <col min="16139" max="16139" width="13.7109375" bestFit="1" customWidth="1"/>
  </cols>
  <sheetData>
    <row r="1" spans="1:10" x14ac:dyDescent="0.25">
      <c r="A1" s="511" t="s">
        <v>2</v>
      </c>
      <c r="B1" s="512"/>
      <c r="C1" s="512"/>
      <c r="D1" s="512"/>
      <c r="E1" s="512"/>
      <c r="F1" s="512"/>
      <c r="G1" s="512"/>
      <c r="H1" s="512"/>
    </row>
    <row r="2" spans="1:10" x14ac:dyDescent="0.25">
      <c r="A2" s="511" t="s">
        <v>3113</v>
      </c>
      <c r="B2" s="512"/>
      <c r="C2" s="512"/>
      <c r="D2" s="512"/>
      <c r="E2" s="512"/>
      <c r="F2" s="512"/>
      <c r="G2" s="512"/>
      <c r="H2" s="512"/>
    </row>
    <row r="3" spans="1:10" x14ac:dyDescent="0.25">
      <c r="A3" s="511" t="s">
        <v>3112</v>
      </c>
      <c r="B3" s="512"/>
      <c r="C3" s="512"/>
      <c r="D3" s="512"/>
      <c r="E3" s="512"/>
      <c r="F3" s="512"/>
      <c r="G3" s="512"/>
      <c r="H3" s="512"/>
    </row>
    <row r="4" spans="1:10" ht="15.75" thickBot="1" x14ac:dyDescent="0.3">
      <c r="A4" s="515" t="s">
        <v>3136</v>
      </c>
      <c r="B4" s="516"/>
      <c r="C4" s="516"/>
      <c r="D4" s="516"/>
      <c r="E4" s="516"/>
      <c r="F4" s="516"/>
      <c r="G4" s="516"/>
      <c r="H4" s="516"/>
    </row>
    <row r="5" spans="1:10" ht="45.75" thickBot="1" x14ac:dyDescent="0.3">
      <c r="A5" s="103" t="s">
        <v>5</v>
      </c>
      <c r="B5" s="2" t="s">
        <v>6</v>
      </c>
      <c r="C5" s="3" t="s">
        <v>7</v>
      </c>
      <c r="D5" s="3" t="s">
        <v>40</v>
      </c>
      <c r="E5" s="3" t="s">
        <v>41</v>
      </c>
      <c r="F5" s="3" t="s">
        <v>3132</v>
      </c>
      <c r="G5" s="4" t="s">
        <v>3078</v>
      </c>
      <c r="H5" s="5" t="s">
        <v>8</v>
      </c>
    </row>
    <row r="6" spans="1:10" x14ac:dyDescent="0.25">
      <c r="A6" s="6">
        <v>43826</v>
      </c>
      <c r="B6" s="7" t="s">
        <v>359</v>
      </c>
      <c r="C6" s="8">
        <v>0</v>
      </c>
      <c r="D6" s="8">
        <v>0</v>
      </c>
      <c r="E6" s="8"/>
      <c r="F6" s="8"/>
      <c r="G6" s="8"/>
      <c r="H6" s="9">
        <v>14470687434</v>
      </c>
      <c r="I6" s="54"/>
      <c r="J6" s="54"/>
    </row>
    <row r="7" spans="1:10" x14ac:dyDescent="0.25">
      <c r="A7" s="135">
        <f>A6+91</f>
        <v>43917</v>
      </c>
      <c r="B7" s="11" t="s">
        <v>9</v>
      </c>
      <c r="C7" s="12">
        <v>0</v>
      </c>
      <c r="D7" s="294">
        <f>H6*$B$53*B$52/360</f>
        <v>294297605.68897504</v>
      </c>
      <c r="E7" s="294">
        <v>294297605.68897504</v>
      </c>
      <c r="F7" s="294"/>
      <c r="G7" s="12">
        <f>E7+C7+F7</f>
        <v>294297605.68897504</v>
      </c>
      <c r="H7" s="13">
        <f t="shared" ref="H7:H46" si="0">+H6-C7</f>
        <v>14470687434</v>
      </c>
      <c r="J7" s="54"/>
    </row>
    <row r="8" spans="1:10" x14ac:dyDescent="0.25">
      <c r="A8" s="135">
        <f>A7+92</f>
        <v>44009</v>
      </c>
      <c r="B8" s="11" t="s">
        <v>9</v>
      </c>
      <c r="C8" s="12">
        <v>0</v>
      </c>
      <c r="D8" s="466">
        <f>H7*$C$53*C$52/360</f>
        <v>268612135.49362504</v>
      </c>
      <c r="E8" s="466">
        <v>268612135.49362504</v>
      </c>
      <c r="F8" s="294">
        <f>SUM(D8:D9)</f>
        <v>495367807.58440506</v>
      </c>
      <c r="G8" s="12">
        <f>C8</f>
        <v>0</v>
      </c>
      <c r="H8" s="13">
        <f t="shared" si="0"/>
        <v>14470687434</v>
      </c>
      <c r="I8" t="s">
        <v>3158</v>
      </c>
    </row>
    <row r="9" spans="1:10" x14ac:dyDescent="0.25">
      <c r="A9" s="135">
        <f>A8+92</f>
        <v>44101</v>
      </c>
      <c r="B9" s="11" t="s">
        <v>9</v>
      </c>
      <c r="C9" s="12">
        <v>0</v>
      </c>
      <c r="D9" s="466">
        <f>H8*$D$53*D$52/360</f>
        <v>226755672.09077999</v>
      </c>
      <c r="E9" s="466">
        <v>226755672.09077999</v>
      </c>
      <c r="F9" s="462">
        <f>+SUM(F10:F17)</f>
        <v>542210146.34263468</v>
      </c>
      <c r="G9" s="12">
        <f>C9</f>
        <v>0</v>
      </c>
      <c r="H9" s="13">
        <f t="shared" si="0"/>
        <v>14470687434</v>
      </c>
      <c r="I9" t="s">
        <v>3134</v>
      </c>
    </row>
    <row r="10" spans="1:10" x14ac:dyDescent="0.25">
      <c r="A10" s="135">
        <f>A9+91</f>
        <v>44192</v>
      </c>
      <c r="B10" s="11" t="s">
        <v>9</v>
      </c>
      <c r="C10" s="12">
        <v>0</v>
      </c>
      <c r="D10" s="294">
        <f>H9*$E$53*E$52/360</f>
        <v>209101433.42130005</v>
      </c>
      <c r="E10" s="294">
        <v>209101433.42130005</v>
      </c>
      <c r="F10" s="294">
        <v>67776268.292829335</v>
      </c>
      <c r="G10" s="12">
        <f>E10+C10+F10</f>
        <v>276877701.71412939</v>
      </c>
      <c r="H10" s="13">
        <f t="shared" si="0"/>
        <v>14470687434</v>
      </c>
    </row>
    <row r="11" spans="1:10" x14ac:dyDescent="0.25">
      <c r="A11" s="135">
        <f>A10+90</f>
        <v>44282</v>
      </c>
      <c r="B11" s="11" t="s">
        <v>9</v>
      </c>
      <c r="C11" s="12">
        <v>0</v>
      </c>
      <c r="D11" s="294">
        <f>H10*$F$53*F$52/360</f>
        <v>301166024.48721254</v>
      </c>
      <c r="E11" s="294"/>
      <c r="F11" s="294">
        <v>67776268.292829335</v>
      </c>
      <c r="G11" s="12">
        <f t="shared" ref="G11:G46" si="1">E11+C11+F11</f>
        <v>67776268.292829335</v>
      </c>
      <c r="H11" s="13">
        <f t="shared" si="0"/>
        <v>14470687434</v>
      </c>
    </row>
    <row r="12" spans="1:10" x14ac:dyDescent="0.25">
      <c r="A12" s="135">
        <f>A11+92</f>
        <v>44374</v>
      </c>
      <c r="B12" s="11" t="s">
        <v>9</v>
      </c>
      <c r="C12" s="12">
        <v>0</v>
      </c>
      <c r="D12" s="294">
        <f t="shared" ref="D12:D14" si="2">H11*$F$53*F$52/360</f>
        <v>301166024.48721254</v>
      </c>
      <c r="E12" s="294"/>
      <c r="F12" s="294">
        <v>67776268.292829335</v>
      </c>
      <c r="G12" s="12">
        <f t="shared" si="1"/>
        <v>67776268.292829335</v>
      </c>
      <c r="H12" s="13">
        <f t="shared" si="0"/>
        <v>14470687434</v>
      </c>
    </row>
    <row r="13" spans="1:10" x14ac:dyDescent="0.25">
      <c r="A13" s="135">
        <f>A12+92</f>
        <v>44466</v>
      </c>
      <c r="B13" s="11" t="s">
        <v>9</v>
      </c>
      <c r="C13" s="12">
        <v>0</v>
      </c>
      <c r="D13" s="294">
        <f t="shared" si="2"/>
        <v>301166024.48721254</v>
      </c>
      <c r="E13" s="294"/>
      <c r="F13" s="294">
        <v>67776268.292829335</v>
      </c>
      <c r="G13" s="12">
        <f t="shared" si="1"/>
        <v>67776268.292829335</v>
      </c>
      <c r="H13" s="13">
        <f t="shared" si="0"/>
        <v>14470687434</v>
      </c>
    </row>
    <row r="14" spans="1:10" x14ac:dyDescent="0.25">
      <c r="A14" s="135">
        <f>A13+91</f>
        <v>44557</v>
      </c>
      <c r="B14" s="11" t="s">
        <v>9</v>
      </c>
      <c r="C14" s="12">
        <v>0</v>
      </c>
      <c r="D14" s="294">
        <f t="shared" si="2"/>
        <v>301166024.48721254</v>
      </c>
      <c r="E14" s="294"/>
      <c r="F14" s="294">
        <v>67776268.292829335</v>
      </c>
      <c r="G14" s="12">
        <f t="shared" si="1"/>
        <v>67776268.292829335</v>
      </c>
      <c r="H14" s="13">
        <f t="shared" si="0"/>
        <v>14470687434</v>
      </c>
    </row>
    <row r="15" spans="1:10" x14ac:dyDescent="0.25">
      <c r="A15" s="135">
        <f>A14+90</f>
        <v>44647</v>
      </c>
      <c r="B15" s="11" t="s">
        <v>10</v>
      </c>
      <c r="C15" s="12">
        <f>+$H$6/32</f>
        <v>452208982.3125</v>
      </c>
      <c r="D15" s="294">
        <f>H14*$G$53*G$52/360</f>
        <v>320791246.32666063</v>
      </c>
      <c r="E15" s="294"/>
      <c r="F15" s="294">
        <v>67776268.292829335</v>
      </c>
      <c r="G15" s="12">
        <f t="shared" si="1"/>
        <v>519985250.60532933</v>
      </c>
      <c r="H15" s="13">
        <f t="shared" si="0"/>
        <v>14018478451.6875</v>
      </c>
    </row>
    <row r="16" spans="1:10" x14ac:dyDescent="0.25">
      <c r="A16" s="135">
        <f>A15+92</f>
        <v>44739</v>
      </c>
      <c r="B16" s="11" t="s">
        <v>10</v>
      </c>
      <c r="C16" s="12">
        <f t="shared" ref="C16:C46" si="3">+$H$6/32</f>
        <v>452208982.3125</v>
      </c>
      <c r="D16" s="294">
        <f t="shared" ref="D16:D18" si="4">H15*$G$53*G$52/360</f>
        <v>310766519.8789525</v>
      </c>
      <c r="E16" s="294"/>
      <c r="F16" s="294">
        <v>67776268.292829335</v>
      </c>
      <c r="G16" s="12">
        <f t="shared" si="1"/>
        <v>519985250.60532933</v>
      </c>
      <c r="H16" s="13">
        <f t="shared" si="0"/>
        <v>13566269469.375</v>
      </c>
    </row>
    <row r="17" spans="1:8" x14ac:dyDescent="0.25">
      <c r="A17" s="135">
        <f>A16+92</f>
        <v>44831</v>
      </c>
      <c r="B17" s="11" t="s">
        <v>10</v>
      </c>
      <c r="C17" s="12">
        <f t="shared" si="3"/>
        <v>452208982.3125</v>
      </c>
      <c r="D17" s="294">
        <f t="shared" si="4"/>
        <v>300741793.43124437</v>
      </c>
      <c r="E17" s="294"/>
      <c r="F17" s="294">
        <v>67776268.292829335</v>
      </c>
      <c r="G17" s="12">
        <f t="shared" si="1"/>
        <v>519985250.60532933</v>
      </c>
      <c r="H17" s="13">
        <f t="shared" si="0"/>
        <v>13114060487.0625</v>
      </c>
    </row>
    <row r="18" spans="1:8" x14ac:dyDescent="0.25">
      <c r="A18" s="135">
        <f>A17+91</f>
        <v>44922</v>
      </c>
      <c r="B18" s="11" t="s">
        <v>10</v>
      </c>
      <c r="C18" s="12">
        <f t="shared" si="3"/>
        <v>452208982.3125</v>
      </c>
      <c r="D18" s="294">
        <f t="shared" si="4"/>
        <v>290717066.98353618</v>
      </c>
      <c r="E18" s="294"/>
      <c r="F18" s="294"/>
      <c r="G18" s="12">
        <f t="shared" si="1"/>
        <v>452208982.3125</v>
      </c>
      <c r="H18" s="13">
        <f t="shared" si="0"/>
        <v>12661851504.75</v>
      </c>
    </row>
    <row r="19" spans="1:8" x14ac:dyDescent="0.25">
      <c r="A19" s="135">
        <f>A18+90</f>
        <v>45012</v>
      </c>
      <c r="B19" s="11" t="s">
        <v>10</v>
      </c>
      <c r="C19" s="12">
        <f t="shared" si="3"/>
        <v>452208982.3125</v>
      </c>
      <c r="D19" s="294">
        <f>H18*$H$53*H$52/360</f>
        <v>297949445.72828323</v>
      </c>
      <c r="E19" s="294"/>
      <c r="F19" s="294"/>
      <c r="G19" s="12">
        <f t="shared" si="1"/>
        <v>452208982.3125</v>
      </c>
      <c r="H19" s="13">
        <f t="shared" si="0"/>
        <v>12209642522.4375</v>
      </c>
    </row>
    <row r="20" spans="1:8" x14ac:dyDescent="0.25">
      <c r="A20" s="135">
        <f>A19+92</f>
        <v>45104</v>
      </c>
      <c r="B20" s="11" t="s">
        <v>10</v>
      </c>
      <c r="C20" s="12">
        <f t="shared" si="3"/>
        <v>452208982.3125</v>
      </c>
      <c r="D20" s="294">
        <f t="shared" ref="D20:D46" si="5">H19*$H$53*H$52/360</f>
        <v>287308394.09513021</v>
      </c>
      <c r="E20" s="294"/>
      <c r="F20" s="294"/>
      <c r="G20" s="12">
        <f t="shared" si="1"/>
        <v>452208982.3125</v>
      </c>
      <c r="H20" s="13">
        <f t="shared" si="0"/>
        <v>11757433540.125</v>
      </c>
    </row>
    <row r="21" spans="1:8" x14ac:dyDescent="0.25">
      <c r="A21" s="135">
        <f>A20+92</f>
        <v>45196</v>
      </c>
      <c r="B21" s="11" t="s">
        <v>10</v>
      </c>
      <c r="C21" s="12">
        <f t="shared" si="3"/>
        <v>452208982.3125</v>
      </c>
      <c r="D21" s="294">
        <f t="shared" si="5"/>
        <v>276667342.46197724</v>
      </c>
      <c r="E21" s="294"/>
      <c r="F21" s="294"/>
      <c r="G21" s="12">
        <f t="shared" si="1"/>
        <v>452208982.3125</v>
      </c>
      <c r="H21" s="13">
        <f t="shared" si="0"/>
        <v>11305224557.8125</v>
      </c>
    </row>
    <row r="22" spans="1:8" x14ac:dyDescent="0.25">
      <c r="A22" s="135">
        <f>A21+91</f>
        <v>45287</v>
      </c>
      <c r="B22" s="11" t="s">
        <v>10</v>
      </c>
      <c r="C22" s="12">
        <f t="shared" si="3"/>
        <v>452208982.3125</v>
      </c>
      <c r="D22" s="294">
        <f t="shared" si="5"/>
        <v>266026290.82882428</v>
      </c>
      <c r="E22" s="294"/>
      <c r="F22" s="294"/>
      <c r="G22" s="12">
        <f t="shared" si="1"/>
        <v>452208982.3125</v>
      </c>
      <c r="H22" s="13">
        <f t="shared" si="0"/>
        <v>10853015575.5</v>
      </c>
    </row>
    <row r="23" spans="1:8" x14ac:dyDescent="0.25">
      <c r="A23" s="135">
        <f>A22+91</f>
        <v>45378</v>
      </c>
      <c r="B23" s="11" t="s">
        <v>10</v>
      </c>
      <c r="C23" s="12">
        <f t="shared" si="3"/>
        <v>452208982.3125</v>
      </c>
      <c r="D23" s="294">
        <f t="shared" si="5"/>
        <v>255385239.19567135</v>
      </c>
      <c r="E23" s="294"/>
      <c r="F23" s="294"/>
      <c r="G23" s="12">
        <f t="shared" si="1"/>
        <v>452208982.3125</v>
      </c>
      <c r="H23" s="13">
        <f t="shared" si="0"/>
        <v>10400806593.1875</v>
      </c>
    </row>
    <row r="24" spans="1:8" x14ac:dyDescent="0.25">
      <c r="A24" s="135">
        <f>A23+92</f>
        <v>45470</v>
      </c>
      <c r="B24" s="11" t="s">
        <v>10</v>
      </c>
      <c r="C24" s="12">
        <f t="shared" si="3"/>
        <v>452208982.3125</v>
      </c>
      <c r="D24" s="294">
        <f t="shared" si="5"/>
        <v>244744187.56251836</v>
      </c>
      <c r="E24" s="294"/>
      <c r="F24" s="294"/>
      <c r="G24" s="12">
        <f t="shared" si="1"/>
        <v>452208982.3125</v>
      </c>
      <c r="H24" s="13">
        <f t="shared" si="0"/>
        <v>9948597610.875</v>
      </c>
    </row>
    <row r="25" spans="1:8" x14ac:dyDescent="0.25">
      <c r="A25" s="135">
        <f>A24+92</f>
        <v>45562</v>
      </c>
      <c r="B25" s="11" t="s">
        <v>10</v>
      </c>
      <c r="C25" s="12">
        <f t="shared" si="3"/>
        <v>452208982.3125</v>
      </c>
      <c r="D25" s="294">
        <f t="shared" si="5"/>
        <v>234103135.92936537</v>
      </c>
      <c r="E25" s="294"/>
      <c r="F25" s="294"/>
      <c r="G25" s="12">
        <f t="shared" si="1"/>
        <v>452208982.3125</v>
      </c>
      <c r="H25" s="13">
        <f t="shared" si="0"/>
        <v>9496388628.5625</v>
      </c>
    </row>
    <row r="26" spans="1:8" x14ac:dyDescent="0.25">
      <c r="A26" s="135">
        <f>A25+91</f>
        <v>45653</v>
      </c>
      <c r="B26" s="11" t="s">
        <v>10</v>
      </c>
      <c r="C26" s="12">
        <f t="shared" si="3"/>
        <v>452208982.3125</v>
      </c>
      <c r="D26" s="294">
        <f t="shared" si="5"/>
        <v>223462084.29621238</v>
      </c>
      <c r="E26" s="294"/>
      <c r="F26" s="294"/>
      <c r="G26" s="12">
        <f t="shared" si="1"/>
        <v>452208982.3125</v>
      </c>
      <c r="H26" s="13">
        <f t="shared" si="0"/>
        <v>9044179646.25</v>
      </c>
    </row>
    <row r="27" spans="1:8" x14ac:dyDescent="0.25">
      <c r="A27" s="135">
        <f>A26+90</f>
        <v>45743</v>
      </c>
      <c r="B27" s="11" t="s">
        <v>10</v>
      </c>
      <c r="C27" s="12">
        <f t="shared" si="3"/>
        <v>452208982.3125</v>
      </c>
      <c r="D27" s="294">
        <f t="shared" si="5"/>
        <v>212821032.66305944</v>
      </c>
      <c r="E27" s="294"/>
      <c r="F27" s="294"/>
      <c r="G27" s="12">
        <f t="shared" si="1"/>
        <v>452208982.3125</v>
      </c>
      <c r="H27" s="13">
        <f t="shared" si="0"/>
        <v>8591970663.9375</v>
      </c>
    </row>
    <row r="28" spans="1:8" x14ac:dyDescent="0.25">
      <c r="A28" s="135">
        <f>A27+92</f>
        <v>45835</v>
      </c>
      <c r="B28" s="11" t="s">
        <v>10</v>
      </c>
      <c r="C28" s="12">
        <f t="shared" si="3"/>
        <v>452208982.3125</v>
      </c>
      <c r="D28" s="294">
        <f t="shared" si="5"/>
        <v>202179981.02990645</v>
      </c>
      <c r="E28" s="294"/>
      <c r="F28" s="294"/>
      <c r="G28" s="12">
        <f t="shared" si="1"/>
        <v>452208982.3125</v>
      </c>
      <c r="H28" s="13">
        <f t="shared" si="0"/>
        <v>8139761681.625</v>
      </c>
    </row>
    <row r="29" spans="1:8" x14ac:dyDescent="0.25">
      <c r="A29" s="135">
        <f>A28+92</f>
        <v>45927</v>
      </c>
      <c r="B29" s="11" t="s">
        <v>10</v>
      </c>
      <c r="C29" s="12">
        <f t="shared" si="3"/>
        <v>452208982.3125</v>
      </c>
      <c r="D29" s="294">
        <f t="shared" si="5"/>
        <v>191538929.39675349</v>
      </c>
      <c r="E29" s="294"/>
      <c r="F29" s="294"/>
      <c r="G29" s="12">
        <f t="shared" si="1"/>
        <v>452208982.3125</v>
      </c>
      <c r="H29" s="13">
        <f t="shared" si="0"/>
        <v>7687552699.3125</v>
      </c>
    </row>
    <row r="30" spans="1:8" x14ac:dyDescent="0.25">
      <c r="A30" s="135">
        <f>A29+91</f>
        <v>46018</v>
      </c>
      <c r="B30" s="11" t="s">
        <v>10</v>
      </c>
      <c r="C30" s="12">
        <f t="shared" si="3"/>
        <v>452208982.3125</v>
      </c>
      <c r="D30" s="294">
        <f t="shared" si="5"/>
        <v>180897877.76360053</v>
      </c>
      <c r="E30" s="294"/>
      <c r="F30" s="294"/>
      <c r="G30" s="12">
        <f t="shared" si="1"/>
        <v>452208982.3125</v>
      </c>
      <c r="H30" s="13">
        <f t="shared" si="0"/>
        <v>7235343717</v>
      </c>
    </row>
    <row r="31" spans="1:8" x14ac:dyDescent="0.25">
      <c r="A31" s="135">
        <f>A30+90</f>
        <v>46108</v>
      </c>
      <c r="B31" s="11" t="s">
        <v>10</v>
      </c>
      <c r="C31" s="12">
        <f t="shared" si="3"/>
        <v>452208982.3125</v>
      </c>
      <c r="D31" s="294">
        <f t="shared" si="5"/>
        <v>170256826.13044754</v>
      </c>
      <c r="E31" s="294"/>
      <c r="F31" s="294"/>
      <c r="G31" s="12">
        <f t="shared" si="1"/>
        <v>452208982.3125</v>
      </c>
      <c r="H31" s="13">
        <f t="shared" si="0"/>
        <v>6783134734.6875</v>
      </c>
    </row>
    <row r="32" spans="1:8" x14ac:dyDescent="0.25">
      <c r="A32" s="135">
        <f>A31+92</f>
        <v>46200</v>
      </c>
      <c r="B32" s="11" t="s">
        <v>10</v>
      </c>
      <c r="C32" s="12">
        <f t="shared" si="3"/>
        <v>452208982.3125</v>
      </c>
      <c r="D32" s="294">
        <f t="shared" si="5"/>
        <v>159615774.49729457</v>
      </c>
      <c r="E32" s="294"/>
      <c r="F32" s="294"/>
      <c r="G32" s="12">
        <f t="shared" si="1"/>
        <v>452208982.3125</v>
      </c>
      <c r="H32" s="13">
        <f t="shared" si="0"/>
        <v>6330925752.375</v>
      </c>
    </row>
    <row r="33" spans="1:8" x14ac:dyDescent="0.25">
      <c r="A33" s="135">
        <f>A32+92</f>
        <v>46292</v>
      </c>
      <c r="B33" s="11" t="s">
        <v>10</v>
      </c>
      <c r="C33" s="12">
        <f t="shared" si="3"/>
        <v>452208982.3125</v>
      </c>
      <c r="D33" s="294">
        <f t="shared" si="5"/>
        <v>148974722.86414161</v>
      </c>
      <c r="E33" s="294"/>
      <c r="F33" s="294"/>
      <c r="G33" s="12">
        <f t="shared" si="1"/>
        <v>452208982.3125</v>
      </c>
      <c r="H33" s="13">
        <f t="shared" si="0"/>
        <v>5878716770.0625</v>
      </c>
    </row>
    <row r="34" spans="1:8" x14ac:dyDescent="0.25">
      <c r="A34" s="135">
        <f>A33+91</f>
        <v>46383</v>
      </c>
      <c r="B34" s="11" t="s">
        <v>10</v>
      </c>
      <c r="C34" s="12">
        <f t="shared" si="3"/>
        <v>452208982.3125</v>
      </c>
      <c r="D34" s="294">
        <f t="shared" si="5"/>
        <v>138333671.23098862</v>
      </c>
      <c r="E34" s="294"/>
      <c r="F34" s="294"/>
      <c r="G34" s="12">
        <f t="shared" si="1"/>
        <v>452208982.3125</v>
      </c>
      <c r="H34" s="13">
        <f t="shared" si="0"/>
        <v>5426507787.75</v>
      </c>
    </row>
    <row r="35" spans="1:8" x14ac:dyDescent="0.25">
      <c r="A35" s="135">
        <f>A34+90</f>
        <v>46473</v>
      </c>
      <c r="B35" s="11" t="s">
        <v>10</v>
      </c>
      <c r="C35" s="12">
        <f t="shared" si="3"/>
        <v>452208982.3125</v>
      </c>
      <c r="D35" s="294">
        <f t="shared" si="5"/>
        <v>127692619.59783567</v>
      </c>
      <c r="E35" s="294"/>
      <c r="F35" s="294"/>
      <c r="G35" s="12">
        <f t="shared" si="1"/>
        <v>452208982.3125</v>
      </c>
      <c r="H35" s="13">
        <f t="shared" si="0"/>
        <v>4974298805.4375</v>
      </c>
    </row>
    <row r="36" spans="1:8" x14ac:dyDescent="0.25">
      <c r="A36" s="135">
        <f>A35+92</f>
        <v>46565</v>
      </c>
      <c r="B36" s="11" t="s">
        <v>10</v>
      </c>
      <c r="C36" s="12">
        <f t="shared" si="3"/>
        <v>452208982.3125</v>
      </c>
      <c r="D36" s="294">
        <f t="shared" si="5"/>
        <v>117051567.96468268</v>
      </c>
      <c r="E36" s="294"/>
      <c r="F36" s="294"/>
      <c r="G36" s="12">
        <f t="shared" si="1"/>
        <v>452208982.3125</v>
      </c>
      <c r="H36" s="13">
        <f t="shared" si="0"/>
        <v>4522089823.125</v>
      </c>
    </row>
    <row r="37" spans="1:8" x14ac:dyDescent="0.25">
      <c r="A37" s="135">
        <f>A36+92</f>
        <v>46657</v>
      </c>
      <c r="B37" s="11" t="s">
        <v>10</v>
      </c>
      <c r="C37" s="12">
        <f t="shared" si="3"/>
        <v>452208982.3125</v>
      </c>
      <c r="D37" s="294">
        <f t="shared" si="5"/>
        <v>106410516.33152972</v>
      </c>
      <c r="E37" s="294"/>
      <c r="F37" s="294"/>
      <c r="G37" s="12">
        <f t="shared" si="1"/>
        <v>452208982.3125</v>
      </c>
      <c r="H37" s="13">
        <f t="shared" si="0"/>
        <v>4069880840.8125</v>
      </c>
    </row>
    <row r="38" spans="1:8" x14ac:dyDescent="0.25">
      <c r="A38" s="135">
        <f>A37+91</f>
        <v>46748</v>
      </c>
      <c r="B38" s="11" t="s">
        <v>10</v>
      </c>
      <c r="C38" s="12">
        <f t="shared" si="3"/>
        <v>452208982.3125</v>
      </c>
      <c r="D38" s="294">
        <f t="shared" si="5"/>
        <v>95769464.698376745</v>
      </c>
      <c r="E38" s="294"/>
      <c r="F38" s="294"/>
      <c r="G38" s="12">
        <f t="shared" si="1"/>
        <v>452208982.3125</v>
      </c>
      <c r="H38" s="13">
        <f t="shared" si="0"/>
        <v>3617671858.5</v>
      </c>
    </row>
    <row r="39" spans="1:8" x14ac:dyDescent="0.25">
      <c r="A39" s="135">
        <f>A38+91</f>
        <v>46839</v>
      </c>
      <c r="B39" s="11" t="s">
        <v>10</v>
      </c>
      <c r="C39" s="12">
        <f t="shared" si="3"/>
        <v>452208982.3125</v>
      </c>
      <c r="D39" s="294">
        <f t="shared" si="5"/>
        <v>85128413.065223768</v>
      </c>
      <c r="E39" s="294"/>
      <c r="F39" s="294"/>
      <c r="G39" s="12">
        <f t="shared" si="1"/>
        <v>452208982.3125</v>
      </c>
      <c r="H39" s="13">
        <f t="shared" si="0"/>
        <v>3165462876.1875</v>
      </c>
    </row>
    <row r="40" spans="1:8" x14ac:dyDescent="0.25">
      <c r="A40" s="135">
        <f>A39+92</f>
        <v>46931</v>
      </c>
      <c r="B40" s="11" t="s">
        <v>10</v>
      </c>
      <c r="C40" s="12">
        <f t="shared" si="3"/>
        <v>452208982.3125</v>
      </c>
      <c r="D40" s="294">
        <f t="shared" si="5"/>
        <v>74487361.432070807</v>
      </c>
      <c r="E40" s="294"/>
      <c r="F40" s="294"/>
      <c r="G40" s="12">
        <f t="shared" si="1"/>
        <v>452208982.3125</v>
      </c>
      <c r="H40" s="13">
        <f t="shared" si="0"/>
        <v>2713253893.875</v>
      </c>
    </row>
    <row r="41" spans="1:8" x14ac:dyDescent="0.25">
      <c r="A41" s="135">
        <f>A40+92</f>
        <v>47023</v>
      </c>
      <c r="B41" s="11" t="s">
        <v>10</v>
      </c>
      <c r="C41" s="12">
        <f t="shared" si="3"/>
        <v>452208982.3125</v>
      </c>
      <c r="D41" s="294">
        <f t="shared" si="5"/>
        <v>63846309.798917837</v>
      </c>
      <c r="E41" s="294"/>
      <c r="F41" s="294"/>
      <c r="G41" s="12">
        <f t="shared" si="1"/>
        <v>452208982.3125</v>
      </c>
      <c r="H41" s="13">
        <f t="shared" si="0"/>
        <v>2261044911.5625</v>
      </c>
    </row>
    <row r="42" spans="1:8" x14ac:dyDescent="0.25">
      <c r="A42" s="135">
        <f>A41+91</f>
        <v>47114</v>
      </c>
      <c r="B42" s="11" t="s">
        <v>10</v>
      </c>
      <c r="C42" s="12">
        <f t="shared" si="3"/>
        <v>452208982.3125</v>
      </c>
      <c r="D42" s="294">
        <f t="shared" si="5"/>
        <v>53205258.165764861</v>
      </c>
      <c r="E42" s="294"/>
      <c r="F42" s="294"/>
      <c r="G42" s="12">
        <f t="shared" si="1"/>
        <v>452208982.3125</v>
      </c>
      <c r="H42" s="13">
        <f t="shared" si="0"/>
        <v>1808835929.25</v>
      </c>
    </row>
    <row r="43" spans="1:8" x14ac:dyDescent="0.25">
      <c r="A43" s="135">
        <f>A42+90</f>
        <v>47204</v>
      </c>
      <c r="B43" s="11" t="s">
        <v>10</v>
      </c>
      <c r="C43" s="12">
        <f t="shared" si="3"/>
        <v>452208982.3125</v>
      </c>
      <c r="D43" s="294">
        <f t="shared" si="5"/>
        <v>42564206.532611884</v>
      </c>
      <c r="E43" s="294"/>
      <c r="F43" s="294"/>
      <c r="G43" s="12">
        <f t="shared" si="1"/>
        <v>452208982.3125</v>
      </c>
      <c r="H43" s="13">
        <f t="shared" si="0"/>
        <v>1356626946.9375</v>
      </c>
    </row>
    <row r="44" spans="1:8" x14ac:dyDescent="0.25">
      <c r="A44" s="135">
        <f>A43+92</f>
        <v>47296</v>
      </c>
      <c r="B44" s="11" t="s">
        <v>10</v>
      </c>
      <c r="C44" s="12">
        <f t="shared" si="3"/>
        <v>452208982.3125</v>
      </c>
      <c r="D44" s="294">
        <f t="shared" si="5"/>
        <v>31923154.899458919</v>
      </c>
      <c r="E44" s="294"/>
      <c r="F44" s="294"/>
      <c r="G44" s="12">
        <f t="shared" si="1"/>
        <v>452208982.3125</v>
      </c>
      <c r="H44" s="13">
        <f t="shared" si="0"/>
        <v>904417964.625</v>
      </c>
    </row>
    <row r="45" spans="1:8" x14ac:dyDescent="0.25">
      <c r="A45" s="135">
        <f>A44+92</f>
        <v>47388</v>
      </c>
      <c r="B45" s="11" t="s">
        <v>10</v>
      </c>
      <c r="C45" s="12">
        <f t="shared" si="3"/>
        <v>452208982.3125</v>
      </c>
      <c r="D45" s="294">
        <f t="shared" si="5"/>
        <v>21282103.266305942</v>
      </c>
      <c r="E45" s="294"/>
      <c r="F45" s="294"/>
      <c r="G45" s="12">
        <f t="shared" si="1"/>
        <v>452208982.3125</v>
      </c>
      <c r="H45" s="13">
        <f t="shared" si="0"/>
        <v>452208982.3125</v>
      </c>
    </row>
    <row r="46" spans="1:8" x14ac:dyDescent="0.25">
      <c r="A46" s="135">
        <f>A45+91</f>
        <v>47479</v>
      </c>
      <c r="B46" s="11" t="s">
        <v>10</v>
      </c>
      <c r="C46" s="12">
        <f t="shared" si="3"/>
        <v>452208982.3125</v>
      </c>
      <c r="D46" s="294">
        <f t="shared" si="5"/>
        <v>10641051.633152971</v>
      </c>
      <c r="E46" s="294"/>
      <c r="F46" s="294"/>
      <c r="G46" s="12">
        <f t="shared" si="1"/>
        <v>452208982.3125</v>
      </c>
      <c r="H46" s="13">
        <f t="shared" si="0"/>
        <v>0</v>
      </c>
    </row>
    <row r="47" spans="1:8" x14ac:dyDescent="0.25">
      <c r="A47" s="15"/>
      <c r="B47" s="16" t="s">
        <v>11</v>
      </c>
      <c r="C47" s="17">
        <f>SUM(C6:C46)</f>
        <v>14470687434</v>
      </c>
      <c r="D47" s="17">
        <f>SUM(D6:D46)</f>
        <v>7746714534.3240271</v>
      </c>
      <c r="E47" s="17">
        <f>+E7+SUM(E10:E46)</f>
        <v>503399039.11027509</v>
      </c>
      <c r="F47" s="17">
        <f>+SUM(F10:F17)</f>
        <v>542210146.34263468</v>
      </c>
      <c r="G47" s="17">
        <f>SUM(G7:G46)</f>
        <v>15516296619.452909</v>
      </c>
      <c r="H47" s="18"/>
    </row>
    <row r="48" spans="1:8" x14ac:dyDescent="0.25">
      <c r="A48" s="19" t="s">
        <v>42</v>
      </c>
      <c r="B48" s="20"/>
      <c r="C48" s="20"/>
      <c r="D48" s="20"/>
      <c r="E48" s="20"/>
      <c r="F48" s="20"/>
      <c r="G48" s="20"/>
      <c r="H48" s="20"/>
    </row>
    <row r="49" spans="1:8" x14ac:dyDescent="0.25">
      <c r="A49" s="39"/>
      <c r="B49" s="315" t="s">
        <v>3037</v>
      </c>
      <c r="C49" s="315" t="s">
        <v>3038</v>
      </c>
      <c r="D49" s="315" t="s">
        <v>3039</v>
      </c>
      <c r="E49" s="315" t="s">
        <v>3040</v>
      </c>
      <c r="F49" s="315" t="s">
        <v>3148</v>
      </c>
      <c r="G49" s="315" t="s">
        <v>3149</v>
      </c>
      <c r="H49" s="315" t="s">
        <v>3150</v>
      </c>
    </row>
    <row r="50" spans="1:8" ht="25.5" x14ac:dyDescent="0.25">
      <c r="A50" s="39" t="s">
        <v>2829</v>
      </c>
      <c r="B50" s="88">
        <v>4.1349999999999998E-2</v>
      </c>
      <c r="C50" s="88">
        <v>3.4250000000000003E-2</v>
      </c>
      <c r="D50" s="33">
        <v>2.2679999999999999E-2</v>
      </c>
      <c r="E50" s="33">
        <v>1.78E-2</v>
      </c>
      <c r="F50" s="33">
        <v>0.04</v>
      </c>
      <c r="G50" s="33">
        <v>4.4999999999999998E-2</v>
      </c>
      <c r="H50" s="33">
        <v>0.05</v>
      </c>
    </row>
    <row r="51" spans="1:8" x14ac:dyDescent="0.25">
      <c r="A51" s="39" t="s">
        <v>370</v>
      </c>
      <c r="B51" s="88">
        <v>0.04</v>
      </c>
      <c r="C51" s="88">
        <v>0.04</v>
      </c>
      <c r="D51" s="88">
        <v>0.04</v>
      </c>
      <c r="E51" s="88">
        <v>0.04</v>
      </c>
      <c r="F51" s="88">
        <v>0.04</v>
      </c>
      <c r="G51" s="88">
        <v>0.04</v>
      </c>
      <c r="H51" s="88">
        <v>0.04</v>
      </c>
    </row>
    <row r="52" spans="1:8" x14ac:dyDescent="0.25">
      <c r="A52" s="39" t="s">
        <v>377</v>
      </c>
      <c r="B52" s="67">
        <v>90</v>
      </c>
      <c r="C52" s="67">
        <v>90</v>
      </c>
      <c r="D52" s="67">
        <v>90</v>
      </c>
      <c r="E52" s="67">
        <v>90</v>
      </c>
      <c r="F52" s="67">
        <v>90</v>
      </c>
      <c r="G52" s="67">
        <v>90</v>
      </c>
      <c r="H52" s="67">
        <v>90</v>
      </c>
    </row>
    <row r="53" spans="1:8" x14ac:dyDescent="0.25">
      <c r="A53" s="39" t="s">
        <v>2973</v>
      </c>
      <c r="B53" s="73">
        <f>B50+B51</f>
        <v>8.1350000000000006E-2</v>
      </c>
      <c r="C53" s="73">
        <f>C50+C51</f>
        <v>7.425000000000001E-2</v>
      </c>
      <c r="D53" s="89">
        <f>D50+D51</f>
        <v>6.268E-2</v>
      </c>
      <c r="E53" s="73">
        <f>E50+E51</f>
        <v>5.7800000000000004E-2</v>
      </c>
      <c r="F53" s="73">
        <f t="shared" ref="F53:H53" si="6">(1+(F50+F51)/90)^90-1</f>
        <v>8.3248574294984667E-2</v>
      </c>
      <c r="G53" s="73">
        <f t="shared" si="6"/>
        <v>8.8673395176219971E-2</v>
      </c>
      <c r="H53" s="73">
        <f t="shared" si="6"/>
        <v>9.4125079769419084E-2</v>
      </c>
    </row>
    <row r="54" spans="1:8" x14ac:dyDescent="0.25">
      <c r="A54" s="43" t="s">
        <v>39</v>
      </c>
      <c r="B54" s="44">
        <f>+E7</f>
        <v>294297605.68897504</v>
      </c>
      <c r="C54" s="44">
        <f>+E8</f>
        <v>268612135.49362504</v>
      </c>
      <c r="D54" s="44">
        <f>+E9</f>
        <v>226755672.09077999</v>
      </c>
      <c r="E54" s="44">
        <f>+E10</f>
        <v>209101433.42130005</v>
      </c>
      <c r="F54" s="44"/>
      <c r="G54" s="44"/>
      <c r="H54" s="44"/>
    </row>
    <row r="55" spans="1:8" x14ac:dyDescent="0.25">
      <c r="F55" s="82"/>
    </row>
    <row r="56" spans="1:8" x14ac:dyDescent="0.25">
      <c r="F56" s="82"/>
    </row>
    <row r="60" spans="1:8" x14ac:dyDescent="0.25">
      <c r="B60" s="50"/>
      <c r="C60" s="50"/>
    </row>
  </sheetData>
  <mergeCells count="4">
    <mergeCell ref="A1:H1"/>
    <mergeCell ref="A2:H2"/>
    <mergeCell ref="A3:H3"/>
    <mergeCell ref="A4:H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B050"/>
  </sheetPr>
  <dimension ref="A1:J60"/>
  <sheetViews>
    <sheetView zoomScale="90" zoomScaleNormal="90" workbookViewId="0">
      <selection activeCell="C47" sqref="C47:F47"/>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9" customWidth="1"/>
    <col min="6" max="6" width="15.140625" customWidth="1"/>
    <col min="7" max="7" width="16.85546875" customWidth="1"/>
    <col min="8" max="8" width="17.7109375" customWidth="1"/>
    <col min="9" max="9" width="14.140625" bestFit="1" customWidth="1"/>
    <col min="10" max="10" width="13.5703125" bestFit="1" customWidth="1"/>
    <col min="11" max="11" width="12.7109375" bestFit="1" customWidth="1"/>
    <col min="253" max="253" width="15" customWidth="1"/>
    <col min="254" max="254" width="19" customWidth="1"/>
    <col min="255" max="255" width="18.5703125" customWidth="1"/>
    <col min="256" max="256" width="16.42578125" customWidth="1"/>
    <col min="257" max="257" width="16.85546875" customWidth="1"/>
    <col min="258" max="258" width="17.7109375" customWidth="1"/>
    <col min="259" max="263" width="13.5703125" bestFit="1" customWidth="1"/>
    <col min="264" max="266" width="12.7109375" bestFit="1" customWidth="1"/>
    <col min="267" max="267" width="13.7109375" bestFit="1" customWidth="1"/>
    <col min="509" max="509" width="15" customWidth="1"/>
    <col min="510" max="510" width="19" customWidth="1"/>
    <col min="511" max="511" width="18.5703125" customWidth="1"/>
    <col min="512" max="512" width="16.42578125" customWidth="1"/>
    <col min="513" max="513" width="16.85546875" customWidth="1"/>
    <col min="514" max="514" width="17.7109375" customWidth="1"/>
    <col min="515" max="519" width="13.5703125" bestFit="1" customWidth="1"/>
    <col min="520" max="522" width="12.7109375" bestFit="1" customWidth="1"/>
    <col min="523" max="523" width="13.7109375" bestFit="1" customWidth="1"/>
    <col min="765" max="765" width="15" customWidth="1"/>
    <col min="766" max="766" width="19" customWidth="1"/>
    <col min="767" max="767" width="18.5703125" customWidth="1"/>
    <col min="768" max="768" width="16.42578125" customWidth="1"/>
    <col min="769" max="769" width="16.85546875" customWidth="1"/>
    <col min="770" max="770" width="17.7109375" customWidth="1"/>
    <col min="771" max="775" width="13.5703125" bestFit="1" customWidth="1"/>
    <col min="776" max="778" width="12.7109375" bestFit="1" customWidth="1"/>
    <col min="779" max="779" width="13.7109375" bestFit="1" customWidth="1"/>
    <col min="1021" max="1021" width="15" customWidth="1"/>
    <col min="1022" max="1022" width="19" customWidth="1"/>
    <col min="1023" max="1023" width="18.5703125" customWidth="1"/>
    <col min="1024" max="1024" width="16.42578125" customWidth="1"/>
    <col min="1025" max="1025" width="16.85546875" customWidth="1"/>
    <col min="1026" max="1026" width="17.7109375" customWidth="1"/>
    <col min="1027" max="1031" width="13.5703125" bestFit="1" customWidth="1"/>
    <col min="1032" max="1034" width="12.7109375" bestFit="1" customWidth="1"/>
    <col min="1035" max="1035" width="13.7109375" bestFit="1" customWidth="1"/>
    <col min="1277" max="1277" width="15" customWidth="1"/>
    <col min="1278" max="1278" width="19" customWidth="1"/>
    <col min="1279" max="1279" width="18.5703125" customWidth="1"/>
    <col min="1280" max="1280" width="16.42578125" customWidth="1"/>
    <col min="1281" max="1281" width="16.85546875" customWidth="1"/>
    <col min="1282" max="1282" width="17.7109375" customWidth="1"/>
    <col min="1283" max="1287" width="13.5703125" bestFit="1" customWidth="1"/>
    <col min="1288" max="1290" width="12.7109375" bestFit="1" customWidth="1"/>
    <col min="1291" max="1291" width="13.7109375" bestFit="1" customWidth="1"/>
    <col min="1533" max="1533" width="15" customWidth="1"/>
    <col min="1534" max="1534" width="19" customWidth="1"/>
    <col min="1535" max="1535" width="18.5703125" customWidth="1"/>
    <col min="1536" max="1536" width="16.42578125" customWidth="1"/>
    <col min="1537" max="1537" width="16.85546875" customWidth="1"/>
    <col min="1538" max="1538" width="17.7109375" customWidth="1"/>
    <col min="1539" max="1543" width="13.5703125" bestFit="1" customWidth="1"/>
    <col min="1544" max="1546" width="12.7109375" bestFit="1" customWidth="1"/>
    <col min="1547" max="1547" width="13.7109375" bestFit="1" customWidth="1"/>
    <col min="1789" max="1789" width="15" customWidth="1"/>
    <col min="1790" max="1790" width="19" customWidth="1"/>
    <col min="1791" max="1791" width="18.5703125" customWidth="1"/>
    <col min="1792" max="1792" width="16.42578125" customWidth="1"/>
    <col min="1793" max="1793" width="16.85546875" customWidth="1"/>
    <col min="1794" max="1794" width="17.7109375" customWidth="1"/>
    <col min="1795" max="1799" width="13.5703125" bestFit="1" customWidth="1"/>
    <col min="1800" max="1802" width="12.7109375" bestFit="1" customWidth="1"/>
    <col min="1803" max="1803" width="13.7109375" bestFit="1" customWidth="1"/>
    <col min="2045" max="2045" width="15" customWidth="1"/>
    <col min="2046" max="2046" width="19" customWidth="1"/>
    <col min="2047" max="2047" width="18.5703125" customWidth="1"/>
    <col min="2048" max="2048" width="16.42578125" customWidth="1"/>
    <col min="2049" max="2049" width="16.85546875" customWidth="1"/>
    <col min="2050" max="2050" width="17.7109375" customWidth="1"/>
    <col min="2051" max="2055" width="13.5703125" bestFit="1" customWidth="1"/>
    <col min="2056" max="2058" width="12.7109375" bestFit="1" customWidth="1"/>
    <col min="2059" max="2059" width="13.7109375" bestFit="1" customWidth="1"/>
    <col min="2301" max="2301" width="15" customWidth="1"/>
    <col min="2302" max="2302" width="19" customWidth="1"/>
    <col min="2303" max="2303" width="18.5703125" customWidth="1"/>
    <col min="2304" max="2304" width="16.42578125" customWidth="1"/>
    <col min="2305" max="2305" width="16.85546875" customWidth="1"/>
    <col min="2306" max="2306" width="17.7109375" customWidth="1"/>
    <col min="2307" max="2311" width="13.5703125" bestFit="1" customWidth="1"/>
    <col min="2312" max="2314" width="12.7109375" bestFit="1" customWidth="1"/>
    <col min="2315" max="2315" width="13.7109375" bestFit="1" customWidth="1"/>
    <col min="2557" max="2557" width="15" customWidth="1"/>
    <col min="2558" max="2558" width="19" customWidth="1"/>
    <col min="2559" max="2559" width="18.5703125" customWidth="1"/>
    <col min="2560" max="2560" width="16.42578125" customWidth="1"/>
    <col min="2561" max="2561" width="16.85546875" customWidth="1"/>
    <col min="2562" max="2562" width="17.7109375" customWidth="1"/>
    <col min="2563" max="2567" width="13.5703125" bestFit="1" customWidth="1"/>
    <col min="2568" max="2570" width="12.7109375" bestFit="1" customWidth="1"/>
    <col min="2571" max="2571" width="13.7109375" bestFit="1" customWidth="1"/>
    <col min="2813" max="2813" width="15" customWidth="1"/>
    <col min="2814" max="2814" width="19" customWidth="1"/>
    <col min="2815" max="2815" width="18.5703125" customWidth="1"/>
    <col min="2816" max="2816" width="16.42578125" customWidth="1"/>
    <col min="2817" max="2817" width="16.85546875" customWidth="1"/>
    <col min="2818" max="2818" width="17.7109375" customWidth="1"/>
    <col min="2819" max="2823" width="13.5703125" bestFit="1" customWidth="1"/>
    <col min="2824" max="2826" width="12.7109375" bestFit="1" customWidth="1"/>
    <col min="2827" max="2827" width="13.7109375" bestFit="1" customWidth="1"/>
    <col min="3069" max="3069" width="15" customWidth="1"/>
    <col min="3070" max="3070" width="19" customWidth="1"/>
    <col min="3071" max="3071" width="18.5703125" customWidth="1"/>
    <col min="3072" max="3072" width="16.42578125" customWidth="1"/>
    <col min="3073" max="3073" width="16.85546875" customWidth="1"/>
    <col min="3074" max="3074" width="17.7109375" customWidth="1"/>
    <col min="3075" max="3079" width="13.5703125" bestFit="1" customWidth="1"/>
    <col min="3080" max="3082" width="12.7109375" bestFit="1" customWidth="1"/>
    <col min="3083" max="3083" width="13.7109375" bestFit="1" customWidth="1"/>
    <col min="3325" max="3325" width="15" customWidth="1"/>
    <col min="3326" max="3326" width="19" customWidth="1"/>
    <col min="3327" max="3327" width="18.5703125" customWidth="1"/>
    <col min="3328" max="3328" width="16.42578125" customWidth="1"/>
    <col min="3329" max="3329" width="16.85546875" customWidth="1"/>
    <col min="3330" max="3330" width="17.7109375" customWidth="1"/>
    <col min="3331" max="3335" width="13.5703125" bestFit="1" customWidth="1"/>
    <col min="3336" max="3338" width="12.7109375" bestFit="1" customWidth="1"/>
    <col min="3339" max="3339" width="13.7109375" bestFit="1" customWidth="1"/>
    <col min="3581" max="3581" width="15" customWidth="1"/>
    <col min="3582" max="3582" width="19" customWidth="1"/>
    <col min="3583" max="3583" width="18.5703125" customWidth="1"/>
    <col min="3584" max="3584" width="16.42578125" customWidth="1"/>
    <col min="3585" max="3585" width="16.85546875" customWidth="1"/>
    <col min="3586" max="3586" width="17.7109375" customWidth="1"/>
    <col min="3587" max="3591" width="13.5703125" bestFit="1" customWidth="1"/>
    <col min="3592" max="3594" width="12.7109375" bestFit="1" customWidth="1"/>
    <col min="3595" max="3595" width="13.7109375" bestFit="1" customWidth="1"/>
    <col min="3837" max="3837" width="15" customWidth="1"/>
    <col min="3838" max="3838" width="19" customWidth="1"/>
    <col min="3839" max="3839" width="18.5703125" customWidth="1"/>
    <col min="3840" max="3840" width="16.42578125" customWidth="1"/>
    <col min="3841" max="3841" width="16.85546875" customWidth="1"/>
    <col min="3842" max="3842" width="17.7109375" customWidth="1"/>
    <col min="3843" max="3847" width="13.5703125" bestFit="1" customWidth="1"/>
    <col min="3848" max="3850" width="12.7109375" bestFit="1" customWidth="1"/>
    <col min="3851" max="3851" width="13.7109375" bestFit="1" customWidth="1"/>
    <col min="4093" max="4093" width="15" customWidth="1"/>
    <col min="4094" max="4094" width="19" customWidth="1"/>
    <col min="4095" max="4095" width="18.5703125" customWidth="1"/>
    <col min="4096" max="4096" width="16.42578125" customWidth="1"/>
    <col min="4097" max="4097" width="16.85546875" customWidth="1"/>
    <col min="4098" max="4098" width="17.7109375" customWidth="1"/>
    <col min="4099" max="4103" width="13.5703125" bestFit="1" customWidth="1"/>
    <col min="4104" max="4106" width="12.7109375" bestFit="1" customWidth="1"/>
    <col min="4107" max="4107" width="13.7109375" bestFit="1" customWidth="1"/>
    <col min="4349" max="4349" width="15" customWidth="1"/>
    <col min="4350" max="4350" width="19" customWidth="1"/>
    <col min="4351" max="4351" width="18.5703125" customWidth="1"/>
    <col min="4352" max="4352" width="16.42578125" customWidth="1"/>
    <col min="4353" max="4353" width="16.85546875" customWidth="1"/>
    <col min="4354" max="4354" width="17.7109375" customWidth="1"/>
    <col min="4355" max="4359" width="13.5703125" bestFit="1" customWidth="1"/>
    <col min="4360" max="4362" width="12.7109375" bestFit="1" customWidth="1"/>
    <col min="4363" max="4363" width="13.7109375" bestFit="1" customWidth="1"/>
    <col min="4605" max="4605" width="15" customWidth="1"/>
    <col min="4606" max="4606" width="19" customWidth="1"/>
    <col min="4607" max="4607" width="18.5703125" customWidth="1"/>
    <col min="4608" max="4608" width="16.42578125" customWidth="1"/>
    <col min="4609" max="4609" width="16.85546875" customWidth="1"/>
    <col min="4610" max="4610" width="17.7109375" customWidth="1"/>
    <col min="4611" max="4615" width="13.5703125" bestFit="1" customWidth="1"/>
    <col min="4616" max="4618" width="12.7109375" bestFit="1" customWidth="1"/>
    <col min="4619" max="4619" width="13.7109375" bestFit="1" customWidth="1"/>
    <col min="4861" max="4861" width="15" customWidth="1"/>
    <col min="4862" max="4862" width="19" customWidth="1"/>
    <col min="4863" max="4863" width="18.5703125" customWidth="1"/>
    <col min="4864" max="4864" width="16.42578125" customWidth="1"/>
    <col min="4865" max="4865" width="16.85546875" customWidth="1"/>
    <col min="4866" max="4866" width="17.7109375" customWidth="1"/>
    <col min="4867" max="4871" width="13.5703125" bestFit="1" customWidth="1"/>
    <col min="4872" max="4874" width="12.7109375" bestFit="1" customWidth="1"/>
    <col min="4875" max="4875" width="13.7109375" bestFit="1" customWidth="1"/>
    <col min="5117" max="5117" width="15" customWidth="1"/>
    <col min="5118" max="5118" width="19" customWidth="1"/>
    <col min="5119" max="5119" width="18.5703125" customWidth="1"/>
    <col min="5120" max="5120" width="16.42578125" customWidth="1"/>
    <col min="5121" max="5121" width="16.85546875" customWidth="1"/>
    <col min="5122" max="5122" width="17.7109375" customWidth="1"/>
    <col min="5123" max="5127" width="13.5703125" bestFit="1" customWidth="1"/>
    <col min="5128" max="5130" width="12.7109375" bestFit="1" customWidth="1"/>
    <col min="5131" max="5131" width="13.7109375" bestFit="1" customWidth="1"/>
    <col min="5373" max="5373" width="15" customWidth="1"/>
    <col min="5374" max="5374" width="19" customWidth="1"/>
    <col min="5375" max="5375" width="18.5703125" customWidth="1"/>
    <col min="5376" max="5376" width="16.42578125" customWidth="1"/>
    <col min="5377" max="5377" width="16.85546875" customWidth="1"/>
    <col min="5378" max="5378" width="17.7109375" customWidth="1"/>
    <col min="5379" max="5383" width="13.5703125" bestFit="1" customWidth="1"/>
    <col min="5384" max="5386" width="12.7109375" bestFit="1" customWidth="1"/>
    <col min="5387" max="5387" width="13.7109375" bestFit="1" customWidth="1"/>
    <col min="5629" max="5629" width="15" customWidth="1"/>
    <col min="5630" max="5630" width="19" customWidth="1"/>
    <col min="5631" max="5631" width="18.5703125" customWidth="1"/>
    <col min="5632" max="5632" width="16.42578125" customWidth="1"/>
    <col min="5633" max="5633" width="16.85546875" customWidth="1"/>
    <col min="5634" max="5634" width="17.7109375" customWidth="1"/>
    <col min="5635" max="5639" width="13.5703125" bestFit="1" customWidth="1"/>
    <col min="5640" max="5642" width="12.7109375" bestFit="1" customWidth="1"/>
    <col min="5643" max="5643" width="13.7109375" bestFit="1" customWidth="1"/>
    <col min="5885" max="5885" width="15" customWidth="1"/>
    <col min="5886" max="5886" width="19" customWidth="1"/>
    <col min="5887" max="5887" width="18.5703125" customWidth="1"/>
    <col min="5888" max="5888" width="16.42578125" customWidth="1"/>
    <col min="5889" max="5889" width="16.85546875" customWidth="1"/>
    <col min="5890" max="5890" width="17.7109375" customWidth="1"/>
    <col min="5891" max="5895" width="13.5703125" bestFit="1" customWidth="1"/>
    <col min="5896" max="5898" width="12.7109375" bestFit="1" customWidth="1"/>
    <col min="5899" max="5899" width="13.7109375" bestFit="1" customWidth="1"/>
    <col min="6141" max="6141" width="15" customWidth="1"/>
    <col min="6142" max="6142" width="19" customWidth="1"/>
    <col min="6143" max="6143" width="18.5703125" customWidth="1"/>
    <col min="6144" max="6144" width="16.42578125" customWidth="1"/>
    <col min="6145" max="6145" width="16.85546875" customWidth="1"/>
    <col min="6146" max="6146" width="17.7109375" customWidth="1"/>
    <col min="6147" max="6151" width="13.5703125" bestFit="1" customWidth="1"/>
    <col min="6152" max="6154" width="12.7109375" bestFit="1" customWidth="1"/>
    <col min="6155" max="6155" width="13.7109375" bestFit="1" customWidth="1"/>
    <col min="6397" max="6397" width="15" customWidth="1"/>
    <col min="6398" max="6398" width="19" customWidth="1"/>
    <col min="6399" max="6399" width="18.5703125" customWidth="1"/>
    <col min="6400" max="6400" width="16.42578125" customWidth="1"/>
    <col min="6401" max="6401" width="16.85546875" customWidth="1"/>
    <col min="6402" max="6402" width="17.7109375" customWidth="1"/>
    <col min="6403" max="6407" width="13.5703125" bestFit="1" customWidth="1"/>
    <col min="6408" max="6410" width="12.7109375" bestFit="1" customWidth="1"/>
    <col min="6411" max="6411" width="13.7109375" bestFit="1" customWidth="1"/>
    <col min="6653" max="6653" width="15" customWidth="1"/>
    <col min="6654" max="6654" width="19" customWidth="1"/>
    <col min="6655" max="6655" width="18.5703125" customWidth="1"/>
    <col min="6656" max="6656" width="16.42578125" customWidth="1"/>
    <col min="6657" max="6657" width="16.85546875" customWidth="1"/>
    <col min="6658" max="6658" width="17.7109375" customWidth="1"/>
    <col min="6659" max="6663" width="13.5703125" bestFit="1" customWidth="1"/>
    <col min="6664" max="6666" width="12.7109375" bestFit="1" customWidth="1"/>
    <col min="6667" max="6667" width="13.7109375" bestFit="1" customWidth="1"/>
    <col min="6909" max="6909" width="15" customWidth="1"/>
    <col min="6910" max="6910" width="19" customWidth="1"/>
    <col min="6911" max="6911" width="18.5703125" customWidth="1"/>
    <col min="6912" max="6912" width="16.42578125" customWidth="1"/>
    <col min="6913" max="6913" width="16.85546875" customWidth="1"/>
    <col min="6914" max="6914" width="17.7109375" customWidth="1"/>
    <col min="6915" max="6919" width="13.5703125" bestFit="1" customWidth="1"/>
    <col min="6920" max="6922" width="12.7109375" bestFit="1" customWidth="1"/>
    <col min="6923" max="6923" width="13.7109375" bestFit="1" customWidth="1"/>
    <col min="7165" max="7165" width="15" customWidth="1"/>
    <col min="7166" max="7166" width="19" customWidth="1"/>
    <col min="7167" max="7167" width="18.5703125" customWidth="1"/>
    <col min="7168" max="7168" width="16.42578125" customWidth="1"/>
    <col min="7169" max="7169" width="16.85546875" customWidth="1"/>
    <col min="7170" max="7170" width="17.7109375" customWidth="1"/>
    <col min="7171" max="7175" width="13.5703125" bestFit="1" customWidth="1"/>
    <col min="7176" max="7178" width="12.7109375" bestFit="1" customWidth="1"/>
    <col min="7179" max="7179" width="13.7109375" bestFit="1" customWidth="1"/>
    <col min="7421" max="7421" width="15" customWidth="1"/>
    <col min="7422" max="7422" width="19" customWidth="1"/>
    <col min="7423" max="7423" width="18.5703125" customWidth="1"/>
    <col min="7424" max="7424" width="16.42578125" customWidth="1"/>
    <col min="7425" max="7425" width="16.85546875" customWidth="1"/>
    <col min="7426" max="7426" width="17.7109375" customWidth="1"/>
    <col min="7427" max="7431" width="13.5703125" bestFit="1" customWidth="1"/>
    <col min="7432" max="7434" width="12.7109375" bestFit="1" customWidth="1"/>
    <col min="7435" max="7435" width="13.7109375" bestFit="1" customWidth="1"/>
    <col min="7677" max="7677" width="15" customWidth="1"/>
    <col min="7678" max="7678" width="19" customWidth="1"/>
    <col min="7679" max="7679" width="18.5703125" customWidth="1"/>
    <col min="7680" max="7680" width="16.42578125" customWidth="1"/>
    <col min="7681" max="7681" width="16.85546875" customWidth="1"/>
    <col min="7682" max="7682" width="17.7109375" customWidth="1"/>
    <col min="7683" max="7687" width="13.5703125" bestFit="1" customWidth="1"/>
    <col min="7688" max="7690" width="12.7109375" bestFit="1" customWidth="1"/>
    <col min="7691" max="7691" width="13.7109375" bestFit="1" customWidth="1"/>
    <col min="7933" max="7933" width="15" customWidth="1"/>
    <col min="7934" max="7934" width="19" customWidth="1"/>
    <col min="7935" max="7935" width="18.5703125" customWidth="1"/>
    <col min="7936" max="7936" width="16.42578125" customWidth="1"/>
    <col min="7937" max="7937" width="16.85546875" customWidth="1"/>
    <col min="7938" max="7938" width="17.7109375" customWidth="1"/>
    <col min="7939" max="7943" width="13.5703125" bestFit="1" customWidth="1"/>
    <col min="7944" max="7946" width="12.7109375" bestFit="1" customWidth="1"/>
    <col min="7947" max="7947" width="13.7109375" bestFit="1" customWidth="1"/>
    <col min="8189" max="8189" width="15" customWidth="1"/>
    <col min="8190" max="8190" width="19" customWidth="1"/>
    <col min="8191" max="8191" width="18.5703125" customWidth="1"/>
    <col min="8192" max="8192" width="16.42578125" customWidth="1"/>
    <col min="8193" max="8193" width="16.85546875" customWidth="1"/>
    <col min="8194" max="8194" width="17.7109375" customWidth="1"/>
    <col min="8195" max="8199" width="13.5703125" bestFit="1" customWidth="1"/>
    <col min="8200" max="8202" width="12.7109375" bestFit="1" customWidth="1"/>
    <col min="8203" max="8203" width="13.7109375" bestFit="1" customWidth="1"/>
    <col min="8445" max="8445" width="15" customWidth="1"/>
    <col min="8446" max="8446" width="19" customWidth="1"/>
    <col min="8447" max="8447" width="18.5703125" customWidth="1"/>
    <col min="8448" max="8448" width="16.42578125" customWidth="1"/>
    <col min="8449" max="8449" width="16.85546875" customWidth="1"/>
    <col min="8450" max="8450" width="17.7109375" customWidth="1"/>
    <col min="8451" max="8455" width="13.5703125" bestFit="1" customWidth="1"/>
    <col min="8456" max="8458" width="12.7109375" bestFit="1" customWidth="1"/>
    <col min="8459" max="8459" width="13.7109375" bestFit="1" customWidth="1"/>
    <col min="8701" max="8701" width="15" customWidth="1"/>
    <col min="8702" max="8702" width="19" customWidth="1"/>
    <col min="8703" max="8703" width="18.5703125" customWidth="1"/>
    <col min="8704" max="8704" width="16.42578125" customWidth="1"/>
    <col min="8705" max="8705" width="16.85546875" customWidth="1"/>
    <col min="8706" max="8706" width="17.7109375" customWidth="1"/>
    <col min="8707" max="8711" width="13.5703125" bestFit="1" customWidth="1"/>
    <col min="8712" max="8714" width="12.7109375" bestFit="1" customWidth="1"/>
    <col min="8715" max="8715" width="13.7109375" bestFit="1" customWidth="1"/>
    <col min="8957" max="8957" width="15" customWidth="1"/>
    <col min="8958" max="8958" width="19" customWidth="1"/>
    <col min="8959" max="8959" width="18.5703125" customWidth="1"/>
    <col min="8960" max="8960" width="16.42578125" customWidth="1"/>
    <col min="8961" max="8961" width="16.85546875" customWidth="1"/>
    <col min="8962" max="8962" width="17.7109375" customWidth="1"/>
    <col min="8963" max="8967" width="13.5703125" bestFit="1" customWidth="1"/>
    <col min="8968" max="8970" width="12.7109375" bestFit="1" customWidth="1"/>
    <col min="8971" max="8971" width="13.7109375" bestFit="1" customWidth="1"/>
    <col min="9213" max="9213" width="15" customWidth="1"/>
    <col min="9214" max="9214" width="19" customWidth="1"/>
    <col min="9215" max="9215" width="18.5703125" customWidth="1"/>
    <col min="9216" max="9216" width="16.42578125" customWidth="1"/>
    <col min="9217" max="9217" width="16.85546875" customWidth="1"/>
    <col min="9218" max="9218" width="17.7109375" customWidth="1"/>
    <col min="9219" max="9223" width="13.5703125" bestFit="1" customWidth="1"/>
    <col min="9224" max="9226" width="12.7109375" bestFit="1" customWidth="1"/>
    <col min="9227" max="9227" width="13.7109375" bestFit="1" customWidth="1"/>
    <col min="9469" max="9469" width="15" customWidth="1"/>
    <col min="9470" max="9470" width="19" customWidth="1"/>
    <col min="9471" max="9471" width="18.5703125" customWidth="1"/>
    <col min="9472" max="9472" width="16.42578125" customWidth="1"/>
    <col min="9473" max="9473" width="16.85546875" customWidth="1"/>
    <col min="9474" max="9474" width="17.7109375" customWidth="1"/>
    <col min="9475" max="9479" width="13.5703125" bestFit="1" customWidth="1"/>
    <col min="9480" max="9482" width="12.7109375" bestFit="1" customWidth="1"/>
    <col min="9483" max="9483" width="13.7109375" bestFit="1" customWidth="1"/>
    <col min="9725" max="9725" width="15" customWidth="1"/>
    <col min="9726" max="9726" width="19" customWidth="1"/>
    <col min="9727" max="9727" width="18.5703125" customWidth="1"/>
    <col min="9728" max="9728" width="16.42578125" customWidth="1"/>
    <col min="9729" max="9729" width="16.85546875" customWidth="1"/>
    <col min="9730" max="9730" width="17.7109375" customWidth="1"/>
    <col min="9731" max="9735" width="13.5703125" bestFit="1" customWidth="1"/>
    <col min="9736" max="9738" width="12.7109375" bestFit="1" customWidth="1"/>
    <col min="9739" max="9739" width="13.7109375" bestFit="1" customWidth="1"/>
    <col min="9981" max="9981" width="15" customWidth="1"/>
    <col min="9982" max="9982" width="19" customWidth="1"/>
    <col min="9983" max="9983" width="18.5703125" customWidth="1"/>
    <col min="9984" max="9984" width="16.42578125" customWidth="1"/>
    <col min="9985" max="9985" width="16.85546875" customWidth="1"/>
    <col min="9986" max="9986" width="17.7109375" customWidth="1"/>
    <col min="9987" max="9991" width="13.5703125" bestFit="1" customWidth="1"/>
    <col min="9992" max="9994" width="12.7109375" bestFit="1" customWidth="1"/>
    <col min="9995" max="9995" width="13.7109375" bestFit="1" customWidth="1"/>
    <col min="10237" max="10237" width="15" customWidth="1"/>
    <col min="10238" max="10238" width="19" customWidth="1"/>
    <col min="10239" max="10239" width="18.5703125" customWidth="1"/>
    <col min="10240" max="10240" width="16.42578125" customWidth="1"/>
    <col min="10241" max="10241" width="16.85546875" customWidth="1"/>
    <col min="10242" max="10242" width="17.7109375" customWidth="1"/>
    <col min="10243" max="10247" width="13.5703125" bestFit="1" customWidth="1"/>
    <col min="10248" max="10250" width="12.7109375" bestFit="1" customWidth="1"/>
    <col min="10251" max="10251" width="13.7109375" bestFit="1" customWidth="1"/>
    <col min="10493" max="10493" width="15" customWidth="1"/>
    <col min="10494" max="10494" width="19" customWidth="1"/>
    <col min="10495" max="10495" width="18.5703125" customWidth="1"/>
    <col min="10496" max="10496" width="16.42578125" customWidth="1"/>
    <col min="10497" max="10497" width="16.85546875" customWidth="1"/>
    <col min="10498" max="10498" width="17.7109375" customWidth="1"/>
    <col min="10499" max="10503" width="13.5703125" bestFit="1" customWidth="1"/>
    <col min="10504" max="10506" width="12.7109375" bestFit="1" customWidth="1"/>
    <col min="10507" max="10507" width="13.7109375" bestFit="1" customWidth="1"/>
    <col min="10749" max="10749" width="15" customWidth="1"/>
    <col min="10750" max="10750" width="19" customWidth="1"/>
    <col min="10751" max="10751" width="18.5703125" customWidth="1"/>
    <col min="10752" max="10752" width="16.42578125" customWidth="1"/>
    <col min="10753" max="10753" width="16.85546875" customWidth="1"/>
    <col min="10754" max="10754" width="17.7109375" customWidth="1"/>
    <col min="10755" max="10759" width="13.5703125" bestFit="1" customWidth="1"/>
    <col min="10760" max="10762" width="12.7109375" bestFit="1" customWidth="1"/>
    <col min="10763" max="10763" width="13.7109375" bestFit="1" customWidth="1"/>
    <col min="11005" max="11005" width="15" customWidth="1"/>
    <col min="11006" max="11006" width="19" customWidth="1"/>
    <col min="11007" max="11007" width="18.5703125" customWidth="1"/>
    <col min="11008" max="11008" width="16.42578125" customWidth="1"/>
    <col min="11009" max="11009" width="16.85546875" customWidth="1"/>
    <col min="11010" max="11010" width="17.7109375" customWidth="1"/>
    <col min="11011" max="11015" width="13.5703125" bestFit="1" customWidth="1"/>
    <col min="11016" max="11018" width="12.7109375" bestFit="1" customWidth="1"/>
    <col min="11019" max="11019" width="13.7109375" bestFit="1" customWidth="1"/>
    <col min="11261" max="11261" width="15" customWidth="1"/>
    <col min="11262" max="11262" width="19" customWidth="1"/>
    <col min="11263" max="11263" width="18.5703125" customWidth="1"/>
    <col min="11264" max="11264" width="16.42578125" customWidth="1"/>
    <col min="11265" max="11265" width="16.85546875" customWidth="1"/>
    <col min="11266" max="11266" width="17.7109375" customWidth="1"/>
    <col min="11267" max="11271" width="13.5703125" bestFit="1" customWidth="1"/>
    <col min="11272" max="11274" width="12.7109375" bestFit="1" customWidth="1"/>
    <col min="11275" max="11275" width="13.7109375" bestFit="1" customWidth="1"/>
    <col min="11517" max="11517" width="15" customWidth="1"/>
    <col min="11518" max="11518" width="19" customWidth="1"/>
    <col min="11519" max="11519" width="18.5703125" customWidth="1"/>
    <col min="11520" max="11520" width="16.42578125" customWidth="1"/>
    <col min="11521" max="11521" width="16.85546875" customWidth="1"/>
    <col min="11522" max="11522" width="17.7109375" customWidth="1"/>
    <col min="11523" max="11527" width="13.5703125" bestFit="1" customWidth="1"/>
    <col min="11528" max="11530" width="12.7109375" bestFit="1" customWidth="1"/>
    <col min="11531" max="11531" width="13.7109375" bestFit="1" customWidth="1"/>
    <col min="11773" max="11773" width="15" customWidth="1"/>
    <col min="11774" max="11774" width="19" customWidth="1"/>
    <col min="11775" max="11775" width="18.5703125" customWidth="1"/>
    <col min="11776" max="11776" width="16.42578125" customWidth="1"/>
    <col min="11777" max="11777" width="16.85546875" customWidth="1"/>
    <col min="11778" max="11778" width="17.7109375" customWidth="1"/>
    <col min="11779" max="11783" width="13.5703125" bestFit="1" customWidth="1"/>
    <col min="11784" max="11786" width="12.7109375" bestFit="1" customWidth="1"/>
    <col min="11787" max="11787" width="13.7109375" bestFit="1" customWidth="1"/>
    <col min="12029" max="12029" width="15" customWidth="1"/>
    <col min="12030" max="12030" width="19" customWidth="1"/>
    <col min="12031" max="12031" width="18.5703125" customWidth="1"/>
    <col min="12032" max="12032" width="16.42578125" customWidth="1"/>
    <col min="12033" max="12033" width="16.85546875" customWidth="1"/>
    <col min="12034" max="12034" width="17.7109375" customWidth="1"/>
    <col min="12035" max="12039" width="13.5703125" bestFit="1" customWidth="1"/>
    <col min="12040" max="12042" width="12.7109375" bestFit="1" customWidth="1"/>
    <col min="12043" max="12043" width="13.7109375" bestFit="1" customWidth="1"/>
    <col min="12285" max="12285" width="15" customWidth="1"/>
    <col min="12286" max="12286" width="19" customWidth="1"/>
    <col min="12287" max="12287" width="18.5703125" customWidth="1"/>
    <col min="12288" max="12288" width="16.42578125" customWidth="1"/>
    <col min="12289" max="12289" width="16.85546875" customWidth="1"/>
    <col min="12290" max="12290" width="17.7109375" customWidth="1"/>
    <col min="12291" max="12295" width="13.5703125" bestFit="1" customWidth="1"/>
    <col min="12296" max="12298" width="12.7109375" bestFit="1" customWidth="1"/>
    <col min="12299" max="12299" width="13.7109375" bestFit="1" customWidth="1"/>
    <col min="12541" max="12541" width="15" customWidth="1"/>
    <col min="12542" max="12542" width="19" customWidth="1"/>
    <col min="12543" max="12543" width="18.5703125" customWidth="1"/>
    <col min="12544" max="12544" width="16.42578125" customWidth="1"/>
    <col min="12545" max="12545" width="16.85546875" customWidth="1"/>
    <col min="12546" max="12546" width="17.7109375" customWidth="1"/>
    <col min="12547" max="12551" width="13.5703125" bestFit="1" customWidth="1"/>
    <col min="12552" max="12554" width="12.7109375" bestFit="1" customWidth="1"/>
    <col min="12555" max="12555" width="13.7109375" bestFit="1" customWidth="1"/>
    <col min="12797" max="12797" width="15" customWidth="1"/>
    <col min="12798" max="12798" width="19" customWidth="1"/>
    <col min="12799" max="12799" width="18.5703125" customWidth="1"/>
    <col min="12800" max="12800" width="16.42578125" customWidth="1"/>
    <col min="12801" max="12801" width="16.85546875" customWidth="1"/>
    <col min="12802" max="12802" width="17.7109375" customWidth="1"/>
    <col min="12803" max="12807" width="13.5703125" bestFit="1" customWidth="1"/>
    <col min="12808" max="12810" width="12.7109375" bestFit="1" customWidth="1"/>
    <col min="12811" max="12811" width="13.7109375" bestFit="1" customWidth="1"/>
    <col min="13053" max="13053" width="15" customWidth="1"/>
    <col min="13054" max="13054" width="19" customWidth="1"/>
    <col min="13055" max="13055" width="18.5703125" customWidth="1"/>
    <col min="13056" max="13056" width="16.42578125" customWidth="1"/>
    <col min="13057" max="13057" width="16.85546875" customWidth="1"/>
    <col min="13058" max="13058" width="17.7109375" customWidth="1"/>
    <col min="13059" max="13063" width="13.5703125" bestFit="1" customWidth="1"/>
    <col min="13064" max="13066" width="12.7109375" bestFit="1" customWidth="1"/>
    <col min="13067" max="13067" width="13.7109375" bestFit="1" customWidth="1"/>
    <col min="13309" max="13309" width="15" customWidth="1"/>
    <col min="13310" max="13310" width="19" customWidth="1"/>
    <col min="13311" max="13311" width="18.5703125" customWidth="1"/>
    <col min="13312" max="13312" width="16.42578125" customWidth="1"/>
    <col min="13313" max="13313" width="16.85546875" customWidth="1"/>
    <col min="13314" max="13314" width="17.7109375" customWidth="1"/>
    <col min="13315" max="13319" width="13.5703125" bestFit="1" customWidth="1"/>
    <col min="13320" max="13322" width="12.7109375" bestFit="1" customWidth="1"/>
    <col min="13323" max="13323" width="13.7109375" bestFit="1" customWidth="1"/>
    <col min="13565" max="13565" width="15" customWidth="1"/>
    <col min="13566" max="13566" width="19" customWidth="1"/>
    <col min="13567" max="13567" width="18.5703125" customWidth="1"/>
    <col min="13568" max="13568" width="16.42578125" customWidth="1"/>
    <col min="13569" max="13569" width="16.85546875" customWidth="1"/>
    <col min="13570" max="13570" width="17.7109375" customWidth="1"/>
    <col min="13571" max="13575" width="13.5703125" bestFit="1" customWidth="1"/>
    <col min="13576" max="13578" width="12.7109375" bestFit="1" customWidth="1"/>
    <col min="13579" max="13579" width="13.7109375" bestFit="1" customWidth="1"/>
    <col min="13821" max="13821" width="15" customWidth="1"/>
    <col min="13822" max="13822" width="19" customWidth="1"/>
    <col min="13823" max="13823" width="18.5703125" customWidth="1"/>
    <col min="13824" max="13824" width="16.42578125" customWidth="1"/>
    <col min="13825" max="13825" width="16.85546875" customWidth="1"/>
    <col min="13826" max="13826" width="17.7109375" customWidth="1"/>
    <col min="13827" max="13831" width="13.5703125" bestFit="1" customWidth="1"/>
    <col min="13832" max="13834" width="12.7109375" bestFit="1" customWidth="1"/>
    <col min="13835" max="13835" width="13.7109375" bestFit="1" customWidth="1"/>
    <col min="14077" max="14077" width="15" customWidth="1"/>
    <col min="14078" max="14078" width="19" customWidth="1"/>
    <col min="14079" max="14079" width="18.5703125" customWidth="1"/>
    <col min="14080" max="14080" width="16.42578125" customWidth="1"/>
    <col min="14081" max="14081" width="16.85546875" customWidth="1"/>
    <col min="14082" max="14082" width="17.7109375" customWidth="1"/>
    <col min="14083" max="14087" width="13.5703125" bestFit="1" customWidth="1"/>
    <col min="14088" max="14090" width="12.7109375" bestFit="1" customWidth="1"/>
    <col min="14091" max="14091" width="13.7109375" bestFit="1" customWidth="1"/>
    <col min="14333" max="14333" width="15" customWidth="1"/>
    <col min="14334" max="14334" width="19" customWidth="1"/>
    <col min="14335" max="14335" width="18.5703125" customWidth="1"/>
    <col min="14336" max="14336" width="16.42578125" customWidth="1"/>
    <col min="14337" max="14337" width="16.85546875" customWidth="1"/>
    <col min="14338" max="14338" width="17.7109375" customWidth="1"/>
    <col min="14339" max="14343" width="13.5703125" bestFit="1" customWidth="1"/>
    <col min="14344" max="14346" width="12.7109375" bestFit="1" customWidth="1"/>
    <col min="14347" max="14347" width="13.7109375" bestFit="1" customWidth="1"/>
    <col min="14589" max="14589" width="15" customWidth="1"/>
    <col min="14590" max="14590" width="19" customWidth="1"/>
    <col min="14591" max="14591" width="18.5703125" customWidth="1"/>
    <col min="14592" max="14592" width="16.42578125" customWidth="1"/>
    <col min="14593" max="14593" width="16.85546875" customWidth="1"/>
    <col min="14594" max="14594" width="17.7109375" customWidth="1"/>
    <col min="14595" max="14599" width="13.5703125" bestFit="1" customWidth="1"/>
    <col min="14600" max="14602" width="12.7109375" bestFit="1" customWidth="1"/>
    <col min="14603" max="14603" width="13.7109375" bestFit="1" customWidth="1"/>
    <col min="14845" max="14845" width="15" customWidth="1"/>
    <col min="14846" max="14846" width="19" customWidth="1"/>
    <col min="14847" max="14847" width="18.5703125" customWidth="1"/>
    <col min="14848" max="14848" width="16.42578125" customWidth="1"/>
    <col min="14849" max="14849" width="16.85546875" customWidth="1"/>
    <col min="14850" max="14850" width="17.7109375" customWidth="1"/>
    <col min="14851" max="14855" width="13.5703125" bestFit="1" customWidth="1"/>
    <col min="14856" max="14858" width="12.7109375" bestFit="1" customWidth="1"/>
    <col min="14859" max="14859" width="13.7109375" bestFit="1" customWidth="1"/>
    <col min="15101" max="15101" width="15" customWidth="1"/>
    <col min="15102" max="15102" width="19" customWidth="1"/>
    <col min="15103" max="15103" width="18.5703125" customWidth="1"/>
    <col min="15104" max="15104" width="16.42578125" customWidth="1"/>
    <col min="15105" max="15105" width="16.85546875" customWidth="1"/>
    <col min="15106" max="15106" width="17.7109375" customWidth="1"/>
    <col min="15107" max="15111" width="13.5703125" bestFit="1" customWidth="1"/>
    <col min="15112" max="15114" width="12.7109375" bestFit="1" customWidth="1"/>
    <col min="15115" max="15115" width="13.7109375" bestFit="1" customWidth="1"/>
    <col min="15357" max="15357" width="15" customWidth="1"/>
    <col min="15358" max="15358" width="19" customWidth="1"/>
    <col min="15359" max="15359" width="18.5703125" customWidth="1"/>
    <col min="15360" max="15360" width="16.42578125" customWidth="1"/>
    <col min="15361" max="15361" width="16.85546875" customWidth="1"/>
    <col min="15362" max="15362" width="17.7109375" customWidth="1"/>
    <col min="15363" max="15367" width="13.5703125" bestFit="1" customWidth="1"/>
    <col min="15368" max="15370" width="12.7109375" bestFit="1" customWidth="1"/>
    <col min="15371" max="15371" width="13.7109375" bestFit="1" customWidth="1"/>
    <col min="15613" max="15613" width="15" customWidth="1"/>
    <col min="15614" max="15614" width="19" customWidth="1"/>
    <col min="15615" max="15615" width="18.5703125" customWidth="1"/>
    <col min="15616" max="15616" width="16.42578125" customWidth="1"/>
    <col min="15617" max="15617" width="16.85546875" customWidth="1"/>
    <col min="15618" max="15618" width="17.7109375" customWidth="1"/>
    <col min="15619" max="15623" width="13.5703125" bestFit="1" customWidth="1"/>
    <col min="15624" max="15626" width="12.7109375" bestFit="1" customWidth="1"/>
    <col min="15627" max="15627" width="13.7109375" bestFit="1" customWidth="1"/>
    <col min="15869" max="15869" width="15" customWidth="1"/>
    <col min="15870" max="15870" width="19" customWidth="1"/>
    <col min="15871" max="15871" width="18.5703125" customWidth="1"/>
    <col min="15872" max="15872" width="16.42578125" customWidth="1"/>
    <col min="15873" max="15873" width="16.85546875" customWidth="1"/>
    <col min="15874" max="15874" width="17.7109375" customWidth="1"/>
    <col min="15875" max="15879" width="13.5703125" bestFit="1" customWidth="1"/>
    <col min="15880" max="15882" width="12.7109375" bestFit="1" customWidth="1"/>
    <col min="15883" max="15883" width="13.7109375" bestFit="1" customWidth="1"/>
    <col min="16125" max="16125" width="15" customWidth="1"/>
    <col min="16126" max="16126" width="19" customWidth="1"/>
    <col min="16127" max="16127" width="18.5703125" customWidth="1"/>
    <col min="16128" max="16128" width="16.42578125" customWidth="1"/>
    <col min="16129" max="16129" width="16.85546875" customWidth="1"/>
    <col min="16130" max="16130" width="17.7109375" customWidth="1"/>
    <col min="16131" max="16135" width="13.5703125" bestFit="1" customWidth="1"/>
    <col min="16136" max="16138" width="12.7109375" bestFit="1" customWidth="1"/>
    <col min="16139" max="16139" width="13.7109375" bestFit="1" customWidth="1"/>
  </cols>
  <sheetData>
    <row r="1" spans="1:9" x14ac:dyDescent="0.25">
      <c r="A1" s="511" t="s">
        <v>2</v>
      </c>
      <c r="B1" s="512"/>
      <c r="C1" s="512"/>
      <c r="D1" s="512"/>
      <c r="E1" s="512"/>
      <c r="F1" s="512"/>
      <c r="G1" s="512"/>
    </row>
    <row r="2" spans="1:9" x14ac:dyDescent="0.25">
      <c r="A2" s="511" t="s">
        <v>3144</v>
      </c>
      <c r="B2" s="512"/>
      <c r="C2" s="512"/>
      <c r="D2" s="512"/>
      <c r="E2" s="512"/>
      <c r="F2" s="512"/>
      <c r="G2" s="512"/>
    </row>
    <row r="3" spans="1:9" x14ac:dyDescent="0.25">
      <c r="A3" s="511" t="s">
        <v>3145</v>
      </c>
      <c r="B3" s="512"/>
      <c r="C3" s="512"/>
      <c r="D3" s="512"/>
      <c r="E3" s="512"/>
      <c r="F3" s="512"/>
      <c r="G3" s="512"/>
    </row>
    <row r="4" spans="1:9" ht="15.75" thickBot="1" x14ac:dyDescent="0.3">
      <c r="A4" s="515" t="s">
        <v>3146</v>
      </c>
      <c r="B4" s="516"/>
      <c r="C4" s="516"/>
      <c r="D4" s="516"/>
      <c r="E4" s="516"/>
      <c r="F4" s="516"/>
      <c r="G4" s="516"/>
    </row>
    <row r="5" spans="1:9" ht="45.75" thickBot="1" x14ac:dyDescent="0.3">
      <c r="A5" s="103" t="s">
        <v>5</v>
      </c>
      <c r="B5" s="2" t="s">
        <v>6</v>
      </c>
      <c r="C5" s="3" t="s">
        <v>7</v>
      </c>
      <c r="D5" s="3" t="s">
        <v>3147</v>
      </c>
      <c r="E5" s="3" t="s">
        <v>41</v>
      </c>
      <c r="F5" s="4" t="s">
        <v>3078</v>
      </c>
      <c r="G5" s="5" t="s">
        <v>8</v>
      </c>
    </row>
    <row r="6" spans="1:9" x14ac:dyDescent="0.25">
      <c r="A6" s="6">
        <v>44172</v>
      </c>
      <c r="B6" s="7" t="s">
        <v>359</v>
      </c>
      <c r="C6" s="8">
        <v>0</v>
      </c>
      <c r="D6" s="8">
        <v>0</v>
      </c>
      <c r="E6" s="8"/>
      <c r="F6" s="8"/>
      <c r="G6" s="9">
        <v>1256079886</v>
      </c>
      <c r="H6" s="54"/>
      <c r="I6" s="54"/>
    </row>
    <row r="7" spans="1:9" x14ac:dyDescent="0.25">
      <c r="A7" s="135">
        <f>A6+90</f>
        <v>44262</v>
      </c>
      <c r="B7" s="11" t="s">
        <v>9</v>
      </c>
      <c r="C7" s="12">
        <v>0</v>
      </c>
      <c r="D7" s="294">
        <f>G6*$B$53*B$52/360</f>
        <v>25121597.719999995</v>
      </c>
      <c r="E7" s="294"/>
      <c r="F7" s="12">
        <f>+C7+E7</f>
        <v>0</v>
      </c>
      <c r="G7" s="13">
        <f t="shared" ref="G7:G46" si="0">+G6-C7</f>
        <v>1256079886</v>
      </c>
      <c r="I7" s="54"/>
    </row>
    <row r="8" spans="1:9" x14ac:dyDescent="0.25">
      <c r="A8" s="135">
        <f>A7+92</f>
        <v>44354</v>
      </c>
      <c r="B8" s="11" t="s">
        <v>9</v>
      </c>
      <c r="C8" s="12">
        <v>0</v>
      </c>
      <c r="D8" s="294">
        <f t="shared" ref="D8:D10" si="1">G7*$B$53*B$52/360</f>
        <v>25121597.719999995</v>
      </c>
      <c r="E8" s="294"/>
      <c r="F8" s="12">
        <f t="shared" ref="F8:F46" si="2">+C8+E8</f>
        <v>0</v>
      </c>
      <c r="G8" s="13">
        <f t="shared" si="0"/>
        <v>1256079886</v>
      </c>
    </row>
    <row r="9" spans="1:9" x14ac:dyDescent="0.25">
      <c r="A9" s="135">
        <f>A8+92</f>
        <v>44446</v>
      </c>
      <c r="B9" s="11" t="s">
        <v>9</v>
      </c>
      <c r="C9" s="12">
        <v>0</v>
      </c>
      <c r="D9" s="294">
        <f t="shared" si="1"/>
        <v>25121597.719999995</v>
      </c>
      <c r="E9" s="294"/>
      <c r="F9" s="12">
        <f t="shared" si="2"/>
        <v>0</v>
      </c>
      <c r="G9" s="13">
        <f t="shared" si="0"/>
        <v>1256079886</v>
      </c>
    </row>
    <row r="10" spans="1:9" x14ac:dyDescent="0.25">
      <c r="A10" s="135">
        <f>A9+91</f>
        <v>44537</v>
      </c>
      <c r="B10" s="11" t="s">
        <v>9</v>
      </c>
      <c r="C10" s="12">
        <v>0</v>
      </c>
      <c r="D10" s="294">
        <f t="shared" si="1"/>
        <v>25121597.719999995</v>
      </c>
      <c r="E10" s="294"/>
      <c r="F10" s="12">
        <f t="shared" si="2"/>
        <v>0</v>
      </c>
      <c r="G10" s="13">
        <f t="shared" si="0"/>
        <v>1256079886</v>
      </c>
    </row>
    <row r="11" spans="1:9" x14ac:dyDescent="0.25">
      <c r="A11" s="135">
        <f>A10+90</f>
        <v>44627</v>
      </c>
      <c r="B11" s="11" t="s">
        <v>9</v>
      </c>
      <c r="C11" s="12">
        <v>0</v>
      </c>
      <c r="D11" s="294">
        <f>G10*$C$53*C$52/360</f>
        <v>26691697.577500001</v>
      </c>
      <c r="E11" s="294"/>
      <c r="F11" s="12">
        <f t="shared" si="2"/>
        <v>0</v>
      </c>
      <c r="G11" s="13">
        <f t="shared" si="0"/>
        <v>1256079886</v>
      </c>
    </row>
    <row r="12" spans="1:9" x14ac:dyDescent="0.25">
      <c r="A12" s="135">
        <f>A11+92</f>
        <v>44719</v>
      </c>
      <c r="B12" s="11" t="s">
        <v>9</v>
      </c>
      <c r="C12" s="12">
        <v>0</v>
      </c>
      <c r="D12" s="294">
        <f t="shared" ref="D12:D14" si="3">G11*$C$53*C$52/360</f>
        <v>26691697.577500001</v>
      </c>
      <c r="E12" s="294"/>
      <c r="F12" s="12">
        <f t="shared" si="2"/>
        <v>0</v>
      </c>
      <c r="G12" s="13">
        <f t="shared" si="0"/>
        <v>1256079886</v>
      </c>
    </row>
    <row r="13" spans="1:9" x14ac:dyDescent="0.25">
      <c r="A13" s="135">
        <f>A12+92</f>
        <v>44811</v>
      </c>
      <c r="B13" s="11" t="s">
        <v>9</v>
      </c>
      <c r="C13" s="12">
        <v>0</v>
      </c>
      <c r="D13" s="294">
        <f t="shared" si="3"/>
        <v>26691697.577500001</v>
      </c>
      <c r="E13" s="294"/>
      <c r="F13" s="12">
        <f t="shared" si="2"/>
        <v>0</v>
      </c>
      <c r="G13" s="13">
        <f t="shared" si="0"/>
        <v>1256079886</v>
      </c>
    </row>
    <row r="14" spans="1:9" x14ac:dyDescent="0.25">
      <c r="A14" s="135">
        <f>A13+91</f>
        <v>44902</v>
      </c>
      <c r="B14" s="11" t="s">
        <v>9</v>
      </c>
      <c r="C14" s="12">
        <v>0</v>
      </c>
      <c r="D14" s="294">
        <f t="shared" si="3"/>
        <v>26691697.577500001</v>
      </c>
      <c r="E14" s="294"/>
      <c r="F14" s="12">
        <f t="shared" si="2"/>
        <v>0</v>
      </c>
      <c r="G14" s="13">
        <f t="shared" si="0"/>
        <v>1256079886</v>
      </c>
    </row>
    <row r="15" spans="1:9" x14ac:dyDescent="0.25">
      <c r="A15" s="135">
        <f>A14+90</f>
        <v>44992</v>
      </c>
      <c r="B15" s="11" t="s">
        <v>10</v>
      </c>
      <c r="C15" s="12">
        <f>+$G$6/32</f>
        <v>39252496.4375</v>
      </c>
      <c r="D15" s="294">
        <f>G14*$D$53*D$52/360</f>
        <v>28261797.435000002</v>
      </c>
      <c r="E15" s="294"/>
      <c r="F15" s="12">
        <f t="shared" si="2"/>
        <v>39252496.4375</v>
      </c>
      <c r="G15" s="13">
        <f t="shared" si="0"/>
        <v>1216827389.5625</v>
      </c>
    </row>
    <row r="16" spans="1:9" x14ac:dyDescent="0.25">
      <c r="A16" s="135">
        <f>A15+92</f>
        <v>45084</v>
      </c>
      <c r="B16" s="11" t="s">
        <v>10</v>
      </c>
      <c r="C16" s="12">
        <f t="shared" ref="C16:C46" si="4">+$G$6/32</f>
        <v>39252496.4375</v>
      </c>
      <c r="D16" s="294">
        <f t="shared" ref="D16:D46" si="5">G15*$D$53*D$52/360</f>
        <v>27378616.265156247</v>
      </c>
      <c r="E16" s="294"/>
      <c r="F16" s="12">
        <f t="shared" si="2"/>
        <v>39252496.4375</v>
      </c>
      <c r="G16" s="13">
        <f t="shared" si="0"/>
        <v>1177574893.125</v>
      </c>
    </row>
    <row r="17" spans="1:7" x14ac:dyDescent="0.25">
      <c r="A17" s="135">
        <f>A16+92</f>
        <v>45176</v>
      </c>
      <c r="B17" s="11" t="s">
        <v>10</v>
      </c>
      <c r="C17" s="12">
        <f t="shared" si="4"/>
        <v>39252496.4375</v>
      </c>
      <c r="D17" s="294">
        <f t="shared" si="5"/>
        <v>26495435.095312499</v>
      </c>
      <c r="E17" s="294"/>
      <c r="F17" s="12">
        <f t="shared" si="2"/>
        <v>39252496.4375</v>
      </c>
      <c r="G17" s="13">
        <f t="shared" si="0"/>
        <v>1138322396.6875</v>
      </c>
    </row>
    <row r="18" spans="1:7" x14ac:dyDescent="0.25">
      <c r="A18" s="135">
        <f>A17+91</f>
        <v>45267</v>
      </c>
      <c r="B18" s="11" t="s">
        <v>10</v>
      </c>
      <c r="C18" s="12">
        <f t="shared" si="4"/>
        <v>39252496.4375</v>
      </c>
      <c r="D18" s="294">
        <f t="shared" si="5"/>
        <v>25612253.92546875</v>
      </c>
      <c r="E18" s="294"/>
      <c r="F18" s="12">
        <f t="shared" si="2"/>
        <v>39252496.4375</v>
      </c>
      <c r="G18" s="13">
        <f t="shared" si="0"/>
        <v>1099069900.25</v>
      </c>
    </row>
    <row r="19" spans="1:7" x14ac:dyDescent="0.25">
      <c r="A19" s="135">
        <f>A18+90</f>
        <v>45357</v>
      </c>
      <c r="B19" s="11" t="s">
        <v>10</v>
      </c>
      <c r="C19" s="12">
        <f t="shared" si="4"/>
        <v>39252496.4375</v>
      </c>
      <c r="D19" s="294">
        <f t="shared" si="5"/>
        <v>24729072.755624998</v>
      </c>
      <c r="E19" s="294"/>
      <c r="F19" s="12">
        <f t="shared" si="2"/>
        <v>39252496.4375</v>
      </c>
      <c r="G19" s="13">
        <f t="shared" si="0"/>
        <v>1059817403.8125</v>
      </c>
    </row>
    <row r="20" spans="1:7" x14ac:dyDescent="0.25">
      <c r="A20" s="135">
        <f>A19+92</f>
        <v>45449</v>
      </c>
      <c r="B20" s="11" t="s">
        <v>10</v>
      </c>
      <c r="C20" s="12">
        <f t="shared" si="4"/>
        <v>39252496.4375</v>
      </c>
      <c r="D20" s="294">
        <f t="shared" si="5"/>
        <v>23845891.58578125</v>
      </c>
      <c r="E20" s="294"/>
      <c r="F20" s="12">
        <f t="shared" si="2"/>
        <v>39252496.4375</v>
      </c>
      <c r="G20" s="13">
        <f t="shared" si="0"/>
        <v>1020564907.375</v>
      </c>
    </row>
    <row r="21" spans="1:7" x14ac:dyDescent="0.25">
      <c r="A21" s="135">
        <f>A20+92</f>
        <v>45541</v>
      </c>
      <c r="B21" s="11" t="s">
        <v>10</v>
      </c>
      <c r="C21" s="12">
        <f t="shared" si="4"/>
        <v>39252496.4375</v>
      </c>
      <c r="D21" s="294">
        <f t="shared" si="5"/>
        <v>22962710.415937498</v>
      </c>
      <c r="E21" s="294"/>
      <c r="F21" s="12">
        <f t="shared" si="2"/>
        <v>39252496.4375</v>
      </c>
      <c r="G21" s="13">
        <f t="shared" si="0"/>
        <v>981312410.9375</v>
      </c>
    </row>
    <row r="22" spans="1:7" x14ac:dyDescent="0.25">
      <c r="A22" s="135">
        <f>A21+91</f>
        <v>45632</v>
      </c>
      <c r="B22" s="11" t="s">
        <v>10</v>
      </c>
      <c r="C22" s="12">
        <f t="shared" si="4"/>
        <v>39252496.4375</v>
      </c>
      <c r="D22" s="294">
        <f t="shared" si="5"/>
        <v>22079529.24609375</v>
      </c>
      <c r="E22" s="294"/>
      <c r="F22" s="12">
        <f t="shared" si="2"/>
        <v>39252496.4375</v>
      </c>
      <c r="G22" s="13">
        <f t="shared" si="0"/>
        <v>942059914.5</v>
      </c>
    </row>
    <row r="23" spans="1:7" x14ac:dyDescent="0.25">
      <c r="A23" s="135">
        <f>A22+91</f>
        <v>45723</v>
      </c>
      <c r="B23" s="11" t="s">
        <v>10</v>
      </c>
      <c r="C23" s="12">
        <f t="shared" si="4"/>
        <v>39252496.4375</v>
      </c>
      <c r="D23" s="294">
        <f t="shared" si="5"/>
        <v>21196348.076249998</v>
      </c>
      <c r="E23" s="294"/>
      <c r="F23" s="12">
        <f t="shared" si="2"/>
        <v>39252496.4375</v>
      </c>
      <c r="G23" s="13">
        <f t="shared" si="0"/>
        <v>902807418.0625</v>
      </c>
    </row>
    <row r="24" spans="1:7" x14ac:dyDescent="0.25">
      <c r="A24" s="135">
        <f>A23+92</f>
        <v>45815</v>
      </c>
      <c r="B24" s="11" t="s">
        <v>10</v>
      </c>
      <c r="C24" s="12">
        <f t="shared" si="4"/>
        <v>39252496.4375</v>
      </c>
      <c r="D24" s="294">
        <f t="shared" si="5"/>
        <v>20313166.90640625</v>
      </c>
      <c r="E24" s="294"/>
      <c r="F24" s="12">
        <f t="shared" si="2"/>
        <v>39252496.4375</v>
      </c>
      <c r="G24" s="13">
        <f t="shared" si="0"/>
        <v>863554921.625</v>
      </c>
    </row>
    <row r="25" spans="1:7" x14ac:dyDescent="0.25">
      <c r="A25" s="135">
        <f>A24+92</f>
        <v>45907</v>
      </c>
      <c r="B25" s="11" t="s">
        <v>10</v>
      </c>
      <c r="C25" s="12">
        <f t="shared" si="4"/>
        <v>39252496.4375</v>
      </c>
      <c r="D25" s="294">
        <f t="shared" si="5"/>
        <v>19429985.736562498</v>
      </c>
      <c r="E25" s="294"/>
      <c r="F25" s="12">
        <f t="shared" si="2"/>
        <v>39252496.4375</v>
      </c>
      <c r="G25" s="13">
        <f t="shared" si="0"/>
        <v>824302425.1875</v>
      </c>
    </row>
    <row r="26" spans="1:7" x14ac:dyDescent="0.25">
      <c r="A26" s="135">
        <f>A25+91</f>
        <v>45998</v>
      </c>
      <c r="B26" s="11" t="s">
        <v>10</v>
      </c>
      <c r="C26" s="12">
        <f t="shared" si="4"/>
        <v>39252496.4375</v>
      </c>
      <c r="D26" s="294">
        <f t="shared" si="5"/>
        <v>18546804.56671875</v>
      </c>
      <c r="E26" s="294"/>
      <c r="F26" s="12">
        <f t="shared" si="2"/>
        <v>39252496.4375</v>
      </c>
      <c r="G26" s="13">
        <f t="shared" si="0"/>
        <v>785049928.75</v>
      </c>
    </row>
    <row r="27" spans="1:7" x14ac:dyDescent="0.25">
      <c r="A27" s="135">
        <f>A26+90</f>
        <v>46088</v>
      </c>
      <c r="B27" s="11" t="s">
        <v>10</v>
      </c>
      <c r="C27" s="12">
        <f t="shared" si="4"/>
        <v>39252496.4375</v>
      </c>
      <c r="D27" s="294">
        <f t="shared" si="5"/>
        <v>17663623.396874998</v>
      </c>
      <c r="E27" s="294"/>
      <c r="F27" s="12">
        <f t="shared" si="2"/>
        <v>39252496.4375</v>
      </c>
      <c r="G27" s="13">
        <f t="shared" si="0"/>
        <v>745797432.3125</v>
      </c>
    </row>
    <row r="28" spans="1:7" x14ac:dyDescent="0.25">
      <c r="A28" s="135">
        <f>A27+92</f>
        <v>46180</v>
      </c>
      <c r="B28" s="11" t="s">
        <v>10</v>
      </c>
      <c r="C28" s="12">
        <f t="shared" si="4"/>
        <v>39252496.4375</v>
      </c>
      <c r="D28" s="294">
        <f t="shared" si="5"/>
        <v>16780442.22703125</v>
      </c>
      <c r="E28" s="294"/>
      <c r="F28" s="12">
        <f t="shared" si="2"/>
        <v>39252496.4375</v>
      </c>
      <c r="G28" s="13">
        <f t="shared" si="0"/>
        <v>706544935.875</v>
      </c>
    </row>
    <row r="29" spans="1:7" x14ac:dyDescent="0.25">
      <c r="A29" s="135">
        <f>A28+92</f>
        <v>46272</v>
      </c>
      <c r="B29" s="11" t="s">
        <v>10</v>
      </c>
      <c r="C29" s="12">
        <f t="shared" si="4"/>
        <v>39252496.4375</v>
      </c>
      <c r="D29" s="294">
        <f t="shared" si="5"/>
        <v>15897261.057187499</v>
      </c>
      <c r="E29" s="294"/>
      <c r="F29" s="12">
        <f t="shared" si="2"/>
        <v>39252496.4375</v>
      </c>
      <c r="G29" s="13">
        <f t="shared" si="0"/>
        <v>667292439.4375</v>
      </c>
    </row>
    <row r="30" spans="1:7" x14ac:dyDescent="0.25">
      <c r="A30" s="135">
        <f>A29+91</f>
        <v>46363</v>
      </c>
      <c r="B30" s="11" t="s">
        <v>10</v>
      </c>
      <c r="C30" s="12">
        <f t="shared" si="4"/>
        <v>39252496.4375</v>
      </c>
      <c r="D30" s="294">
        <f t="shared" si="5"/>
        <v>15014079.887343748</v>
      </c>
      <c r="E30" s="294"/>
      <c r="F30" s="12">
        <f t="shared" si="2"/>
        <v>39252496.4375</v>
      </c>
      <c r="G30" s="13">
        <f t="shared" si="0"/>
        <v>628039943</v>
      </c>
    </row>
    <row r="31" spans="1:7" x14ac:dyDescent="0.25">
      <c r="A31" s="135">
        <f>A30+90</f>
        <v>46453</v>
      </c>
      <c r="B31" s="11" t="s">
        <v>10</v>
      </c>
      <c r="C31" s="12">
        <f t="shared" si="4"/>
        <v>39252496.4375</v>
      </c>
      <c r="D31" s="294">
        <f t="shared" si="5"/>
        <v>14130898.717500001</v>
      </c>
      <c r="E31" s="294"/>
      <c r="F31" s="12">
        <f t="shared" si="2"/>
        <v>39252496.4375</v>
      </c>
      <c r="G31" s="13">
        <f t="shared" si="0"/>
        <v>588787446.5625</v>
      </c>
    </row>
    <row r="32" spans="1:7" x14ac:dyDescent="0.25">
      <c r="A32" s="135">
        <f>A31+92</f>
        <v>46545</v>
      </c>
      <c r="B32" s="11" t="s">
        <v>10</v>
      </c>
      <c r="C32" s="12">
        <f t="shared" si="4"/>
        <v>39252496.4375</v>
      </c>
      <c r="D32" s="294">
        <f t="shared" si="5"/>
        <v>13247717.547656249</v>
      </c>
      <c r="E32" s="294"/>
      <c r="F32" s="12">
        <f t="shared" si="2"/>
        <v>39252496.4375</v>
      </c>
      <c r="G32" s="13">
        <f t="shared" si="0"/>
        <v>549534950.125</v>
      </c>
    </row>
    <row r="33" spans="1:8" x14ac:dyDescent="0.25">
      <c r="A33" s="135">
        <f>A32+92</f>
        <v>46637</v>
      </c>
      <c r="B33" s="11" t="s">
        <v>10</v>
      </c>
      <c r="C33" s="12">
        <f t="shared" si="4"/>
        <v>39252496.4375</v>
      </c>
      <c r="D33" s="294">
        <f t="shared" si="5"/>
        <v>12364536.377812499</v>
      </c>
      <c r="E33" s="294"/>
      <c r="F33" s="12">
        <f t="shared" si="2"/>
        <v>39252496.4375</v>
      </c>
      <c r="G33" s="13">
        <f t="shared" si="0"/>
        <v>510282453.6875</v>
      </c>
    </row>
    <row r="34" spans="1:8" x14ac:dyDescent="0.25">
      <c r="A34" s="135">
        <f>A33+91</f>
        <v>46728</v>
      </c>
      <c r="B34" s="11" t="s">
        <v>10</v>
      </c>
      <c r="C34" s="12">
        <f t="shared" si="4"/>
        <v>39252496.4375</v>
      </c>
      <c r="D34" s="294">
        <f t="shared" si="5"/>
        <v>11481355.207968749</v>
      </c>
      <c r="E34" s="294"/>
      <c r="F34" s="12">
        <f t="shared" si="2"/>
        <v>39252496.4375</v>
      </c>
      <c r="G34" s="13">
        <f t="shared" si="0"/>
        <v>471029957.25</v>
      </c>
    </row>
    <row r="35" spans="1:8" x14ac:dyDescent="0.25">
      <c r="A35" s="135">
        <f>A34+90</f>
        <v>46818</v>
      </c>
      <c r="B35" s="11" t="s">
        <v>10</v>
      </c>
      <c r="C35" s="12">
        <f t="shared" si="4"/>
        <v>39252496.4375</v>
      </c>
      <c r="D35" s="294">
        <f t="shared" si="5"/>
        <v>10598174.038124999</v>
      </c>
      <c r="E35" s="294"/>
      <c r="F35" s="12">
        <f t="shared" si="2"/>
        <v>39252496.4375</v>
      </c>
      <c r="G35" s="13">
        <f t="shared" si="0"/>
        <v>431777460.8125</v>
      </c>
    </row>
    <row r="36" spans="1:8" x14ac:dyDescent="0.25">
      <c r="A36" s="135">
        <f>A35+92</f>
        <v>46910</v>
      </c>
      <c r="B36" s="11" t="s">
        <v>10</v>
      </c>
      <c r="C36" s="12">
        <f t="shared" si="4"/>
        <v>39252496.4375</v>
      </c>
      <c r="D36" s="294">
        <f t="shared" si="5"/>
        <v>9714992.868281249</v>
      </c>
      <c r="E36" s="294"/>
      <c r="F36" s="12">
        <f t="shared" si="2"/>
        <v>39252496.4375</v>
      </c>
      <c r="G36" s="13">
        <f t="shared" si="0"/>
        <v>392524964.375</v>
      </c>
    </row>
    <row r="37" spans="1:8" x14ac:dyDescent="0.25">
      <c r="A37" s="135">
        <f>A36+92</f>
        <v>47002</v>
      </c>
      <c r="B37" s="11" t="s">
        <v>10</v>
      </c>
      <c r="C37" s="12">
        <f t="shared" si="4"/>
        <v>39252496.4375</v>
      </c>
      <c r="D37" s="294">
        <f t="shared" si="5"/>
        <v>8831811.6984374989</v>
      </c>
      <c r="E37" s="294"/>
      <c r="F37" s="12">
        <f t="shared" si="2"/>
        <v>39252496.4375</v>
      </c>
      <c r="G37" s="13">
        <f t="shared" si="0"/>
        <v>353272467.9375</v>
      </c>
    </row>
    <row r="38" spans="1:8" x14ac:dyDescent="0.25">
      <c r="A38" s="135">
        <f>A37+91</f>
        <v>47093</v>
      </c>
      <c r="B38" s="11" t="s">
        <v>10</v>
      </c>
      <c r="C38" s="12">
        <f t="shared" si="4"/>
        <v>39252496.4375</v>
      </c>
      <c r="D38" s="294">
        <f t="shared" si="5"/>
        <v>7948630.5285937497</v>
      </c>
      <c r="E38" s="294"/>
      <c r="F38" s="12">
        <f t="shared" si="2"/>
        <v>39252496.4375</v>
      </c>
      <c r="G38" s="13">
        <f t="shared" si="0"/>
        <v>314019971.5</v>
      </c>
    </row>
    <row r="39" spans="1:8" x14ac:dyDescent="0.25">
      <c r="A39" s="135">
        <f>A38+91</f>
        <v>47184</v>
      </c>
      <c r="B39" s="11" t="s">
        <v>10</v>
      </c>
      <c r="C39" s="12">
        <f t="shared" si="4"/>
        <v>39252496.4375</v>
      </c>
      <c r="D39" s="294">
        <f t="shared" si="5"/>
        <v>7065449.3587500006</v>
      </c>
      <c r="E39" s="294"/>
      <c r="F39" s="12">
        <f t="shared" si="2"/>
        <v>39252496.4375</v>
      </c>
      <c r="G39" s="13">
        <f t="shared" si="0"/>
        <v>274767475.0625</v>
      </c>
    </row>
    <row r="40" spans="1:8" x14ac:dyDescent="0.25">
      <c r="A40" s="135">
        <f>A39+92</f>
        <v>47276</v>
      </c>
      <c r="B40" s="11" t="s">
        <v>10</v>
      </c>
      <c r="C40" s="12">
        <f t="shared" si="4"/>
        <v>39252496.4375</v>
      </c>
      <c r="D40" s="294">
        <f t="shared" si="5"/>
        <v>6182268.1889062496</v>
      </c>
      <c r="E40" s="294"/>
      <c r="F40" s="12">
        <f t="shared" si="2"/>
        <v>39252496.4375</v>
      </c>
      <c r="G40" s="13">
        <f t="shared" si="0"/>
        <v>235514978.625</v>
      </c>
    </row>
    <row r="41" spans="1:8" x14ac:dyDescent="0.25">
      <c r="A41" s="135">
        <f>A40+92</f>
        <v>47368</v>
      </c>
      <c r="B41" s="11" t="s">
        <v>10</v>
      </c>
      <c r="C41" s="12">
        <f t="shared" si="4"/>
        <v>39252496.4375</v>
      </c>
      <c r="D41" s="294">
        <f t="shared" si="5"/>
        <v>5299087.0190624995</v>
      </c>
      <c r="E41" s="294"/>
      <c r="F41" s="12">
        <f t="shared" si="2"/>
        <v>39252496.4375</v>
      </c>
      <c r="G41" s="13">
        <f t="shared" si="0"/>
        <v>196262482.1875</v>
      </c>
    </row>
    <row r="42" spans="1:8" x14ac:dyDescent="0.25">
      <c r="A42" s="135">
        <f>A41+91</f>
        <v>47459</v>
      </c>
      <c r="B42" s="11" t="s">
        <v>10</v>
      </c>
      <c r="C42" s="12">
        <f t="shared" si="4"/>
        <v>39252496.4375</v>
      </c>
      <c r="D42" s="294">
        <f t="shared" si="5"/>
        <v>4415905.8492187494</v>
      </c>
      <c r="E42" s="294"/>
      <c r="F42" s="12">
        <f t="shared" si="2"/>
        <v>39252496.4375</v>
      </c>
      <c r="G42" s="13">
        <f t="shared" si="0"/>
        <v>157009985.75</v>
      </c>
    </row>
    <row r="43" spans="1:8" x14ac:dyDescent="0.25">
      <c r="A43" s="135">
        <f>A42+90</f>
        <v>47549</v>
      </c>
      <c r="B43" s="11" t="s">
        <v>10</v>
      </c>
      <c r="C43" s="12">
        <f t="shared" si="4"/>
        <v>39252496.4375</v>
      </c>
      <c r="D43" s="294">
        <f t="shared" si="5"/>
        <v>3532724.6793750003</v>
      </c>
      <c r="E43" s="294"/>
      <c r="F43" s="12">
        <f t="shared" si="2"/>
        <v>39252496.4375</v>
      </c>
      <c r="G43" s="13">
        <f t="shared" si="0"/>
        <v>117757489.3125</v>
      </c>
    </row>
    <row r="44" spans="1:8" x14ac:dyDescent="0.25">
      <c r="A44" s="135">
        <f>A43+92</f>
        <v>47641</v>
      </c>
      <c r="B44" s="11" t="s">
        <v>10</v>
      </c>
      <c r="C44" s="12">
        <f t="shared" si="4"/>
        <v>39252496.4375</v>
      </c>
      <c r="D44" s="294">
        <f t="shared" si="5"/>
        <v>2649543.5095312498</v>
      </c>
      <c r="E44" s="294"/>
      <c r="F44" s="12">
        <f t="shared" si="2"/>
        <v>39252496.4375</v>
      </c>
      <c r="G44" s="13">
        <f t="shared" si="0"/>
        <v>78504992.875</v>
      </c>
    </row>
    <row r="45" spans="1:8" x14ac:dyDescent="0.25">
      <c r="A45" s="135">
        <f>A44+92</f>
        <v>47733</v>
      </c>
      <c r="B45" s="11" t="s">
        <v>10</v>
      </c>
      <c r="C45" s="12">
        <f t="shared" si="4"/>
        <v>39252496.4375</v>
      </c>
      <c r="D45" s="294">
        <f t="shared" si="5"/>
        <v>1766362.3396875001</v>
      </c>
      <c r="E45" s="294"/>
      <c r="F45" s="12">
        <f t="shared" si="2"/>
        <v>39252496.4375</v>
      </c>
      <c r="G45" s="13">
        <f t="shared" si="0"/>
        <v>39252496.4375</v>
      </c>
    </row>
    <row r="46" spans="1:8" x14ac:dyDescent="0.25">
      <c r="A46" s="135">
        <f>A45+91</f>
        <v>47824</v>
      </c>
      <c r="B46" s="11" t="s">
        <v>10</v>
      </c>
      <c r="C46" s="12">
        <f t="shared" si="4"/>
        <v>39252496.4375</v>
      </c>
      <c r="D46" s="294">
        <f t="shared" si="5"/>
        <v>883181.16984375007</v>
      </c>
      <c r="E46" s="294"/>
      <c r="F46" s="12">
        <f t="shared" si="2"/>
        <v>39252496.4375</v>
      </c>
      <c r="G46" s="13">
        <f t="shared" si="0"/>
        <v>0</v>
      </c>
    </row>
    <row r="47" spans="1:8" x14ac:dyDescent="0.25">
      <c r="A47" s="15"/>
      <c r="B47" s="16" t="s">
        <v>11</v>
      </c>
      <c r="C47" s="17">
        <f>SUM(C6:C46)</f>
        <v>1256079886</v>
      </c>
      <c r="D47" s="17">
        <f t="shared" ref="D47:F47" si="6">SUM(D6:D46)</f>
        <v>673572838.86749995</v>
      </c>
      <c r="E47" s="17">
        <f t="shared" si="6"/>
        <v>0</v>
      </c>
      <c r="F47" s="17">
        <f t="shared" si="6"/>
        <v>1256079886</v>
      </c>
      <c r="G47" s="18"/>
    </row>
    <row r="48" spans="1:8" x14ac:dyDescent="0.25">
      <c r="A48" s="19" t="s">
        <v>42</v>
      </c>
      <c r="B48" s="20"/>
      <c r="C48" s="20"/>
      <c r="D48" s="20"/>
      <c r="E48" s="20"/>
      <c r="F48" s="20"/>
      <c r="G48" s="20"/>
      <c r="H48" s="20"/>
    </row>
    <row r="49" spans="1:10" x14ac:dyDescent="0.25">
      <c r="A49" s="39"/>
      <c r="B49" s="315" t="s">
        <v>3148</v>
      </c>
      <c r="C49" s="315" t="s">
        <v>3149</v>
      </c>
      <c r="D49" s="315" t="s">
        <v>3150</v>
      </c>
      <c r="E49" s="315"/>
      <c r="F49" s="315"/>
      <c r="G49" s="315"/>
      <c r="H49" s="315"/>
      <c r="I49" s="315"/>
      <c r="J49" s="315"/>
    </row>
    <row r="50" spans="1:10" ht="25.5" x14ac:dyDescent="0.25">
      <c r="A50" s="39" t="s">
        <v>2829</v>
      </c>
      <c r="B50" s="88">
        <v>0.04</v>
      </c>
      <c r="C50" s="88">
        <v>4.4999999999999998E-2</v>
      </c>
      <c r="D50" s="33">
        <v>0.05</v>
      </c>
      <c r="E50" s="33"/>
      <c r="F50" s="33"/>
      <c r="G50" s="33"/>
      <c r="H50" s="33"/>
      <c r="I50" s="33"/>
      <c r="J50" s="33"/>
    </row>
    <row r="51" spans="1:10" x14ac:dyDescent="0.25">
      <c r="A51" s="39" t="s">
        <v>370</v>
      </c>
      <c r="B51" s="88">
        <v>0.04</v>
      </c>
      <c r="C51" s="88">
        <v>0.04</v>
      </c>
      <c r="D51" s="88">
        <v>0.04</v>
      </c>
      <c r="E51" s="88">
        <v>0.04</v>
      </c>
      <c r="F51" s="88">
        <v>0.04</v>
      </c>
      <c r="G51" s="88">
        <v>0.04</v>
      </c>
      <c r="H51" s="88">
        <v>0.04</v>
      </c>
      <c r="I51" s="88">
        <v>0.04</v>
      </c>
      <c r="J51" s="88">
        <v>0.04</v>
      </c>
    </row>
    <row r="52" spans="1:10" x14ac:dyDescent="0.25">
      <c r="A52" s="39" t="s">
        <v>377</v>
      </c>
      <c r="B52" s="67">
        <v>90</v>
      </c>
      <c r="C52" s="67">
        <v>90</v>
      </c>
      <c r="D52" s="67">
        <v>90</v>
      </c>
      <c r="E52" s="67">
        <v>90</v>
      </c>
      <c r="F52" s="67">
        <v>90</v>
      </c>
      <c r="G52" s="67">
        <v>90</v>
      </c>
      <c r="H52" s="67">
        <v>90</v>
      </c>
      <c r="I52" s="67">
        <v>90</v>
      </c>
      <c r="J52" s="67">
        <v>90</v>
      </c>
    </row>
    <row r="53" spans="1:10" x14ac:dyDescent="0.25">
      <c r="A53" s="39" t="s">
        <v>2973</v>
      </c>
      <c r="B53" s="73">
        <f>B50+B51</f>
        <v>0.08</v>
      </c>
      <c r="C53" s="73">
        <f>C50+C51</f>
        <v>8.4999999999999992E-2</v>
      </c>
      <c r="D53" s="89">
        <f>D50+D51</f>
        <v>0.09</v>
      </c>
      <c r="E53" s="73">
        <f>E50+E51</f>
        <v>0.04</v>
      </c>
      <c r="F53" s="73">
        <f t="shared" ref="F53:J53" si="7">(1+(F50+F51)/90)^90-1</f>
        <v>4.0801525322470722E-2</v>
      </c>
      <c r="G53" s="73">
        <f t="shared" si="7"/>
        <v>4.0801525322470722E-2</v>
      </c>
      <c r="H53" s="73">
        <f t="shared" si="7"/>
        <v>4.0801525322470722E-2</v>
      </c>
      <c r="I53" s="73">
        <f t="shared" si="7"/>
        <v>4.0801525322470722E-2</v>
      </c>
      <c r="J53" s="73">
        <f t="shared" si="7"/>
        <v>4.0801525322470722E-2</v>
      </c>
    </row>
    <row r="54" spans="1:10" x14ac:dyDescent="0.25">
      <c r="A54" s="43" t="s">
        <v>39</v>
      </c>
      <c r="B54" s="44"/>
      <c r="C54" s="44"/>
      <c r="D54" s="44"/>
      <c r="E54" s="44">
        <f>+D10</f>
        <v>25121597.719999995</v>
      </c>
      <c r="F54" s="44">
        <f>+C$24+C$25+C$26+C$27</f>
        <v>157009985.75</v>
      </c>
      <c r="G54" s="44">
        <f>+C$28+C$29+C$30+C$31</f>
        <v>157009985.75</v>
      </c>
      <c r="H54" s="44">
        <f>+C$32+C$33+C$34+C$35</f>
        <v>157009985.75</v>
      </c>
      <c r="I54" s="44">
        <f>+C$36+C$37+C$38+C$39</f>
        <v>157009985.75</v>
      </c>
      <c r="J54" s="44">
        <f>+C$40+C$41+C$42+C$43</f>
        <v>157009985.75</v>
      </c>
    </row>
    <row r="55" spans="1:10" x14ac:dyDescent="0.25">
      <c r="F55" s="82"/>
    </row>
    <row r="56" spans="1:10" x14ac:dyDescent="0.25">
      <c r="F56" s="82"/>
    </row>
    <row r="60" spans="1:10" x14ac:dyDescent="0.25">
      <c r="B60" s="50"/>
      <c r="C60" s="50"/>
    </row>
  </sheetData>
  <mergeCells count="4">
    <mergeCell ref="A1:G1"/>
    <mergeCell ref="A2:G2"/>
    <mergeCell ref="A3:G3"/>
    <mergeCell ref="A4:G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7030A0"/>
  </sheetPr>
  <dimension ref="A1:R171"/>
  <sheetViews>
    <sheetView zoomScale="90" zoomScaleNormal="90" workbookViewId="0">
      <selection activeCell="E23" sqref="E23"/>
    </sheetView>
  </sheetViews>
  <sheetFormatPr baseColWidth="10" defaultColWidth="11.5703125" defaultRowHeight="15" x14ac:dyDescent="0.25"/>
  <cols>
    <col min="1" max="1" width="15" customWidth="1"/>
    <col min="2" max="2" width="18.5703125" bestFit="1" customWidth="1"/>
    <col min="3" max="3" width="17.42578125" bestFit="1" customWidth="1"/>
    <col min="4" max="4" width="17.7109375" customWidth="1"/>
    <col min="5" max="5" width="19"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x14ac:dyDescent="0.25">
      <c r="A1" s="511" t="s">
        <v>2</v>
      </c>
      <c r="B1" s="512"/>
      <c r="C1" s="512"/>
      <c r="D1" s="512"/>
      <c r="E1" s="512"/>
      <c r="F1" s="512"/>
      <c r="G1" s="512"/>
      <c r="H1" s="512"/>
    </row>
    <row r="2" spans="1:15" ht="15.75" customHeight="1" x14ac:dyDescent="0.25">
      <c r="A2" s="511" t="s">
        <v>3099</v>
      </c>
      <c r="B2" s="512"/>
      <c r="C2" s="512"/>
      <c r="D2" s="512"/>
      <c r="E2" s="512"/>
      <c r="F2" s="512"/>
      <c r="G2" s="512"/>
      <c r="H2" s="512"/>
    </row>
    <row r="3" spans="1:15" ht="15.75" customHeight="1" x14ac:dyDescent="0.25">
      <c r="A3" s="511" t="s">
        <v>3098</v>
      </c>
      <c r="B3" s="512"/>
      <c r="C3" s="512"/>
      <c r="D3" s="512"/>
      <c r="E3" s="512"/>
      <c r="F3" s="512"/>
      <c r="G3" s="512"/>
      <c r="H3" s="512"/>
    </row>
    <row r="4" spans="1:15" ht="15.75" thickBot="1" x14ac:dyDescent="0.3">
      <c r="A4" s="515" t="s">
        <v>3100</v>
      </c>
      <c r="B4" s="516"/>
      <c r="C4" s="516"/>
      <c r="D4" s="516"/>
      <c r="E4" s="516"/>
      <c r="F4" s="516"/>
      <c r="G4" s="516"/>
      <c r="H4" s="516"/>
    </row>
    <row r="5" spans="1:15" ht="60.75" thickBot="1" x14ac:dyDescent="0.3">
      <c r="A5" s="103" t="s">
        <v>5</v>
      </c>
      <c r="B5" s="2" t="s">
        <v>6</v>
      </c>
      <c r="C5" s="3" t="s">
        <v>7</v>
      </c>
      <c r="D5" s="3" t="s">
        <v>40</v>
      </c>
      <c r="E5" s="3" t="s">
        <v>41</v>
      </c>
      <c r="F5" s="3" t="s">
        <v>3132</v>
      </c>
      <c r="G5" s="4" t="s">
        <v>3058</v>
      </c>
      <c r="H5" s="5" t="s">
        <v>8</v>
      </c>
    </row>
    <row r="6" spans="1:15" x14ac:dyDescent="0.25">
      <c r="A6" s="6">
        <v>43677</v>
      </c>
      <c r="B6" s="7" t="s">
        <v>359</v>
      </c>
      <c r="C6" s="8">
        <v>0</v>
      </c>
      <c r="D6" s="8">
        <v>0</v>
      </c>
      <c r="E6" s="8"/>
      <c r="F6" s="8"/>
      <c r="G6" s="8"/>
      <c r="H6" s="9">
        <v>6902203650</v>
      </c>
      <c r="I6" s="54"/>
    </row>
    <row r="7" spans="1:15" s="106" customFormat="1" x14ac:dyDescent="0.25">
      <c r="A7" s="329">
        <f>+A6+31</f>
        <v>43708</v>
      </c>
      <c r="B7" s="297" t="s">
        <v>9</v>
      </c>
      <c r="C7" s="294">
        <v>0</v>
      </c>
      <c r="D7" s="294">
        <f>H6*$B$160*B$159/360</f>
        <v>35160975.760375001</v>
      </c>
      <c r="E7" s="294">
        <v>35160975.760375001</v>
      </c>
      <c r="F7" s="294"/>
      <c r="G7" s="294">
        <f>E7+C7+F7</f>
        <v>35160975.760375001</v>
      </c>
      <c r="H7" s="298">
        <f t="shared" ref="H7:H38" si="0">+H6-C7</f>
        <v>6902203650</v>
      </c>
      <c r="J7" s="408"/>
    </row>
    <row r="8" spans="1:15" x14ac:dyDescent="0.25">
      <c r="A8" s="10">
        <f>+A7+30</f>
        <v>43738</v>
      </c>
      <c r="B8" s="11" t="s">
        <v>9</v>
      </c>
      <c r="C8" s="12">
        <v>0</v>
      </c>
      <c r="D8" s="12">
        <f>H7*$C$160*C$159/360</f>
        <v>35206990.451375</v>
      </c>
      <c r="E8" s="12">
        <v>35206990.451375</v>
      </c>
      <c r="F8" s="12"/>
      <c r="G8" s="294">
        <f t="shared" ref="G8:G71" si="1">E8+C8+F8</f>
        <v>35206990.451375</v>
      </c>
      <c r="H8" s="13">
        <f t="shared" si="0"/>
        <v>6902203650</v>
      </c>
      <c r="I8" s="54"/>
      <c r="J8" s="76"/>
      <c r="K8" s="76"/>
    </row>
    <row r="9" spans="1:15" x14ac:dyDescent="0.25">
      <c r="A9" s="10">
        <f>+A8+31</f>
        <v>43769</v>
      </c>
      <c r="B9" s="11" t="s">
        <v>9</v>
      </c>
      <c r="C9" s="12">
        <v>0</v>
      </c>
      <c r="D9" s="12">
        <f>H8*$D$160*D$159/360</f>
        <v>35155223.923999995</v>
      </c>
      <c r="E9" s="12">
        <v>35155223.923999995</v>
      </c>
      <c r="F9" s="12"/>
      <c r="G9" s="294">
        <f t="shared" si="1"/>
        <v>35155223.923999995</v>
      </c>
      <c r="H9" s="13">
        <f t="shared" si="0"/>
        <v>6902203650</v>
      </c>
    </row>
    <row r="10" spans="1:15" x14ac:dyDescent="0.25">
      <c r="A10" s="10">
        <f>+A9+30</f>
        <v>43799</v>
      </c>
      <c r="B10" s="11" t="s">
        <v>9</v>
      </c>
      <c r="C10" s="12">
        <v>0</v>
      </c>
      <c r="D10" s="12">
        <f>H9*$E$160*E$159/360</f>
        <v>35183983.105875</v>
      </c>
      <c r="E10" s="12">
        <v>35183983.105875</v>
      </c>
      <c r="F10" s="12"/>
      <c r="G10" s="294">
        <f t="shared" si="1"/>
        <v>35183983.105875</v>
      </c>
      <c r="H10" s="13">
        <f t="shared" si="0"/>
        <v>6902203650</v>
      </c>
    </row>
    <row r="11" spans="1:15" x14ac:dyDescent="0.25">
      <c r="A11" s="10">
        <f>+A10+31</f>
        <v>43830</v>
      </c>
      <c r="B11" s="11" t="s">
        <v>9</v>
      </c>
      <c r="C11" s="12">
        <v>0</v>
      </c>
      <c r="D11" s="12">
        <f>H10*$F$160*F$159/360</f>
        <v>35183983.105875</v>
      </c>
      <c r="E11" s="12">
        <v>35183983.105875</v>
      </c>
      <c r="F11" s="12"/>
      <c r="G11" s="294">
        <f t="shared" si="1"/>
        <v>35183983.105875</v>
      </c>
      <c r="H11" s="13">
        <f t="shared" si="0"/>
        <v>6902203650</v>
      </c>
    </row>
    <row r="12" spans="1:15" x14ac:dyDescent="0.25">
      <c r="A12" s="10">
        <f>+A11+31</f>
        <v>43861</v>
      </c>
      <c r="B12" s="11" t="s">
        <v>9</v>
      </c>
      <c r="C12" s="12">
        <v>0</v>
      </c>
      <c r="D12" s="12">
        <f>H11*$G$160*G$159/360</f>
        <v>35155223.923999995</v>
      </c>
      <c r="E12" s="12">
        <v>35155223.923999995</v>
      </c>
      <c r="F12" s="12"/>
      <c r="G12" s="294">
        <f t="shared" si="1"/>
        <v>35155223.923999995</v>
      </c>
      <c r="H12" s="13">
        <f t="shared" si="0"/>
        <v>6902203650</v>
      </c>
    </row>
    <row r="13" spans="1:15" x14ac:dyDescent="0.25">
      <c r="A13" s="10">
        <f>+A12+29</f>
        <v>43890</v>
      </c>
      <c r="B13" s="11" t="s">
        <v>9</v>
      </c>
      <c r="C13" s="12">
        <v>0</v>
      </c>
      <c r="D13" s="12">
        <f>H12*$H$160*H$159/360</f>
        <v>35166727.596749999</v>
      </c>
      <c r="E13" s="12">
        <v>35166727.596749999</v>
      </c>
      <c r="F13" s="12"/>
      <c r="G13" s="294">
        <f t="shared" si="1"/>
        <v>35166727.596749999</v>
      </c>
      <c r="H13" s="13">
        <f t="shared" si="0"/>
        <v>6902203650</v>
      </c>
      <c r="J13" s="105"/>
      <c r="K13" s="105"/>
    </row>
    <row r="14" spans="1:15" x14ac:dyDescent="0.25">
      <c r="A14" s="10">
        <f t="shared" ref="A14:A31" si="2">+A13+31</f>
        <v>43921</v>
      </c>
      <c r="B14" s="11" t="s">
        <v>9</v>
      </c>
      <c r="C14" s="12">
        <v>0</v>
      </c>
      <c r="D14" s="12">
        <f>H13*$I$160*I$159/360</f>
        <v>35172479.433124997</v>
      </c>
      <c r="E14" s="12">
        <v>35172479.433124997</v>
      </c>
      <c r="F14" s="12"/>
      <c r="G14" s="294">
        <f t="shared" si="1"/>
        <v>35172479.433124997</v>
      </c>
      <c r="H14" s="13">
        <f t="shared" si="0"/>
        <v>6902203650</v>
      </c>
      <c r="J14" s="105"/>
      <c r="N14" s="54"/>
      <c r="O14" s="54"/>
    </row>
    <row r="15" spans="1:15" x14ac:dyDescent="0.25">
      <c r="A15" s="10">
        <f>+A14+30</f>
        <v>43951</v>
      </c>
      <c r="B15" s="11" t="s">
        <v>9</v>
      </c>
      <c r="C15" s="12">
        <v>0</v>
      </c>
      <c r="D15" s="18">
        <f>H14*$J$160*J$159/360</f>
        <v>32210283.699999999</v>
      </c>
      <c r="E15" s="18">
        <v>32210283.699999999</v>
      </c>
      <c r="F15" s="294"/>
      <c r="G15" s="294">
        <f>C15</f>
        <v>0</v>
      </c>
      <c r="H15" s="13">
        <f t="shared" si="0"/>
        <v>6902203650</v>
      </c>
      <c r="J15" s="105"/>
    </row>
    <row r="16" spans="1:15" x14ac:dyDescent="0.25">
      <c r="A16" s="10">
        <f t="shared" si="2"/>
        <v>43982</v>
      </c>
      <c r="B16" s="11" t="s">
        <v>9</v>
      </c>
      <c r="C16" s="12">
        <v>0</v>
      </c>
      <c r="D16" s="18">
        <f>H15*$K$160*K$159/360</f>
        <v>29294102.657875001</v>
      </c>
      <c r="E16" s="18">
        <v>29294102.657875001</v>
      </c>
      <c r="F16" s="294"/>
      <c r="G16" s="294">
        <f t="shared" ref="G16:G19" si="3">C16</f>
        <v>0</v>
      </c>
      <c r="H16" s="13">
        <f t="shared" si="0"/>
        <v>6902203650</v>
      </c>
      <c r="J16" s="105"/>
    </row>
    <row r="17" spans="1:8" x14ac:dyDescent="0.25">
      <c r="A17" s="10">
        <f>+A16+30</f>
        <v>44012</v>
      </c>
      <c r="B17" s="11" t="s">
        <v>9</v>
      </c>
      <c r="C17" s="12">
        <v>0</v>
      </c>
      <c r="D17" s="18">
        <f>H16*$B$169*B$168/360</f>
        <v>26918594.234999999</v>
      </c>
      <c r="E17" s="18">
        <v>26918594.234999999</v>
      </c>
      <c r="F17" s="294"/>
      <c r="G17" s="294">
        <f t="shared" si="3"/>
        <v>0</v>
      </c>
      <c r="H17" s="13">
        <f t="shared" si="0"/>
        <v>6902203650</v>
      </c>
    </row>
    <row r="18" spans="1:8" x14ac:dyDescent="0.25">
      <c r="A18" s="10">
        <f t="shared" si="2"/>
        <v>44043</v>
      </c>
      <c r="B18" s="11" t="s">
        <v>9</v>
      </c>
      <c r="C18" s="12">
        <v>0</v>
      </c>
      <c r="D18" s="18">
        <f>H17*$C$169*C$168/360</f>
        <v>24957218.031125002</v>
      </c>
      <c r="E18" s="18">
        <v>24957218.031125002</v>
      </c>
      <c r="F18" s="294"/>
      <c r="G18" s="294">
        <f t="shared" si="3"/>
        <v>0</v>
      </c>
      <c r="H18" s="13">
        <f t="shared" si="0"/>
        <v>6902203650</v>
      </c>
    </row>
    <row r="19" spans="1:8" x14ac:dyDescent="0.25">
      <c r="A19" s="10">
        <f t="shared" si="2"/>
        <v>44074</v>
      </c>
      <c r="B19" s="11" t="s">
        <v>9</v>
      </c>
      <c r="C19" s="12">
        <v>0</v>
      </c>
      <c r="D19" s="18">
        <f>H18*$D$169*D$168/360</f>
        <v>24232486.647875004</v>
      </c>
      <c r="E19" s="18">
        <v>24232486.647875004</v>
      </c>
      <c r="F19" s="294"/>
      <c r="G19" s="294">
        <f t="shared" si="3"/>
        <v>0</v>
      </c>
      <c r="H19" s="13">
        <f t="shared" si="0"/>
        <v>6902203650</v>
      </c>
    </row>
    <row r="20" spans="1:8" x14ac:dyDescent="0.25">
      <c r="A20" s="10">
        <f>+A19+30</f>
        <v>44104</v>
      </c>
      <c r="B20" s="11" t="s">
        <v>9</v>
      </c>
      <c r="C20" s="12">
        <v>0</v>
      </c>
      <c r="D20" s="18">
        <f>H19*$E$169*E$168/360</f>
        <v>23018849.17275</v>
      </c>
      <c r="E20" s="18">
        <v>23018849.17275</v>
      </c>
      <c r="F20" s="294">
        <v>195530457</v>
      </c>
      <c r="G20" s="294">
        <f>C20</f>
        <v>0</v>
      </c>
      <c r="H20" s="13">
        <f t="shared" si="0"/>
        <v>6902203650</v>
      </c>
    </row>
    <row r="21" spans="1:8" x14ac:dyDescent="0.25">
      <c r="A21" s="10">
        <f t="shared" si="2"/>
        <v>44135</v>
      </c>
      <c r="B21" s="11" t="s">
        <v>9</v>
      </c>
      <c r="C21" s="12">
        <v>0</v>
      </c>
      <c r="D21" s="294">
        <f>H20*$F$169*F$168/360</f>
        <v>21339312.951250002</v>
      </c>
      <c r="E21" s="294">
        <v>21339312.951250002</v>
      </c>
      <c r="F21" s="12">
        <v>24441307</v>
      </c>
      <c r="G21" s="294">
        <f>E21+C21+F21</f>
        <v>45780619.951250002</v>
      </c>
      <c r="H21" s="13">
        <f t="shared" si="0"/>
        <v>6902203650</v>
      </c>
    </row>
    <row r="22" spans="1:8" x14ac:dyDescent="0.25">
      <c r="A22" s="10">
        <f>+A21+30</f>
        <v>44165</v>
      </c>
      <c r="B22" s="11" t="s">
        <v>9</v>
      </c>
      <c r="C22" s="12">
        <v>0</v>
      </c>
      <c r="D22" s="294">
        <f>H21*$G$169*G$168/360</f>
        <v>21339312.951250002</v>
      </c>
      <c r="E22" s="294">
        <v>21339312.951250002</v>
      </c>
      <c r="F22" s="12">
        <v>24441307</v>
      </c>
      <c r="G22" s="294">
        <f t="shared" si="1"/>
        <v>45780619.951250002</v>
      </c>
      <c r="H22" s="13">
        <f t="shared" si="0"/>
        <v>6902203650</v>
      </c>
    </row>
    <row r="23" spans="1:8" x14ac:dyDescent="0.25">
      <c r="A23" s="10">
        <f t="shared" si="2"/>
        <v>44196</v>
      </c>
      <c r="B23" s="11" t="s">
        <v>9</v>
      </c>
      <c r="C23" s="12">
        <v>0</v>
      </c>
      <c r="D23" s="294">
        <f>H22*$H$169*H$168/360</f>
        <v>21385327.642250001</v>
      </c>
      <c r="E23" s="294">
        <v>21385327.642250001</v>
      </c>
      <c r="F23" s="12">
        <v>24441307</v>
      </c>
      <c r="G23" s="294">
        <f t="shared" si="1"/>
        <v>45826634.642250001</v>
      </c>
      <c r="H23" s="13">
        <f t="shared" si="0"/>
        <v>6902203650</v>
      </c>
    </row>
    <row r="24" spans="1:8" x14ac:dyDescent="0.25">
      <c r="A24" s="10">
        <f t="shared" si="2"/>
        <v>44227</v>
      </c>
      <c r="B24" s="11" t="s">
        <v>9</v>
      </c>
      <c r="C24" s="12">
        <v>0</v>
      </c>
      <c r="D24" s="294">
        <f>H23*$I$169*I$168/360</f>
        <v>21350816.624000002</v>
      </c>
      <c r="E24" s="294">
        <v>21350817</v>
      </c>
      <c r="F24" s="12">
        <v>24441307</v>
      </c>
      <c r="G24" s="294">
        <f t="shared" si="1"/>
        <v>45792124</v>
      </c>
      <c r="H24" s="13">
        <f t="shared" si="0"/>
        <v>6902203650</v>
      </c>
    </row>
    <row r="25" spans="1:8" x14ac:dyDescent="0.25">
      <c r="A25" s="10">
        <f>+A24+28</f>
        <v>44255</v>
      </c>
      <c r="B25" s="11" t="s">
        <v>9</v>
      </c>
      <c r="C25" s="12">
        <v>0</v>
      </c>
      <c r="D25" s="294">
        <f t="shared" ref="D25:D35" si="4">H24*$J$169*J$168/360</f>
        <v>34511018.25</v>
      </c>
      <c r="E25" s="12"/>
      <c r="F25" s="12">
        <v>24441307</v>
      </c>
      <c r="G25" s="294">
        <f t="shared" si="1"/>
        <v>24441307</v>
      </c>
      <c r="H25" s="13">
        <f t="shared" si="0"/>
        <v>6902203650</v>
      </c>
    </row>
    <row r="26" spans="1:8" x14ac:dyDescent="0.25">
      <c r="A26" s="10">
        <f t="shared" si="2"/>
        <v>44286</v>
      </c>
      <c r="B26" s="11" t="s">
        <v>9</v>
      </c>
      <c r="C26" s="12">
        <v>0</v>
      </c>
      <c r="D26" s="294">
        <f t="shared" si="4"/>
        <v>34511018.25</v>
      </c>
      <c r="E26" s="12"/>
      <c r="F26" s="12">
        <v>24441307</v>
      </c>
      <c r="G26" s="294">
        <f t="shared" si="1"/>
        <v>24441307</v>
      </c>
      <c r="H26" s="13">
        <f t="shared" si="0"/>
        <v>6902203650</v>
      </c>
    </row>
    <row r="27" spans="1:8" x14ac:dyDescent="0.25">
      <c r="A27" s="10">
        <f>+A26+30</f>
        <v>44316</v>
      </c>
      <c r="B27" s="11" t="s">
        <v>9</v>
      </c>
      <c r="C27" s="12">
        <v>0</v>
      </c>
      <c r="D27" s="294">
        <f t="shared" si="4"/>
        <v>34511018.25</v>
      </c>
      <c r="E27" s="12"/>
      <c r="F27" s="12">
        <v>24441307</v>
      </c>
      <c r="G27" s="294">
        <f t="shared" si="1"/>
        <v>24441307</v>
      </c>
      <c r="H27" s="13">
        <f t="shared" si="0"/>
        <v>6902203650</v>
      </c>
    </row>
    <row r="28" spans="1:8" x14ac:dyDescent="0.25">
      <c r="A28" s="10">
        <f t="shared" si="2"/>
        <v>44347</v>
      </c>
      <c r="B28" s="11" t="s">
        <v>9</v>
      </c>
      <c r="C28" s="12">
        <v>0</v>
      </c>
      <c r="D28" s="294">
        <f t="shared" si="4"/>
        <v>34511018.25</v>
      </c>
      <c r="E28" s="12"/>
      <c r="F28" s="12">
        <v>24441307</v>
      </c>
      <c r="G28" s="294">
        <f t="shared" si="1"/>
        <v>24441307</v>
      </c>
      <c r="H28" s="13">
        <f t="shared" si="0"/>
        <v>6902203650</v>
      </c>
    </row>
    <row r="29" spans="1:8" x14ac:dyDescent="0.25">
      <c r="A29" s="10">
        <f>+A28+30</f>
        <v>44377</v>
      </c>
      <c r="B29" s="11" t="s">
        <v>9</v>
      </c>
      <c r="C29" s="12">
        <v>0</v>
      </c>
      <c r="D29" s="294">
        <f t="shared" si="4"/>
        <v>34511018.25</v>
      </c>
      <c r="E29" s="12"/>
      <c r="F29" s="12"/>
      <c r="G29" s="294">
        <f t="shared" si="1"/>
        <v>0</v>
      </c>
      <c r="H29" s="13">
        <f t="shared" si="0"/>
        <v>6902203650</v>
      </c>
    </row>
    <row r="30" spans="1:8" x14ac:dyDescent="0.25">
      <c r="A30" s="10">
        <f t="shared" si="2"/>
        <v>44408</v>
      </c>
      <c r="B30" s="11" t="s">
        <v>9</v>
      </c>
      <c r="C30" s="12">
        <v>0</v>
      </c>
      <c r="D30" s="294">
        <f t="shared" si="4"/>
        <v>34511018.25</v>
      </c>
      <c r="E30" s="12"/>
      <c r="F30" s="12"/>
      <c r="G30" s="294">
        <f t="shared" si="1"/>
        <v>0</v>
      </c>
      <c r="H30" s="13">
        <f t="shared" si="0"/>
        <v>6902203650</v>
      </c>
    </row>
    <row r="31" spans="1:8" x14ac:dyDescent="0.25">
      <c r="A31" s="10">
        <f t="shared" si="2"/>
        <v>44439</v>
      </c>
      <c r="B31" s="11" t="s">
        <v>10</v>
      </c>
      <c r="C31" s="12">
        <f>+H18/120</f>
        <v>57518363.75</v>
      </c>
      <c r="D31" s="294">
        <f t="shared" si="4"/>
        <v>34511018.25</v>
      </c>
      <c r="E31" s="12"/>
      <c r="F31" s="12"/>
      <c r="G31" s="294">
        <f t="shared" si="1"/>
        <v>57518363.75</v>
      </c>
      <c r="H31" s="13">
        <f t="shared" si="0"/>
        <v>6844685286.25</v>
      </c>
    </row>
    <row r="32" spans="1:8" x14ac:dyDescent="0.25">
      <c r="A32" s="10">
        <f>+A31+30</f>
        <v>44469</v>
      </c>
      <c r="B32" s="11" t="s">
        <v>10</v>
      </c>
      <c r="C32" s="12">
        <v>57518363.75</v>
      </c>
      <c r="D32" s="294">
        <f t="shared" si="4"/>
        <v>34223426.431249999</v>
      </c>
      <c r="E32" s="12"/>
      <c r="F32" s="12"/>
      <c r="G32" s="294">
        <f t="shared" si="1"/>
        <v>57518363.75</v>
      </c>
      <c r="H32" s="13">
        <f t="shared" si="0"/>
        <v>6787166922.5</v>
      </c>
    </row>
    <row r="33" spans="1:8" x14ac:dyDescent="0.25">
      <c r="A33" s="10">
        <f>+A32+31</f>
        <v>44500</v>
      </c>
      <c r="B33" s="11" t="s">
        <v>10</v>
      </c>
      <c r="C33" s="12">
        <v>57518363.75</v>
      </c>
      <c r="D33" s="294">
        <f t="shared" si="4"/>
        <v>33935834.612499997</v>
      </c>
      <c r="E33" s="12"/>
      <c r="F33" s="12"/>
      <c r="G33" s="294">
        <f t="shared" si="1"/>
        <v>57518363.75</v>
      </c>
      <c r="H33" s="13">
        <f t="shared" si="0"/>
        <v>6729648558.75</v>
      </c>
    </row>
    <row r="34" spans="1:8" x14ac:dyDescent="0.25">
      <c r="A34" s="10">
        <f>+A33+30</f>
        <v>44530</v>
      </c>
      <c r="B34" s="11" t="s">
        <v>10</v>
      </c>
      <c r="C34" s="12">
        <v>57518363.75</v>
      </c>
      <c r="D34" s="294">
        <f t="shared" si="4"/>
        <v>33648242.793750003</v>
      </c>
      <c r="E34" s="12"/>
      <c r="F34" s="12"/>
      <c r="G34" s="294">
        <f t="shared" si="1"/>
        <v>57518363.75</v>
      </c>
      <c r="H34" s="13">
        <f t="shared" si="0"/>
        <v>6672130195</v>
      </c>
    </row>
    <row r="35" spans="1:8" x14ac:dyDescent="0.25">
      <c r="A35" s="10">
        <f>+A34+31</f>
        <v>44561</v>
      </c>
      <c r="B35" s="11" t="s">
        <v>10</v>
      </c>
      <c r="C35" s="12">
        <v>57518363.75</v>
      </c>
      <c r="D35" s="294">
        <f t="shared" si="4"/>
        <v>33360650.975000001</v>
      </c>
      <c r="E35" s="12"/>
      <c r="F35" s="12"/>
      <c r="G35" s="294">
        <f t="shared" si="1"/>
        <v>57518363.75</v>
      </c>
      <c r="H35" s="13">
        <f t="shared" si="0"/>
        <v>6614611831.25</v>
      </c>
    </row>
    <row r="36" spans="1:8" x14ac:dyDescent="0.25">
      <c r="A36" s="10">
        <f>+A35+31</f>
        <v>44592</v>
      </c>
      <c r="B36" s="11" t="s">
        <v>10</v>
      </c>
      <c r="C36" s="12">
        <v>57518363.75</v>
      </c>
      <c r="D36" s="294">
        <f t="shared" ref="D36:D47" si="5">H35*$K$169*K$168/360</f>
        <v>35829147.419270836</v>
      </c>
      <c r="E36" s="12"/>
      <c r="F36" s="12"/>
      <c r="G36" s="294">
        <f t="shared" si="1"/>
        <v>57518363.75</v>
      </c>
      <c r="H36" s="13">
        <f t="shared" si="0"/>
        <v>6557093467.5</v>
      </c>
    </row>
    <row r="37" spans="1:8" x14ac:dyDescent="0.25">
      <c r="A37" s="10">
        <f>+A36+28</f>
        <v>44620</v>
      </c>
      <c r="B37" s="11" t="s">
        <v>10</v>
      </c>
      <c r="C37" s="12">
        <v>57518363.75</v>
      </c>
      <c r="D37" s="294">
        <f t="shared" si="5"/>
        <v>35517589.615625001</v>
      </c>
      <c r="E37" s="12"/>
      <c r="F37" s="12"/>
      <c r="G37" s="294">
        <f t="shared" si="1"/>
        <v>57518363.75</v>
      </c>
      <c r="H37" s="13">
        <f t="shared" si="0"/>
        <v>6499575103.75</v>
      </c>
    </row>
    <row r="38" spans="1:8" x14ac:dyDescent="0.25">
      <c r="A38" s="10">
        <f>+A37+31</f>
        <v>44651</v>
      </c>
      <c r="B38" s="11" t="s">
        <v>10</v>
      </c>
      <c r="C38" s="12">
        <v>57518363.75</v>
      </c>
      <c r="D38" s="294">
        <f t="shared" si="5"/>
        <v>35206031.811979175</v>
      </c>
      <c r="E38" s="12"/>
      <c r="F38" s="12"/>
      <c r="G38" s="294">
        <f t="shared" si="1"/>
        <v>57518363.75</v>
      </c>
      <c r="H38" s="13">
        <f t="shared" si="0"/>
        <v>6442056740</v>
      </c>
    </row>
    <row r="39" spans="1:8" x14ac:dyDescent="0.25">
      <c r="A39" s="10">
        <f>+A38+30</f>
        <v>44681</v>
      </c>
      <c r="B39" s="11" t="s">
        <v>10</v>
      </c>
      <c r="C39" s="12">
        <v>57518363.75</v>
      </c>
      <c r="D39" s="294">
        <f t="shared" si="5"/>
        <v>34894474.008333333</v>
      </c>
      <c r="E39" s="12"/>
      <c r="F39" s="12"/>
      <c r="G39" s="294">
        <f t="shared" si="1"/>
        <v>57518363.75</v>
      </c>
      <c r="H39" s="13">
        <f t="shared" ref="H39:H70" si="6">+H38-C39</f>
        <v>6384538376.25</v>
      </c>
    </row>
    <row r="40" spans="1:8" x14ac:dyDescent="0.25">
      <c r="A40" s="10">
        <f>+A39+31</f>
        <v>44712</v>
      </c>
      <c r="B40" s="11" t="s">
        <v>10</v>
      </c>
      <c r="C40" s="12">
        <v>57518363.75</v>
      </c>
      <c r="D40" s="294">
        <f t="shared" si="5"/>
        <v>34582916.204687499</v>
      </c>
      <c r="E40" s="12"/>
      <c r="F40" s="12"/>
      <c r="G40" s="294">
        <f t="shared" si="1"/>
        <v>57518363.75</v>
      </c>
      <c r="H40" s="13">
        <f t="shared" si="6"/>
        <v>6327020012.5</v>
      </c>
    </row>
    <row r="41" spans="1:8" x14ac:dyDescent="0.25">
      <c r="A41" s="10">
        <f>+A40+30</f>
        <v>44742</v>
      </c>
      <c r="B41" s="11" t="s">
        <v>10</v>
      </c>
      <c r="C41" s="12">
        <v>57518363.75</v>
      </c>
      <c r="D41" s="294">
        <f t="shared" si="5"/>
        <v>34271358.401041664</v>
      </c>
      <c r="E41" s="12"/>
      <c r="F41" s="12"/>
      <c r="G41" s="294">
        <f t="shared" si="1"/>
        <v>57518363.75</v>
      </c>
      <c r="H41" s="13">
        <f t="shared" si="6"/>
        <v>6269501648.75</v>
      </c>
    </row>
    <row r="42" spans="1:8" x14ac:dyDescent="0.25">
      <c r="A42" s="10">
        <f>+A41+31</f>
        <v>44773</v>
      </c>
      <c r="B42" s="11" t="s">
        <v>10</v>
      </c>
      <c r="C42" s="12">
        <v>57518363.75</v>
      </c>
      <c r="D42" s="294">
        <f t="shared" si="5"/>
        <v>33959800.59739583</v>
      </c>
      <c r="E42" s="12"/>
      <c r="F42" s="12"/>
      <c r="G42" s="294">
        <f t="shared" si="1"/>
        <v>57518363.75</v>
      </c>
      <c r="H42" s="13">
        <f t="shared" si="6"/>
        <v>6211983285</v>
      </c>
    </row>
    <row r="43" spans="1:8" x14ac:dyDescent="0.25">
      <c r="A43" s="10">
        <f>+A42+31</f>
        <v>44804</v>
      </c>
      <c r="B43" s="11" t="s">
        <v>10</v>
      </c>
      <c r="C43" s="12">
        <v>57518363.75</v>
      </c>
      <c r="D43" s="294">
        <f t="shared" si="5"/>
        <v>33648242.793750003</v>
      </c>
      <c r="E43" s="12"/>
      <c r="F43" s="12"/>
      <c r="G43" s="294">
        <f t="shared" si="1"/>
        <v>57518363.75</v>
      </c>
      <c r="H43" s="13">
        <f t="shared" si="6"/>
        <v>6154464921.25</v>
      </c>
    </row>
    <row r="44" spans="1:8" x14ac:dyDescent="0.25">
      <c r="A44" s="10">
        <f>+A43+30</f>
        <v>44834</v>
      </c>
      <c r="B44" s="11" t="s">
        <v>10</v>
      </c>
      <c r="C44" s="12">
        <v>57518363.75</v>
      </c>
      <c r="D44" s="294">
        <f t="shared" si="5"/>
        <v>33336684.990104165</v>
      </c>
      <c r="E44" s="12"/>
      <c r="F44" s="12"/>
      <c r="G44" s="294">
        <f t="shared" si="1"/>
        <v>57518363.75</v>
      </c>
      <c r="H44" s="13">
        <f t="shared" si="6"/>
        <v>6096946557.5</v>
      </c>
    </row>
    <row r="45" spans="1:8" x14ac:dyDescent="0.25">
      <c r="A45" s="10">
        <f>+A44+31</f>
        <v>44865</v>
      </c>
      <c r="B45" s="11" t="s">
        <v>10</v>
      </c>
      <c r="C45" s="12">
        <v>57518363.75</v>
      </c>
      <c r="D45" s="294">
        <f t="shared" si="5"/>
        <v>33025127.186458334</v>
      </c>
      <c r="E45" s="12"/>
      <c r="F45" s="12"/>
      <c r="G45" s="294">
        <f t="shared" si="1"/>
        <v>57518363.75</v>
      </c>
      <c r="H45" s="13">
        <f t="shared" si="6"/>
        <v>6039428193.75</v>
      </c>
    </row>
    <row r="46" spans="1:8" x14ac:dyDescent="0.25">
      <c r="A46" s="10">
        <f>+A45+30</f>
        <v>44895</v>
      </c>
      <c r="B46" s="11" t="s">
        <v>10</v>
      </c>
      <c r="C46" s="12">
        <v>57518363.75</v>
      </c>
      <c r="D46" s="294">
        <f t="shared" si="5"/>
        <v>32713569.3828125</v>
      </c>
      <c r="E46" s="12"/>
      <c r="F46" s="12"/>
      <c r="G46" s="294">
        <f t="shared" si="1"/>
        <v>57518363.75</v>
      </c>
      <c r="H46" s="13">
        <f t="shared" si="6"/>
        <v>5981909830</v>
      </c>
    </row>
    <row r="47" spans="1:8" x14ac:dyDescent="0.25">
      <c r="A47" s="10">
        <f>+A46+31</f>
        <v>44926</v>
      </c>
      <c r="B47" s="11" t="s">
        <v>10</v>
      </c>
      <c r="C47" s="12">
        <v>57518363.75</v>
      </c>
      <c r="D47" s="294">
        <f t="shared" si="5"/>
        <v>32402011.579166666</v>
      </c>
      <c r="E47" s="12"/>
      <c r="F47" s="12"/>
      <c r="G47" s="294">
        <f t="shared" si="1"/>
        <v>57518363.75</v>
      </c>
      <c r="H47" s="13">
        <f t="shared" si="6"/>
        <v>5924391466.25</v>
      </c>
    </row>
    <row r="48" spans="1:8" x14ac:dyDescent="0.25">
      <c r="A48" s="10">
        <f>+A47+31</f>
        <v>44957</v>
      </c>
      <c r="B48" s="11" t="s">
        <v>10</v>
      </c>
      <c r="C48" s="12">
        <v>57518363.75</v>
      </c>
      <c r="D48" s="294">
        <f t="shared" ref="D48:D79" si="7">H47*$L$169*L$168/360</f>
        <v>34558950.219791673</v>
      </c>
      <c r="E48" s="12"/>
      <c r="F48" s="12"/>
      <c r="G48" s="294">
        <f t="shared" si="1"/>
        <v>57518363.75</v>
      </c>
      <c r="H48" s="13">
        <f t="shared" si="6"/>
        <v>5866873102.5</v>
      </c>
    </row>
    <row r="49" spans="1:8" x14ac:dyDescent="0.25">
      <c r="A49" s="10">
        <f>+A48+28</f>
        <v>44985</v>
      </c>
      <c r="B49" s="11" t="s">
        <v>10</v>
      </c>
      <c r="C49" s="12">
        <v>57518363.75</v>
      </c>
      <c r="D49" s="294">
        <f t="shared" si="7"/>
        <v>34223426.431249999</v>
      </c>
      <c r="E49" s="12"/>
      <c r="F49" s="12"/>
      <c r="G49" s="294">
        <f t="shared" si="1"/>
        <v>57518363.75</v>
      </c>
      <c r="H49" s="13">
        <f t="shared" si="6"/>
        <v>5809354738.75</v>
      </c>
    </row>
    <row r="50" spans="1:8" x14ac:dyDescent="0.25">
      <c r="A50" s="10">
        <f>+A49+31</f>
        <v>45016</v>
      </c>
      <c r="B50" s="11" t="s">
        <v>10</v>
      </c>
      <c r="C50" s="12">
        <v>57518363.75</v>
      </c>
      <c r="D50" s="294">
        <f t="shared" si="7"/>
        <v>33887902.642708339</v>
      </c>
      <c r="E50" s="12"/>
      <c r="F50" s="12"/>
      <c r="G50" s="294">
        <f t="shared" si="1"/>
        <v>57518363.75</v>
      </c>
      <c r="H50" s="13">
        <f t="shared" si="6"/>
        <v>5751836375</v>
      </c>
    </row>
    <row r="51" spans="1:8" x14ac:dyDescent="0.25">
      <c r="A51" s="10">
        <f>+A50+30</f>
        <v>45046</v>
      </c>
      <c r="B51" s="11" t="s">
        <v>10</v>
      </c>
      <c r="C51" s="12">
        <v>57518363.75</v>
      </c>
      <c r="D51" s="294">
        <f t="shared" si="7"/>
        <v>33552378.854166672</v>
      </c>
      <c r="E51" s="12"/>
      <c r="F51" s="12"/>
      <c r="G51" s="294">
        <f t="shared" si="1"/>
        <v>57518363.75</v>
      </c>
      <c r="H51" s="13">
        <f t="shared" si="6"/>
        <v>5694318011.25</v>
      </c>
    </row>
    <row r="52" spans="1:8" x14ac:dyDescent="0.25">
      <c r="A52" s="10">
        <f>+A51+31</f>
        <v>45077</v>
      </c>
      <c r="B52" s="11" t="s">
        <v>10</v>
      </c>
      <c r="C52" s="12">
        <v>57518363.75</v>
      </c>
      <c r="D52" s="294">
        <f t="shared" si="7"/>
        <v>33216855.065625001</v>
      </c>
      <c r="E52" s="12"/>
      <c r="F52" s="12"/>
      <c r="G52" s="294">
        <f t="shared" si="1"/>
        <v>57518363.75</v>
      </c>
      <c r="H52" s="13">
        <f t="shared" si="6"/>
        <v>5636799647.5</v>
      </c>
    </row>
    <row r="53" spans="1:8" x14ac:dyDescent="0.25">
      <c r="A53" s="10">
        <f>+A52+30</f>
        <v>45107</v>
      </c>
      <c r="B53" s="11" t="s">
        <v>10</v>
      </c>
      <c r="C53" s="12">
        <v>57518363.75</v>
      </c>
      <c r="D53" s="294">
        <f t="shared" si="7"/>
        <v>32881331.277083337</v>
      </c>
      <c r="E53" s="12"/>
      <c r="F53" s="12"/>
      <c r="G53" s="294">
        <f t="shared" si="1"/>
        <v>57518363.75</v>
      </c>
      <c r="H53" s="13">
        <f t="shared" si="6"/>
        <v>5579281283.75</v>
      </c>
    </row>
    <row r="54" spans="1:8" x14ac:dyDescent="0.25">
      <c r="A54" s="10">
        <f>+A53+31</f>
        <v>45138</v>
      </c>
      <c r="B54" s="11" t="s">
        <v>10</v>
      </c>
      <c r="C54" s="12">
        <v>57518363.75</v>
      </c>
      <c r="D54" s="294">
        <f t="shared" si="7"/>
        <v>32545807.488541666</v>
      </c>
      <c r="E54" s="12"/>
      <c r="F54" s="12"/>
      <c r="G54" s="294">
        <f t="shared" si="1"/>
        <v>57518363.75</v>
      </c>
      <c r="H54" s="13">
        <f t="shared" si="6"/>
        <v>5521762920</v>
      </c>
    </row>
    <row r="55" spans="1:8" x14ac:dyDescent="0.25">
      <c r="A55" s="10">
        <f>+A54+31</f>
        <v>45169</v>
      </c>
      <c r="B55" s="11" t="s">
        <v>10</v>
      </c>
      <c r="C55" s="12">
        <v>57518363.75</v>
      </c>
      <c r="D55" s="294">
        <f t="shared" si="7"/>
        <v>32210283.700000007</v>
      </c>
      <c r="E55" s="12"/>
      <c r="F55" s="12"/>
      <c r="G55" s="294">
        <f t="shared" si="1"/>
        <v>57518363.75</v>
      </c>
      <c r="H55" s="13">
        <f t="shared" si="6"/>
        <v>5464244556.25</v>
      </c>
    </row>
    <row r="56" spans="1:8" x14ac:dyDescent="0.25">
      <c r="A56" s="10">
        <f>+A55+30</f>
        <v>45199</v>
      </c>
      <c r="B56" s="11" t="s">
        <v>10</v>
      </c>
      <c r="C56" s="12">
        <v>57518363.75</v>
      </c>
      <c r="D56" s="294">
        <f t="shared" si="7"/>
        <v>31874759.91145834</v>
      </c>
      <c r="E56" s="12"/>
      <c r="F56" s="12"/>
      <c r="G56" s="294">
        <f t="shared" si="1"/>
        <v>57518363.75</v>
      </c>
      <c r="H56" s="13">
        <f t="shared" si="6"/>
        <v>5406726192.5</v>
      </c>
    </row>
    <row r="57" spans="1:8" x14ac:dyDescent="0.25">
      <c r="A57" s="10">
        <f>+A56+31</f>
        <v>45230</v>
      </c>
      <c r="B57" s="11" t="s">
        <v>10</v>
      </c>
      <c r="C57" s="12">
        <v>57518363.75</v>
      </c>
      <c r="D57" s="294">
        <f t="shared" si="7"/>
        <v>31539236.122916665</v>
      </c>
      <c r="E57" s="12"/>
      <c r="F57" s="12"/>
      <c r="G57" s="294">
        <f t="shared" si="1"/>
        <v>57518363.75</v>
      </c>
      <c r="H57" s="13">
        <f t="shared" si="6"/>
        <v>5349207828.75</v>
      </c>
    </row>
    <row r="58" spans="1:8" x14ac:dyDescent="0.25">
      <c r="A58" s="10">
        <f>+A57+30</f>
        <v>45260</v>
      </c>
      <c r="B58" s="11" t="s">
        <v>10</v>
      </c>
      <c r="C58" s="12">
        <v>57518363.75</v>
      </c>
      <c r="D58" s="294">
        <f t="shared" si="7"/>
        <v>31203712.334375005</v>
      </c>
      <c r="E58" s="12"/>
      <c r="F58" s="12"/>
      <c r="G58" s="294">
        <f t="shared" si="1"/>
        <v>57518363.75</v>
      </c>
      <c r="H58" s="13">
        <f t="shared" si="6"/>
        <v>5291689465</v>
      </c>
    </row>
    <row r="59" spans="1:8" x14ac:dyDescent="0.25">
      <c r="A59" s="10">
        <f>+A58+31</f>
        <v>45291</v>
      </c>
      <c r="B59" s="11" t="s">
        <v>10</v>
      </c>
      <c r="C59" s="12">
        <v>57518363.75</v>
      </c>
      <c r="D59" s="294">
        <f t="shared" si="7"/>
        <v>30868188.545833334</v>
      </c>
      <c r="E59" s="12"/>
      <c r="F59" s="12"/>
      <c r="G59" s="294">
        <f t="shared" si="1"/>
        <v>57518363.75</v>
      </c>
      <c r="H59" s="13">
        <f t="shared" si="6"/>
        <v>5234171101.25</v>
      </c>
    </row>
    <row r="60" spans="1:8" x14ac:dyDescent="0.25">
      <c r="A60" s="10">
        <f>+A59+31</f>
        <v>45322</v>
      </c>
      <c r="B60" s="11" t="s">
        <v>10</v>
      </c>
      <c r="C60" s="12">
        <v>57518363.75</v>
      </c>
      <c r="D60" s="294">
        <f t="shared" si="7"/>
        <v>30532664.757291671</v>
      </c>
      <c r="E60" s="12"/>
      <c r="F60" s="12"/>
      <c r="G60" s="294">
        <f t="shared" si="1"/>
        <v>57518363.75</v>
      </c>
      <c r="H60" s="13">
        <f t="shared" si="6"/>
        <v>5176652737.5</v>
      </c>
    </row>
    <row r="61" spans="1:8" x14ac:dyDescent="0.25">
      <c r="A61" s="10">
        <f>+A60+29</f>
        <v>45351</v>
      </c>
      <c r="B61" s="11" t="s">
        <v>10</v>
      </c>
      <c r="C61" s="12">
        <v>57518363.75</v>
      </c>
      <c r="D61" s="294">
        <f t="shared" si="7"/>
        <v>30197140.968750004</v>
      </c>
      <c r="E61" s="12"/>
      <c r="F61" s="12"/>
      <c r="G61" s="294">
        <f t="shared" si="1"/>
        <v>57518363.75</v>
      </c>
      <c r="H61" s="13">
        <f t="shared" si="6"/>
        <v>5119134373.75</v>
      </c>
    </row>
    <row r="62" spans="1:8" x14ac:dyDescent="0.25">
      <c r="A62" s="10">
        <f>+A61+30</f>
        <v>45381</v>
      </c>
      <c r="B62" s="11" t="s">
        <v>10</v>
      </c>
      <c r="C62" s="12">
        <v>57518363.75</v>
      </c>
      <c r="D62" s="294">
        <f t="shared" si="7"/>
        <v>29861617.180208333</v>
      </c>
      <c r="E62" s="12"/>
      <c r="F62" s="12"/>
      <c r="G62" s="294">
        <f t="shared" si="1"/>
        <v>57518363.75</v>
      </c>
      <c r="H62" s="13">
        <f t="shared" si="6"/>
        <v>5061616010</v>
      </c>
    </row>
    <row r="63" spans="1:8" x14ac:dyDescent="0.25">
      <c r="A63" s="10">
        <f>+A62+31</f>
        <v>45412</v>
      </c>
      <c r="B63" s="11" t="s">
        <v>10</v>
      </c>
      <c r="C63" s="12">
        <v>57518363.75</v>
      </c>
      <c r="D63" s="294">
        <f t="shared" si="7"/>
        <v>29526093.391666673</v>
      </c>
      <c r="E63" s="12"/>
      <c r="F63" s="12"/>
      <c r="G63" s="294">
        <f t="shared" si="1"/>
        <v>57518363.75</v>
      </c>
      <c r="H63" s="13">
        <f t="shared" si="6"/>
        <v>5004097646.25</v>
      </c>
    </row>
    <row r="64" spans="1:8" x14ac:dyDescent="0.25">
      <c r="A64" s="10">
        <f>+A63+31</f>
        <v>45443</v>
      </c>
      <c r="B64" s="11" t="s">
        <v>10</v>
      </c>
      <c r="C64" s="12">
        <v>57518363.75</v>
      </c>
      <c r="D64" s="294">
        <f t="shared" si="7"/>
        <v>29190569.603124999</v>
      </c>
      <c r="E64" s="12"/>
      <c r="F64" s="12"/>
      <c r="G64" s="294">
        <f t="shared" si="1"/>
        <v>57518363.75</v>
      </c>
      <c r="H64" s="13">
        <f t="shared" si="6"/>
        <v>4946579282.5</v>
      </c>
    </row>
    <row r="65" spans="1:8" x14ac:dyDescent="0.25">
      <c r="A65" s="10">
        <f>+A64+30</f>
        <v>45473</v>
      </c>
      <c r="B65" s="11" t="s">
        <v>10</v>
      </c>
      <c r="C65" s="12">
        <v>57518363.75</v>
      </c>
      <c r="D65" s="294">
        <f t="shared" si="7"/>
        <v>28855045.814583339</v>
      </c>
      <c r="E65" s="12"/>
      <c r="F65" s="12"/>
      <c r="G65" s="294">
        <f t="shared" si="1"/>
        <v>57518363.75</v>
      </c>
      <c r="H65" s="13">
        <f t="shared" si="6"/>
        <v>4889060918.75</v>
      </c>
    </row>
    <row r="66" spans="1:8" x14ac:dyDescent="0.25">
      <c r="A66" s="10">
        <f>+A65+31</f>
        <v>45504</v>
      </c>
      <c r="B66" s="11" t="s">
        <v>10</v>
      </c>
      <c r="C66" s="12">
        <v>57518363.75</v>
      </c>
      <c r="D66" s="294">
        <f t="shared" si="7"/>
        <v>28519522.026041672</v>
      </c>
      <c r="E66" s="12"/>
      <c r="F66" s="12"/>
      <c r="G66" s="294">
        <f t="shared" si="1"/>
        <v>57518363.75</v>
      </c>
      <c r="H66" s="13">
        <f t="shared" si="6"/>
        <v>4831542555</v>
      </c>
    </row>
    <row r="67" spans="1:8" x14ac:dyDescent="0.25">
      <c r="A67" s="10">
        <f>+A66+31</f>
        <v>45535</v>
      </c>
      <c r="B67" s="11" t="s">
        <v>10</v>
      </c>
      <c r="C67" s="12">
        <v>57518363.75</v>
      </c>
      <c r="D67" s="294">
        <f t="shared" si="7"/>
        <v>28183998.237500001</v>
      </c>
      <c r="E67" s="12"/>
      <c r="F67" s="12"/>
      <c r="G67" s="294">
        <f t="shared" si="1"/>
        <v>57518363.75</v>
      </c>
      <c r="H67" s="13">
        <f t="shared" si="6"/>
        <v>4774024191.25</v>
      </c>
    </row>
    <row r="68" spans="1:8" x14ac:dyDescent="0.25">
      <c r="A68" s="10">
        <f>+A67+30</f>
        <v>45565</v>
      </c>
      <c r="B68" s="11" t="s">
        <v>10</v>
      </c>
      <c r="C68" s="12">
        <v>57518363.75</v>
      </c>
      <c r="D68" s="294">
        <f t="shared" si="7"/>
        <v>27848474.448958337</v>
      </c>
      <c r="E68" s="12"/>
      <c r="F68" s="12"/>
      <c r="G68" s="294">
        <f t="shared" si="1"/>
        <v>57518363.75</v>
      </c>
      <c r="H68" s="13">
        <f t="shared" si="6"/>
        <v>4716505827.5</v>
      </c>
    </row>
    <row r="69" spans="1:8" x14ac:dyDescent="0.25">
      <c r="A69" s="10">
        <f>+A68+31</f>
        <v>45596</v>
      </c>
      <c r="B69" s="11" t="s">
        <v>10</v>
      </c>
      <c r="C69" s="12">
        <v>57518363.75</v>
      </c>
      <c r="D69" s="294">
        <f t="shared" si="7"/>
        <v>27512950.660416666</v>
      </c>
      <c r="E69" s="12"/>
      <c r="F69" s="12"/>
      <c r="G69" s="294">
        <f t="shared" si="1"/>
        <v>57518363.75</v>
      </c>
      <c r="H69" s="13">
        <f t="shared" si="6"/>
        <v>4658987463.75</v>
      </c>
    </row>
    <row r="70" spans="1:8" x14ac:dyDescent="0.25">
      <c r="A70" s="10">
        <f>+A69+30</f>
        <v>45626</v>
      </c>
      <c r="B70" s="11" t="s">
        <v>10</v>
      </c>
      <c r="C70" s="12">
        <v>57518363.75</v>
      </c>
      <c r="D70" s="294">
        <f t="shared" si="7"/>
        <v>27177426.871875007</v>
      </c>
      <c r="E70" s="12"/>
      <c r="F70" s="12"/>
      <c r="G70" s="294">
        <f t="shared" si="1"/>
        <v>57518363.75</v>
      </c>
      <c r="H70" s="13">
        <f t="shared" si="6"/>
        <v>4601469100</v>
      </c>
    </row>
    <row r="71" spans="1:8" x14ac:dyDescent="0.25">
      <c r="A71" s="10">
        <f>+A70+31</f>
        <v>45657</v>
      </c>
      <c r="B71" s="11" t="s">
        <v>10</v>
      </c>
      <c r="C71" s="12">
        <v>57518363.75</v>
      </c>
      <c r="D71" s="294">
        <f t="shared" si="7"/>
        <v>26841903.08333334</v>
      </c>
      <c r="E71" s="12"/>
      <c r="F71" s="12"/>
      <c r="G71" s="294">
        <f t="shared" si="1"/>
        <v>57518363.75</v>
      </c>
      <c r="H71" s="13">
        <f t="shared" ref="H71:H102" si="8">+H70-C71</f>
        <v>4543950736.25</v>
      </c>
    </row>
    <row r="72" spans="1:8" x14ac:dyDescent="0.25">
      <c r="A72" s="10">
        <f>+A71+31</f>
        <v>45688</v>
      </c>
      <c r="B72" s="11" t="s">
        <v>10</v>
      </c>
      <c r="C72" s="12">
        <v>57518363.75</v>
      </c>
      <c r="D72" s="294">
        <f t="shared" si="7"/>
        <v>26506379.294791665</v>
      </c>
      <c r="E72" s="12"/>
      <c r="F72" s="12"/>
      <c r="G72" s="294">
        <f t="shared" ref="G72:G135" si="9">E72+C72+F72</f>
        <v>57518363.75</v>
      </c>
      <c r="H72" s="13">
        <f t="shared" si="8"/>
        <v>4486432372.5</v>
      </c>
    </row>
    <row r="73" spans="1:8" x14ac:dyDescent="0.25">
      <c r="A73" s="10">
        <f>+A72+28</f>
        <v>45716</v>
      </c>
      <c r="B73" s="11" t="s">
        <v>10</v>
      </c>
      <c r="C73" s="12">
        <v>57518363.75</v>
      </c>
      <c r="D73" s="294">
        <f t="shared" si="7"/>
        <v>26170855.506250005</v>
      </c>
      <c r="E73" s="12"/>
      <c r="F73" s="12"/>
      <c r="G73" s="294">
        <f t="shared" si="9"/>
        <v>57518363.75</v>
      </c>
      <c r="H73" s="13">
        <f t="shared" si="8"/>
        <v>4428914008.75</v>
      </c>
    </row>
    <row r="74" spans="1:8" x14ac:dyDescent="0.25">
      <c r="A74" s="10">
        <f>+A73+31</f>
        <v>45747</v>
      </c>
      <c r="B74" s="11" t="s">
        <v>10</v>
      </c>
      <c r="C74" s="12">
        <v>57518363.75</v>
      </c>
      <c r="D74" s="294">
        <f t="shared" si="7"/>
        <v>25835331.717708334</v>
      </c>
      <c r="E74" s="12"/>
      <c r="F74" s="12"/>
      <c r="G74" s="294">
        <f t="shared" si="9"/>
        <v>57518363.75</v>
      </c>
      <c r="H74" s="13">
        <f t="shared" si="8"/>
        <v>4371395645</v>
      </c>
    </row>
    <row r="75" spans="1:8" x14ac:dyDescent="0.25">
      <c r="A75" s="10">
        <f>+A74+30</f>
        <v>45777</v>
      </c>
      <c r="B75" s="11" t="s">
        <v>10</v>
      </c>
      <c r="C75" s="12">
        <v>57518363.75</v>
      </c>
      <c r="D75" s="294">
        <f t="shared" si="7"/>
        <v>25499807.929166671</v>
      </c>
      <c r="E75" s="12"/>
      <c r="F75" s="12"/>
      <c r="G75" s="294">
        <f t="shared" si="9"/>
        <v>57518363.75</v>
      </c>
      <c r="H75" s="13">
        <f t="shared" si="8"/>
        <v>4313877281.25</v>
      </c>
    </row>
    <row r="76" spans="1:8" x14ac:dyDescent="0.25">
      <c r="A76" s="10">
        <f>+A75+31</f>
        <v>45808</v>
      </c>
      <c r="B76" s="11" t="s">
        <v>10</v>
      </c>
      <c r="C76" s="12">
        <v>57518363.75</v>
      </c>
      <c r="D76" s="294">
        <f t="shared" si="7"/>
        <v>25164284.140625</v>
      </c>
      <c r="E76" s="12"/>
      <c r="F76" s="12"/>
      <c r="G76" s="294">
        <f t="shared" si="9"/>
        <v>57518363.75</v>
      </c>
      <c r="H76" s="13">
        <f t="shared" si="8"/>
        <v>4256358917.5</v>
      </c>
    </row>
    <row r="77" spans="1:8" x14ac:dyDescent="0.25">
      <c r="A77" s="10">
        <f>+A76+30</f>
        <v>45838</v>
      </c>
      <c r="B77" s="11" t="s">
        <v>10</v>
      </c>
      <c r="C77" s="12">
        <v>57518363.75</v>
      </c>
      <c r="D77" s="294">
        <f t="shared" si="7"/>
        <v>24828760.352083333</v>
      </c>
      <c r="E77" s="12"/>
      <c r="F77" s="12"/>
      <c r="G77" s="294">
        <f t="shared" si="9"/>
        <v>57518363.75</v>
      </c>
      <c r="H77" s="13">
        <f t="shared" si="8"/>
        <v>4198840553.75</v>
      </c>
    </row>
    <row r="78" spans="1:8" x14ac:dyDescent="0.25">
      <c r="A78" s="10">
        <f>+A77+31</f>
        <v>45869</v>
      </c>
      <c r="B78" s="11" t="s">
        <v>10</v>
      </c>
      <c r="C78" s="12">
        <v>57518363.75</v>
      </c>
      <c r="D78" s="294">
        <f t="shared" si="7"/>
        <v>24493236.563541673</v>
      </c>
      <c r="E78" s="12"/>
      <c r="F78" s="12"/>
      <c r="G78" s="294">
        <f t="shared" si="9"/>
        <v>57518363.75</v>
      </c>
      <c r="H78" s="13">
        <f t="shared" si="8"/>
        <v>4141322190</v>
      </c>
    </row>
    <row r="79" spans="1:8" x14ac:dyDescent="0.25">
      <c r="A79" s="10">
        <f>+A78+31</f>
        <v>45900</v>
      </c>
      <c r="B79" s="11" t="s">
        <v>10</v>
      </c>
      <c r="C79" s="12">
        <v>57518363.75</v>
      </c>
      <c r="D79" s="294">
        <f t="shared" si="7"/>
        <v>24157712.774999999</v>
      </c>
      <c r="E79" s="12"/>
      <c r="F79" s="12"/>
      <c r="G79" s="294">
        <f t="shared" si="9"/>
        <v>57518363.75</v>
      </c>
      <c r="H79" s="13">
        <f t="shared" si="8"/>
        <v>4083803826.25</v>
      </c>
    </row>
    <row r="80" spans="1:8" x14ac:dyDescent="0.25">
      <c r="A80" s="10">
        <f>+A79+30</f>
        <v>45930</v>
      </c>
      <c r="B80" s="11" t="s">
        <v>10</v>
      </c>
      <c r="C80" s="12">
        <v>57518363.75</v>
      </c>
      <c r="D80" s="294">
        <f t="shared" ref="D80:D111" si="10">H79*$L$169*L$168/360</f>
        <v>23822188.986458335</v>
      </c>
      <c r="E80" s="12"/>
      <c r="F80" s="12"/>
      <c r="G80" s="294">
        <f t="shared" si="9"/>
        <v>57518363.75</v>
      </c>
      <c r="H80" s="13">
        <f t="shared" si="8"/>
        <v>4026285462.5</v>
      </c>
    </row>
    <row r="81" spans="1:8" x14ac:dyDescent="0.25">
      <c r="A81" s="10">
        <f>+A80+31</f>
        <v>45961</v>
      </c>
      <c r="B81" s="11" t="s">
        <v>10</v>
      </c>
      <c r="C81" s="12">
        <v>57518363.75</v>
      </c>
      <c r="D81" s="294">
        <f t="shared" si="10"/>
        <v>23486665.197916668</v>
      </c>
      <c r="E81" s="12"/>
      <c r="F81" s="12"/>
      <c r="G81" s="294">
        <f t="shared" si="9"/>
        <v>57518363.75</v>
      </c>
      <c r="H81" s="13">
        <f t="shared" si="8"/>
        <v>3968767098.75</v>
      </c>
    </row>
    <row r="82" spans="1:8" x14ac:dyDescent="0.25">
      <c r="A82" s="10">
        <f>+A81+30</f>
        <v>45991</v>
      </c>
      <c r="B82" s="11" t="s">
        <v>10</v>
      </c>
      <c r="C82" s="12">
        <v>57518363.75</v>
      </c>
      <c r="D82" s="294">
        <f t="shared" si="10"/>
        <v>23151141.409375004</v>
      </c>
      <c r="E82" s="12"/>
      <c r="F82" s="12"/>
      <c r="G82" s="294">
        <f t="shared" si="9"/>
        <v>57518363.75</v>
      </c>
      <c r="H82" s="13">
        <f t="shared" si="8"/>
        <v>3911248735</v>
      </c>
    </row>
    <row r="83" spans="1:8" x14ac:dyDescent="0.25">
      <c r="A83" s="10">
        <f>+A82+31</f>
        <v>46022</v>
      </c>
      <c r="B83" s="11" t="s">
        <v>10</v>
      </c>
      <c r="C83" s="12">
        <v>57518363.75</v>
      </c>
      <c r="D83" s="294">
        <f t="shared" si="10"/>
        <v>22815617.620833337</v>
      </c>
      <c r="E83" s="12"/>
      <c r="F83" s="12"/>
      <c r="G83" s="294">
        <f t="shared" si="9"/>
        <v>57518363.75</v>
      </c>
      <c r="H83" s="13">
        <f t="shared" si="8"/>
        <v>3853730371.25</v>
      </c>
    </row>
    <row r="84" spans="1:8" x14ac:dyDescent="0.25">
      <c r="A84" s="10">
        <f>+A83+31</f>
        <v>46053</v>
      </c>
      <c r="B84" s="11" t="s">
        <v>10</v>
      </c>
      <c r="C84" s="12">
        <v>57518363.75</v>
      </c>
      <c r="D84" s="294">
        <f t="shared" si="10"/>
        <v>22480093.832291666</v>
      </c>
      <c r="E84" s="12"/>
      <c r="F84" s="12"/>
      <c r="G84" s="294">
        <f t="shared" si="9"/>
        <v>57518363.75</v>
      </c>
      <c r="H84" s="13">
        <f t="shared" si="8"/>
        <v>3796212007.5</v>
      </c>
    </row>
    <row r="85" spans="1:8" x14ac:dyDescent="0.25">
      <c r="A85" s="10">
        <f>+A84+28</f>
        <v>46081</v>
      </c>
      <c r="B85" s="11" t="s">
        <v>10</v>
      </c>
      <c r="C85" s="12">
        <v>57518363.75</v>
      </c>
      <c r="D85" s="294">
        <f t="shared" si="10"/>
        <v>22144570.043750003</v>
      </c>
      <c r="E85" s="12"/>
      <c r="F85" s="12"/>
      <c r="G85" s="294">
        <f t="shared" si="9"/>
        <v>57518363.75</v>
      </c>
      <c r="H85" s="13">
        <f t="shared" si="8"/>
        <v>3738693643.75</v>
      </c>
    </row>
    <row r="86" spans="1:8" x14ac:dyDescent="0.25">
      <c r="A86" s="10">
        <f>+A85+31</f>
        <v>46112</v>
      </c>
      <c r="B86" s="11" t="s">
        <v>10</v>
      </c>
      <c r="C86" s="12">
        <v>57518363.75</v>
      </c>
      <c r="D86" s="294">
        <f t="shared" si="10"/>
        <v>21809046.255208336</v>
      </c>
      <c r="E86" s="12"/>
      <c r="F86" s="12"/>
      <c r="G86" s="294">
        <f t="shared" si="9"/>
        <v>57518363.75</v>
      </c>
      <c r="H86" s="13">
        <f t="shared" si="8"/>
        <v>3681175280</v>
      </c>
    </row>
    <row r="87" spans="1:8" x14ac:dyDescent="0.25">
      <c r="A87" s="10">
        <f>+A86+30</f>
        <v>46142</v>
      </c>
      <c r="B87" s="11" t="s">
        <v>10</v>
      </c>
      <c r="C87" s="12">
        <v>57518363.75</v>
      </c>
      <c r="D87" s="294">
        <f t="shared" si="10"/>
        <v>21473522.466666669</v>
      </c>
      <c r="E87" s="12"/>
      <c r="F87" s="12"/>
      <c r="G87" s="294">
        <f t="shared" si="9"/>
        <v>57518363.75</v>
      </c>
      <c r="H87" s="13">
        <f t="shared" si="8"/>
        <v>3623656916.25</v>
      </c>
    </row>
    <row r="88" spans="1:8" x14ac:dyDescent="0.25">
      <c r="A88" s="10">
        <f>+A87+31</f>
        <v>46173</v>
      </c>
      <c r="B88" s="11" t="s">
        <v>10</v>
      </c>
      <c r="C88" s="12">
        <v>57518363.75</v>
      </c>
      <c r="D88" s="294">
        <f t="shared" si="10"/>
        <v>21137998.678125001</v>
      </c>
      <c r="E88" s="12"/>
      <c r="F88" s="12"/>
      <c r="G88" s="294">
        <f t="shared" si="9"/>
        <v>57518363.75</v>
      </c>
      <c r="H88" s="13">
        <f t="shared" si="8"/>
        <v>3566138552.5</v>
      </c>
    </row>
    <row r="89" spans="1:8" x14ac:dyDescent="0.25">
      <c r="A89" s="10">
        <f>+A88+30</f>
        <v>46203</v>
      </c>
      <c r="B89" s="11" t="s">
        <v>10</v>
      </c>
      <c r="C89" s="12">
        <v>57518363.75</v>
      </c>
      <c r="D89" s="294">
        <f t="shared" si="10"/>
        <v>20802474.889583334</v>
      </c>
      <c r="E89" s="12"/>
      <c r="F89" s="12"/>
      <c r="G89" s="294">
        <f t="shared" si="9"/>
        <v>57518363.75</v>
      </c>
      <c r="H89" s="13">
        <f t="shared" si="8"/>
        <v>3508620188.75</v>
      </c>
    </row>
    <row r="90" spans="1:8" x14ac:dyDescent="0.25">
      <c r="A90" s="10">
        <f>+A89+31</f>
        <v>46234</v>
      </c>
      <c r="B90" s="11" t="s">
        <v>10</v>
      </c>
      <c r="C90" s="12">
        <v>57518363.75</v>
      </c>
      <c r="D90" s="294">
        <f t="shared" si="10"/>
        <v>20466951.101041671</v>
      </c>
      <c r="E90" s="12"/>
      <c r="F90" s="12"/>
      <c r="G90" s="294">
        <f t="shared" si="9"/>
        <v>57518363.75</v>
      </c>
      <c r="H90" s="13">
        <f t="shared" si="8"/>
        <v>3451101825</v>
      </c>
    </row>
    <row r="91" spans="1:8" x14ac:dyDescent="0.25">
      <c r="A91" s="10">
        <f>+A90+31</f>
        <v>46265</v>
      </c>
      <c r="B91" s="11" t="s">
        <v>10</v>
      </c>
      <c r="C91" s="12">
        <v>57518363.75</v>
      </c>
      <c r="D91" s="294">
        <f t="shared" si="10"/>
        <v>20131427.312500004</v>
      </c>
      <c r="E91" s="12"/>
      <c r="F91" s="12"/>
      <c r="G91" s="294">
        <f t="shared" si="9"/>
        <v>57518363.75</v>
      </c>
      <c r="H91" s="13">
        <f t="shared" si="8"/>
        <v>3393583461.25</v>
      </c>
    </row>
    <row r="92" spans="1:8" x14ac:dyDescent="0.25">
      <c r="A92" s="10">
        <f>+A91+30</f>
        <v>46295</v>
      </c>
      <c r="B92" s="11" t="s">
        <v>10</v>
      </c>
      <c r="C92" s="12">
        <v>57518363.75</v>
      </c>
      <c r="D92" s="294">
        <f t="shared" si="10"/>
        <v>19795903.523958337</v>
      </c>
      <c r="E92" s="12"/>
      <c r="F92" s="12"/>
      <c r="G92" s="294">
        <f t="shared" si="9"/>
        <v>57518363.75</v>
      </c>
      <c r="H92" s="13">
        <f t="shared" si="8"/>
        <v>3336065097.5</v>
      </c>
    </row>
    <row r="93" spans="1:8" x14ac:dyDescent="0.25">
      <c r="A93" s="10">
        <f>+A92+31</f>
        <v>46326</v>
      </c>
      <c r="B93" s="11" t="s">
        <v>10</v>
      </c>
      <c r="C93" s="12">
        <v>57518363.75</v>
      </c>
      <c r="D93" s="294">
        <f t="shared" si="10"/>
        <v>19460379.735416669</v>
      </c>
      <c r="E93" s="12"/>
      <c r="F93" s="12"/>
      <c r="G93" s="294">
        <f t="shared" si="9"/>
        <v>57518363.75</v>
      </c>
      <c r="H93" s="13">
        <f t="shared" si="8"/>
        <v>3278546733.75</v>
      </c>
    </row>
    <row r="94" spans="1:8" x14ac:dyDescent="0.25">
      <c r="A94" s="10">
        <f>+A93+30</f>
        <v>46356</v>
      </c>
      <c r="B94" s="11" t="s">
        <v>10</v>
      </c>
      <c r="C94" s="12">
        <v>57518363.75</v>
      </c>
      <c r="D94" s="294">
        <f t="shared" si="10"/>
        <v>19124855.946874999</v>
      </c>
      <c r="E94" s="12"/>
      <c r="F94" s="12"/>
      <c r="G94" s="294">
        <f t="shared" si="9"/>
        <v>57518363.75</v>
      </c>
      <c r="H94" s="13">
        <f t="shared" si="8"/>
        <v>3221028370</v>
      </c>
    </row>
    <row r="95" spans="1:8" x14ac:dyDescent="0.25">
      <c r="A95" s="10">
        <f>+A94+31</f>
        <v>46387</v>
      </c>
      <c r="B95" s="11" t="s">
        <v>10</v>
      </c>
      <c r="C95" s="12">
        <v>57518363.75</v>
      </c>
      <c r="D95" s="294">
        <f t="shared" si="10"/>
        <v>18789332.158333335</v>
      </c>
      <c r="E95" s="12"/>
      <c r="F95" s="12"/>
      <c r="G95" s="294">
        <f t="shared" si="9"/>
        <v>57518363.75</v>
      </c>
      <c r="H95" s="13">
        <f t="shared" si="8"/>
        <v>3163510006.25</v>
      </c>
    </row>
    <row r="96" spans="1:8" x14ac:dyDescent="0.25">
      <c r="A96" s="10">
        <f>+A95+31</f>
        <v>46418</v>
      </c>
      <c r="B96" s="11" t="s">
        <v>10</v>
      </c>
      <c r="C96" s="12">
        <v>57518363.75</v>
      </c>
      <c r="D96" s="294">
        <f t="shared" si="10"/>
        <v>18453808.369791668</v>
      </c>
      <c r="E96" s="12"/>
      <c r="F96" s="12"/>
      <c r="G96" s="294">
        <f t="shared" si="9"/>
        <v>57518363.75</v>
      </c>
      <c r="H96" s="13">
        <f t="shared" si="8"/>
        <v>3105991642.5</v>
      </c>
    </row>
    <row r="97" spans="1:8" x14ac:dyDescent="0.25">
      <c r="A97" s="10">
        <f>+A96+28</f>
        <v>46446</v>
      </c>
      <c r="B97" s="11" t="s">
        <v>10</v>
      </c>
      <c r="C97" s="12">
        <v>57518363.75</v>
      </c>
      <c r="D97" s="294">
        <f t="shared" si="10"/>
        <v>18118284.581250004</v>
      </c>
      <c r="E97" s="12"/>
      <c r="F97" s="12"/>
      <c r="G97" s="294">
        <f t="shared" si="9"/>
        <v>57518363.75</v>
      </c>
      <c r="H97" s="13">
        <f t="shared" si="8"/>
        <v>3048473278.75</v>
      </c>
    </row>
    <row r="98" spans="1:8" x14ac:dyDescent="0.25">
      <c r="A98" s="10">
        <f>+A97+31</f>
        <v>46477</v>
      </c>
      <c r="B98" s="11" t="s">
        <v>10</v>
      </c>
      <c r="C98" s="12">
        <v>57518363.75</v>
      </c>
      <c r="D98" s="294">
        <f t="shared" si="10"/>
        <v>17782760.792708337</v>
      </c>
      <c r="E98" s="12"/>
      <c r="F98" s="12"/>
      <c r="G98" s="294">
        <f t="shared" si="9"/>
        <v>57518363.75</v>
      </c>
      <c r="H98" s="13">
        <f t="shared" si="8"/>
        <v>2990954915</v>
      </c>
    </row>
    <row r="99" spans="1:8" x14ac:dyDescent="0.25">
      <c r="A99" s="10">
        <f>+A98+30</f>
        <v>46507</v>
      </c>
      <c r="B99" s="11" t="s">
        <v>10</v>
      </c>
      <c r="C99" s="12">
        <v>57518363.75</v>
      </c>
      <c r="D99" s="294">
        <f t="shared" si="10"/>
        <v>17447237.004166666</v>
      </c>
      <c r="E99" s="12"/>
      <c r="F99" s="12"/>
      <c r="G99" s="294">
        <f t="shared" si="9"/>
        <v>57518363.75</v>
      </c>
      <c r="H99" s="13">
        <f t="shared" si="8"/>
        <v>2933436551.25</v>
      </c>
    </row>
    <row r="100" spans="1:8" x14ac:dyDescent="0.25">
      <c r="A100" s="10">
        <f>+A99+31</f>
        <v>46538</v>
      </c>
      <c r="B100" s="11" t="s">
        <v>10</v>
      </c>
      <c r="C100" s="12">
        <v>57518363.75</v>
      </c>
      <c r="D100" s="294">
        <f t="shared" si="10"/>
        <v>17111713.215624999</v>
      </c>
      <c r="E100" s="12"/>
      <c r="F100" s="12"/>
      <c r="G100" s="294">
        <f t="shared" si="9"/>
        <v>57518363.75</v>
      </c>
      <c r="H100" s="13">
        <f t="shared" si="8"/>
        <v>2875918187.5</v>
      </c>
    </row>
    <row r="101" spans="1:8" x14ac:dyDescent="0.25">
      <c r="A101" s="10">
        <f>+A100+30</f>
        <v>46568</v>
      </c>
      <c r="B101" s="11" t="s">
        <v>10</v>
      </c>
      <c r="C101" s="12">
        <v>57518363.75</v>
      </c>
      <c r="D101" s="294">
        <f t="shared" si="10"/>
        <v>16776189.427083336</v>
      </c>
      <c r="E101" s="12"/>
      <c r="F101" s="12"/>
      <c r="G101" s="294">
        <f t="shared" si="9"/>
        <v>57518363.75</v>
      </c>
      <c r="H101" s="13">
        <f t="shared" si="8"/>
        <v>2818399823.75</v>
      </c>
    </row>
    <row r="102" spans="1:8" x14ac:dyDescent="0.25">
      <c r="A102" s="10">
        <f>+A101+31</f>
        <v>46599</v>
      </c>
      <c r="B102" s="11" t="s">
        <v>10</v>
      </c>
      <c r="C102" s="12">
        <v>57518363.75</v>
      </c>
      <c r="D102" s="294">
        <f t="shared" si="10"/>
        <v>16440665.638541669</v>
      </c>
      <c r="E102" s="12"/>
      <c r="F102" s="12"/>
      <c r="G102" s="294">
        <f t="shared" si="9"/>
        <v>57518363.75</v>
      </c>
      <c r="H102" s="13">
        <f t="shared" si="8"/>
        <v>2760881460</v>
      </c>
    </row>
    <row r="103" spans="1:8" x14ac:dyDescent="0.25">
      <c r="A103" s="10">
        <f>+A102+31</f>
        <v>46630</v>
      </c>
      <c r="B103" s="11" t="s">
        <v>10</v>
      </c>
      <c r="C103" s="12">
        <v>57518363.75</v>
      </c>
      <c r="D103" s="294">
        <f t="shared" si="10"/>
        <v>16105141.850000003</v>
      </c>
      <c r="E103" s="12"/>
      <c r="F103" s="12"/>
      <c r="G103" s="294">
        <f t="shared" si="9"/>
        <v>57518363.75</v>
      </c>
      <c r="H103" s="13">
        <f t="shared" ref="H103:H134" si="11">+H102-C103</f>
        <v>2703363096.25</v>
      </c>
    </row>
    <row r="104" spans="1:8" x14ac:dyDescent="0.25">
      <c r="A104" s="10">
        <f>+A103+30</f>
        <v>46660</v>
      </c>
      <c r="B104" s="11" t="s">
        <v>10</v>
      </c>
      <c r="C104" s="12">
        <v>57518363.75</v>
      </c>
      <c r="D104" s="294">
        <f t="shared" si="10"/>
        <v>15769618.061458332</v>
      </c>
      <c r="E104" s="12"/>
      <c r="F104" s="12"/>
      <c r="G104" s="294">
        <f t="shared" si="9"/>
        <v>57518363.75</v>
      </c>
      <c r="H104" s="13">
        <f t="shared" si="11"/>
        <v>2645844732.5</v>
      </c>
    </row>
    <row r="105" spans="1:8" x14ac:dyDescent="0.25">
      <c r="A105" s="10">
        <f>+A104+31</f>
        <v>46691</v>
      </c>
      <c r="B105" s="11" t="s">
        <v>10</v>
      </c>
      <c r="C105" s="12">
        <v>57518363.75</v>
      </c>
      <c r="D105" s="294">
        <f t="shared" si="10"/>
        <v>15434094.272916667</v>
      </c>
      <c r="E105" s="12"/>
      <c r="F105" s="12"/>
      <c r="G105" s="294">
        <f t="shared" si="9"/>
        <v>57518363.75</v>
      </c>
      <c r="H105" s="13">
        <f t="shared" si="11"/>
        <v>2588326368.75</v>
      </c>
    </row>
    <row r="106" spans="1:8" x14ac:dyDescent="0.25">
      <c r="A106" s="10">
        <f>+A105+30</f>
        <v>46721</v>
      </c>
      <c r="B106" s="11" t="s">
        <v>10</v>
      </c>
      <c r="C106" s="12">
        <v>57518363.75</v>
      </c>
      <c r="D106" s="294">
        <f t="shared" si="10"/>
        <v>15098570.484375002</v>
      </c>
      <c r="E106" s="12"/>
      <c r="F106" s="12"/>
      <c r="G106" s="294">
        <f t="shared" si="9"/>
        <v>57518363.75</v>
      </c>
      <c r="H106" s="13">
        <f t="shared" si="11"/>
        <v>2530808005</v>
      </c>
    </row>
    <row r="107" spans="1:8" x14ac:dyDescent="0.25">
      <c r="A107" s="10">
        <f>+A106+31</f>
        <v>46752</v>
      </c>
      <c r="B107" s="11" t="s">
        <v>10</v>
      </c>
      <c r="C107" s="12">
        <v>57518363.75</v>
      </c>
      <c r="D107" s="294">
        <f t="shared" si="10"/>
        <v>14763046.695833337</v>
      </c>
      <c r="E107" s="12"/>
      <c r="F107" s="12"/>
      <c r="G107" s="294">
        <f t="shared" si="9"/>
        <v>57518363.75</v>
      </c>
      <c r="H107" s="13">
        <f t="shared" si="11"/>
        <v>2473289641.25</v>
      </c>
    </row>
    <row r="108" spans="1:8" x14ac:dyDescent="0.25">
      <c r="A108" s="10">
        <f>+A107+31</f>
        <v>46783</v>
      </c>
      <c r="B108" s="11" t="s">
        <v>10</v>
      </c>
      <c r="C108" s="12">
        <v>57518363.75</v>
      </c>
      <c r="D108" s="294">
        <f t="shared" si="10"/>
        <v>14427522.907291669</v>
      </c>
      <c r="E108" s="12"/>
      <c r="F108" s="12"/>
      <c r="G108" s="294">
        <f t="shared" si="9"/>
        <v>57518363.75</v>
      </c>
      <c r="H108" s="13">
        <f t="shared" si="11"/>
        <v>2415771277.5</v>
      </c>
    </row>
    <row r="109" spans="1:8" x14ac:dyDescent="0.25">
      <c r="A109" s="10">
        <f>+A108+29</f>
        <v>46812</v>
      </c>
      <c r="B109" s="11" t="s">
        <v>10</v>
      </c>
      <c r="C109" s="12">
        <v>57518363.75</v>
      </c>
      <c r="D109" s="294">
        <f t="shared" si="10"/>
        <v>14091999.11875</v>
      </c>
      <c r="E109" s="12"/>
      <c r="F109" s="12"/>
      <c r="G109" s="294">
        <f t="shared" si="9"/>
        <v>57518363.75</v>
      </c>
      <c r="H109" s="13">
        <f t="shared" si="11"/>
        <v>2358252913.75</v>
      </c>
    </row>
    <row r="110" spans="1:8" x14ac:dyDescent="0.25">
      <c r="A110" s="10">
        <f>+A109+31</f>
        <v>46843</v>
      </c>
      <c r="B110" s="11" t="s">
        <v>10</v>
      </c>
      <c r="C110" s="12">
        <v>57518363.75</v>
      </c>
      <c r="D110" s="294">
        <f t="shared" si="10"/>
        <v>13756475.330208333</v>
      </c>
      <c r="E110" s="12"/>
      <c r="F110" s="12"/>
      <c r="G110" s="294">
        <f t="shared" si="9"/>
        <v>57518363.75</v>
      </c>
      <c r="H110" s="13">
        <f t="shared" si="11"/>
        <v>2300734550</v>
      </c>
    </row>
    <row r="111" spans="1:8" x14ac:dyDescent="0.25">
      <c r="A111" s="10">
        <f>+A110+30</f>
        <v>46873</v>
      </c>
      <c r="B111" s="11" t="s">
        <v>10</v>
      </c>
      <c r="C111" s="12">
        <v>57518363.75</v>
      </c>
      <c r="D111" s="294">
        <f t="shared" si="10"/>
        <v>13420951.54166667</v>
      </c>
      <c r="E111" s="12"/>
      <c r="F111" s="12"/>
      <c r="G111" s="294">
        <f t="shared" si="9"/>
        <v>57518363.75</v>
      </c>
      <c r="H111" s="13">
        <f t="shared" si="11"/>
        <v>2243216186.25</v>
      </c>
    </row>
    <row r="112" spans="1:8" x14ac:dyDescent="0.25">
      <c r="A112" s="10">
        <f>+A111+31</f>
        <v>46904</v>
      </c>
      <c r="B112" s="11" t="s">
        <v>10</v>
      </c>
      <c r="C112" s="12">
        <v>57518363.75</v>
      </c>
      <c r="D112" s="294">
        <f t="shared" ref="D112:D143" si="12">H111*$L$169*L$168/360</f>
        <v>13085427.753125003</v>
      </c>
      <c r="E112" s="12"/>
      <c r="F112" s="12"/>
      <c r="G112" s="294">
        <f t="shared" si="9"/>
        <v>57518363.75</v>
      </c>
      <c r="H112" s="13">
        <f t="shared" si="11"/>
        <v>2185697822.5</v>
      </c>
    </row>
    <row r="113" spans="1:8" x14ac:dyDescent="0.25">
      <c r="A113" s="10">
        <f>+A112+30</f>
        <v>46934</v>
      </c>
      <c r="B113" s="11" t="s">
        <v>10</v>
      </c>
      <c r="C113" s="12">
        <v>57518363.75</v>
      </c>
      <c r="D113" s="294">
        <f t="shared" si="12"/>
        <v>12749903.964583335</v>
      </c>
      <c r="E113" s="12"/>
      <c r="F113" s="12"/>
      <c r="G113" s="294">
        <f t="shared" si="9"/>
        <v>57518363.75</v>
      </c>
      <c r="H113" s="13">
        <f t="shared" si="11"/>
        <v>2128179458.75</v>
      </c>
    </row>
    <row r="114" spans="1:8" x14ac:dyDescent="0.25">
      <c r="A114" s="10">
        <f>+A113+31</f>
        <v>46965</v>
      </c>
      <c r="B114" s="11" t="s">
        <v>10</v>
      </c>
      <c r="C114" s="12">
        <v>57518363.75</v>
      </c>
      <c r="D114" s="294">
        <f t="shared" si="12"/>
        <v>12414380.176041666</v>
      </c>
      <c r="E114" s="12"/>
      <c r="F114" s="12"/>
      <c r="G114" s="294">
        <f t="shared" si="9"/>
        <v>57518363.75</v>
      </c>
      <c r="H114" s="13">
        <f t="shared" si="11"/>
        <v>2070661095</v>
      </c>
    </row>
    <row r="115" spans="1:8" x14ac:dyDescent="0.25">
      <c r="A115" s="10">
        <f>+A114+31</f>
        <v>46996</v>
      </c>
      <c r="B115" s="11" t="s">
        <v>10</v>
      </c>
      <c r="C115" s="12">
        <v>57518363.75</v>
      </c>
      <c r="D115" s="294">
        <f t="shared" si="12"/>
        <v>12078856.387499999</v>
      </c>
      <c r="E115" s="12"/>
      <c r="F115" s="12"/>
      <c r="G115" s="294">
        <f t="shared" si="9"/>
        <v>57518363.75</v>
      </c>
      <c r="H115" s="13">
        <f t="shared" si="11"/>
        <v>2013142731.25</v>
      </c>
    </row>
    <row r="116" spans="1:8" x14ac:dyDescent="0.25">
      <c r="A116" s="10">
        <f>+A115+30</f>
        <v>47026</v>
      </c>
      <c r="B116" s="11" t="s">
        <v>10</v>
      </c>
      <c r="C116" s="12">
        <v>57518363.75</v>
      </c>
      <c r="D116" s="294">
        <f t="shared" si="12"/>
        <v>11743332.598958334</v>
      </c>
      <c r="E116" s="12"/>
      <c r="F116" s="12"/>
      <c r="G116" s="294">
        <f t="shared" si="9"/>
        <v>57518363.75</v>
      </c>
      <c r="H116" s="13">
        <f t="shared" si="11"/>
        <v>1955624367.5</v>
      </c>
    </row>
    <row r="117" spans="1:8" x14ac:dyDescent="0.25">
      <c r="A117" s="10">
        <f>+A116+31</f>
        <v>47057</v>
      </c>
      <c r="B117" s="11" t="s">
        <v>10</v>
      </c>
      <c r="C117" s="12">
        <v>57518363.75</v>
      </c>
      <c r="D117" s="294">
        <f t="shared" si="12"/>
        <v>11407808.810416669</v>
      </c>
      <c r="E117" s="12"/>
      <c r="F117" s="12"/>
      <c r="G117" s="294">
        <f t="shared" si="9"/>
        <v>57518363.75</v>
      </c>
      <c r="H117" s="13">
        <f t="shared" si="11"/>
        <v>1898106003.75</v>
      </c>
    </row>
    <row r="118" spans="1:8" x14ac:dyDescent="0.25">
      <c r="A118" s="10">
        <f>+A117+30</f>
        <v>47087</v>
      </c>
      <c r="B118" s="11" t="s">
        <v>10</v>
      </c>
      <c r="C118" s="12">
        <v>57518363.75</v>
      </c>
      <c r="D118" s="294">
        <f t="shared" si="12"/>
        <v>11072285.021875001</v>
      </c>
      <c r="E118" s="12"/>
      <c r="F118" s="12"/>
      <c r="G118" s="294">
        <f t="shared" si="9"/>
        <v>57518363.75</v>
      </c>
      <c r="H118" s="13">
        <f t="shared" si="11"/>
        <v>1840587640</v>
      </c>
    </row>
    <row r="119" spans="1:8" x14ac:dyDescent="0.25">
      <c r="A119" s="10">
        <f>+A118+31</f>
        <v>47118</v>
      </c>
      <c r="B119" s="11" t="s">
        <v>10</v>
      </c>
      <c r="C119" s="12">
        <v>57518363.75</v>
      </c>
      <c r="D119" s="294">
        <f t="shared" si="12"/>
        <v>10736761.233333334</v>
      </c>
      <c r="E119" s="12"/>
      <c r="F119" s="12"/>
      <c r="G119" s="294">
        <f t="shared" si="9"/>
        <v>57518363.75</v>
      </c>
      <c r="H119" s="13">
        <f t="shared" si="11"/>
        <v>1783069276.25</v>
      </c>
    </row>
    <row r="120" spans="1:8" x14ac:dyDescent="0.25">
      <c r="A120" s="10">
        <f>+A119+31</f>
        <v>47149</v>
      </c>
      <c r="B120" s="11" t="s">
        <v>10</v>
      </c>
      <c r="C120" s="12">
        <v>57518363.75</v>
      </c>
      <c r="D120" s="294">
        <f t="shared" si="12"/>
        <v>10401237.444791667</v>
      </c>
      <c r="E120" s="12"/>
      <c r="F120" s="12"/>
      <c r="G120" s="294">
        <f t="shared" si="9"/>
        <v>57518363.75</v>
      </c>
      <c r="H120" s="13">
        <f t="shared" si="11"/>
        <v>1725550912.5</v>
      </c>
    </row>
    <row r="121" spans="1:8" x14ac:dyDescent="0.25">
      <c r="A121" s="10">
        <f>+A120+28</f>
        <v>47177</v>
      </c>
      <c r="B121" s="11" t="s">
        <v>10</v>
      </c>
      <c r="C121" s="12">
        <v>57518363.75</v>
      </c>
      <c r="D121" s="294">
        <f t="shared" si="12"/>
        <v>10065713.656250002</v>
      </c>
      <c r="E121" s="12"/>
      <c r="F121" s="12"/>
      <c r="G121" s="294">
        <f t="shared" si="9"/>
        <v>57518363.75</v>
      </c>
      <c r="H121" s="13">
        <f t="shared" si="11"/>
        <v>1668032548.75</v>
      </c>
    </row>
    <row r="122" spans="1:8" x14ac:dyDescent="0.25">
      <c r="A122" s="10">
        <f>+A121+31</f>
        <v>47208</v>
      </c>
      <c r="B122" s="11" t="s">
        <v>10</v>
      </c>
      <c r="C122" s="12">
        <v>57518363.75</v>
      </c>
      <c r="D122" s="294">
        <f t="shared" si="12"/>
        <v>9730189.8677083347</v>
      </c>
      <c r="E122" s="12"/>
      <c r="F122" s="12"/>
      <c r="G122" s="294">
        <f t="shared" si="9"/>
        <v>57518363.75</v>
      </c>
      <c r="H122" s="13">
        <f t="shared" si="11"/>
        <v>1610514185</v>
      </c>
    </row>
    <row r="123" spans="1:8" x14ac:dyDescent="0.25">
      <c r="A123" s="10">
        <f>+A122+30</f>
        <v>47238</v>
      </c>
      <c r="B123" s="11" t="s">
        <v>10</v>
      </c>
      <c r="C123" s="12">
        <v>57518363.75</v>
      </c>
      <c r="D123" s="294">
        <f t="shared" si="12"/>
        <v>9394666.0791666675</v>
      </c>
      <c r="E123" s="12"/>
      <c r="F123" s="12"/>
      <c r="G123" s="294">
        <f t="shared" si="9"/>
        <v>57518363.75</v>
      </c>
      <c r="H123" s="13">
        <f t="shared" si="11"/>
        <v>1552995821.25</v>
      </c>
    </row>
    <row r="124" spans="1:8" x14ac:dyDescent="0.25">
      <c r="A124" s="10">
        <f>+A123+31</f>
        <v>47269</v>
      </c>
      <c r="B124" s="11" t="s">
        <v>10</v>
      </c>
      <c r="C124" s="12">
        <v>57518363.75</v>
      </c>
      <c r="D124" s="294">
        <f t="shared" si="12"/>
        <v>9059142.2906250022</v>
      </c>
      <c r="E124" s="12"/>
      <c r="F124" s="12"/>
      <c r="G124" s="294">
        <f t="shared" si="9"/>
        <v>57518363.75</v>
      </c>
      <c r="H124" s="13">
        <f t="shared" si="11"/>
        <v>1495477457.5</v>
      </c>
    </row>
    <row r="125" spans="1:8" x14ac:dyDescent="0.25">
      <c r="A125" s="10">
        <f>+A124+30</f>
        <v>47299</v>
      </c>
      <c r="B125" s="11" t="s">
        <v>10</v>
      </c>
      <c r="C125" s="12">
        <v>57518363.75</v>
      </c>
      <c r="D125" s="294">
        <f t="shared" si="12"/>
        <v>8723618.5020833332</v>
      </c>
      <c r="E125" s="12"/>
      <c r="F125" s="12"/>
      <c r="G125" s="294">
        <f t="shared" si="9"/>
        <v>57518363.75</v>
      </c>
      <c r="H125" s="13">
        <f t="shared" si="11"/>
        <v>1437959093.75</v>
      </c>
    </row>
    <row r="126" spans="1:8" x14ac:dyDescent="0.25">
      <c r="A126" s="10">
        <f>+A125+31</f>
        <v>47330</v>
      </c>
      <c r="B126" s="11" t="s">
        <v>10</v>
      </c>
      <c r="C126" s="12">
        <v>57518363.75</v>
      </c>
      <c r="D126" s="294">
        <f t="shared" si="12"/>
        <v>8388094.7135416679</v>
      </c>
      <c r="E126" s="12"/>
      <c r="F126" s="12"/>
      <c r="G126" s="294">
        <f t="shared" si="9"/>
        <v>57518363.75</v>
      </c>
      <c r="H126" s="13">
        <f t="shared" si="11"/>
        <v>1380440730</v>
      </c>
    </row>
    <row r="127" spans="1:8" x14ac:dyDescent="0.25">
      <c r="A127" s="10">
        <f>+A126+31</f>
        <v>47361</v>
      </c>
      <c r="B127" s="11" t="s">
        <v>10</v>
      </c>
      <c r="C127" s="12">
        <v>57518363.75</v>
      </c>
      <c r="D127" s="294">
        <f t="shared" si="12"/>
        <v>8052570.9250000017</v>
      </c>
      <c r="E127" s="12"/>
      <c r="F127" s="12"/>
      <c r="G127" s="294">
        <f t="shared" si="9"/>
        <v>57518363.75</v>
      </c>
      <c r="H127" s="13">
        <f t="shared" si="11"/>
        <v>1322922366.25</v>
      </c>
    </row>
    <row r="128" spans="1:8" x14ac:dyDescent="0.25">
      <c r="A128" s="10">
        <f>+A127+30</f>
        <v>47391</v>
      </c>
      <c r="B128" s="11" t="s">
        <v>10</v>
      </c>
      <c r="C128" s="12">
        <v>57518363.75</v>
      </c>
      <c r="D128" s="294">
        <f t="shared" si="12"/>
        <v>7717047.1364583336</v>
      </c>
      <c r="E128" s="12"/>
      <c r="F128" s="12"/>
      <c r="G128" s="294">
        <f t="shared" si="9"/>
        <v>57518363.75</v>
      </c>
      <c r="H128" s="13">
        <f t="shared" si="11"/>
        <v>1265404002.5</v>
      </c>
    </row>
    <row r="129" spans="1:8" x14ac:dyDescent="0.25">
      <c r="A129" s="10">
        <f>+A128+31</f>
        <v>47422</v>
      </c>
      <c r="B129" s="11" t="s">
        <v>10</v>
      </c>
      <c r="C129" s="12">
        <v>57518363.75</v>
      </c>
      <c r="D129" s="294">
        <f t="shared" si="12"/>
        <v>7381523.3479166683</v>
      </c>
      <c r="E129" s="12"/>
      <c r="F129" s="12"/>
      <c r="G129" s="294">
        <f t="shared" si="9"/>
        <v>57518363.75</v>
      </c>
      <c r="H129" s="13">
        <f t="shared" si="11"/>
        <v>1207885638.75</v>
      </c>
    </row>
    <row r="130" spans="1:8" x14ac:dyDescent="0.25">
      <c r="A130" s="10">
        <f>+A129+30</f>
        <v>47452</v>
      </c>
      <c r="B130" s="11" t="s">
        <v>10</v>
      </c>
      <c r="C130" s="12">
        <v>57518363.75</v>
      </c>
      <c r="D130" s="294">
        <f t="shared" si="12"/>
        <v>7045999.5593750002</v>
      </c>
      <c r="E130" s="12"/>
      <c r="F130" s="12"/>
      <c r="G130" s="294">
        <f t="shared" si="9"/>
        <v>57518363.75</v>
      </c>
      <c r="H130" s="13">
        <f t="shared" si="11"/>
        <v>1150367275</v>
      </c>
    </row>
    <row r="131" spans="1:8" x14ac:dyDescent="0.25">
      <c r="A131" s="10">
        <f>+A130+31</f>
        <v>47483</v>
      </c>
      <c r="B131" s="11" t="s">
        <v>10</v>
      </c>
      <c r="C131" s="12">
        <v>57518363.75</v>
      </c>
      <c r="D131" s="294">
        <f t="shared" si="12"/>
        <v>6710475.7708333349</v>
      </c>
      <c r="E131" s="12"/>
      <c r="F131" s="12"/>
      <c r="G131" s="294">
        <f t="shared" si="9"/>
        <v>57518363.75</v>
      </c>
      <c r="H131" s="13">
        <f t="shared" si="11"/>
        <v>1092848911.25</v>
      </c>
    </row>
    <row r="132" spans="1:8" x14ac:dyDescent="0.25">
      <c r="A132" s="10">
        <f>+A131+31</f>
        <v>47514</v>
      </c>
      <c r="B132" s="11" t="s">
        <v>10</v>
      </c>
      <c r="C132" s="12">
        <v>57518363.75</v>
      </c>
      <c r="D132" s="294">
        <f t="shared" si="12"/>
        <v>6374951.9822916677</v>
      </c>
      <c r="E132" s="12"/>
      <c r="F132" s="12"/>
      <c r="G132" s="294">
        <f t="shared" si="9"/>
        <v>57518363.75</v>
      </c>
      <c r="H132" s="13">
        <f t="shared" si="11"/>
        <v>1035330547.5</v>
      </c>
    </row>
    <row r="133" spans="1:8" x14ac:dyDescent="0.25">
      <c r="A133" s="10">
        <f>+A132+28</f>
        <v>47542</v>
      </c>
      <c r="B133" s="11" t="s">
        <v>10</v>
      </c>
      <c r="C133" s="12">
        <v>57518363.75</v>
      </c>
      <c r="D133" s="294">
        <f t="shared" si="12"/>
        <v>6039428.1937499996</v>
      </c>
      <c r="E133" s="12"/>
      <c r="F133" s="12"/>
      <c r="G133" s="294">
        <f t="shared" si="9"/>
        <v>57518363.75</v>
      </c>
      <c r="H133" s="13">
        <f t="shared" si="11"/>
        <v>977812183.75</v>
      </c>
    </row>
    <row r="134" spans="1:8" x14ac:dyDescent="0.25">
      <c r="A134" s="10">
        <f>+A133+31</f>
        <v>47573</v>
      </c>
      <c r="B134" s="11" t="s">
        <v>10</v>
      </c>
      <c r="C134" s="12">
        <v>57518363.75</v>
      </c>
      <c r="D134" s="294">
        <f t="shared" si="12"/>
        <v>5703904.4052083343</v>
      </c>
      <c r="E134" s="12"/>
      <c r="F134" s="12"/>
      <c r="G134" s="294">
        <f t="shared" si="9"/>
        <v>57518363.75</v>
      </c>
      <c r="H134" s="13">
        <f t="shared" si="11"/>
        <v>920293820</v>
      </c>
    </row>
    <row r="135" spans="1:8" x14ac:dyDescent="0.25">
      <c r="A135" s="10">
        <f>+A134+30</f>
        <v>47603</v>
      </c>
      <c r="B135" s="11" t="s">
        <v>10</v>
      </c>
      <c r="C135" s="12">
        <v>57518363.75</v>
      </c>
      <c r="D135" s="294">
        <f t="shared" si="12"/>
        <v>5368380.6166666672</v>
      </c>
      <c r="E135" s="12"/>
      <c r="F135" s="12"/>
      <c r="G135" s="294">
        <f t="shared" si="9"/>
        <v>57518363.75</v>
      </c>
      <c r="H135" s="13">
        <f t="shared" ref="H135:H150" si="13">+H134-C135</f>
        <v>862775456.25</v>
      </c>
    </row>
    <row r="136" spans="1:8" x14ac:dyDescent="0.25">
      <c r="A136" s="10">
        <f>+A135+31</f>
        <v>47634</v>
      </c>
      <c r="B136" s="11" t="s">
        <v>10</v>
      </c>
      <c r="C136" s="12">
        <v>57518363.75</v>
      </c>
      <c r="D136" s="294">
        <f t="shared" si="12"/>
        <v>5032856.8281250009</v>
      </c>
      <c r="E136" s="12"/>
      <c r="F136" s="12"/>
      <c r="G136" s="294">
        <f t="shared" ref="G136:G150" si="14">E136+C136+F136</f>
        <v>57518363.75</v>
      </c>
      <c r="H136" s="13">
        <f t="shared" si="13"/>
        <v>805257092.5</v>
      </c>
    </row>
    <row r="137" spans="1:8" x14ac:dyDescent="0.25">
      <c r="A137" s="10">
        <f>+A136+30</f>
        <v>47664</v>
      </c>
      <c r="B137" s="11" t="s">
        <v>10</v>
      </c>
      <c r="C137" s="12">
        <v>57518363.75</v>
      </c>
      <c r="D137" s="294">
        <f t="shared" si="12"/>
        <v>4697333.0395833338</v>
      </c>
      <c r="E137" s="12"/>
      <c r="F137" s="12"/>
      <c r="G137" s="294">
        <f t="shared" si="14"/>
        <v>57518363.75</v>
      </c>
      <c r="H137" s="13">
        <f t="shared" si="13"/>
        <v>747738728.75</v>
      </c>
    </row>
    <row r="138" spans="1:8" x14ac:dyDescent="0.25">
      <c r="A138" s="10">
        <f>+A137+31</f>
        <v>47695</v>
      </c>
      <c r="B138" s="11" t="s">
        <v>10</v>
      </c>
      <c r="C138" s="12">
        <v>57518363.75</v>
      </c>
      <c r="D138" s="294">
        <f t="shared" si="12"/>
        <v>4361809.2510416666</v>
      </c>
      <c r="E138" s="12"/>
      <c r="F138" s="12"/>
      <c r="G138" s="294">
        <f t="shared" si="14"/>
        <v>57518363.75</v>
      </c>
      <c r="H138" s="13">
        <f t="shared" si="13"/>
        <v>690220365</v>
      </c>
    </row>
    <row r="139" spans="1:8" x14ac:dyDescent="0.25">
      <c r="A139" s="10">
        <f>+A138+31</f>
        <v>47726</v>
      </c>
      <c r="B139" s="11" t="s">
        <v>10</v>
      </c>
      <c r="C139" s="12">
        <v>57518363.75</v>
      </c>
      <c r="D139" s="294">
        <f t="shared" si="12"/>
        <v>4026285.4625000008</v>
      </c>
      <c r="E139" s="12"/>
      <c r="F139" s="12"/>
      <c r="G139" s="294">
        <f t="shared" si="14"/>
        <v>57518363.75</v>
      </c>
      <c r="H139" s="13">
        <f t="shared" si="13"/>
        <v>632702001.25</v>
      </c>
    </row>
    <row r="140" spans="1:8" x14ac:dyDescent="0.25">
      <c r="A140" s="10">
        <f>+A139+30</f>
        <v>47756</v>
      </c>
      <c r="B140" s="11" t="s">
        <v>10</v>
      </c>
      <c r="C140" s="12">
        <v>57518363.75</v>
      </c>
      <c r="D140" s="294">
        <f t="shared" si="12"/>
        <v>3690761.6739583341</v>
      </c>
      <c r="E140" s="12"/>
      <c r="F140" s="12"/>
      <c r="G140" s="294">
        <f t="shared" si="14"/>
        <v>57518363.75</v>
      </c>
      <c r="H140" s="13">
        <f t="shared" si="13"/>
        <v>575183637.5</v>
      </c>
    </row>
    <row r="141" spans="1:8" x14ac:dyDescent="0.25">
      <c r="A141" s="10">
        <f>+A140+31</f>
        <v>47787</v>
      </c>
      <c r="B141" s="11" t="s">
        <v>10</v>
      </c>
      <c r="C141" s="12">
        <v>57518363.75</v>
      </c>
      <c r="D141" s="294">
        <f t="shared" si="12"/>
        <v>3355237.8854166674</v>
      </c>
      <c r="E141" s="12"/>
      <c r="F141" s="12"/>
      <c r="G141" s="294">
        <f t="shared" si="14"/>
        <v>57518363.75</v>
      </c>
      <c r="H141" s="13">
        <f t="shared" si="13"/>
        <v>517665273.75</v>
      </c>
    </row>
    <row r="142" spans="1:8" x14ac:dyDescent="0.25">
      <c r="A142" s="10">
        <f>+A141+30</f>
        <v>47817</v>
      </c>
      <c r="B142" s="11" t="s">
        <v>10</v>
      </c>
      <c r="C142" s="12">
        <v>57518363.75</v>
      </c>
      <c r="D142" s="294">
        <f t="shared" si="12"/>
        <v>3019714.0968749998</v>
      </c>
      <c r="E142" s="12"/>
      <c r="F142" s="12"/>
      <c r="G142" s="294">
        <f t="shared" si="14"/>
        <v>57518363.75</v>
      </c>
      <c r="H142" s="13">
        <f t="shared" si="13"/>
        <v>460146910</v>
      </c>
    </row>
    <row r="143" spans="1:8" x14ac:dyDescent="0.25">
      <c r="A143" s="10">
        <f>+A142+31</f>
        <v>47848</v>
      </c>
      <c r="B143" s="11" t="s">
        <v>10</v>
      </c>
      <c r="C143" s="12">
        <v>57518363.75</v>
      </c>
      <c r="D143" s="294">
        <f t="shared" si="12"/>
        <v>2684190.3083333336</v>
      </c>
      <c r="E143" s="12"/>
      <c r="F143" s="12"/>
      <c r="G143" s="294">
        <f t="shared" si="14"/>
        <v>57518363.75</v>
      </c>
      <c r="H143" s="13">
        <f t="shared" si="13"/>
        <v>402628546.25</v>
      </c>
    </row>
    <row r="144" spans="1:8" x14ac:dyDescent="0.25">
      <c r="A144" s="10">
        <f>+A143+31</f>
        <v>47879</v>
      </c>
      <c r="B144" s="11" t="s">
        <v>10</v>
      </c>
      <c r="C144" s="12">
        <v>57518363.75</v>
      </c>
      <c r="D144" s="294">
        <f t="shared" ref="D144:D150" si="15">H143*$L$169*L$168/360</f>
        <v>2348666.5197916669</v>
      </c>
      <c r="E144" s="12"/>
      <c r="F144" s="12"/>
      <c r="G144" s="294">
        <f t="shared" si="14"/>
        <v>57518363.75</v>
      </c>
      <c r="H144" s="13">
        <f t="shared" si="13"/>
        <v>345110182.5</v>
      </c>
    </row>
    <row r="145" spans="1:18" x14ac:dyDescent="0.25">
      <c r="A145" s="10">
        <f>+A144+28</f>
        <v>47907</v>
      </c>
      <c r="B145" s="11" t="s">
        <v>10</v>
      </c>
      <c r="C145" s="12">
        <v>57518363.75</v>
      </c>
      <c r="D145" s="294">
        <f t="shared" si="15"/>
        <v>2013142.7312500004</v>
      </c>
      <c r="E145" s="12"/>
      <c r="F145" s="12"/>
      <c r="G145" s="294">
        <f t="shared" si="14"/>
        <v>57518363.75</v>
      </c>
      <c r="H145" s="13">
        <f t="shared" si="13"/>
        <v>287591818.75</v>
      </c>
    </row>
    <row r="146" spans="1:18" x14ac:dyDescent="0.25">
      <c r="A146" s="10">
        <f>+A145+31</f>
        <v>47938</v>
      </c>
      <c r="B146" s="11" t="s">
        <v>10</v>
      </c>
      <c r="C146" s="12">
        <v>57518363.75</v>
      </c>
      <c r="D146" s="294">
        <f t="shared" si="15"/>
        <v>1677618.9427083337</v>
      </c>
      <c r="E146" s="12"/>
      <c r="F146" s="12"/>
      <c r="G146" s="294">
        <f t="shared" si="14"/>
        <v>57518363.75</v>
      </c>
      <c r="H146" s="13">
        <f t="shared" si="13"/>
        <v>230073455</v>
      </c>
    </row>
    <row r="147" spans="1:18" x14ac:dyDescent="0.25">
      <c r="A147" s="10">
        <f>+A146+30</f>
        <v>47968</v>
      </c>
      <c r="B147" s="11" t="s">
        <v>10</v>
      </c>
      <c r="C147" s="12">
        <v>57518363.75</v>
      </c>
      <c r="D147" s="294">
        <f t="shared" si="15"/>
        <v>1342095.1541666668</v>
      </c>
      <c r="E147" s="12"/>
      <c r="F147" s="12"/>
      <c r="G147" s="294">
        <f t="shared" si="14"/>
        <v>57518363.75</v>
      </c>
      <c r="H147" s="13">
        <f t="shared" si="13"/>
        <v>172555091.25</v>
      </c>
    </row>
    <row r="148" spans="1:18" x14ac:dyDescent="0.25">
      <c r="A148" s="10">
        <f>+A147+31</f>
        <v>47999</v>
      </c>
      <c r="B148" s="11" t="s">
        <v>10</v>
      </c>
      <c r="C148" s="12">
        <v>57518363.75</v>
      </c>
      <c r="D148" s="294">
        <f t="shared" si="15"/>
        <v>1006571.3656250002</v>
      </c>
      <c r="E148" s="12"/>
      <c r="F148" s="12"/>
      <c r="G148" s="294">
        <f t="shared" si="14"/>
        <v>57518363.75</v>
      </c>
      <c r="H148" s="13">
        <f t="shared" si="13"/>
        <v>115036727.5</v>
      </c>
    </row>
    <row r="149" spans="1:18" x14ac:dyDescent="0.25">
      <c r="A149" s="10">
        <f>+A148+30</f>
        <v>48029</v>
      </c>
      <c r="B149" s="11" t="s">
        <v>10</v>
      </c>
      <c r="C149" s="12">
        <v>57518363.75</v>
      </c>
      <c r="D149" s="294">
        <f t="shared" si="15"/>
        <v>671047.5770833334</v>
      </c>
      <c r="E149" s="12"/>
      <c r="F149" s="12"/>
      <c r="G149" s="294">
        <f t="shared" si="14"/>
        <v>57518363.75</v>
      </c>
      <c r="H149" s="13">
        <f t="shared" si="13"/>
        <v>57518363.75</v>
      </c>
    </row>
    <row r="150" spans="1:18" x14ac:dyDescent="0.25">
      <c r="A150" s="10">
        <f>+A149+31</f>
        <v>48060</v>
      </c>
      <c r="B150" s="11" t="s">
        <v>10</v>
      </c>
      <c r="C150" s="12">
        <v>57518363.75</v>
      </c>
      <c r="D150" s="294">
        <f t="shared" si="15"/>
        <v>335523.7885416667</v>
      </c>
      <c r="E150" s="12"/>
      <c r="F150" s="12"/>
      <c r="G150" s="294">
        <f t="shared" si="14"/>
        <v>57518363.75</v>
      </c>
      <c r="H150" s="13">
        <f t="shared" si="13"/>
        <v>0</v>
      </c>
    </row>
    <row r="151" spans="1:18" x14ac:dyDescent="0.25">
      <c r="A151" s="15"/>
      <c r="B151" s="16" t="s">
        <v>11</v>
      </c>
      <c r="C151" s="17">
        <f>SUM(C6:C150)</f>
        <v>6902203650</v>
      </c>
      <c r="D151" s="17">
        <f>SUM(D6:D150)</f>
        <v>3110629539.8970423</v>
      </c>
      <c r="E151" s="17">
        <f>+SUM(E7:E14)+SUM(E21:E150)</f>
        <v>366800357.84612501</v>
      </c>
      <c r="F151" s="17">
        <f>+SUM(F21:F150)</f>
        <v>195530456</v>
      </c>
      <c r="G151" s="17">
        <f>SUM(G7:G150)</f>
        <v>7464534463.8461246</v>
      </c>
      <c r="H151" s="18"/>
    </row>
    <row r="152" spans="1:18" x14ac:dyDescent="0.25">
      <c r="A152" s="389"/>
      <c r="B152" s="390"/>
      <c r="C152" s="391"/>
      <c r="D152" s="391"/>
      <c r="E152" s="391"/>
      <c r="F152" s="391"/>
      <c r="G152" s="391"/>
      <c r="H152" s="392"/>
    </row>
    <row r="153" spans="1:18" x14ac:dyDescent="0.25">
      <c r="A153" s="389"/>
      <c r="B153" s="390"/>
      <c r="C153" s="391"/>
      <c r="D153" s="391"/>
      <c r="E153" s="391"/>
      <c r="F153" s="391"/>
      <c r="G153" s="391"/>
      <c r="H153" s="392"/>
    </row>
    <row r="154" spans="1:18" x14ac:dyDescent="0.25">
      <c r="A154" s="389"/>
      <c r="B154" s="390"/>
      <c r="C154" s="391"/>
      <c r="D154" s="391"/>
      <c r="E154" s="391"/>
      <c r="F154" s="391"/>
      <c r="G154" s="391"/>
      <c r="H154" s="392"/>
    </row>
    <row r="155" spans="1:18" x14ac:dyDescent="0.25">
      <c r="A155" s="313" t="s">
        <v>42</v>
      </c>
      <c r="B155" s="314"/>
      <c r="C155" s="20"/>
      <c r="D155" s="20"/>
      <c r="E155" s="20"/>
      <c r="F155" s="20"/>
      <c r="G155" s="20"/>
      <c r="H155" s="20"/>
    </row>
    <row r="156" spans="1:18" x14ac:dyDescent="0.25">
      <c r="A156" s="39" t="s">
        <v>3041</v>
      </c>
      <c r="B156" s="315" t="s">
        <v>3050</v>
      </c>
      <c r="C156" s="315" t="s">
        <v>3051</v>
      </c>
      <c r="D156" s="315" t="s">
        <v>3052</v>
      </c>
      <c r="E156" s="315" t="s">
        <v>3053</v>
      </c>
      <c r="F156" s="315" t="s">
        <v>3054</v>
      </c>
      <c r="G156" s="315" t="s">
        <v>3037</v>
      </c>
      <c r="H156" s="315" t="s">
        <v>3038</v>
      </c>
      <c r="I156" s="315" t="s">
        <v>3039</v>
      </c>
      <c r="J156" s="454" t="s">
        <v>3040</v>
      </c>
      <c r="K156" s="454" t="s">
        <v>3064</v>
      </c>
      <c r="L156" s="394"/>
      <c r="M156" s="394"/>
      <c r="N156" s="394"/>
      <c r="O156" s="394"/>
      <c r="P156" s="80"/>
      <c r="Q156" s="80"/>
      <c r="R156" s="80"/>
    </row>
    <row r="157" spans="1:18" x14ac:dyDescent="0.25">
      <c r="A157" s="39" t="s">
        <v>3153</v>
      </c>
      <c r="B157" s="160">
        <v>4.113E-2</v>
      </c>
      <c r="C157" s="88">
        <v>4.1209999999999997E-2</v>
      </c>
      <c r="D157" s="160">
        <v>4.1119999999999997E-2</v>
      </c>
      <c r="E157" s="88">
        <v>4.1169999999999998E-2</v>
      </c>
      <c r="F157" s="88">
        <v>4.1169999999999998E-2</v>
      </c>
      <c r="G157" s="88">
        <v>4.1119999999999997E-2</v>
      </c>
      <c r="H157" s="88">
        <v>4.1140000000000003E-2</v>
      </c>
      <c r="I157" s="88">
        <v>4.1149999999999999E-2</v>
      </c>
      <c r="J157" s="455">
        <v>3.5999999999999997E-2</v>
      </c>
      <c r="K157" s="455">
        <v>3.0929999999999999E-2</v>
      </c>
      <c r="L157" s="395"/>
      <c r="M157" s="395"/>
      <c r="N157" s="395"/>
      <c r="O157" s="395"/>
      <c r="P157" s="80"/>
      <c r="Q157" s="80"/>
      <c r="R157" s="80"/>
    </row>
    <row r="158" spans="1:18" x14ac:dyDescent="0.25">
      <c r="A158" s="39" t="s">
        <v>370</v>
      </c>
      <c r="B158" s="88">
        <v>0.02</v>
      </c>
      <c r="C158" s="88">
        <v>0.02</v>
      </c>
      <c r="D158" s="88">
        <v>0.02</v>
      </c>
      <c r="E158" s="88">
        <v>0.02</v>
      </c>
      <c r="F158" s="88">
        <v>0.02</v>
      </c>
      <c r="G158" s="88">
        <v>0.02</v>
      </c>
      <c r="H158" s="88">
        <v>0.02</v>
      </c>
      <c r="I158" s="88">
        <v>0.02</v>
      </c>
      <c r="J158" s="455">
        <v>0.02</v>
      </c>
      <c r="K158" s="455">
        <v>0.02</v>
      </c>
      <c r="L158" s="396"/>
      <c r="M158" s="396"/>
      <c r="N158" s="396"/>
      <c r="O158" s="396"/>
      <c r="P158" s="80"/>
      <c r="Q158" s="80"/>
      <c r="R158" s="80"/>
    </row>
    <row r="159" spans="1:18" x14ac:dyDescent="0.25">
      <c r="A159" s="39" t="s">
        <v>377</v>
      </c>
      <c r="B159" s="296">
        <v>30</v>
      </c>
      <c r="C159" s="67">
        <v>30</v>
      </c>
      <c r="D159" s="67">
        <v>30</v>
      </c>
      <c r="E159" s="67">
        <v>30</v>
      </c>
      <c r="F159" s="67">
        <v>30</v>
      </c>
      <c r="G159" s="67">
        <v>30</v>
      </c>
      <c r="H159" s="67">
        <v>30</v>
      </c>
      <c r="I159" s="67">
        <v>30</v>
      </c>
      <c r="J159" s="456">
        <v>30</v>
      </c>
      <c r="K159" s="456">
        <v>30</v>
      </c>
      <c r="L159" s="397"/>
      <c r="M159" s="397"/>
      <c r="N159" s="397"/>
      <c r="O159" s="397"/>
      <c r="P159" s="80"/>
      <c r="Q159" s="80"/>
      <c r="R159" s="80"/>
    </row>
    <row r="160" spans="1:18" x14ac:dyDescent="0.25">
      <c r="A160" s="39" t="s">
        <v>3152</v>
      </c>
      <c r="B160" s="398">
        <f>B157+B158</f>
        <v>6.1130000000000004E-2</v>
      </c>
      <c r="C160" s="400">
        <f>C157+C158</f>
        <v>6.1210000000000001E-2</v>
      </c>
      <c r="D160" s="399">
        <f t="shared" ref="D160:I160" si="16">D157+D158</f>
        <v>6.1119999999999994E-2</v>
      </c>
      <c r="E160" s="400">
        <f t="shared" si="16"/>
        <v>6.1170000000000002E-2</v>
      </c>
      <c r="F160" s="400">
        <f t="shared" si="16"/>
        <v>6.1170000000000002E-2</v>
      </c>
      <c r="G160" s="400">
        <f>G157+G158</f>
        <v>6.1119999999999994E-2</v>
      </c>
      <c r="H160" s="400">
        <f t="shared" si="16"/>
        <v>6.114E-2</v>
      </c>
      <c r="I160" s="464">
        <f t="shared" si="16"/>
        <v>6.1149999999999996E-2</v>
      </c>
      <c r="J160" s="459">
        <f>J157+J158</f>
        <v>5.5999999999999994E-2</v>
      </c>
      <c r="K160" s="457">
        <f>K157+K158</f>
        <v>5.0930000000000003E-2</v>
      </c>
      <c r="L160" s="401"/>
      <c r="M160" s="401"/>
      <c r="N160" s="401"/>
      <c r="O160" s="401"/>
      <c r="P160" s="80"/>
      <c r="Q160" s="80"/>
      <c r="R160" s="80"/>
    </row>
    <row r="161" spans="1:18" x14ac:dyDescent="0.25">
      <c r="A161" s="39" t="s">
        <v>3010</v>
      </c>
      <c r="B161" s="398">
        <f>EFFECT(B157+B158,4)</f>
        <v>6.2545660590653807E-2</v>
      </c>
      <c r="C161" s="400">
        <f>EFFECT(C160,4)</f>
        <v>6.2629387203300135E-2</v>
      </c>
      <c r="D161" s="398">
        <f t="shared" ref="D161:I161" si="17">EFFECT(D157+D158,4)</f>
        <v>6.2535195111971031E-2</v>
      </c>
      <c r="E161" s="398">
        <f t="shared" si="17"/>
        <v>6.2587523278485158E-2</v>
      </c>
      <c r="F161" s="398">
        <f t="shared" si="17"/>
        <v>6.2587523278485158E-2</v>
      </c>
      <c r="G161" s="398">
        <f t="shared" si="17"/>
        <v>6.2535195111971031E-2</v>
      </c>
      <c r="H161" s="398">
        <f t="shared" si="17"/>
        <v>6.255612614664563E-2</v>
      </c>
      <c r="I161" s="398">
        <f t="shared" si="17"/>
        <v>6.2566591779947833E-2</v>
      </c>
      <c r="J161" s="461">
        <f>EFFECT(J157+J158,4)</f>
        <v>5.718701441600027E-2</v>
      </c>
      <c r="K161" s="461">
        <f>EFFECT(K157+K158,4)</f>
        <v>5.1910982215487733E-2</v>
      </c>
      <c r="L161" s="402"/>
      <c r="M161" s="402"/>
      <c r="N161" s="402"/>
      <c r="O161" s="402"/>
      <c r="P161" s="80"/>
      <c r="Q161" s="80"/>
      <c r="R161" s="80"/>
    </row>
    <row r="162" spans="1:18" x14ac:dyDescent="0.25">
      <c r="A162" s="43" t="s">
        <v>39</v>
      </c>
      <c r="B162" s="44">
        <f>E7</f>
        <v>35160975.760375001</v>
      </c>
      <c r="C162" s="44">
        <f>E$8</f>
        <v>35206990.451375</v>
      </c>
      <c r="D162" s="44">
        <f>+E9</f>
        <v>35155223.923999995</v>
      </c>
      <c r="E162" s="44">
        <f>+$E$10</f>
        <v>35183983.105875</v>
      </c>
      <c r="F162" s="44">
        <f>+$E$11</f>
        <v>35183983.105875</v>
      </c>
      <c r="G162" s="44">
        <f>+$E$12</f>
        <v>35155223.923999995</v>
      </c>
      <c r="H162" s="44">
        <f>+$E$13</f>
        <v>35166727.596749999</v>
      </c>
      <c r="I162" s="44">
        <f>+$E$14</f>
        <v>35172479.433124997</v>
      </c>
      <c r="J162" s="458">
        <f>+E15</f>
        <v>32210283.699999999</v>
      </c>
      <c r="K162" s="458">
        <f>+E16</f>
        <v>29294102.657875001</v>
      </c>
      <c r="L162" s="403"/>
      <c r="M162" s="403"/>
      <c r="N162" s="403"/>
      <c r="O162" s="403"/>
      <c r="P162" s="136"/>
      <c r="Q162" s="404"/>
      <c r="R162" s="80"/>
    </row>
    <row r="163" spans="1:18" x14ac:dyDescent="0.25">
      <c r="B163" s="232"/>
      <c r="J163" s="80"/>
      <c r="K163" s="80"/>
      <c r="L163" s="80"/>
      <c r="M163" s="80"/>
      <c r="N163" s="80"/>
      <c r="O163" s="80"/>
      <c r="P163" s="80"/>
      <c r="Q163" s="405"/>
      <c r="R163" s="80"/>
    </row>
    <row r="164" spans="1:18" x14ac:dyDescent="0.25">
      <c r="J164" s="80"/>
      <c r="K164" s="80"/>
      <c r="L164" s="80"/>
      <c r="M164" s="80"/>
      <c r="N164" s="80"/>
      <c r="O164" s="80"/>
      <c r="P164" s="80"/>
      <c r="Q164" s="80"/>
      <c r="R164" s="80"/>
    </row>
    <row r="165" spans="1:18" x14ac:dyDescent="0.25">
      <c r="A165" s="39" t="s">
        <v>3041</v>
      </c>
      <c r="B165" s="454" t="s">
        <v>3110</v>
      </c>
      <c r="C165" s="454" t="s">
        <v>3111</v>
      </c>
      <c r="D165" s="454" t="s">
        <v>3114</v>
      </c>
      <c r="E165" s="454" t="s">
        <v>3128</v>
      </c>
      <c r="F165" s="315" t="s">
        <v>3129</v>
      </c>
      <c r="G165" s="315" t="s">
        <v>3130</v>
      </c>
      <c r="H165" s="315" t="s">
        <v>3140</v>
      </c>
      <c r="I165" s="315" t="s">
        <v>3168</v>
      </c>
      <c r="J165" s="315" t="s">
        <v>3148</v>
      </c>
      <c r="K165" s="315" t="s">
        <v>3149</v>
      </c>
      <c r="L165" s="315" t="s">
        <v>3150</v>
      </c>
      <c r="M165" s="80"/>
      <c r="N165" s="80"/>
      <c r="O165" s="80"/>
      <c r="P165" s="80"/>
      <c r="Q165" s="80"/>
    </row>
    <row r="166" spans="1:18" x14ac:dyDescent="0.25">
      <c r="A166" s="39" t="s">
        <v>3153</v>
      </c>
      <c r="B166" s="455">
        <v>2.6800000000000001E-2</v>
      </c>
      <c r="C166" s="455">
        <v>2.3390000000000001E-2</v>
      </c>
      <c r="D166" s="455">
        <v>2.213E-2</v>
      </c>
      <c r="E166" s="455">
        <v>2.002E-2</v>
      </c>
      <c r="F166" s="88">
        <v>1.7100000000000001E-2</v>
      </c>
      <c r="G166" s="88">
        <v>1.7100000000000001E-2</v>
      </c>
      <c r="H166" s="88">
        <v>1.7180000000000001E-2</v>
      </c>
      <c r="I166" s="88">
        <v>1.712E-2</v>
      </c>
      <c r="J166" s="88">
        <v>0.04</v>
      </c>
      <c r="K166" s="88">
        <v>4.4999999999999998E-2</v>
      </c>
      <c r="L166" s="88">
        <v>0.05</v>
      </c>
      <c r="M166" s="80"/>
      <c r="N166" s="80"/>
      <c r="O166" s="80"/>
      <c r="P166" s="405"/>
      <c r="Q166" s="80"/>
    </row>
    <row r="167" spans="1:18" x14ac:dyDescent="0.25">
      <c r="A167" s="39" t="s">
        <v>370</v>
      </c>
      <c r="B167" s="455">
        <v>0.02</v>
      </c>
      <c r="C167" s="455">
        <v>0.02</v>
      </c>
      <c r="D167" s="455">
        <v>0.02</v>
      </c>
      <c r="E167" s="455">
        <v>0.02</v>
      </c>
      <c r="F167" s="88">
        <v>0.02</v>
      </c>
      <c r="G167" s="88">
        <v>0.02</v>
      </c>
      <c r="H167" s="88">
        <v>0.02</v>
      </c>
      <c r="I167" s="88">
        <v>0.02</v>
      </c>
      <c r="J167" s="88">
        <v>0.02</v>
      </c>
      <c r="K167" s="88">
        <v>0.02</v>
      </c>
      <c r="L167" s="88">
        <v>0.02</v>
      </c>
      <c r="M167" s="80"/>
      <c r="N167" s="80"/>
      <c r="O167" s="80"/>
      <c r="P167" s="80"/>
      <c r="Q167" s="80"/>
    </row>
    <row r="168" spans="1:18" x14ac:dyDescent="0.25">
      <c r="A168" s="39" t="s">
        <v>377</v>
      </c>
      <c r="B168" s="456">
        <v>30</v>
      </c>
      <c r="C168" s="456">
        <v>30</v>
      </c>
      <c r="D168" s="456">
        <v>30</v>
      </c>
      <c r="E168" s="456">
        <v>30</v>
      </c>
      <c r="F168" s="67">
        <v>30</v>
      </c>
      <c r="G168" s="67">
        <v>30</v>
      </c>
      <c r="H168" s="67">
        <v>30</v>
      </c>
      <c r="I168" s="67">
        <v>30</v>
      </c>
      <c r="J168" s="67">
        <v>30</v>
      </c>
      <c r="K168" s="67">
        <v>30</v>
      </c>
      <c r="L168" s="67">
        <v>30</v>
      </c>
      <c r="M168" s="80"/>
      <c r="N168" s="80"/>
      <c r="O168" s="80"/>
      <c r="P168" s="80"/>
      <c r="Q168" s="80"/>
    </row>
    <row r="169" spans="1:18" x14ac:dyDescent="0.25">
      <c r="A169" s="39" t="s">
        <v>3152</v>
      </c>
      <c r="B169" s="457">
        <f t="shared" ref="B169:F169" si="18">B166+B167</f>
        <v>4.6800000000000001E-2</v>
      </c>
      <c r="C169" s="457">
        <f t="shared" si="18"/>
        <v>4.3389999999999998E-2</v>
      </c>
      <c r="D169" s="457">
        <f t="shared" si="18"/>
        <v>4.2130000000000001E-2</v>
      </c>
      <c r="E169" s="457">
        <f t="shared" si="18"/>
        <v>4.002E-2</v>
      </c>
      <c r="F169" s="400">
        <f t="shared" si="18"/>
        <v>3.7100000000000001E-2</v>
      </c>
      <c r="G169" s="400">
        <f>G166+G167</f>
        <v>3.7100000000000001E-2</v>
      </c>
      <c r="H169" s="400">
        <f>H166+H167</f>
        <v>3.7180000000000005E-2</v>
      </c>
      <c r="I169" s="400">
        <f>I166+I167</f>
        <v>3.712E-2</v>
      </c>
      <c r="J169" s="400">
        <f>J166+J167</f>
        <v>0.06</v>
      </c>
      <c r="K169" s="400">
        <f t="shared" ref="K169:L169" si="19">K166+K167</f>
        <v>6.5000000000000002E-2</v>
      </c>
      <c r="L169" s="400">
        <f t="shared" si="19"/>
        <v>7.0000000000000007E-2</v>
      </c>
    </row>
    <row r="170" spans="1:18" x14ac:dyDescent="0.25">
      <c r="A170" s="39" t="s">
        <v>3010</v>
      </c>
      <c r="B170" s="461">
        <f t="shared" ref="B170:F170" si="20">EFFECT(B166+B167,4)</f>
        <v>4.7627765190872307E-2</v>
      </c>
      <c r="C170" s="461">
        <f t="shared" si="20"/>
        <v>4.4101129008956796E-2</v>
      </c>
      <c r="D170" s="461">
        <f t="shared" si="20"/>
        <v>4.2800287274478821E-2</v>
      </c>
      <c r="E170" s="461">
        <f t="shared" si="20"/>
        <v>4.0624616173015715E-2</v>
      </c>
      <c r="F170" s="398">
        <f t="shared" si="20"/>
        <v>3.7619352701095288E-2</v>
      </c>
      <c r="G170" s="398">
        <f>EFFECT(G166+G167,4)</f>
        <v>3.7619352701095288E-2</v>
      </c>
      <c r="H170" s="398">
        <f>EFFECT(H166+H167,4)</f>
        <v>3.7701601855835598E-2</v>
      </c>
      <c r="I170" s="398">
        <f>EFFECT(I166+I167,4)</f>
        <v>3.763991453138682E-2</v>
      </c>
      <c r="J170" s="398">
        <f>EFFECT(J166+J167,4)</f>
        <v>6.136355062499943E-2</v>
      </c>
      <c r="K170" s="398">
        <f t="shared" ref="K170:L170" si="21">EFFECT(K166+K167,4)</f>
        <v>6.6601608791504452E-2</v>
      </c>
      <c r="L170" s="398">
        <f t="shared" si="21"/>
        <v>7.1859031289062791E-2</v>
      </c>
    </row>
    <row r="171" spans="1:18" x14ac:dyDescent="0.25">
      <c r="A171" s="43" t="s">
        <v>39</v>
      </c>
      <c r="B171" s="458">
        <f>+E17</f>
        <v>26918594.234999999</v>
      </c>
      <c r="C171" s="458">
        <f>+E18</f>
        <v>24957218.031125002</v>
      </c>
      <c r="D171" s="458">
        <f>+E19</f>
        <v>24232486.647875004</v>
      </c>
      <c r="E171" s="458">
        <f>+E20</f>
        <v>23018849.17275</v>
      </c>
      <c r="F171" s="44">
        <f>+E21</f>
        <v>21339312.951250002</v>
      </c>
      <c r="G171" s="44">
        <f>+E22</f>
        <v>21339312.951250002</v>
      </c>
      <c r="H171" s="44">
        <f>+E23</f>
        <v>21385327.642250001</v>
      </c>
      <c r="I171" s="44">
        <f>+E24</f>
        <v>21350817</v>
      </c>
      <c r="J171" s="44"/>
      <c r="K171" s="44"/>
      <c r="L171" s="44"/>
    </row>
  </sheetData>
  <mergeCells count="4">
    <mergeCell ref="A1:H1"/>
    <mergeCell ref="A2:H2"/>
    <mergeCell ref="A3:H3"/>
    <mergeCell ref="A4:H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O77"/>
  <sheetViews>
    <sheetView workbookViewId="0">
      <selection activeCell="A6" sqref="A6"/>
    </sheetView>
  </sheetViews>
  <sheetFormatPr baseColWidth="10" defaultColWidth="11.5703125" defaultRowHeight="15" x14ac:dyDescent="0.25"/>
  <cols>
    <col min="1" max="1" width="12.5703125" customWidth="1"/>
    <col min="2" max="2" width="18.5703125" bestFit="1" customWidth="1"/>
    <col min="3" max="3" width="15.28515625" customWidth="1"/>
    <col min="4" max="4" width="18.140625" customWidth="1"/>
    <col min="5" max="5" width="15.85546875" customWidth="1"/>
    <col min="6" max="6" width="14.5703125" customWidth="1"/>
    <col min="7" max="7" width="15.85546875" customWidth="1"/>
    <col min="8" max="8" width="15.28515625" bestFit="1" customWidth="1"/>
    <col min="9" max="9" width="14.7109375" bestFit="1" customWidth="1"/>
    <col min="10" max="10" width="19.28515625" bestFit="1" customWidth="1"/>
    <col min="11" max="11" width="19" bestFit="1" customWidth="1"/>
    <col min="12" max="12" width="19.28515625" bestFit="1" customWidth="1"/>
    <col min="13" max="13" width="20" bestFit="1" customWidth="1"/>
    <col min="14" max="15" width="19" bestFit="1" customWidth="1"/>
  </cols>
  <sheetData>
    <row r="1" spans="1:15" ht="15.75" x14ac:dyDescent="0.25">
      <c r="A1" s="517" t="s">
        <v>2</v>
      </c>
      <c r="B1" s="518"/>
      <c r="C1" s="518"/>
      <c r="D1" s="518"/>
      <c r="E1" s="518"/>
      <c r="F1" s="518"/>
      <c r="G1" s="518"/>
      <c r="H1" s="519"/>
    </row>
    <row r="2" spans="1:15" ht="15.75" x14ac:dyDescent="0.25">
      <c r="A2" s="520" t="s">
        <v>2835</v>
      </c>
      <c r="B2" s="521"/>
      <c r="C2" s="521"/>
      <c r="D2" s="521"/>
      <c r="E2" s="521"/>
      <c r="F2" s="521"/>
      <c r="G2" s="521"/>
      <c r="H2" s="522"/>
    </row>
    <row r="3" spans="1:15" ht="16.5" thickBot="1" x14ac:dyDescent="0.3">
      <c r="A3" s="523" t="s">
        <v>2944</v>
      </c>
      <c r="B3" s="524"/>
      <c r="C3" s="524"/>
      <c r="D3" s="524"/>
      <c r="E3" s="524"/>
      <c r="F3" s="524"/>
      <c r="G3" s="524"/>
      <c r="H3" s="525"/>
    </row>
    <row r="4" spans="1:15" ht="75.75" thickBot="1" x14ac:dyDescent="0.3">
      <c r="A4" s="1" t="s">
        <v>5</v>
      </c>
      <c r="B4" s="2" t="s">
        <v>6</v>
      </c>
      <c r="C4" s="3" t="s">
        <v>7</v>
      </c>
      <c r="D4" s="3" t="s">
        <v>40</v>
      </c>
      <c r="E4" s="4" t="s">
        <v>383</v>
      </c>
      <c r="F4" s="3" t="s">
        <v>41</v>
      </c>
      <c r="G4" s="4" t="s">
        <v>384</v>
      </c>
      <c r="H4" s="5" t="s">
        <v>8</v>
      </c>
      <c r="I4" s="51"/>
    </row>
    <row r="5" spans="1:15" x14ac:dyDescent="0.25">
      <c r="A5" s="6">
        <v>43482</v>
      </c>
      <c r="B5" s="7" t="s">
        <v>359</v>
      </c>
      <c r="C5" s="8">
        <v>0</v>
      </c>
      <c r="D5" s="8">
        <v>0</v>
      </c>
      <c r="E5" s="8"/>
      <c r="F5" s="8"/>
      <c r="G5" s="8">
        <f>+C5+D5</f>
        <v>0</v>
      </c>
      <c r="H5" s="9">
        <v>20000000000</v>
      </c>
      <c r="I5" s="54" t="s">
        <v>42</v>
      </c>
    </row>
    <row r="6" spans="1:15" x14ac:dyDescent="0.25">
      <c r="A6" s="10">
        <f>A5+90</f>
        <v>43572</v>
      </c>
      <c r="B6" s="11" t="s">
        <v>9</v>
      </c>
      <c r="C6" s="12">
        <v>0</v>
      </c>
      <c r="D6" s="12">
        <f>H5*((1+$B$73)^(B$72/360)-1)</f>
        <v>480429008.76525521</v>
      </c>
      <c r="E6" s="18">
        <f>D6+C6</f>
        <v>480429008.76525521</v>
      </c>
      <c r="F6" s="12">
        <v>0</v>
      </c>
      <c r="G6" s="12">
        <f>+C6+F6</f>
        <v>0</v>
      </c>
      <c r="H6" s="13">
        <f t="shared" ref="H6:H33" si="0">+H5-C6</f>
        <v>20000000000</v>
      </c>
      <c r="I6" s="12"/>
      <c r="K6" s="75"/>
      <c r="L6" s="77"/>
    </row>
    <row r="7" spans="1:15" x14ac:dyDescent="0.25">
      <c r="A7" s="10">
        <f>A6+91</f>
        <v>43663</v>
      </c>
      <c r="B7" s="11" t="s">
        <v>9</v>
      </c>
      <c r="C7" s="12">
        <v>0</v>
      </c>
      <c r="D7" s="12">
        <f>H6*((1+$B$73)^(B$72/360)-1)</f>
        <v>480429008.76525521</v>
      </c>
      <c r="E7" s="12">
        <f t="shared" ref="E7:E33" si="1">D7+C7</f>
        <v>480429008.76525521</v>
      </c>
      <c r="F7" s="12">
        <v>0</v>
      </c>
      <c r="G7" s="12">
        <f t="shared" ref="G7:G33" si="2">+C7+F7</f>
        <v>0</v>
      </c>
      <c r="H7" s="13">
        <f t="shared" si="0"/>
        <v>20000000000</v>
      </c>
      <c r="I7" s="12"/>
    </row>
    <row r="8" spans="1:15" x14ac:dyDescent="0.25">
      <c r="A8" s="10">
        <f>A7+92</f>
        <v>43755</v>
      </c>
      <c r="B8" s="11" t="s">
        <v>9</v>
      </c>
      <c r="C8" s="12">
        <v>0</v>
      </c>
      <c r="D8" s="12">
        <f>H7*((1+$B$73)^(B$72/360)-1)</f>
        <v>480429008.76525521</v>
      </c>
      <c r="E8" s="12">
        <f t="shared" si="1"/>
        <v>480429008.76525521</v>
      </c>
      <c r="F8" s="12">
        <v>0</v>
      </c>
      <c r="G8" s="12">
        <f t="shared" si="2"/>
        <v>0</v>
      </c>
      <c r="H8" s="13">
        <f t="shared" si="0"/>
        <v>20000000000</v>
      </c>
      <c r="I8" s="12"/>
    </row>
    <row r="9" spans="1:15" x14ac:dyDescent="0.25">
      <c r="A9" s="10">
        <f>A8+92</f>
        <v>43847</v>
      </c>
      <c r="B9" s="11" t="s">
        <v>9</v>
      </c>
      <c r="C9" s="12">
        <v>0</v>
      </c>
      <c r="D9" s="12">
        <f>H8*((1+$C$73)^(C$72/360)-1)</f>
        <v>480429008.76525521</v>
      </c>
      <c r="E9" s="12">
        <f t="shared" si="1"/>
        <v>480429008.76525521</v>
      </c>
      <c r="F9" s="12">
        <v>0</v>
      </c>
      <c r="G9" s="12">
        <f t="shared" si="2"/>
        <v>0</v>
      </c>
      <c r="H9" s="13">
        <f t="shared" si="0"/>
        <v>20000000000</v>
      </c>
    </row>
    <row r="10" spans="1:15" x14ac:dyDescent="0.25">
      <c r="A10" s="10">
        <f>A9+91</f>
        <v>43938</v>
      </c>
      <c r="B10" s="11" t="s">
        <v>9</v>
      </c>
      <c r="C10" s="12">
        <v>0</v>
      </c>
      <c r="D10" s="12">
        <f>H9*((1+$C$73)^(C$72/360)-1)</f>
        <v>480429008.76525521</v>
      </c>
      <c r="E10" s="12">
        <f t="shared" si="1"/>
        <v>480429008.76525521</v>
      </c>
      <c r="F10" s="12">
        <v>0</v>
      </c>
      <c r="G10" s="12">
        <f t="shared" si="2"/>
        <v>0</v>
      </c>
      <c r="H10" s="13">
        <f t="shared" si="0"/>
        <v>20000000000</v>
      </c>
    </row>
    <row r="11" spans="1:15" x14ac:dyDescent="0.25">
      <c r="A11" s="10">
        <f>A10+91</f>
        <v>44029</v>
      </c>
      <c r="B11" s="11" t="s">
        <v>9</v>
      </c>
      <c r="C11" s="12">
        <v>0</v>
      </c>
      <c r="D11" s="12">
        <f>H10*((1+$C$73)^(C$72/360)-1)</f>
        <v>480429008.76525521</v>
      </c>
      <c r="E11" s="12">
        <f t="shared" si="1"/>
        <v>480429008.76525521</v>
      </c>
      <c r="F11" s="12">
        <v>0</v>
      </c>
      <c r="G11" s="12">
        <f t="shared" si="2"/>
        <v>0</v>
      </c>
      <c r="H11" s="13">
        <f t="shared" si="0"/>
        <v>20000000000</v>
      </c>
    </row>
    <row r="12" spans="1:15" x14ac:dyDescent="0.25">
      <c r="A12" s="10">
        <f>A11+92</f>
        <v>44121</v>
      </c>
      <c r="B12" s="11" t="s">
        <v>9</v>
      </c>
      <c r="C12" s="12">
        <v>0</v>
      </c>
      <c r="D12" s="12">
        <f>H11*((1+$C$73)^(C$72/360)-1)</f>
        <v>480429008.76525521</v>
      </c>
      <c r="E12" s="12">
        <f t="shared" si="1"/>
        <v>480429008.76525521</v>
      </c>
      <c r="F12" s="12">
        <v>0</v>
      </c>
      <c r="G12" s="12">
        <f t="shared" si="2"/>
        <v>0</v>
      </c>
      <c r="H12" s="13">
        <f t="shared" si="0"/>
        <v>20000000000</v>
      </c>
    </row>
    <row r="13" spans="1:15" x14ac:dyDescent="0.25">
      <c r="A13" s="10">
        <f>A12+92</f>
        <v>44213</v>
      </c>
      <c r="B13" s="11" t="s">
        <v>9</v>
      </c>
      <c r="C13" s="12">
        <v>0</v>
      </c>
      <c r="D13" s="12">
        <f>H12*((1+$D$73)^(D$72/360)-1)</f>
        <v>480429008.76525521</v>
      </c>
      <c r="E13" s="12">
        <f t="shared" si="1"/>
        <v>480429008.76525521</v>
      </c>
      <c r="F13" s="12">
        <v>0</v>
      </c>
      <c r="G13" s="12">
        <f t="shared" si="2"/>
        <v>0</v>
      </c>
      <c r="H13" s="13">
        <f t="shared" si="0"/>
        <v>20000000000</v>
      </c>
      <c r="N13" s="54"/>
      <c r="O13" s="54"/>
    </row>
    <row r="14" spans="1:15" x14ac:dyDescent="0.25">
      <c r="A14" s="10">
        <f>A13+90</f>
        <v>44303</v>
      </c>
      <c r="B14" s="11" t="s">
        <v>10</v>
      </c>
      <c r="C14" s="12">
        <f>+$H$5/20</f>
        <v>1000000000</v>
      </c>
      <c r="D14" s="12">
        <f>H13*((1+$D$73)^(D$72/360)-1)</f>
        <v>480429008.76525521</v>
      </c>
      <c r="E14" s="12">
        <f t="shared" si="1"/>
        <v>1480429008.7652552</v>
      </c>
      <c r="F14" s="12"/>
      <c r="G14" s="12">
        <f>+C14+F14</f>
        <v>1000000000</v>
      </c>
      <c r="H14" s="13">
        <f t="shared" si="0"/>
        <v>19000000000</v>
      </c>
      <c r="K14" s="76"/>
      <c r="L14" s="76"/>
      <c r="M14" s="84"/>
    </row>
    <row r="15" spans="1:15" x14ac:dyDescent="0.25">
      <c r="A15" s="10">
        <f>A14+91</f>
        <v>44394</v>
      </c>
      <c r="B15" s="11" t="s">
        <v>10</v>
      </c>
      <c r="C15" s="12">
        <f t="shared" ref="C15:C33" si="3">+$H$5/20</f>
        <v>1000000000</v>
      </c>
      <c r="D15" s="12">
        <f>H14*((1+$D$73)^(D$72/360)-1)</f>
        <v>456407558.32699245</v>
      </c>
      <c r="E15" s="12">
        <f t="shared" si="1"/>
        <v>1456407558.3269925</v>
      </c>
      <c r="F15" s="12"/>
      <c r="G15" s="12">
        <f t="shared" si="2"/>
        <v>1000000000</v>
      </c>
      <c r="H15" s="13">
        <f t="shared" si="0"/>
        <v>18000000000</v>
      </c>
      <c r="K15" s="76"/>
      <c r="L15" s="76"/>
      <c r="M15" s="84"/>
    </row>
    <row r="16" spans="1:15" x14ac:dyDescent="0.25">
      <c r="A16" s="10">
        <f>A15+92</f>
        <v>44486</v>
      </c>
      <c r="B16" s="11" t="s">
        <v>10</v>
      </c>
      <c r="C16" s="12">
        <f t="shared" si="3"/>
        <v>1000000000</v>
      </c>
      <c r="D16" s="12">
        <f>H15*((1+$D$73)^(D$72/360)-1)</f>
        <v>432386107.88872969</v>
      </c>
      <c r="E16" s="12">
        <f t="shared" si="1"/>
        <v>1432386107.8887296</v>
      </c>
      <c r="F16" s="12"/>
      <c r="G16" s="12">
        <f t="shared" si="2"/>
        <v>1000000000</v>
      </c>
      <c r="H16" s="13">
        <f t="shared" si="0"/>
        <v>17000000000</v>
      </c>
    </row>
    <row r="17" spans="1:15" x14ac:dyDescent="0.25">
      <c r="A17" s="10">
        <f>A16+92</f>
        <v>44578</v>
      </c>
      <c r="B17" s="11" t="s">
        <v>10</v>
      </c>
      <c r="C17" s="12">
        <f t="shared" si="3"/>
        <v>1000000000</v>
      </c>
      <c r="D17" s="12">
        <f>H16*((1+$E$73)^(E$72/360)-1)</f>
        <v>408364657.45046693</v>
      </c>
      <c r="E17" s="12">
        <f t="shared" si="1"/>
        <v>1408364657.4504669</v>
      </c>
      <c r="F17" s="12"/>
      <c r="G17" s="12">
        <f t="shared" si="2"/>
        <v>1000000000</v>
      </c>
      <c r="H17" s="13">
        <f t="shared" si="0"/>
        <v>16000000000</v>
      </c>
      <c r="K17" s="54"/>
      <c r="L17" s="76"/>
      <c r="M17" s="84"/>
      <c r="N17" s="84"/>
      <c r="O17" s="84"/>
    </row>
    <row r="18" spans="1:15" x14ac:dyDescent="0.25">
      <c r="A18" s="10">
        <f>A17+90</f>
        <v>44668</v>
      </c>
      <c r="B18" s="11" t="s">
        <v>10</v>
      </c>
      <c r="C18" s="12">
        <f t="shared" si="3"/>
        <v>1000000000</v>
      </c>
      <c r="D18" s="12">
        <f>H17*((1+$E$73)^(E$72/360)-1)</f>
        <v>384343207.01220417</v>
      </c>
      <c r="E18" s="12">
        <f t="shared" si="1"/>
        <v>1384343207.0122042</v>
      </c>
      <c r="F18" s="12"/>
      <c r="G18" s="12">
        <f t="shared" si="2"/>
        <v>1000000000</v>
      </c>
      <c r="H18" s="13">
        <f t="shared" si="0"/>
        <v>15000000000</v>
      </c>
      <c r="M18" s="76"/>
      <c r="N18" s="76"/>
      <c r="O18" s="84"/>
    </row>
    <row r="19" spans="1:15" x14ac:dyDescent="0.25">
      <c r="A19" s="10">
        <f>A18+91</f>
        <v>44759</v>
      </c>
      <c r="B19" s="11" t="s">
        <v>10</v>
      </c>
      <c r="C19" s="12">
        <f t="shared" si="3"/>
        <v>1000000000</v>
      </c>
      <c r="D19" s="12">
        <f>H18*((1+$E$73)^(E$72/360)-1)</f>
        <v>360321756.57394141</v>
      </c>
      <c r="E19" s="12">
        <f t="shared" si="1"/>
        <v>1360321756.5739415</v>
      </c>
      <c r="F19" s="12"/>
      <c r="G19" s="12">
        <f t="shared" si="2"/>
        <v>1000000000</v>
      </c>
      <c r="H19" s="13">
        <f t="shared" si="0"/>
        <v>14000000000</v>
      </c>
    </row>
    <row r="20" spans="1:15" x14ac:dyDescent="0.25">
      <c r="A20" s="10">
        <f>A19+92</f>
        <v>44851</v>
      </c>
      <c r="B20" s="11" t="s">
        <v>10</v>
      </c>
      <c r="C20" s="12">
        <f t="shared" si="3"/>
        <v>1000000000</v>
      </c>
      <c r="D20" s="12">
        <f>H19*((1+$E$73)^(E$72/360)-1)</f>
        <v>336300306.13567865</v>
      </c>
      <c r="E20" s="12">
        <f t="shared" si="1"/>
        <v>1336300306.1356788</v>
      </c>
      <c r="F20" s="12"/>
      <c r="G20" s="12">
        <f t="shared" si="2"/>
        <v>1000000000</v>
      </c>
      <c r="H20" s="13">
        <f t="shared" si="0"/>
        <v>13000000000</v>
      </c>
    </row>
    <row r="21" spans="1:15" x14ac:dyDescent="0.25">
      <c r="A21" s="10">
        <f>A20+92</f>
        <v>44943</v>
      </c>
      <c r="B21" s="11" t="s">
        <v>10</v>
      </c>
      <c r="C21" s="12">
        <f t="shared" si="3"/>
        <v>1000000000</v>
      </c>
      <c r="D21" s="12">
        <f>H20*((1+$F$73)^(F$72/360)-1)</f>
        <v>312278855.69741589</v>
      </c>
      <c r="E21" s="12">
        <f t="shared" si="1"/>
        <v>1312278855.6974158</v>
      </c>
      <c r="F21" s="12"/>
      <c r="G21" s="12">
        <f t="shared" si="2"/>
        <v>1000000000</v>
      </c>
      <c r="H21" s="13">
        <f t="shared" si="0"/>
        <v>12000000000</v>
      </c>
    </row>
    <row r="22" spans="1:15" x14ac:dyDescent="0.25">
      <c r="A22" s="10">
        <f>A21+90</f>
        <v>45033</v>
      </c>
      <c r="B22" s="11" t="s">
        <v>10</v>
      </c>
      <c r="C22" s="12">
        <f t="shared" si="3"/>
        <v>1000000000</v>
      </c>
      <c r="D22" s="12">
        <f>H21*((1+$F$73)^(F$72/360)-1)</f>
        <v>288257405.25915313</v>
      </c>
      <c r="E22" s="12">
        <f t="shared" si="1"/>
        <v>1288257405.2591531</v>
      </c>
      <c r="F22" s="12"/>
      <c r="G22" s="12">
        <f t="shared" si="2"/>
        <v>1000000000</v>
      </c>
      <c r="H22" s="13">
        <f t="shared" si="0"/>
        <v>11000000000</v>
      </c>
    </row>
    <row r="23" spans="1:15" x14ac:dyDescent="0.25">
      <c r="A23" s="10">
        <f>A22+91</f>
        <v>45124</v>
      </c>
      <c r="B23" s="11" t="s">
        <v>10</v>
      </c>
      <c r="C23" s="12">
        <f t="shared" si="3"/>
        <v>1000000000</v>
      </c>
      <c r="D23" s="12">
        <f>H22*((1+$F$73)^(F$72/360)-1)</f>
        <v>264235954.82089034</v>
      </c>
      <c r="E23" s="12">
        <f t="shared" si="1"/>
        <v>1264235954.8208904</v>
      </c>
      <c r="F23" s="12"/>
      <c r="G23" s="12">
        <f t="shared" si="2"/>
        <v>1000000000</v>
      </c>
      <c r="H23" s="13">
        <f t="shared" si="0"/>
        <v>10000000000</v>
      </c>
    </row>
    <row r="24" spans="1:15" x14ac:dyDescent="0.25">
      <c r="A24" s="10">
        <f>A23+92</f>
        <v>45216</v>
      </c>
      <c r="B24" s="11" t="s">
        <v>10</v>
      </c>
      <c r="C24" s="12">
        <f t="shared" si="3"/>
        <v>1000000000</v>
      </c>
      <c r="D24" s="12">
        <f>H23*((1+$F$73)^(F$72/360)-1)</f>
        <v>240214504.38262761</v>
      </c>
      <c r="E24" s="12">
        <f t="shared" si="1"/>
        <v>1240214504.3826275</v>
      </c>
      <c r="F24" s="12"/>
      <c r="G24" s="12">
        <f t="shared" si="2"/>
        <v>1000000000</v>
      </c>
      <c r="H24" s="13">
        <f t="shared" si="0"/>
        <v>9000000000</v>
      </c>
    </row>
    <row r="25" spans="1:15" x14ac:dyDescent="0.25">
      <c r="A25" s="10">
        <f>A24+92</f>
        <v>45308</v>
      </c>
      <c r="B25" s="11" t="s">
        <v>10</v>
      </c>
      <c r="C25" s="12">
        <f t="shared" si="3"/>
        <v>1000000000</v>
      </c>
      <c r="D25" s="12">
        <f>H24*((1+$G$73)^(G$72/360)-1)</f>
        <v>216193053.94436485</v>
      </c>
      <c r="E25" s="12">
        <f t="shared" si="1"/>
        <v>1216193053.9443648</v>
      </c>
      <c r="F25" s="12"/>
      <c r="G25" s="12">
        <f t="shared" si="2"/>
        <v>1000000000</v>
      </c>
      <c r="H25" s="13">
        <f t="shared" si="0"/>
        <v>8000000000</v>
      </c>
    </row>
    <row r="26" spans="1:15" x14ac:dyDescent="0.25">
      <c r="A26" s="10">
        <f>A25+91</f>
        <v>45399</v>
      </c>
      <c r="B26" s="11" t="s">
        <v>10</v>
      </c>
      <c r="C26" s="12">
        <f t="shared" si="3"/>
        <v>1000000000</v>
      </c>
      <c r="D26" s="12">
        <f>H25*((1+$G$73)^(G$72/360)-1)</f>
        <v>192171603.50610209</v>
      </c>
      <c r="E26" s="12">
        <f t="shared" si="1"/>
        <v>1192171603.5061021</v>
      </c>
      <c r="F26" s="12"/>
      <c r="G26" s="12">
        <f t="shared" si="2"/>
        <v>1000000000</v>
      </c>
      <c r="H26" s="13">
        <f t="shared" si="0"/>
        <v>7000000000</v>
      </c>
    </row>
    <row r="27" spans="1:15" x14ac:dyDescent="0.25">
      <c r="A27" s="10">
        <f>A26+91</f>
        <v>45490</v>
      </c>
      <c r="B27" s="11" t="s">
        <v>10</v>
      </c>
      <c r="C27" s="12">
        <f t="shared" si="3"/>
        <v>1000000000</v>
      </c>
      <c r="D27" s="12">
        <f>H26*((1+$G$73)^(G$72/360)-1)</f>
        <v>168150153.06783932</v>
      </c>
      <c r="E27" s="12">
        <f t="shared" si="1"/>
        <v>1168150153.0678394</v>
      </c>
      <c r="F27" s="12"/>
      <c r="G27" s="12">
        <f t="shared" si="2"/>
        <v>1000000000</v>
      </c>
      <c r="H27" s="13">
        <f t="shared" si="0"/>
        <v>6000000000</v>
      </c>
    </row>
    <row r="28" spans="1:15" x14ac:dyDescent="0.25">
      <c r="A28" s="10">
        <f>A27+92</f>
        <v>45582</v>
      </c>
      <c r="B28" s="11" t="s">
        <v>10</v>
      </c>
      <c r="C28" s="12">
        <f t="shared" si="3"/>
        <v>1000000000</v>
      </c>
      <c r="D28" s="12">
        <f>H27*((1+$G$73)^(G$72/360)-1)</f>
        <v>144128702.62957656</v>
      </c>
      <c r="E28" s="12">
        <f t="shared" si="1"/>
        <v>1144128702.6295767</v>
      </c>
      <c r="F28" s="12"/>
      <c r="G28" s="12">
        <f t="shared" si="2"/>
        <v>1000000000</v>
      </c>
      <c r="H28" s="13">
        <f t="shared" si="0"/>
        <v>5000000000</v>
      </c>
    </row>
    <row r="29" spans="1:15" x14ac:dyDescent="0.25">
      <c r="A29" s="10">
        <f>A28+92</f>
        <v>45674</v>
      </c>
      <c r="B29" s="11" t="s">
        <v>10</v>
      </c>
      <c r="C29" s="12">
        <f t="shared" si="3"/>
        <v>1000000000</v>
      </c>
      <c r="D29" s="12">
        <f>H28*((1+$H$73)^(H$72/360)-1)</f>
        <v>120107252.1913138</v>
      </c>
      <c r="E29" s="12">
        <f t="shared" si="1"/>
        <v>1120107252.1913137</v>
      </c>
      <c r="F29" s="12"/>
      <c r="G29" s="12">
        <f t="shared" si="2"/>
        <v>1000000000</v>
      </c>
      <c r="H29" s="13">
        <f t="shared" si="0"/>
        <v>4000000000</v>
      </c>
    </row>
    <row r="30" spans="1:15" x14ac:dyDescent="0.25">
      <c r="A30" s="10">
        <f>A29+90</f>
        <v>45764</v>
      </c>
      <c r="B30" s="11" t="s">
        <v>10</v>
      </c>
      <c r="C30" s="12">
        <f t="shared" si="3"/>
        <v>1000000000</v>
      </c>
      <c r="D30" s="12">
        <f>H29*((1+$H$73)^(H$72/360)-1)</f>
        <v>96085801.753051043</v>
      </c>
      <c r="E30" s="12">
        <f t="shared" si="1"/>
        <v>1096085801.753051</v>
      </c>
      <c r="F30" s="12"/>
      <c r="G30" s="12">
        <f t="shared" si="2"/>
        <v>1000000000</v>
      </c>
      <c r="H30" s="13">
        <f t="shared" si="0"/>
        <v>3000000000</v>
      </c>
    </row>
    <row r="31" spans="1:15" x14ac:dyDescent="0.25">
      <c r="A31" s="10">
        <f>A30+91</f>
        <v>45855</v>
      </c>
      <c r="B31" s="11" t="s">
        <v>10</v>
      </c>
      <c r="C31" s="12">
        <f t="shared" si="3"/>
        <v>1000000000</v>
      </c>
      <c r="D31" s="12">
        <f>H30*((1+$H$73)^(H$72/360)-1)</f>
        <v>72064351.314788282</v>
      </c>
      <c r="E31" s="12">
        <f t="shared" si="1"/>
        <v>1072064351.3147883</v>
      </c>
      <c r="F31" s="12"/>
      <c r="G31" s="12">
        <f t="shared" si="2"/>
        <v>1000000000</v>
      </c>
      <c r="H31" s="13">
        <f t="shared" si="0"/>
        <v>2000000000</v>
      </c>
    </row>
    <row r="32" spans="1:15" x14ac:dyDescent="0.25">
      <c r="A32" s="10">
        <f>A31+92</f>
        <v>45947</v>
      </c>
      <c r="B32" s="11" t="s">
        <v>10</v>
      </c>
      <c r="C32" s="12">
        <f t="shared" si="3"/>
        <v>1000000000</v>
      </c>
      <c r="D32" s="12">
        <f>H31*((1+$H$73)^(H$72/360)-1)</f>
        <v>48042900.876525521</v>
      </c>
      <c r="E32" s="12">
        <f t="shared" si="1"/>
        <v>1048042900.8765255</v>
      </c>
      <c r="F32" s="12"/>
      <c r="G32" s="12">
        <f t="shared" si="2"/>
        <v>1000000000</v>
      </c>
      <c r="H32" s="13">
        <f t="shared" si="0"/>
        <v>1000000000</v>
      </c>
    </row>
    <row r="33" spans="1:8" x14ac:dyDescent="0.25">
      <c r="A33" s="10">
        <f>A32+92</f>
        <v>46039</v>
      </c>
      <c r="B33" s="11" t="s">
        <v>10</v>
      </c>
      <c r="C33" s="12">
        <f t="shared" si="3"/>
        <v>1000000000</v>
      </c>
      <c r="D33" s="12">
        <f>H32*((1+$I$73)^(I$72/360)-1)</f>
        <v>24021450.438262761</v>
      </c>
      <c r="E33" s="12">
        <f t="shared" si="1"/>
        <v>1024021450.4382627</v>
      </c>
      <c r="F33" s="12"/>
      <c r="G33" s="12">
        <f t="shared" si="2"/>
        <v>1000000000</v>
      </c>
      <c r="H33" s="13">
        <f t="shared" si="0"/>
        <v>0</v>
      </c>
    </row>
    <row r="34" spans="1:8" x14ac:dyDescent="0.25">
      <c r="A34" s="10"/>
      <c r="B34" s="11"/>
      <c r="C34" s="12"/>
      <c r="D34" s="12"/>
      <c r="E34" s="12"/>
      <c r="F34" s="12"/>
      <c r="G34" s="12"/>
      <c r="H34" s="13"/>
    </row>
    <row r="35" spans="1:8" x14ac:dyDescent="0.25">
      <c r="A35" s="10"/>
      <c r="B35" s="11"/>
      <c r="C35" s="12"/>
      <c r="D35" s="12"/>
      <c r="E35" s="12"/>
      <c r="F35" s="12"/>
      <c r="G35" s="12"/>
      <c r="H35" s="13"/>
    </row>
    <row r="36" spans="1:8" x14ac:dyDescent="0.25">
      <c r="A36" s="10"/>
      <c r="B36" s="11"/>
      <c r="C36" s="12"/>
      <c r="D36" s="12"/>
      <c r="E36" s="12"/>
      <c r="F36" s="12"/>
      <c r="G36" s="12"/>
      <c r="H36" s="13"/>
    </row>
    <row r="37" spans="1:8" x14ac:dyDescent="0.25">
      <c r="A37" s="10"/>
      <c r="B37" s="11"/>
      <c r="C37" s="12"/>
      <c r="D37" s="12"/>
      <c r="E37" s="12"/>
      <c r="F37" s="12"/>
      <c r="G37" s="12"/>
      <c r="H37" s="13"/>
    </row>
    <row r="38" spans="1:8" x14ac:dyDescent="0.25">
      <c r="A38" s="10"/>
      <c r="B38" s="11"/>
      <c r="C38" s="12"/>
      <c r="D38" s="12"/>
      <c r="E38" s="12"/>
      <c r="F38" s="12"/>
      <c r="G38" s="12"/>
      <c r="H38" s="13"/>
    </row>
    <row r="39" spans="1:8" x14ac:dyDescent="0.25">
      <c r="A39" s="10"/>
      <c r="B39" s="11"/>
      <c r="C39" s="12"/>
      <c r="D39" s="12"/>
      <c r="E39" s="12"/>
      <c r="F39" s="12"/>
      <c r="G39" s="12"/>
      <c r="H39" s="13"/>
    </row>
    <row r="40" spans="1:8" x14ac:dyDescent="0.25">
      <c r="A40" s="10"/>
      <c r="B40" s="11"/>
      <c r="C40" s="12"/>
      <c r="D40" s="12"/>
      <c r="E40" s="12"/>
      <c r="F40" s="12"/>
      <c r="G40" s="12"/>
      <c r="H40" s="13"/>
    </row>
    <row r="41" spans="1:8" x14ac:dyDescent="0.25">
      <c r="A41" s="10"/>
      <c r="B41" s="11"/>
      <c r="C41" s="12"/>
      <c r="D41" s="12"/>
      <c r="E41" s="12"/>
      <c r="F41" s="12"/>
      <c r="G41" s="12"/>
      <c r="H41" s="13"/>
    </row>
    <row r="42" spans="1:8" x14ac:dyDescent="0.25">
      <c r="A42" s="10"/>
      <c r="B42" s="11"/>
      <c r="C42" s="12"/>
      <c r="D42" s="12"/>
      <c r="E42" s="12"/>
      <c r="F42" s="12"/>
      <c r="G42" s="12"/>
      <c r="H42" s="13"/>
    </row>
    <row r="43" spans="1:8" x14ac:dyDescent="0.25">
      <c r="A43" s="10"/>
      <c r="B43" s="11"/>
      <c r="C43" s="12"/>
      <c r="D43" s="12"/>
      <c r="E43" s="12"/>
      <c r="F43" s="12"/>
      <c r="G43" s="12"/>
      <c r="H43" s="13"/>
    </row>
    <row r="44" spans="1:8" x14ac:dyDescent="0.25">
      <c r="A44" s="10"/>
      <c r="B44" s="11"/>
      <c r="C44" s="12"/>
      <c r="D44" s="12"/>
      <c r="E44" s="12"/>
      <c r="F44" s="12"/>
      <c r="G44" s="12"/>
      <c r="H44" s="13"/>
    </row>
    <row r="45" spans="1:8" x14ac:dyDescent="0.25">
      <c r="A45" s="10"/>
      <c r="B45" s="11"/>
      <c r="C45" s="12"/>
      <c r="D45" s="12"/>
      <c r="E45" s="12"/>
      <c r="F45" s="12"/>
      <c r="G45" s="12"/>
      <c r="H45" s="13"/>
    </row>
    <row r="46" spans="1:8" x14ac:dyDescent="0.25">
      <c r="A46" s="10"/>
      <c r="B46" s="11"/>
      <c r="C46" s="12"/>
      <c r="D46" s="12"/>
      <c r="E46" s="12"/>
      <c r="F46" s="12"/>
      <c r="G46" s="12"/>
      <c r="H46" s="13"/>
    </row>
    <row r="47" spans="1:8" x14ac:dyDescent="0.25">
      <c r="A47" s="10"/>
      <c r="B47" s="11"/>
      <c r="C47" s="12"/>
      <c r="D47" s="12"/>
      <c r="E47" s="12"/>
      <c r="F47" s="12"/>
      <c r="G47" s="12"/>
      <c r="H47" s="13"/>
    </row>
    <row r="48" spans="1:8" x14ac:dyDescent="0.25">
      <c r="A48" s="10"/>
      <c r="B48" s="11"/>
      <c r="C48" s="12"/>
      <c r="D48" s="12"/>
      <c r="E48" s="12"/>
      <c r="F48" s="12"/>
      <c r="G48" s="12"/>
      <c r="H48" s="13"/>
    </row>
    <row r="49" spans="1:13" x14ac:dyDescent="0.25">
      <c r="A49" s="10"/>
      <c r="B49" s="11"/>
      <c r="C49" s="12"/>
      <c r="D49" s="12"/>
      <c r="E49" s="12"/>
      <c r="F49" s="12"/>
      <c r="G49" s="12"/>
      <c r="H49" s="13"/>
    </row>
    <row r="50" spans="1:13" x14ac:dyDescent="0.25">
      <c r="A50" s="10"/>
      <c r="B50" s="11"/>
      <c r="C50" s="12"/>
      <c r="D50" s="12"/>
      <c r="E50" s="12"/>
      <c r="F50" s="12"/>
      <c r="G50" s="12"/>
      <c r="H50" s="13"/>
    </row>
    <row r="51" spans="1:13" x14ac:dyDescent="0.25">
      <c r="A51" s="10"/>
      <c r="B51" s="11"/>
      <c r="C51" s="12"/>
      <c r="D51" s="12"/>
      <c r="E51" s="12"/>
      <c r="F51" s="12"/>
      <c r="G51" s="12"/>
      <c r="H51" s="13"/>
    </row>
    <row r="52" spans="1:13" x14ac:dyDescent="0.25">
      <c r="A52" s="10"/>
      <c r="B52" s="11"/>
      <c r="C52" s="12"/>
      <c r="D52" s="12"/>
      <c r="E52" s="12"/>
      <c r="F52" s="12"/>
      <c r="G52" s="12"/>
      <c r="H52" s="13"/>
    </row>
    <row r="53" spans="1:13" x14ac:dyDescent="0.25">
      <c r="A53" s="10"/>
      <c r="B53" s="11"/>
      <c r="C53" s="12"/>
      <c r="D53" s="12"/>
      <c r="E53" s="12"/>
      <c r="F53" s="12"/>
      <c r="G53" s="12"/>
      <c r="H53" s="14"/>
    </row>
    <row r="54" spans="1:13" x14ac:dyDescent="0.25">
      <c r="A54" s="15"/>
      <c r="B54" s="16" t="s">
        <v>11</v>
      </c>
      <c r="C54" s="17">
        <f>SUM(C5:C53)</f>
        <v>20000000000</v>
      </c>
      <c r="D54" s="17">
        <f>SUM(D5:D53)</f>
        <v>8887936662.1572227</v>
      </c>
      <c r="E54" s="17">
        <f>SUM(E6:E53)</f>
        <v>28887936662.157234</v>
      </c>
      <c r="F54" s="17"/>
      <c r="G54" s="17">
        <f>+C54+D54</f>
        <v>28887936662.157223</v>
      </c>
      <c r="H54" s="18"/>
      <c r="J54" s="76"/>
      <c r="K54" s="84"/>
      <c r="L54" s="84"/>
      <c r="M54" s="84"/>
    </row>
    <row r="55" spans="1:13" x14ac:dyDescent="0.25">
      <c r="A55" s="19" t="s">
        <v>42</v>
      </c>
      <c r="B55" s="20"/>
      <c r="C55" s="20"/>
      <c r="D55" s="20"/>
      <c r="E55" s="20"/>
      <c r="F55" s="20"/>
      <c r="G55" s="20"/>
      <c r="H55" s="20"/>
    </row>
    <row r="56" spans="1:13" ht="15.75" x14ac:dyDescent="0.25">
      <c r="A56" s="52" t="s">
        <v>363</v>
      </c>
      <c r="B56" s="20"/>
      <c r="C56" s="20"/>
      <c r="D56" s="20"/>
      <c r="E56" s="20"/>
      <c r="F56" s="20"/>
      <c r="G56" s="20"/>
      <c r="H56" s="20"/>
    </row>
    <row r="57" spans="1:13" x14ac:dyDescent="0.25">
      <c r="A57" s="19"/>
      <c r="B57" s="20"/>
      <c r="C57" s="20"/>
      <c r="D57" s="20"/>
      <c r="E57" s="20"/>
      <c r="F57" s="20"/>
      <c r="G57" s="20"/>
      <c r="H57" s="20"/>
    </row>
    <row r="58" spans="1:13" ht="15.75" x14ac:dyDescent="0.25">
      <c r="A58" s="53" t="s">
        <v>361</v>
      </c>
      <c r="B58" s="509" t="s">
        <v>362</v>
      </c>
      <c r="C58" s="510"/>
      <c r="D58" s="20"/>
      <c r="E58" s="20"/>
      <c r="F58" s="20"/>
      <c r="G58" s="20"/>
      <c r="H58" s="20"/>
    </row>
    <row r="59" spans="1:13" ht="15.75" thickBot="1" x14ac:dyDescent="0.3">
      <c r="A59" s="19"/>
      <c r="B59" s="20"/>
      <c r="C59" s="20"/>
      <c r="D59" s="20"/>
      <c r="E59" s="20"/>
      <c r="F59" s="20"/>
      <c r="G59" s="20"/>
      <c r="H59" s="20"/>
    </row>
    <row r="60" spans="1:13" ht="39" thickBot="1" x14ac:dyDescent="0.3">
      <c r="A60" s="21" t="s">
        <v>13</v>
      </c>
      <c r="B60" s="22" t="s">
        <v>14</v>
      </c>
      <c r="C60" s="22" t="s">
        <v>15</v>
      </c>
      <c r="D60" s="22" t="s">
        <v>16</v>
      </c>
      <c r="E60" s="22"/>
      <c r="F60" s="22"/>
      <c r="G60" s="22" t="s">
        <v>7</v>
      </c>
      <c r="H60" s="22" t="s">
        <v>365</v>
      </c>
      <c r="I60" s="23" t="s">
        <v>17</v>
      </c>
    </row>
    <row r="61" spans="1:13" ht="25.5" x14ac:dyDescent="0.25">
      <c r="A61" s="24" t="s">
        <v>385</v>
      </c>
      <c r="B61" s="25" t="s">
        <v>18</v>
      </c>
      <c r="C61" s="26"/>
      <c r="D61" s="27">
        <v>40000000000</v>
      </c>
      <c r="E61" s="27"/>
      <c r="F61" s="27"/>
      <c r="G61" s="27">
        <v>0</v>
      </c>
      <c r="H61" s="59">
        <f>D61*((1+C66)^(C65/360)-1)</f>
        <v>915872205.80028546</v>
      </c>
      <c r="I61" s="60">
        <f>+G61+H61</f>
        <v>915872205.80028546</v>
      </c>
    </row>
    <row r="62" spans="1:13" ht="38.25" x14ac:dyDescent="0.25">
      <c r="A62" s="28" t="s">
        <v>20</v>
      </c>
      <c r="B62" s="61">
        <v>14675926776</v>
      </c>
      <c r="C62" s="28" t="s">
        <v>366</v>
      </c>
      <c r="D62" s="30" t="s">
        <v>367</v>
      </c>
      <c r="E62" s="30"/>
      <c r="F62" s="30"/>
      <c r="G62" s="31"/>
      <c r="H62" s="31"/>
      <c r="I62" s="32"/>
    </row>
    <row r="63" spans="1:13" ht="26.25" x14ac:dyDescent="0.25">
      <c r="A63" s="62" t="s">
        <v>368</v>
      </c>
      <c r="B63" s="29"/>
      <c r="C63" s="33">
        <v>5.0599999999999999E-2</v>
      </c>
      <c r="D63" s="63" t="s">
        <v>369</v>
      </c>
      <c r="E63" s="63"/>
      <c r="F63" s="63"/>
      <c r="G63" s="31"/>
      <c r="H63" s="35"/>
      <c r="I63" s="32"/>
    </row>
    <row r="64" spans="1:13" x14ac:dyDescent="0.25">
      <c r="A64" s="64" t="s">
        <v>370</v>
      </c>
      <c r="B64" s="29"/>
      <c r="C64" s="33">
        <v>0.04</v>
      </c>
      <c r="D64" s="65" t="s">
        <v>371</v>
      </c>
      <c r="E64" s="65"/>
      <c r="F64" s="65"/>
      <c r="G64" s="31"/>
      <c r="H64" s="31"/>
      <c r="I64" s="32"/>
    </row>
    <row r="65" spans="1:15" x14ac:dyDescent="0.25">
      <c r="A65" s="66" t="s">
        <v>372</v>
      </c>
      <c r="B65" s="29"/>
      <c r="C65" s="67">
        <v>90</v>
      </c>
      <c r="D65" s="36"/>
      <c r="E65" s="36"/>
      <c r="F65" s="36"/>
      <c r="G65" s="31"/>
      <c r="H65" s="31"/>
      <c r="I65" s="32"/>
    </row>
    <row r="66" spans="1:15" ht="38.25" x14ac:dyDescent="0.25">
      <c r="A66" s="28" t="s">
        <v>373</v>
      </c>
      <c r="B66" s="29"/>
      <c r="C66" s="68">
        <f>(1+(C63+C64)/90)^90-1</f>
        <v>9.4781093401369532E-2</v>
      </c>
      <c r="D66" s="34">
        <f>C63+C64</f>
        <v>9.06E-2</v>
      </c>
      <c r="E66" s="34"/>
      <c r="F66" s="36" t="s">
        <v>42</v>
      </c>
      <c r="G66" s="31"/>
      <c r="H66" s="31"/>
      <c r="I66" s="32"/>
    </row>
    <row r="67" spans="1:15" ht="38.25" x14ac:dyDescent="0.25">
      <c r="A67" s="37" t="s">
        <v>22</v>
      </c>
      <c r="B67" s="69"/>
      <c r="C67" s="38"/>
      <c r="D67" s="31"/>
      <c r="E67" s="31"/>
      <c r="F67" s="31"/>
      <c r="G67" s="31"/>
      <c r="H67" s="31"/>
      <c r="I67" s="32"/>
    </row>
    <row r="68" spans="1:15" ht="25.5" x14ac:dyDescent="0.25">
      <c r="A68" s="37" t="s">
        <v>374</v>
      </c>
      <c r="B68" s="28" t="s">
        <v>24</v>
      </c>
      <c r="C68" s="28" t="s">
        <v>25</v>
      </c>
      <c r="D68" s="70"/>
      <c r="E68" s="71"/>
      <c r="F68" s="71"/>
      <c r="G68" s="71"/>
      <c r="H68" s="71"/>
      <c r="I68" s="72"/>
    </row>
    <row r="69" spans="1:15" x14ac:dyDescent="0.25">
      <c r="A69" s="39"/>
      <c r="B69" s="40" t="s">
        <v>28</v>
      </c>
      <c r="C69" s="40" t="s">
        <v>29</v>
      </c>
      <c r="D69" s="40" t="s">
        <v>30</v>
      </c>
      <c r="E69" s="40" t="s">
        <v>31</v>
      </c>
      <c r="F69" s="40" t="s">
        <v>32</v>
      </c>
      <c r="G69" s="40" t="s">
        <v>33</v>
      </c>
      <c r="H69" s="40" t="s">
        <v>34</v>
      </c>
      <c r="I69" s="40" t="s">
        <v>35</v>
      </c>
      <c r="J69" s="40" t="s">
        <v>36</v>
      </c>
      <c r="K69" s="40" t="s">
        <v>37</v>
      </c>
      <c r="L69" s="40" t="s">
        <v>38</v>
      </c>
      <c r="M69" s="40" t="s">
        <v>2734</v>
      </c>
      <c r="N69" s="40" t="s">
        <v>2832</v>
      </c>
    </row>
    <row r="70" spans="1:15" ht="25.5" x14ac:dyDescent="0.25">
      <c r="A70" s="39" t="s">
        <v>375</v>
      </c>
      <c r="B70" s="33">
        <v>0.06</v>
      </c>
      <c r="C70" s="33">
        <v>0.06</v>
      </c>
      <c r="D70" s="33">
        <v>0.06</v>
      </c>
      <c r="E70" s="33">
        <v>0.06</v>
      </c>
      <c r="F70" s="33">
        <v>0.06</v>
      </c>
      <c r="G70" s="33">
        <v>0.06</v>
      </c>
      <c r="H70" s="33">
        <v>0.06</v>
      </c>
      <c r="I70" s="33">
        <v>0.06</v>
      </c>
      <c r="J70" s="33">
        <v>0.06</v>
      </c>
      <c r="K70" s="33">
        <v>0.06</v>
      </c>
      <c r="L70" s="33">
        <v>0.06</v>
      </c>
      <c r="M70" s="33">
        <v>0.06</v>
      </c>
      <c r="N70" s="33">
        <v>0.06</v>
      </c>
    </row>
    <row r="71" spans="1:15" ht="25.5" x14ac:dyDescent="0.25">
      <c r="A71" s="39" t="s">
        <v>376</v>
      </c>
      <c r="B71" s="33">
        <v>3.5000000000000003E-2</v>
      </c>
      <c r="C71" s="33">
        <v>3.5000000000000003E-2</v>
      </c>
      <c r="D71" s="33">
        <v>3.5000000000000003E-2</v>
      </c>
      <c r="E71" s="33">
        <v>3.5000000000000003E-2</v>
      </c>
      <c r="F71" s="33">
        <v>3.5000000000000003E-2</v>
      </c>
      <c r="G71" s="33">
        <v>3.5000000000000003E-2</v>
      </c>
      <c r="H71" s="33">
        <v>3.5000000000000003E-2</v>
      </c>
      <c r="I71" s="33">
        <v>3.5000000000000003E-2</v>
      </c>
      <c r="J71" s="33">
        <v>3.5000000000000003E-2</v>
      </c>
      <c r="K71" s="33">
        <v>3.5000000000000003E-2</v>
      </c>
      <c r="L71" s="33">
        <v>3.5000000000000003E-2</v>
      </c>
      <c r="M71" s="33">
        <v>3.5000000000000003E-2</v>
      </c>
      <c r="N71" s="33">
        <v>3.5000000000000003E-2</v>
      </c>
    </row>
    <row r="72" spans="1:15" x14ac:dyDescent="0.25">
      <c r="A72" s="39" t="s">
        <v>377</v>
      </c>
      <c r="B72" s="67">
        <v>90</v>
      </c>
      <c r="C72" s="67">
        <v>90</v>
      </c>
      <c r="D72" s="67">
        <v>90</v>
      </c>
      <c r="E72" s="67">
        <v>90</v>
      </c>
      <c r="F72" s="67">
        <v>90</v>
      </c>
      <c r="G72" s="67">
        <v>90</v>
      </c>
      <c r="H72" s="67">
        <v>90</v>
      </c>
      <c r="I72" s="67">
        <v>90</v>
      </c>
      <c r="J72" s="67">
        <v>90</v>
      </c>
      <c r="K72" s="67">
        <v>90</v>
      </c>
      <c r="L72" s="67">
        <v>90</v>
      </c>
      <c r="M72" s="67">
        <v>90</v>
      </c>
      <c r="N72" s="67">
        <v>90</v>
      </c>
    </row>
    <row r="73" spans="1:15" ht="38.25" x14ac:dyDescent="0.25">
      <c r="A73" s="39" t="s">
        <v>373</v>
      </c>
      <c r="B73" s="73">
        <f>(1+(B70+B71)/90)^90-1</f>
        <v>9.9603759601696318E-2</v>
      </c>
      <c r="C73" s="73">
        <f>(1+(C70+C71)/90)^90-1</f>
        <v>9.9603759601696318E-2</v>
      </c>
      <c r="D73" s="73">
        <f t="shared" ref="D73:M73" si="4">(1+(D70+D71)/90)^90-1</f>
        <v>9.9603759601696318E-2</v>
      </c>
      <c r="E73" s="73">
        <f t="shared" si="4"/>
        <v>9.9603759601696318E-2</v>
      </c>
      <c r="F73" s="73">
        <f t="shared" si="4"/>
        <v>9.9603759601696318E-2</v>
      </c>
      <c r="G73" s="73">
        <f t="shared" si="4"/>
        <v>9.9603759601696318E-2</v>
      </c>
      <c r="H73" s="73">
        <f t="shared" si="4"/>
        <v>9.9603759601696318E-2</v>
      </c>
      <c r="I73" s="73">
        <f t="shared" si="4"/>
        <v>9.9603759601696318E-2</v>
      </c>
      <c r="J73" s="73">
        <f t="shared" si="4"/>
        <v>9.9603759601696318E-2</v>
      </c>
      <c r="K73" s="73">
        <f t="shared" si="4"/>
        <v>9.9603759601696318E-2</v>
      </c>
      <c r="L73" s="73">
        <f t="shared" si="4"/>
        <v>9.9603759601696318E-2</v>
      </c>
      <c r="M73" s="73">
        <f t="shared" si="4"/>
        <v>9.9603759601696318E-2</v>
      </c>
      <c r="N73" s="73">
        <f>(1+(N70+N71)/90)^90-1</f>
        <v>9.9603759601696318E-2</v>
      </c>
    </row>
    <row r="74" spans="1:15" ht="51" x14ac:dyDescent="0.25">
      <c r="A74" s="41" t="s">
        <v>378</v>
      </c>
      <c r="B74" s="41">
        <v>2019</v>
      </c>
      <c r="C74" s="42">
        <v>2020</v>
      </c>
      <c r="D74" s="41">
        <v>2021</v>
      </c>
      <c r="E74" s="42">
        <v>2022</v>
      </c>
      <c r="F74" s="41">
        <v>2023</v>
      </c>
      <c r="G74" s="42">
        <v>2024</v>
      </c>
      <c r="H74" s="41">
        <v>2025</v>
      </c>
      <c r="I74" s="42">
        <v>2026</v>
      </c>
      <c r="J74" s="41">
        <v>2027</v>
      </c>
      <c r="K74" s="42">
        <v>2028</v>
      </c>
      <c r="L74" s="41">
        <v>2029</v>
      </c>
      <c r="M74" s="42">
        <v>2030</v>
      </c>
      <c r="N74" s="42">
        <v>2031</v>
      </c>
      <c r="O74" s="46" t="s">
        <v>379</v>
      </c>
    </row>
    <row r="75" spans="1:15" x14ac:dyDescent="0.25">
      <c r="A75" s="43" t="s">
        <v>39</v>
      </c>
      <c r="B75" s="44">
        <f>+D$6+D$7+D$8</f>
        <v>1441287026.2957656</v>
      </c>
      <c r="C75" s="44">
        <f>+D$9+D$10+D$11+D$12</f>
        <v>1921716035.0610209</v>
      </c>
      <c r="D75" s="44">
        <f>+D$13+D$14+D$15+D$16</f>
        <v>1849651683.7462325</v>
      </c>
      <c r="E75" s="44">
        <f>+D$17+D$18+D$19+D$20</f>
        <v>1489329927.1722913</v>
      </c>
      <c r="F75" s="44">
        <f>D$21+D$22+D$23+D$24</f>
        <v>1104986720.1600869</v>
      </c>
      <c r="G75" s="44">
        <f>D$25+D$26+D$27+D$28</f>
        <v>720643513.14788282</v>
      </c>
      <c r="H75" s="44">
        <f>D$29+D$30+D$31+D$32</f>
        <v>336300306.13567865</v>
      </c>
      <c r="I75" s="44">
        <f>+D$33+D$34+D$35+D$36</f>
        <v>24021450.438262761</v>
      </c>
      <c r="J75" s="44">
        <f>D$37+D$38+D$39+D$40</f>
        <v>0</v>
      </c>
      <c r="K75" s="44">
        <f>+D$41+D$42+D$43+D$44</f>
        <v>0</v>
      </c>
      <c r="L75" s="44">
        <f>D$45+D$46+D$47+D$48</f>
        <v>0</v>
      </c>
      <c r="M75" s="44">
        <f>+D$49+D$50+D$51+D$52</f>
        <v>0</v>
      </c>
      <c r="N75" s="44">
        <f>+D$53</f>
        <v>0</v>
      </c>
      <c r="O75" s="74">
        <f>+N75-D58</f>
        <v>0</v>
      </c>
    </row>
    <row r="76" spans="1:15" ht="76.5" x14ac:dyDescent="0.25">
      <c r="A76" s="41" t="s">
        <v>380</v>
      </c>
      <c r="B76" s="42">
        <v>2019</v>
      </c>
      <c r="C76" s="41">
        <v>2020</v>
      </c>
      <c r="D76" s="42">
        <v>2021</v>
      </c>
      <c r="E76" s="41">
        <v>2022</v>
      </c>
      <c r="F76" s="42">
        <v>2023</v>
      </c>
      <c r="G76" s="41">
        <v>2024</v>
      </c>
      <c r="H76" s="42">
        <v>2025</v>
      </c>
      <c r="I76" s="41">
        <v>2026</v>
      </c>
      <c r="J76" s="42">
        <v>2027</v>
      </c>
      <c r="K76" s="41">
        <v>2028</v>
      </c>
      <c r="L76" s="42">
        <v>2029</v>
      </c>
      <c r="M76" s="42">
        <v>2030</v>
      </c>
      <c r="N76" s="42">
        <v>2031</v>
      </c>
    </row>
    <row r="77" spans="1:15" x14ac:dyDescent="0.25">
      <c r="A77" s="43"/>
      <c r="B77" s="44">
        <f>+C$6+C$7+C$8</f>
        <v>0</v>
      </c>
      <c r="C77" s="44">
        <f>+C$9+C$10+C$11+C$12</f>
        <v>0</v>
      </c>
      <c r="D77" s="44">
        <f>+C$13+C$14+C$15+C$16</f>
        <v>3000000000</v>
      </c>
      <c r="E77" s="44">
        <f>+C$17+C$18+C$19+C$20</f>
        <v>4000000000</v>
      </c>
      <c r="F77" s="44">
        <f>C$21+C$22+C$23+C$24</f>
        <v>4000000000</v>
      </c>
      <c r="G77" s="44">
        <f>C$25+C$26+C$27+C$28</f>
        <v>4000000000</v>
      </c>
      <c r="H77" s="44">
        <f>C$29+C$30+C$31+C$32</f>
        <v>4000000000</v>
      </c>
      <c r="I77" s="44">
        <f>+C$33+C$34+C$35+C$36</f>
        <v>1000000000</v>
      </c>
      <c r="J77" s="44">
        <f>C$37+C$38+C$39+C$40</f>
        <v>0</v>
      </c>
      <c r="K77" s="44">
        <f>+C$41+C$42+C$43+C$44</f>
        <v>0</v>
      </c>
      <c r="L77" s="44">
        <f>C$45+C$46+C$47+C$48</f>
        <v>0</v>
      </c>
      <c r="M77" s="44">
        <f>+C$49+C$50+C$51+C$52</f>
        <v>0</v>
      </c>
      <c r="N77" s="44">
        <f>+C$53</f>
        <v>0</v>
      </c>
      <c r="O77" s="74"/>
    </row>
  </sheetData>
  <mergeCells count="4">
    <mergeCell ref="A1:H1"/>
    <mergeCell ref="A2:H2"/>
    <mergeCell ref="A3:H3"/>
    <mergeCell ref="B58:C58"/>
  </mergeCells>
  <hyperlinks>
    <hyperlink ref="B58" r:id="rId1" xr:uid="{00000000-0004-0000-4A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84"/>
  <sheetViews>
    <sheetView workbookViewId="0">
      <selection activeCell="A11" sqref="A11"/>
    </sheetView>
  </sheetViews>
  <sheetFormatPr baseColWidth="10" defaultColWidth="11.5703125" defaultRowHeight="15" x14ac:dyDescent="0.25"/>
  <cols>
    <col min="1" max="1" width="15" customWidth="1"/>
    <col min="2" max="2" width="19" customWidth="1"/>
    <col min="3" max="3" width="18.5703125" customWidth="1"/>
    <col min="4" max="4" width="21.28515625" customWidth="1"/>
    <col min="5" max="5" width="19" customWidth="1"/>
    <col min="6" max="6" width="13" customWidth="1"/>
    <col min="7" max="7" width="16.85546875" customWidth="1"/>
    <col min="8" max="8" width="17.7109375" customWidth="1"/>
    <col min="9" max="9" width="14.140625" bestFit="1" customWidth="1"/>
    <col min="10" max="10" width="13.5703125" bestFit="1" customWidth="1"/>
    <col min="11" max="11" width="12.710937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ht="15.75" x14ac:dyDescent="0.25">
      <c r="A1" s="502" t="s">
        <v>2</v>
      </c>
      <c r="B1" s="503"/>
      <c r="C1" s="503"/>
      <c r="D1" s="503"/>
      <c r="E1" s="503"/>
      <c r="F1" s="503"/>
      <c r="G1" s="503"/>
      <c r="H1" s="504"/>
    </row>
    <row r="2" spans="1:15" ht="15.75" x14ac:dyDescent="0.25">
      <c r="A2" s="500" t="s">
        <v>3</v>
      </c>
      <c r="B2" s="501"/>
      <c r="C2" s="501"/>
      <c r="D2" s="501"/>
      <c r="E2" s="501"/>
      <c r="F2" s="501"/>
      <c r="G2" s="501"/>
      <c r="H2" s="507"/>
    </row>
    <row r="3" spans="1:15" ht="16.5" thickBot="1" x14ac:dyDescent="0.3">
      <c r="A3" s="505" t="s">
        <v>4</v>
      </c>
      <c r="B3" s="506"/>
      <c r="C3" s="506"/>
      <c r="D3" s="506"/>
      <c r="E3" s="506"/>
      <c r="F3" s="506"/>
      <c r="G3" s="506"/>
      <c r="H3" s="508"/>
    </row>
    <row r="4" spans="1:15" ht="45.75" thickBot="1" x14ac:dyDescent="0.3">
      <c r="A4" s="1" t="s">
        <v>5</v>
      </c>
      <c r="B4" s="2" t="s">
        <v>6</v>
      </c>
      <c r="C4" s="3" t="s">
        <v>7</v>
      </c>
      <c r="D4" s="3" t="s">
        <v>40</v>
      </c>
      <c r="E4" s="4" t="s">
        <v>383</v>
      </c>
      <c r="F4" s="3" t="s">
        <v>41</v>
      </c>
      <c r="G4" s="4" t="s">
        <v>384</v>
      </c>
      <c r="H4" s="5" t="s">
        <v>8</v>
      </c>
      <c r="I4" s="51" t="s">
        <v>360</v>
      </c>
      <c r="K4" s="1" t="s">
        <v>5</v>
      </c>
    </row>
    <row r="5" spans="1:15" x14ac:dyDescent="0.25">
      <c r="A5" s="144">
        <v>43132</v>
      </c>
      <c r="B5" s="7" t="s">
        <v>359</v>
      </c>
      <c r="C5" s="8">
        <v>0</v>
      </c>
      <c r="D5" s="8">
        <v>0</v>
      </c>
      <c r="E5" s="8"/>
      <c r="F5" s="8"/>
      <c r="G5" s="8">
        <f>+C5+D5</f>
        <v>0</v>
      </c>
      <c r="H5" s="9">
        <v>40000000000</v>
      </c>
      <c r="I5" s="54">
        <f>H5-'Banco de Occidente II D 1'!H6-'Banco de Occidente II D 2'!H6-'Banco de Occidente II D 3'!H6-'Banco de Occidente II D 4'!H6</f>
        <v>14865687350</v>
      </c>
      <c r="K5" s="6">
        <v>43088</v>
      </c>
    </row>
    <row r="6" spans="1:15" x14ac:dyDescent="0.25">
      <c r="A6" s="134">
        <f>A5+89</f>
        <v>43221</v>
      </c>
      <c r="B6" s="11" t="s">
        <v>9</v>
      </c>
      <c r="C6" s="12">
        <v>0</v>
      </c>
      <c r="D6" s="12">
        <f>H5*((1+$B$73)^(B$72/360)-1)</f>
        <v>950527551.57249534</v>
      </c>
      <c r="E6" s="12">
        <f>D6+C6</f>
        <v>950527551.57249534</v>
      </c>
      <c r="F6" s="12">
        <v>0</v>
      </c>
      <c r="G6" s="12">
        <f>+C6+F6</f>
        <v>0</v>
      </c>
      <c r="H6" s="13">
        <f t="shared" ref="H6:H53" si="0">+H5-C6</f>
        <v>40000000000</v>
      </c>
      <c r="I6" s="12">
        <f>'Banco de Occidente II D 1'!G7+'Banco de Occidente II D 2'!G7+'Banco de Occidente II D 3'!G7+'Banco de Occidente II D 4'!G7</f>
        <v>574498311.43810964</v>
      </c>
      <c r="J6" t="s">
        <v>42</v>
      </c>
      <c r="K6" s="92">
        <f>K5+90</f>
        <v>43178</v>
      </c>
      <c r="L6" s="77" t="s">
        <v>42</v>
      </c>
    </row>
    <row r="7" spans="1:15" x14ac:dyDescent="0.25">
      <c r="A7" s="134">
        <f>A6+92</f>
        <v>43313</v>
      </c>
      <c r="B7" s="11" t="s">
        <v>9</v>
      </c>
      <c r="C7" s="12">
        <v>0</v>
      </c>
      <c r="D7" s="12">
        <f>H6*((1+$C$73)^(C$72/360)-1)</f>
        <v>963926952.4192518</v>
      </c>
      <c r="E7" s="12">
        <f t="shared" ref="E7:E53" si="1">D7+C7</f>
        <v>963926952.4192518</v>
      </c>
      <c r="F7" s="12">
        <v>0</v>
      </c>
      <c r="G7" s="12">
        <f t="shared" ref="G7:G53" si="2">+C7+F7</f>
        <v>0</v>
      </c>
      <c r="H7" s="13">
        <f t="shared" si="0"/>
        <v>40000000000</v>
      </c>
      <c r="I7" s="12" t="s">
        <v>42</v>
      </c>
      <c r="J7" t="s">
        <v>42</v>
      </c>
      <c r="K7" s="92">
        <f t="shared" ref="K7:K53" si="3">K6+90</f>
        <v>43268</v>
      </c>
    </row>
    <row r="8" spans="1:15" x14ac:dyDescent="0.25">
      <c r="A8" s="134">
        <f>A7+92</f>
        <v>43405</v>
      </c>
      <c r="B8" s="11" t="s">
        <v>9</v>
      </c>
      <c r="C8" s="12">
        <v>0</v>
      </c>
      <c r="D8" s="12">
        <f>H7*((1+$D$73)^(D$72/360)-1)</f>
        <v>1006915117.8207392</v>
      </c>
      <c r="E8" s="12">
        <f t="shared" si="1"/>
        <v>1006915117.8207392</v>
      </c>
      <c r="F8" s="12">
        <v>0</v>
      </c>
      <c r="G8" s="12">
        <f t="shared" si="2"/>
        <v>0</v>
      </c>
      <c r="H8" s="13">
        <f t="shared" si="0"/>
        <v>40000000000</v>
      </c>
      <c r="I8" s="12" t="s">
        <v>42</v>
      </c>
      <c r="J8" t="s">
        <v>42</v>
      </c>
      <c r="K8" s="92">
        <f t="shared" si="3"/>
        <v>43358</v>
      </c>
    </row>
    <row r="9" spans="1:15" x14ac:dyDescent="0.25">
      <c r="A9" s="145">
        <f>A8+92</f>
        <v>43497</v>
      </c>
      <c r="B9" s="11" t="s">
        <v>9</v>
      </c>
      <c r="C9" s="12">
        <v>0</v>
      </c>
      <c r="D9" s="12">
        <f>H8*((1+$E$73)^(E$72/360)-1)</f>
        <v>1109441465.8365536</v>
      </c>
      <c r="E9" s="12">
        <f t="shared" si="1"/>
        <v>1109441465.8365536</v>
      </c>
      <c r="F9" s="12">
        <v>0</v>
      </c>
      <c r="G9" s="12">
        <f t="shared" si="2"/>
        <v>0</v>
      </c>
      <c r="H9" s="13">
        <f t="shared" si="0"/>
        <v>40000000000</v>
      </c>
      <c r="K9" s="92">
        <f t="shared" si="3"/>
        <v>43448</v>
      </c>
    </row>
    <row r="10" spans="1:15" x14ac:dyDescent="0.25">
      <c r="A10" s="145">
        <f>A9+89</f>
        <v>43586</v>
      </c>
      <c r="B10" s="11" t="s">
        <v>9</v>
      </c>
      <c r="C10" s="12">
        <v>0</v>
      </c>
      <c r="D10" s="12">
        <f>H9*((1+$E$73)^(E$72/360)-1)</f>
        <v>1109441465.8365536</v>
      </c>
      <c r="E10" s="12">
        <f t="shared" si="1"/>
        <v>1109441465.8365536</v>
      </c>
      <c r="F10" s="12">
        <v>0</v>
      </c>
      <c r="G10" s="12">
        <f t="shared" si="2"/>
        <v>0</v>
      </c>
      <c r="H10" s="13">
        <f t="shared" si="0"/>
        <v>40000000000</v>
      </c>
      <c r="K10" s="92">
        <f t="shared" si="3"/>
        <v>43538</v>
      </c>
    </row>
    <row r="11" spans="1:15" x14ac:dyDescent="0.25">
      <c r="A11" s="145">
        <f>A10+92</f>
        <v>43678</v>
      </c>
      <c r="B11" s="11" t="s">
        <v>9</v>
      </c>
      <c r="C11" s="12">
        <v>0</v>
      </c>
      <c r="D11" s="12">
        <f>H10*((1+$E$73)^(E$72/360)-1)</f>
        <v>1109441465.8365536</v>
      </c>
      <c r="E11" s="12">
        <f t="shared" si="1"/>
        <v>1109441465.8365536</v>
      </c>
      <c r="F11" s="12">
        <v>0</v>
      </c>
      <c r="G11" s="12">
        <f t="shared" si="2"/>
        <v>0</v>
      </c>
      <c r="H11" s="13">
        <f t="shared" si="0"/>
        <v>40000000000</v>
      </c>
      <c r="K11" s="92">
        <f t="shared" si="3"/>
        <v>43628</v>
      </c>
    </row>
    <row r="12" spans="1:15" x14ac:dyDescent="0.25">
      <c r="A12" s="145">
        <f>A11+92</f>
        <v>43770</v>
      </c>
      <c r="B12" s="11" t="s">
        <v>9</v>
      </c>
      <c r="C12" s="12">
        <v>0</v>
      </c>
      <c r="D12" s="12">
        <f>H11*((1+$E$73)^(E$72/360)-1)</f>
        <v>1109441465.8365536</v>
      </c>
      <c r="E12" s="12">
        <f t="shared" si="1"/>
        <v>1109441465.8365536</v>
      </c>
      <c r="F12" s="12">
        <v>0</v>
      </c>
      <c r="G12" s="12">
        <f t="shared" si="2"/>
        <v>0</v>
      </c>
      <c r="H12" s="13">
        <f t="shared" si="0"/>
        <v>40000000000</v>
      </c>
      <c r="K12" s="92">
        <f t="shared" si="3"/>
        <v>43718</v>
      </c>
    </row>
    <row r="13" spans="1:15" x14ac:dyDescent="0.25">
      <c r="A13" s="141">
        <f>A12+92</f>
        <v>43862</v>
      </c>
      <c r="B13" s="11" t="s">
        <v>9</v>
      </c>
      <c r="C13" s="12">
        <v>0</v>
      </c>
      <c r="D13" s="12">
        <f>H12*((1+$F$73)^(F$72/360)-1)</f>
        <v>1109441465.8365536</v>
      </c>
      <c r="E13" s="12">
        <f t="shared" si="1"/>
        <v>1109441465.8365536</v>
      </c>
      <c r="F13" s="12">
        <v>0</v>
      </c>
      <c r="G13" s="12">
        <f t="shared" si="2"/>
        <v>0</v>
      </c>
      <c r="H13" s="13">
        <f t="shared" si="0"/>
        <v>40000000000</v>
      </c>
      <c r="K13" s="92">
        <f t="shared" si="3"/>
        <v>43808</v>
      </c>
      <c r="N13" s="54">
        <f>SUM('[1]Banco de Occidente II D1'!C35:C39)</f>
        <v>1050000000</v>
      </c>
      <c r="O13" s="54">
        <f>SUM('[1]Banco de Occidente II D1'!D35:D39)</f>
        <v>524211092.60777164</v>
      </c>
    </row>
    <row r="14" spans="1:15" x14ac:dyDescent="0.25">
      <c r="A14" s="141">
        <f>A13+90</f>
        <v>43952</v>
      </c>
      <c r="B14" s="11" t="s">
        <v>10</v>
      </c>
      <c r="C14" s="12">
        <f>+$H$5/40</f>
        <v>1000000000</v>
      </c>
      <c r="D14" s="12">
        <f>H13*((1+$F$73)^(F$72/360)-1)</f>
        <v>1109441465.8365536</v>
      </c>
      <c r="E14" s="12">
        <f t="shared" si="1"/>
        <v>2109441465.8365536</v>
      </c>
      <c r="F14" s="12"/>
      <c r="G14" s="12">
        <f t="shared" si="2"/>
        <v>1000000000</v>
      </c>
      <c r="H14" s="13">
        <f t="shared" si="0"/>
        <v>39000000000</v>
      </c>
      <c r="K14" s="92">
        <f t="shared" si="3"/>
        <v>43898</v>
      </c>
    </row>
    <row r="15" spans="1:15" x14ac:dyDescent="0.25">
      <c r="A15" s="141">
        <f>A14+92</f>
        <v>44044</v>
      </c>
      <c r="B15" s="11" t="s">
        <v>10</v>
      </c>
      <c r="C15" s="12">
        <f t="shared" ref="C15:C53" si="4">+$H$5/40</f>
        <v>1000000000</v>
      </c>
      <c r="D15" s="12">
        <f>H14*((1+$F$73)^(F$72/360)-1)</f>
        <v>1081705429.1906397</v>
      </c>
      <c r="E15" s="12">
        <f t="shared" si="1"/>
        <v>2081705429.1906397</v>
      </c>
      <c r="F15" s="12"/>
      <c r="G15" s="12">
        <f t="shared" si="2"/>
        <v>1000000000</v>
      </c>
      <c r="H15" s="13">
        <f t="shared" si="0"/>
        <v>38000000000</v>
      </c>
      <c r="K15" s="92">
        <f t="shared" si="3"/>
        <v>43988</v>
      </c>
    </row>
    <row r="16" spans="1:15" x14ac:dyDescent="0.25">
      <c r="A16" s="141">
        <f>A15+92</f>
        <v>44136</v>
      </c>
      <c r="B16" s="11" t="s">
        <v>10</v>
      </c>
      <c r="C16" s="12">
        <f t="shared" si="4"/>
        <v>1000000000</v>
      </c>
      <c r="D16" s="12">
        <f>H15*((1+$F$73)^(F$72/360)-1)</f>
        <v>1053969392.544726</v>
      </c>
      <c r="E16" s="12">
        <f t="shared" si="1"/>
        <v>2053969392.5447259</v>
      </c>
      <c r="F16" s="12"/>
      <c r="G16" s="12">
        <f t="shared" si="2"/>
        <v>1000000000</v>
      </c>
      <c r="H16" s="13">
        <f t="shared" si="0"/>
        <v>37000000000</v>
      </c>
      <c r="K16" s="92">
        <f t="shared" si="3"/>
        <v>44078</v>
      </c>
    </row>
    <row r="17" spans="1:12" x14ac:dyDescent="0.25">
      <c r="A17" s="144">
        <f>A16+92</f>
        <v>44228</v>
      </c>
      <c r="B17" s="11" t="s">
        <v>10</v>
      </c>
      <c r="C17" s="12">
        <f t="shared" si="4"/>
        <v>1000000000</v>
      </c>
      <c r="D17" s="12">
        <f>H16*((1+$G$73)^(G$72/360)-1)</f>
        <v>1026233355.8988122</v>
      </c>
      <c r="E17" s="12">
        <f t="shared" si="1"/>
        <v>2026233355.8988123</v>
      </c>
      <c r="F17" s="12"/>
      <c r="G17" s="12">
        <f t="shared" si="2"/>
        <v>1000000000</v>
      </c>
      <c r="H17" s="13">
        <f t="shared" si="0"/>
        <v>36000000000</v>
      </c>
      <c r="K17" s="92">
        <f t="shared" si="3"/>
        <v>44168</v>
      </c>
    </row>
    <row r="18" spans="1:12" x14ac:dyDescent="0.25">
      <c r="A18" s="134">
        <f>A17+89</f>
        <v>44317</v>
      </c>
      <c r="B18" s="11" t="s">
        <v>10</v>
      </c>
      <c r="C18" s="12">
        <f t="shared" si="4"/>
        <v>1000000000</v>
      </c>
      <c r="D18" s="12">
        <f>H17*((1+$G$73)^(G$72/360)-1)</f>
        <v>998497319.25289834</v>
      </c>
      <c r="E18" s="12">
        <f t="shared" si="1"/>
        <v>1998497319.2528982</v>
      </c>
      <c r="F18" s="12"/>
      <c r="G18" s="12">
        <f t="shared" si="2"/>
        <v>1000000000</v>
      </c>
      <c r="H18" s="13">
        <f t="shared" si="0"/>
        <v>35000000000</v>
      </c>
      <c r="K18" s="92">
        <f t="shared" si="3"/>
        <v>44258</v>
      </c>
    </row>
    <row r="19" spans="1:12" x14ac:dyDescent="0.25">
      <c r="A19" s="134">
        <f>A18+92</f>
        <v>44409</v>
      </c>
      <c r="B19" s="11" t="s">
        <v>10</v>
      </c>
      <c r="C19" s="12">
        <f t="shared" si="4"/>
        <v>1000000000</v>
      </c>
      <c r="D19" s="12">
        <f>H18*((1+$G$73)^(G$72/360)-1)</f>
        <v>970761282.6069845</v>
      </c>
      <c r="E19" s="12">
        <f t="shared" si="1"/>
        <v>1970761282.6069846</v>
      </c>
      <c r="F19" s="12"/>
      <c r="G19" s="12">
        <f t="shared" si="2"/>
        <v>1000000000</v>
      </c>
      <c r="H19" s="13">
        <f t="shared" si="0"/>
        <v>34000000000</v>
      </c>
      <c r="K19" s="92">
        <f t="shared" si="3"/>
        <v>44348</v>
      </c>
    </row>
    <row r="20" spans="1:12" x14ac:dyDescent="0.25">
      <c r="A20" s="134">
        <f>A19+92</f>
        <v>44501</v>
      </c>
      <c r="B20" s="11" t="s">
        <v>10</v>
      </c>
      <c r="C20" s="12">
        <f t="shared" si="4"/>
        <v>1000000000</v>
      </c>
      <c r="D20" s="12">
        <f>H19*((1+$G$73)^(G$72/360)-1)</f>
        <v>943025245.96107066</v>
      </c>
      <c r="E20" s="12">
        <f t="shared" si="1"/>
        <v>1943025245.9610705</v>
      </c>
      <c r="F20" s="12"/>
      <c r="G20" s="12">
        <f t="shared" si="2"/>
        <v>1000000000</v>
      </c>
      <c r="H20" s="13">
        <f t="shared" si="0"/>
        <v>33000000000</v>
      </c>
      <c r="K20" s="92">
        <f t="shared" si="3"/>
        <v>44438</v>
      </c>
    </row>
    <row r="21" spans="1:12" x14ac:dyDescent="0.25">
      <c r="A21" s="145">
        <f>A20+92</f>
        <v>44593</v>
      </c>
      <c r="B21" s="11" t="s">
        <v>10</v>
      </c>
      <c r="C21" s="12">
        <f t="shared" si="4"/>
        <v>1000000000</v>
      </c>
      <c r="D21" s="12">
        <f>H20*((1+$H$73)^(H$72/360)-1)</f>
        <v>915289209.31515682</v>
      </c>
      <c r="E21" s="12">
        <f t="shared" si="1"/>
        <v>1915289209.3151569</v>
      </c>
      <c r="F21" s="12"/>
      <c r="G21" s="12">
        <f t="shared" si="2"/>
        <v>1000000000</v>
      </c>
      <c r="H21" s="13">
        <f t="shared" si="0"/>
        <v>32000000000</v>
      </c>
      <c r="K21" s="92">
        <f t="shared" si="3"/>
        <v>44528</v>
      </c>
    </row>
    <row r="22" spans="1:12" x14ac:dyDescent="0.25">
      <c r="A22" s="145">
        <f>A21+90</f>
        <v>44683</v>
      </c>
      <c r="B22" s="11" t="s">
        <v>10</v>
      </c>
      <c r="C22" s="12">
        <f t="shared" si="4"/>
        <v>1000000000</v>
      </c>
      <c r="D22" s="12">
        <f>H21*((1+$H$73)^(H$72/360)-1)</f>
        <v>887553172.66924298</v>
      </c>
      <c r="E22" s="12">
        <f t="shared" si="1"/>
        <v>1887553172.6692429</v>
      </c>
      <c r="F22" s="12"/>
      <c r="G22" s="12">
        <f t="shared" si="2"/>
        <v>1000000000</v>
      </c>
      <c r="H22" s="13">
        <f t="shared" si="0"/>
        <v>31000000000</v>
      </c>
      <c r="K22" s="92">
        <f t="shared" si="3"/>
        <v>44618</v>
      </c>
    </row>
    <row r="23" spans="1:12" x14ac:dyDescent="0.25">
      <c r="A23" s="145">
        <f>A22+91</f>
        <v>44774</v>
      </c>
      <c r="B23" s="11" t="s">
        <v>10</v>
      </c>
      <c r="C23" s="12">
        <f t="shared" si="4"/>
        <v>1000000000</v>
      </c>
      <c r="D23" s="12">
        <f>H22*((1+$H$73)^(H$72/360)-1)</f>
        <v>859817136.02332914</v>
      </c>
      <c r="E23" s="12">
        <f t="shared" si="1"/>
        <v>1859817136.0233293</v>
      </c>
      <c r="F23" s="12"/>
      <c r="G23" s="12">
        <f t="shared" si="2"/>
        <v>1000000000</v>
      </c>
      <c r="H23" s="13">
        <f t="shared" si="0"/>
        <v>30000000000</v>
      </c>
      <c r="K23" s="92">
        <f t="shared" si="3"/>
        <v>44708</v>
      </c>
    </row>
    <row r="24" spans="1:12" x14ac:dyDescent="0.25">
      <c r="A24" s="145">
        <f>A23+92</f>
        <v>44866</v>
      </c>
      <c r="B24" s="11" t="s">
        <v>10</v>
      </c>
      <c r="C24" s="12">
        <f t="shared" si="4"/>
        <v>1000000000</v>
      </c>
      <c r="D24" s="12">
        <f>H23*((1+$H$73)^(H$72/360)-1)</f>
        <v>832081099.3774153</v>
      </c>
      <c r="E24" s="12">
        <f t="shared" si="1"/>
        <v>1832081099.3774152</v>
      </c>
      <c r="F24" s="12"/>
      <c r="G24" s="12">
        <f t="shared" si="2"/>
        <v>1000000000</v>
      </c>
      <c r="H24" s="13">
        <f t="shared" si="0"/>
        <v>29000000000</v>
      </c>
      <c r="K24" s="92">
        <f t="shared" si="3"/>
        <v>44798</v>
      </c>
    </row>
    <row r="25" spans="1:12" x14ac:dyDescent="0.25">
      <c r="A25" s="141">
        <f>A24+92</f>
        <v>44958</v>
      </c>
      <c r="B25" s="11" t="s">
        <v>10</v>
      </c>
      <c r="C25" s="12">
        <f t="shared" si="4"/>
        <v>1000000000</v>
      </c>
      <c r="D25" s="12">
        <f>H24*((1+$I$73)^(I$72/360)-1)</f>
        <v>804345062.73150146</v>
      </c>
      <c r="E25" s="12">
        <f t="shared" si="1"/>
        <v>1804345062.7315016</v>
      </c>
      <c r="F25" s="12"/>
      <c r="G25" s="12">
        <f t="shared" si="2"/>
        <v>1000000000</v>
      </c>
      <c r="H25" s="13">
        <f t="shared" si="0"/>
        <v>28000000000</v>
      </c>
      <c r="K25" s="92">
        <f t="shared" si="3"/>
        <v>44888</v>
      </c>
    </row>
    <row r="26" spans="1:12" x14ac:dyDescent="0.25">
      <c r="A26" s="141">
        <f>A25+89</f>
        <v>45047</v>
      </c>
      <c r="B26" s="11" t="s">
        <v>10</v>
      </c>
      <c r="C26" s="12">
        <f t="shared" si="4"/>
        <v>1000000000</v>
      </c>
      <c r="D26" s="12">
        <f>H25*((1+$I$73)^(I$72/360)-1)</f>
        <v>776609026.08558762</v>
      </c>
      <c r="E26" s="12">
        <f t="shared" si="1"/>
        <v>1776609026.0855875</v>
      </c>
      <c r="F26" s="12"/>
      <c r="G26" s="12">
        <f t="shared" si="2"/>
        <v>1000000000</v>
      </c>
      <c r="H26" s="13">
        <f t="shared" si="0"/>
        <v>27000000000</v>
      </c>
      <c r="K26" s="92">
        <f t="shared" si="3"/>
        <v>44978</v>
      </c>
      <c r="L26">
        <f>12*4</f>
        <v>48</v>
      </c>
    </row>
    <row r="27" spans="1:12" x14ac:dyDescent="0.25">
      <c r="A27" s="141">
        <f>A26+92</f>
        <v>45139</v>
      </c>
      <c r="B27" s="11" t="s">
        <v>10</v>
      </c>
      <c r="C27" s="12">
        <f t="shared" si="4"/>
        <v>1000000000</v>
      </c>
      <c r="D27" s="12">
        <f>H26*((1+$I$73)^(I$72/360)-1)</f>
        <v>748872989.43967378</v>
      </c>
      <c r="E27" s="12">
        <f t="shared" si="1"/>
        <v>1748872989.4396739</v>
      </c>
      <c r="F27" s="12"/>
      <c r="G27" s="12">
        <f t="shared" si="2"/>
        <v>1000000000</v>
      </c>
      <c r="H27" s="13">
        <f t="shared" si="0"/>
        <v>26000000000</v>
      </c>
      <c r="K27" s="92">
        <f t="shared" si="3"/>
        <v>45068</v>
      </c>
    </row>
    <row r="28" spans="1:12" x14ac:dyDescent="0.25">
      <c r="A28" s="141">
        <f>A27+92</f>
        <v>45231</v>
      </c>
      <c r="B28" s="11" t="s">
        <v>10</v>
      </c>
      <c r="C28" s="12">
        <f t="shared" si="4"/>
        <v>1000000000</v>
      </c>
      <c r="D28" s="12">
        <f>H27*((1+$I$73)^(I$72/360)-1)</f>
        <v>721136952.79375994</v>
      </c>
      <c r="E28" s="12">
        <f t="shared" si="1"/>
        <v>1721136952.7937598</v>
      </c>
      <c r="F28" s="12"/>
      <c r="G28" s="12">
        <f t="shared" si="2"/>
        <v>1000000000</v>
      </c>
      <c r="H28" s="13">
        <f t="shared" si="0"/>
        <v>25000000000</v>
      </c>
      <c r="K28" s="92">
        <f t="shared" si="3"/>
        <v>45158</v>
      </c>
    </row>
    <row r="29" spans="1:12" x14ac:dyDescent="0.25">
      <c r="A29" s="144">
        <f>A28+92</f>
        <v>45323</v>
      </c>
      <c r="B29" s="11" t="s">
        <v>10</v>
      </c>
      <c r="C29" s="12">
        <f t="shared" si="4"/>
        <v>1000000000</v>
      </c>
      <c r="D29" s="12">
        <f>H28*((1+$J$73)^(J$72/360)-1)</f>
        <v>693400916.1478461</v>
      </c>
      <c r="E29" s="12">
        <f t="shared" si="1"/>
        <v>1693400916.1478462</v>
      </c>
      <c r="F29" s="12"/>
      <c r="G29" s="12">
        <f t="shared" si="2"/>
        <v>1000000000</v>
      </c>
      <c r="H29" s="13">
        <f t="shared" si="0"/>
        <v>24000000000</v>
      </c>
      <c r="K29" s="92">
        <f t="shared" si="3"/>
        <v>45248</v>
      </c>
    </row>
    <row r="30" spans="1:12" x14ac:dyDescent="0.25">
      <c r="A30" s="134">
        <f>A29+90</f>
        <v>45413</v>
      </c>
      <c r="B30" s="11" t="s">
        <v>10</v>
      </c>
      <c r="C30" s="12">
        <f t="shared" si="4"/>
        <v>1000000000</v>
      </c>
      <c r="D30" s="12">
        <f>H29*((1+$J$73)^(J$72/360)-1)</f>
        <v>665664879.50193226</v>
      </c>
      <c r="E30" s="12">
        <f t="shared" si="1"/>
        <v>1665664879.5019321</v>
      </c>
      <c r="F30" s="12"/>
      <c r="G30" s="12">
        <f t="shared" si="2"/>
        <v>1000000000</v>
      </c>
      <c r="H30" s="13">
        <f t="shared" si="0"/>
        <v>23000000000</v>
      </c>
      <c r="K30" s="92">
        <f t="shared" si="3"/>
        <v>45338</v>
      </c>
    </row>
    <row r="31" spans="1:12" x14ac:dyDescent="0.25">
      <c r="A31" s="134">
        <f>A30+92</f>
        <v>45505</v>
      </c>
      <c r="B31" s="11" t="s">
        <v>10</v>
      </c>
      <c r="C31" s="12">
        <f t="shared" si="4"/>
        <v>1000000000</v>
      </c>
      <c r="D31" s="12">
        <f>H30*((1+$J$73)^(J$72/360)-1)</f>
        <v>637928842.8560183</v>
      </c>
      <c r="E31" s="12">
        <f t="shared" si="1"/>
        <v>1637928842.8560183</v>
      </c>
      <c r="F31" s="12"/>
      <c r="G31" s="12">
        <f t="shared" si="2"/>
        <v>1000000000</v>
      </c>
      <c r="H31" s="13">
        <f t="shared" si="0"/>
        <v>22000000000</v>
      </c>
      <c r="K31" s="92">
        <f t="shared" si="3"/>
        <v>45428</v>
      </c>
    </row>
    <row r="32" spans="1:12" x14ac:dyDescent="0.25">
      <c r="A32" s="134">
        <f>A31+92</f>
        <v>45597</v>
      </c>
      <c r="B32" s="11" t="s">
        <v>10</v>
      </c>
      <c r="C32" s="12">
        <f t="shared" si="4"/>
        <v>1000000000</v>
      </c>
      <c r="D32" s="12">
        <f>H31*((1+$J$73)^(J$72/360)-1)</f>
        <v>610192806.21010447</v>
      </c>
      <c r="E32" s="12">
        <f t="shared" si="1"/>
        <v>1610192806.2101045</v>
      </c>
      <c r="F32" s="12"/>
      <c r="G32" s="12">
        <f t="shared" si="2"/>
        <v>1000000000</v>
      </c>
      <c r="H32" s="13">
        <f t="shared" si="0"/>
        <v>21000000000</v>
      </c>
      <c r="K32" s="92">
        <f t="shared" si="3"/>
        <v>45518</v>
      </c>
    </row>
    <row r="33" spans="1:11" x14ac:dyDescent="0.25">
      <c r="A33" s="145">
        <f>A32+92</f>
        <v>45689</v>
      </c>
      <c r="B33" s="11" t="s">
        <v>10</v>
      </c>
      <c r="C33" s="12">
        <f t="shared" si="4"/>
        <v>1000000000</v>
      </c>
      <c r="D33" s="12">
        <f>H32*((1+$K$73)^(K$72/360)-1)</f>
        <v>582456769.56419063</v>
      </c>
      <c r="E33" s="12">
        <f t="shared" si="1"/>
        <v>1582456769.5641906</v>
      </c>
      <c r="F33" s="12"/>
      <c r="G33" s="12">
        <f t="shared" si="2"/>
        <v>1000000000</v>
      </c>
      <c r="H33" s="13">
        <f t="shared" si="0"/>
        <v>20000000000</v>
      </c>
      <c r="K33" s="92">
        <f t="shared" si="3"/>
        <v>45608</v>
      </c>
    </row>
    <row r="34" spans="1:11" x14ac:dyDescent="0.25">
      <c r="A34" s="145">
        <f>A33+89</f>
        <v>45778</v>
      </c>
      <c r="B34" s="11" t="s">
        <v>10</v>
      </c>
      <c r="C34" s="12">
        <f t="shared" si="4"/>
        <v>1000000000</v>
      </c>
      <c r="D34" s="12">
        <f>H33*((1+$K$73)^(K$72/360)-1)</f>
        <v>554720732.91827679</v>
      </c>
      <c r="E34" s="12">
        <f t="shared" si="1"/>
        <v>1554720732.9182768</v>
      </c>
      <c r="F34" s="12"/>
      <c r="G34" s="12">
        <f t="shared" si="2"/>
        <v>1000000000</v>
      </c>
      <c r="H34" s="13">
        <f t="shared" si="0"/>
        <v>19000000000</v>
      </c>
      <c r="K34" s="92">
        <f t="shared" si="3"/>
        <v>45698</v>
      </c>
    </row>
    <row r="35" spans="1:11" x14ac:dyDescent="0.25">
      <c r="A35" s="145">
        <f>A34+92</f>
        <v>45870</v>
      </c>
      <c r="B35" s="11" t="s">
        <v>10</v>
      </c>
      <c r="C35" s="12">
        <f t="shared" si="4"/>
        <v>1000000000</v>
      </c>
      <c r="D35" s="12">
        <f>H34*((1+$K$73)^(K$72/360)-1)</f>
        <v>526984696.27236301</v>
      </c>
      <c r="E35" s="12">
        <f t="shared" si="1"/>
        <v>1526984696.2723629</v>
      </c>
      <c r="F35" s="12"/>
      <c r="G35" s="12">
        <f t="shared" si="2"/>
        <v>1000000000</v>
      </c>
      <c r="H35" s="13">
        <f t="shared" si="0"/>
        <v>18000000000</v>
      </c>
      <c r="K35" s="92">
        <f t="shared" si="3"/>
        <v>45788</v>
      </c>
    </row>
    <row r="36" spans="1:11" x14ac:dyDescent="0.25">
      <c r="A36" s="145">
        <f>A35+92</f>
        <v>45962</v>
      </c>
      <c r="B36" s="11" t="s">
        <v>10</v>
      </c>
      <c r="C36" s="12">
        <f t="shared" si="4"/>
        <v>1000000000</v>
      </c>
      <c r="D36" s="12">
        <f>H35*((1+$K$73)^(K$72/360)-1)</f>
        <v>499248659.62644917</v>
      </c>
      <c r="E36" s="12">
        <f t="shared" si="1"/>
        <v>1499248659.6264491</v>
      </c>
      <c r="F36" s="12"/>
      <c r="G36" s="12">
        <f t="shared" si="2"/>
        <v>1000000000</v>
      </c>
      <c r="H36" s="13">
        <f t="shared" si="0"/>
        <v>17000000000</v>
      </c>
      <c r="K36" s="92">
        <f t="shared" si="3"/>
        <v>45878</v>
      </c>
    </row>
    <row r="37" spans="1:11" x14ac:dyDescent="0.25">
      <c r="A37" s="141">
        <f>A36+92</f>
        <v>46054</v>
      </c>
      <c r="B37" s="11" t="s">
        <v>10</v>
      </c>
      <c r="C37" s="12">
        <f t="shared" si="4"/>
        <v>1000000000</v>
      </c>
      <c r="D37" s="12">
        <f>H36*((1+$L$73)^(L$72/360)-1)</f>
        <v>471512622.98053533</v>
      </c>
      <c r="E37" s="12">
        <f t="shared" si="1"/>
        <v>1471512622.9805353</v>
      </c>
      <c r="F37" s="12"/>
      <c r="G37" s="12">
        <f t="shared" si="2"/>
        <v>1000000000</v>
      </c>
      <c r="H37" s="13">
        <f t="shared" si="0"/>
        <v>16000000000</v>
      </c>
      <c r="K37" s="92">
        <f t="shared" si="3"/>
        <v>45968</v>
      </c>
    </row>
    <row r="38" spans="1:11" x14ac:dyDescent="0.25">
      <c r="A38" s="141">
        <f>A37+89</f>
        <v>46143</v>
      </c>
      <c r="B38" s="11" t="s">
        <v>10</v>
      </c>
      <c r="C38" s="12">
        <f t="shared" si="4"/>
        <v>1000000000</v>
      </c>
      <c r="D38" s="12">
        <f>H37*((1+$L$73)^(L$72/360)-1)</f>
        <v>443776586.33462149</v>
      </c>
      <c r="E38" s="12">
        <f t="shared" si="1"/>
        <v>1443776586.3346214</v>
      </c>
      <c r="F38" s="12"/>
      <c r="G38" s="12">
        <f t="shared" si="2"/>
        <v>1000000000</v>
      </c>
      <c r="H38" s="13">
        <f t="shared" si="0"/>
        <v>15000000000</v>
      </c>
      <c r="K38" s="92">
        <f t="shared" si="3"/>
        <v>46058</v>
      </c>
    </row>
    <row r="39" spans="1:11" x14ac:dyDescent="0.25">
      <c r="A39" s="141">
        <f>A38+92</f>
        <v>46235</v>
      </c>
      <c r="B39" s="11" t="s">
        <v>10</v>
      </c>
      <c r="C39" s="12">
        <f t="shared" si="4"/>
        <v>1000000000</v>
      </c>
      <c r="D39" s="12">
        <f>H38*((1+$L$73)^(L$72/360)-1)</f>
        <v>416040549.68870765</v>
      </c>
      <c r="E39" s="12">
        <f t="shared" si="1"/>
        <v>1416040549.6887076</v>
      </c>
      <c r="F39" s="12"/>
      <c r="G39" s="12">
        <f t="shared" si="2"/>
        <v>1000000000</v>
      </c>
      <c r="H39" s="13">
        <f t="shared" si="0"/>
        <v>14000000000</v>
      </c>
      <c r="K39" s="92">
        <f t="shared" si="3"/>
        <v>46148</v>
      </c>
    </row>
    <row r="40" spans="1:11" x14ac:dyDescent="0.25">
      <c r="A40" s="141">
        <f>A39+92</f>
        <v>46327</v>
      </c>
      <c r="B40" s="11" t="s">
        <v>10</v>
      </c>
      <c r="C40" s="12">
        <f t="shared" si="4"/>
        <v>1000000000</v>
      </c>
      <c r="D40" s="12">
        <f>H39*((1+$L$73)^(L$72/360)-1)</f>
        <v>388304513.04279381</v>
      </c>
      <c r="E40" s="12">
        <f t="shared" si="1"/>
        <v>1388304513.0427938</v>
      </c>
      <c r="F40" s="12"/>
      <c r="G40" s="12">
        <f t="shared" si="2"/>
        <v>1000000000</v>
      </c>
      <c r="H40" s="13">
        <f t="shared" si="0"/>
        <v>13000000000</v>
      </c>
      <c r="K40" s="92">
        <f t="shared" si="3"/>
        <v>46238</v>
      </c>
    </row>
    <row r="41" spans="1:11" x14ac:dyDescent="0.25">
      <c r="A41" s="144">
        <f>A40+92</f>
        <v>46419</v>
      </c>
      <c r="B41" s="11" t="s">
        <v>10</v>
      </c>
      <c r="C41" s="12">
        <f t="shared" si="4"/>
        <v>1000000000</v>
      </c>
      <c r="D41" s="12">
        <f>H40*((1+$M$73)^(M$72/360)-1)</f>
        <v>360568476.39687997</v>
      </c>
      <c r="E41" s="12">
        <f t="shared" si="1"/>
        <v>1360568476.3968799</v>
      </c>
      <c r="F41" s="12"/>
      <c r="G41" s="12">
        <f t="shared" si="2"/>
        <v>1000000000</v>
      </c>
      <c r="H41" s="13">
        <f t="shared" si="0"/>
        <v>12000000000</v>
      </c>
      <c r="K41" s="92">
        <f t="shared" si="3"/>
        <v>46328</v>
      </c>
    </row>
    <row r="42" spans="1:11" x14ac:dyDescent="0.25">
      <c r="A42" s="134">
        <f>A41+89</f>
        <v>46508</v>
      </c>
      <c r="B42" s="11" t="s">
        <v>10</v>
      </c>
      <c r="C42" s="12">
        <f t="shared" si="4"/>
        <v>1000000000</v>
      </c>
      <c r="D42" s="12">
        <f>H41*((1+$M$73)^(M$72/360)-1)</f>
        <v>332832439.75096613</v>
      </c>
      <c r="E42" s="12">
        <f t="shared" si="1"/>
        <v>1332832439.7509661</v>
      </c>
      <c r="F42" s="12"/>
      <c r="G42" s="12">
        <f t="shared" si="2"/>
        <v>1000000000</v>
      </c>
      <c r="H42" s="13">
        <f t="shared" si="0"/>
        <v>11000000000</v>
      </c>
      <c r="K42" s="92">
        <f t="shared" si="3"/>
        <v>46418</v>
      </c>
    </row>
    <row r="43" spans="1:11" x14ac:dyDescent="0.25">
      <c r="A43" s="134">
        <f>A42+92</f>
        <v>46600</v>
      </c>
      <c r="B43" s="11" t="s">
        <v>10</v>
      </c>
      <c r="C43" s="12">
        <f t="shared" si="4"/>
        <v>1000000000</v>
      </c>
      <c r="D43" s="12">
        <f>H42*((1+$M$73)^(M$72/360)-1)</f>
        <v>305096403.10505223</v>
      </c>
      <c r="E43" s="12">
        <f t="shared" si="1"/>
        <v>1305096403.1050522</v>
      </c>
      <c r="F43" s="12"/>
      <c r="G43" s="12">
        <f t="shared" si="2"/>
        <v>1000000000</v>
      </c>
      <c r="H43" s="13">
        <f t="shared" si="0"/>
        <v>10000000000</v>
      </c>
      <c r="K43" s="92">
        <f t="shared" si="3"/>
        <v>46508</v>
      </c>
    </row>
    <row r="44" spans="1:11" x14ac:dyDescent="0.25">
      <c r="A44" s="134">
        <f>A43+92</f>
        <v>46692</v>
      </c>
      <c r="B44" s="11" t="s">
        <v>10</v>
      </c>
      <c r="C44" s="12">
        <f t="shared" si="4"/>
        <v>1000000000</v>
      </c>
      <c r="D44" s="12">
        <f>H43*((1+$M$73)^(M$72/360)-1)</f>
        <v>277360366.45913839</v>
      </c>
      <c r="E44" s="12">
        <f t="shared" si="1"/>
        <v>1277360366.4591384</v>
      </c>
      <c r="F44" s="12"/>
      <c r="G44" s="12">
        <f t="shared" si="2"/>
        <v>1000000000</v>
      </c>
      <c r="H44" s="13">
        <f t="shared" si="0"/>
        <v>9000000000</v>
      </c>
      <c r="K44" s="92">
        <f t="shared" si="3"/>
        <v>46598</v>
      </c>
    </row>
    <row r="45" spans="1:11" x14ac:dyDescent="0.25">
      <c r="A45" s="145">
        <f>A44+92</f>
        <v>46784</v>
      </c>
      <c r="B45" s="11" t="s">
        <v>10</v>
      </c>
      <c r="C45" s="12">
        <f t="shared" si="4"/>
        <v>1000000000</v>
      </c>
      <c r="D45" s="12">
        <f>H44*((1+$N$73)^(N$72/360)-1)</f>
        <v>249624329.81322458</v>
      </c>
      <c r="E45" s="12">
        <f t="shared" si="1"/>
        <v>1249624329.8132246</v>
      </c>
      <c r="F45" s="12"/>
      <c r="G45" s="12">
        <f t="shared" si="2"/>
        <v>1000000000</v>
      </c>
      <c r="H45" s="13">
        <f t="shared" si="0"/>
        <v>8000000000</v>
      </c>
      <c r="K45" s="92">
        <f t="shared" si="3"/>
        <v>46688</v>
      </c>
    </row>
    <row r="46" spans="1:11" x14ac:dyDescent="0.25">
      <c r="A46" s="145">
        <f>A45+90</f>
        <v>46874</v>
      </c>
      <c r="B46" s="11" t="s">
        <v>10</v>
      </c>
      <c r="C46" s="12">
        <f t="shared" si="4"/>
        <v>1000000000</v>
      </c>
      <c r="D46" s="12">
        <f>H45*((1+$N$73)^(N$72/360)-1)</f>
        <v>221888293.16731074</v>
      </c>
      <c r="E46" s="12">
        <f t="shared" si="1"/>
        <v>1221888293.1673107</v>
      </c>
      <c r="F46" s="12"/>
      <c r="G46" s="12">
        <f t="shared" si="2"/>
        <v>1000000000</v>
      </c>
      <c r="H46" s="13">
        <f t="shared" si="0"/>
        <v>7000000000</v>
      </c>
      <c r="K46" s="92">
        <f t="shared" si="3"/>
        <v>46778</v>
      </c>
    </row>
    <row r="47" spans="1:11" x14ac:dyDescent="0.25">
      <c r="A47" s="145">
        <f>A46+92</f>
        <v>46966</v>
      </c>
      <c r="B47" s="11" t="s">
        <v>10</v>
      </c>
      <c r="C47" s="12">
        <f t="shared" si="4"/>
        <v>1000000000</v>
      </c>
      <c r="D47" s="12">
        <f>H46*((1+$N$73)^(N$72/360)-1)</f>
        <v>194152256.52139691</v>
      </c>
      <c r="E47" s="12">
        <f t="shared" si="1"/>
        <v>1194152256.5213969</v>
      </c>
      <c r="F47" s="12"/>
      <c r="G47" s="12">
        <f t="shared" si="2"/>
        <v>1000000000</v>
      </c>
      <c r="H47" s="13">
        <f t="shared" si="0"/>
        <v>6000000000</v>
      </c>
      <c r="K47" s="92">
        <f t="shared" si="3"/>
        <v>46868</v>
      </c>
    </row>
    <row r="48" spans="1:11" x14ac:dyDescent="0.25">
      <c r="A48" s="145">
        <f>A47+92</f>
        <v>47058</v>
      </c>
      <c r="B48" s="11" t="s">
        <v>10</v>
      </c>
      <c r="C48" s="12">
        <f t="shared" si="4"/>
        <v>1000000000</v>
      </c>
      <c r="D48" s="12">
        <f>H47*((1+$N$73)^(N$72/360)-1)</f>
        <v>166416219.87548307</v>
      </c>
      <c r="E48" s="12">
        <f t="shared" si="1"/>
        <v>1166416219.875483</v>
      </c>
      <c r="F48" s="12"/>
      <c r="G48" s="12">
        <f t="shared" si="2"/>
        <v>1000000000</v>
      </c>
      <c r="H48" s="13">
        <f t="shared" si="0"/>
        <v>5000000000</v>
      </c>
      <c r="K48" s="92">
        <f t="shared" si="3"/>
        <v>46958</v>
      </c>
    </row>
    <row r="49" spans="1:11" x14ac:dyDescent="0.25">
      <c r="A49" s="92">
        <f>A48+92</f>
        <v>47150</v>
      </c>
      <c r="B49" s="11" t="s">
        <v>10</v>
      </c>
      <c r="C49" s="12">
        <f t="shared" si="4"/>
        <v>1000000000</v>
      </c>
      <c r="D49" s="12">
        <f>H48*((1+$O$73)^(O$72/360)-1)</f>
        <v>138680183.2295692</v>
      </c>
      <c r="E49" s="12">
        <f t="shared" si="1"/>
        <v>1138680183.2295692</v>
      </c>
      <c r="F49" s="12"/>
      <c r="G49" s="12">
        <f t="shared" si="2"/>
        <v>1000000000</v>
      </c>
      <c r="H49" s="13">
        <f t="shared" si="0"/>
        <v>4000000000</v>
      </c>
      <c r="K49" s="92">
        <f t="shared" si="3"/>
        <v>47048</v>
      </c>
    </row>
    <row r="50" spans="1:11" x14ac:dyDescent="0.25">
      <c r="A50" s="92">
        <f>A49+89</f>
        <v>47239</v>
      </c>
      <c r="B50" s="11" t="s">
        <v>10</v>
      </c>
      <c r="C50" s="12">
        <f t="shared" si="4"/>
        <v>1000000000</v>
      </c>
      <c r="D50" s="12">
        <f>H49*((1+$O$73)^(O$72/360)-1)</f>
        <v>110944146.58365537</v>
      </c>
      <c r="E50" s="12">
        <f t="shared" si="1"/>
        <v>1110944146.5836554</v>
      </c>
      <c r="F50" s="12"/>
      <c r="G50" s="12">
        <f t="shared" si="2"/>
        <v>1000000000</v>
      </c>
      <c r="H50" s="13">
        <f t="shared" si="0"/>
        <v>3000000000</v>
      </c>
      <c r="K50" s="92">
        <f t="shared" si="3"/>
        <v>47138</v>
      </c>
    </row>
    <row r="51" spans="1:11" x14ac:dyDescent="0.25">
      <c r="A51" s="92">
        <f>A50+92</f>
        <v>47331</v>
      </c>
      <c r="B51" s="11" t="s">
        <v>10</v>
      </c>
      <c r="C51" s="12">
        <f t="shared" si="4"/>
        <v>1000000000</v>
      </c>
      <c r="D51" s="12">
        <f>H50*((1+$O$73)^(O$72/360)-1)</f>
        <v>83208109.937741533</v>
      </c>
      <c r="E51" s="12">
        <f t="shared" si="1"/>
        <v>1083208109.9377415</v>
      </c>
      <c r="F51" s="12"/>
      <c r="G51" s="12">
        <f t="shared" si="2"/>
        <v>1000000000</v>
      </c>
      <c r="H51" s="13">
        <f t="shared" si="0"/>
        <v>2000000000</v>
      </c>
      <c r="K51" s="92">
        <f t="shared" si="3"/>
        <v>47228</v>
      </c>
    </row>
    <row r="52" spans="1:11" x14ac:dyDescent="0.25">
      <c r="A52" s="92">
        <f>A51+92</f>
        <v>47423</v>
      </c>
      <c r="B52" s="11" t="s">
        <v>10</v>
      </c>
      <c r="C52" s="12">
        <f t="shared" si="4"/>
        <v>1000000000</v>
      </c>
      <c r="D52" s="12">
        <f>H51*((1+$O$73)^(O$72/360)-1)</f>
        <v>55472073.291827686</v>
      </c>
      <c r="E52" s="12">
        <f t="shared" si="1"/>
        <v>1055472073.2918277</v>
      </c>
      <c r="F52" s="12"/>
      <c r="G52" s="12">
        <f t="shared" si="2"/>
        <v>1000000000</v>
      </c>
      <c r="H52" s="13">
        <f t="shared" si="0"/>
        <v>1000000000</v>
      </c>
      <c r="K52" s="92">
        <f t="shared" si="3"/>
        <v>47318</v>
      </c>
    </row>
    <row r="53" spans="1:11" x14ac:dyDescent="0.25">
      <c r="A53" s="92">
        <f>A52+92</f>
        <v>47515</v>
      </c>
      <c r="B53" s="11" t="s">
        <v>10</v>
      </c>
      <c r="C53" s="12">
        <f t="shared" si="4"/>
        <v>1000000000</v>
      </c>
      <c r="D53" s="12">
        <f>H52*((1+$P$73)^(P$72/360)-1)</f>
        <v>27736036.645913843</v>
      </c>
      <c r="E53" s="12">
        <f t="shared" si="1"/>
        <v>1027736036.6459138</v>
      </c>
      <c r="F53" s="12"/>
      <c r="G53" s="12">
        <f t="shared" si="2"/>
        <v>1000000000</v>
      </c>
      <c r="H53" s="14">
        <f t="shared" si="0"/>
        <v>0</v>
      </c>
      <c r="K53" s="92">
        <f t="shared" si="3"/>
        <v>47408</v>
      </c>
    </row>
    <row r="54" spans="1:11" x14ac:dyDescent="0.25">
      <c r="A54" s="15"/>
      <c r="B54" s="16" t="s">
        <v>11</v>
      </c>
      <c r="C54" s="17">
        <f>SUM(C5:C53)</f>
        <v>40000000000</v>
      </c>
      <c r="D54" s="17">
        <f>SUM(D5:D53)</f>
        <v>31212127000.644608</v>
      </c>
      <c r="E54" s="17">
        <f>SUM(E6:E53)</f>
        <v>71212127000.644608</v>
      </c>
      <c r="F54" s="17"/>
      <c r="G54" s="17">
        <f>+C54+D54</f>
        <v>71212127000.644608</v>
      </c>
      <c r="H54" s="18"/>
    </row>
    <row r="55" spans="1:11" x14ac:dyDescent="0.25">
      <c r="A55" s="19" t="s">
        <v>42</v>
      </c>
      <c r="B55" s="20"/>
      <c r="C55" s="20"/>
      <c r="D55" s="20"/>
      <c r="E55" s="20"/>
      <c r="F55" s="20"/>
      <c r="G55" s="20"/>
      <c r="H55" s="20"/>
    </row>
    <row r="56" spans="1:11" ht="15.75" x14ac:dyDescent="0.25">
      <c r="A56" s="52" t="s">
        <v>363</v>
      </c>
      <c r="B56" s="20"/>
      <c r="C56" s="20"/>
      <c r="D56" s="20"/>
      <c r="E56" s="20"/>
      <c r="F56" s="20"/>
      <c r="G56" s="20"/>
      <c r="H56" s="20"/>
    </row>
    <row r="57" spans="1:11" x14ac:dyDescent="0.25">
      <c r="A57" s="19"/>
      <c r="B57" s="20"/>
      <c r="C57" s="20"/>
      <c r="D57" s="20"/>
      <c r="E57" s="20"/>
      <c r="F57" s="20"/>
      <c r="G57" s="20"/>
      <c r="H57" s="20"/>
    </row>
    <row r="58" spans="1:11" ht="37.5" customHeight="1" x14ac:dyDescent="0.25">
      <c r="A58" s="53" t="s">
        <v>361</v>
      </c>
      <c r="B58" s="509" t="s">
        <v>362</v>
      </c>
      <c r="C58" s="510"/>
      <c r="D58" s="20"/>
      <c r="E58" s="20"/>
      <c r="F58" s="20"/>
      <c r="G58" s="20"/>
      <c r="H58" s="20"/>
    </row>
    <row r="59" spans="1:11" ht="15.75" thickBot="1" x14ac:dyDescent="0.3">
      <c r="A59" s="19"/>
      <c r="B59" s="20"/>
      <c r="C59" s="20"/>
      <c r="D59" s="20"/>
      <c r="E59" s="20"/>
      <c r="F59" s="20"/>
      <c r="G59" s="20"/>
      <c r="H59" s="20"/>
    </row>
    <row r="60" spans="1:11" ht="26.25" thickBot="1" x14ac:dyDescent="0.3">
      <c r="A60" s="21" t="s">
        <v>13</v>
      </c>
      <c r="B60" s="22" t="s">
        <v>14</v>
      </c>
      <c r="C60" s="22" t="s">
        <v>15</v>
      </c>
      <c r="D60" s="22" t="s">
        <v>16</v>
      </c>
      <c r="E60" s="22" t="s">
        <v>2956</v>
      </c>
      <c r="F60" s="22" t="s">
        <v>2958</v>
      </c>
      <c r="G60" s="22" t="s">
        <v>7</v>
      </c>
      <c r="H60" s="22" t="s">
        <v>365</v>
      </c>
      <c r="I60" s="23" t="s">
        <v>17</v>
      </c>
    </row>
    <row r="61" spans="1:11" ht="25.5" x14ac:dyDescent="0.25">
      <c r="A61" s="24" t="s">
        <v>385</v>
      </c>
      <c r="B61" s="25" t="s">
        <v>18</v>
      </c>
      <c r="C61" s="26" t="s">
        <v>2955</v>
      </c>
      <c r="D61" s="27">
        <v>40000000000</v>
      </c>
      <c r="E61" s="27" t="s">
        <v>2957</v>
      </c>
      <c r="F61" s="140">
        <v>43076</v>
      </c>
      <c r="G61" s="27">
        <v>0</v>
      </c>
      <c r="H61" s="59">
        <f>D61*((1+C66)^(C65/360)-1)</f>
        <v>783235214.55078375</v>
      </c>
      <c r="I61" s="60">
        <f>+G61+H61</f>
        <v>783235214.55078375</v>
      </c>
    </row>
    <row r="62" spans="1:11" ht="25.5" x14ac:dyDescent="0.25">
      <c r="A62" s="28" t="s">
        <v>20</v>
      </c>
      <c r="B62" s="61">
        <v>8400000000</v>
      </c>
      <c r="C62" s="139">
        <v>43132</v>
      </c>
      <c r="D62" s="30"/>
      <c r="E62" s="30"/>
      <c r="F62" s="30"/>
      <c r="G62" s="31"/>
      <c r="H62" s="31"/>
      <c r="I62" s="32"/>
    </row>
    <row r="63" spans="1:11" ht="26.25" x14ac:dyDescent="0.25">
      <c r="A63" s="62" t="s">
        <v>368</v>
      </c>
      <c r="B63" s="29"/>
      <c r="C63" s="33">
        <v>5.0599999999999999E-2</v>
      </c>
      <c r="D63" s="63"/>
      <c r="E63" s="63"/>
      <c r="F63" s="63"/>
      <c r="G63" s="31"/>
      <c r="H63" s="35"/>
      <c r="I63" s="32"/>
    </row>
    <row r="64" spans="1:11" x14ac:dyDescent="0.25">
      <c r="A64" s="64" t="s">
        <v>370</v>
      </c>
      <c r="B64" s="29"/>
      <c r="C64" s="33">
        <v>2.7E-2</v>
      </c>
      <c r="D64" s="65"/>
      <c r="E64" s="65"/>
      <c r="F64" s="65"/>
      <c r="G64" s="31"/>
      <c r="H64" s="31"/>
      <c r="I64" s="32"/>
    </row>
    <row r="65" spans="1:18" x14ac:dyDescent="0.25">
      <c r="A65" s="66" t="s">
        <v>372</v>
      </c>
      <c r="B65" s="29"/>
      <c r="C65" s="67">
        <v>90</v>
      </c>
      <c r="D65" s="36"/>
      <c r="E65" s="36"/>
      <c r="F65" s="36"/>
      <c r="G65" s="31"/>
      <c r="H65" s="31"/>
      <c r="I65" s="32"/>
    </row>
    <row r="66" spans="1:18" ht="38.25" x14ac:dyDescent="0.25">
      <c r="A66" s="28" t="s">
        <v>373</v>
      </c>
      <c r="B66" s="29"/>
      <c r="C66" s="68">
        <f>(1+(C63+C64)/90)^90-1</f>
        <v>8.0654163803858259E-2</v>
      </c>
      <c r="D66" s="34">
        <f>C63+C64</f>
        <v>7.7600000000000002E-2</v>
      </c>
      <c r="E66" s="34"/>
      <c r="F66" s="36" t="s">
        <v>42</v>
      </c>
      <c r="G66" s="31"/>
      <c r="H66" s="31"/>
      <c r="I66" s="32"/>
    </row>
    <row r="67" spans="1:18" ht="25.5" x14ac:dyDescent="0.25">
      <c r="A67" s="37" t="s">
        <v>22</v>
      </c>
      <c r="B67" s="69"/>
      <c r="C67" s="38"/>
      <c r="D67" s="93" t="s">
        <v>42</v>
      </c>
      <c r="E67" s="31"/>
      <c r="F67" s="31"/>
      <c r="G67" s="31"/>
      <c r="H67" s="31"/>
      <c r="I67" s="32"/>
    </row>
    <row r="68" spans="1:18" ht="25.5" x14ac:dyDescent="0.25">
      <c r="A68" s="37" t="s">
        <v>374</v>
      </c>
      <c r="B68" s="28" t="s">
        <v>24</v>
      </c>
      <c r="C68" s="28" t="s">
        <v>25</v>
      </c>
      <c r="D68" s="70"/>
      <c r="E68" s="71"/>
      <c r="F68" s="71"/>
      <c r="G68" s="71"/>
      <c r="H68" s="71"/>
      <c r="I68" s="72"/>
    </row>
    <row r="69" spans="1:18" x14ac:dyDescent="0.25">
      <c r="A69" s="39"/>
      <c r="B69" s="40" t="s">
        <v>27</v>
      </c>
      <c r="C69" s="40" t="s">
        <v>2778</v>
      </c>
      <c r="D69" s="40" t="s">
        <v>2780</v>
      </c>
      <c r="E69" s="40" t="s">
        <v>28</v>
      </c>
      <c r="F69" s="40" t="s">
        <v>29</v>
      </c>
      <c r="G69" s="40" t="s">
        <v>30</v>
      </c>
      <c r="H69" s="40" t="s">
        <v>31</v>
      </c>
      <c r="I69" s="40" t="s">
        <v>32</v>
      </c>
      <c r="J69" s="40" t="s">
        <v>33</v>
      </c>
      <c r="K69" s="40" t="s">
        <v>34</v>
      </c>
      <c r="L69" s="40" t="s">
        <v>35</v>
      </c>
      <c r="M69" s="40" t="s">
        <v>36</v>
      </c>
      <c r="N69" s="40" t="s">
        <v>37</v>
      </c>
      <c r="O69" s="40" t="s">
        <v>38</v>
      </c>
      <c r="P69" s="40" t="s">
        <v>2734</v>
      </c>
    </row>
    <row r="70" spans="1:18" ht="25.5" x14ac:dyDescent="0.25">
      <c r="A70" s="39" t="s">
        <v>2829</v>
      </c>
      <c r="B70" s="33">
        <v>4.4490000000000002E-2</v>
      </c>
      <c r="C70" s="33">
        <v>4.58E-2</v>
      </c>
      <c r="D70" s="33">
        <v>0.05</v>
      </c>
      <c r="E70" s="33">
        <v>0.06</v>
      </c>
      <c r="F70" s="33">
        <v>0.06</v>
      </c>
      <c r="G70" s="33">
        <v>0.06</v>
      </c>
      <c r="H70" s="33">
        <v>0.06</v>
      </c>
      <c r="I70" s="33">
        <v>0.06</v>
      </c>
      <c r="J70" s="33">
        <v>0.06</v>
      </c>
      <c r="K70" s="33">
        <v>0.06</v>
      </c>
      <c r="L70" s="33">
        <v>0.06</v>
      </c>
      <c r="M70" s="33">
        <v>0.06</v>
      </c>
      <c r="N70" s="33">
        <v>0.06</v>
      </c>
      <c r="O70" s="33">
        <v>0.06</v>
      </c>
      <c r="P70" s="33">
        <v>0.06</v>
      </c>
    </row>
    <row r="71" spans="1:18" x14ac:dyDescent="0.25">
      <c r="A71" s="39" t="s">
        <v>370</v>
      </c>
      <c r="B71" s="88">
        <v>4.9500000000000002E-2</v>
      </c>
      <c r="C71" s="88">
        <v>4.9500000000000002E-2</v>
      </c>
      <c r="D71" s="88">
        <v>4.9500000000000002E-2</v>
      </c>
      <c r="E71" s="88">
        <v>4.9500000000000002E-2</v>
      </c>
      <c r="F71" s="88">
        <v>4.9500000000000002E-2</v>
      </c>
      <c r="G71" s="88">
        <v>4.9500000000000002E-2</v>
      </c>
      <c r="H71" s="88">
        <v>4.9500000000000002E-2</v>
      </c>
      <c r="I71" s="88">
        <v>4.9500000000000002E-2</v>
      </c>
      <c r="J71" s="88">
        <v>4.9500000000000002E-2</v>
      </c>
      <c r="K71" s="88">
        <v>4.9500000000000002E-2</v>
      </c>
      <c r="L71" s="88">
        <v>4.9500000000000002E-2</v>
      </c>
      <c r="M71" s="88">
        <v>4.9500000000000002E-2</v>
      </c>
      <c r="N71" s="88">
        <v>4.9500000000000002E-2</v>
      </c>
      <c r="O71" s="88">
        <v>4.9500000000000002E-2</v>
      </c>
      <c r="P71" s="88">
        <v>4.9500000000000002E-2</v>
      </c>
    </row>
    <row r="72" spans="1:18" x14ac:dyDescent="0.25">
      <c r="A72" s="39" t="s">
        <v>377</v>
      </c>
      <c r="B72" s="67">
        <v>90</v>
      </c>
      <c r="C72" s="67">
        <v>90</v>
      </c>
      <c r="D72" s="67">
        <v>90</v>
      </c>
      <c r="E72" s="67">
        <v>90</v>
      </c>
      <c r="F72" s="67">
        <v>90</v>
      </c>
      <c r="G72" s="67">
        <v>90</v>
      </c>
      <c r="H72" s="67">
        <v>90</v>
      </c>
      <c r="I72" s="67">
        <v>90</v>
      </c>
      <c r="J72" s="67">
        <v>90</v>
      </c>
      <c r="K72" s="67">
        <v>90</v>
      </c>
      <c r="L72" s="67">
        <v>90</v>
      </c>
      <c r="M72" s="67">
        <v>90</v>
      </c>
      <c r="N72" s="67">
        <v>90</v>
      </c>
      <c r="O72" s="67">
        <v>90</v>
      </c>
      <c r="P72" s="67">
        <v>90</v>
      </c>
    </row>
    <row r="73" spans="1:18" ht="38.25" x14ac:dyDescent="0.25">
      <c r="A73" s="39" t="s">
        <v>373</v>
      </c>
      <c r="B73" s="73">
        <f>(1+(B70+B71)/90)^90-1</f>
        <v>9.8494884138395689E-2</v>
      </c>
      <c r="C73" s="73">
        <f t="shared" ref="C73:P73" si="5">(1+(C70+C71)/90)^90-1</f>
        <v>9.9933341722880487E-2</v>
      </c>
      <c r="D73" s="73">
        <f t="shared" si="5"/>
        <v>0.10455776160019181</v>
      </c>
      <c r="E73" s="73">
        <f t="shared" si="5"/>
        <v>0.11564581273075714</v>
      </c>
      <c r="F73" s="73">
        <f t="shared" si="5"/>
        <v>0.11564581273075714</v>
      </c>
      <c r="G73" s="73">
        <f t="shared" si="5"/>
        <v>0.11564581273075714</v>
      </c>
      <c r="H73" s="73">
        <f t="shared" si="5"/>
        <v>0.11564581273075714</v>
      </c>
      <c r="I73" s="73">
        <f t="shared" si="5"/>
        <v>0.11564581273075714</v>
      </c>
      <c r="J73" s="73">
        <f t="shared" si="5"/>
        <v>0.11564581273075714</v>
      </c>
      <c r="K73" s="73">
        <f t="shared" si="5"/>
        <v>0.11564581273075714</v>
      </c>
      <c r="L73" s="73">
        <f t="shared" si="5"/>
        <v>0.11564581273075714</v>
      </c>
      <c r="M73" s="73">
        <f t="shared" si="5"/>
        <v>0.11564581273075714</v>
      </c>
      <c r="N73" s="73">
        <f t="shared" si="5"/>
        <v>0.11564581273075714</v>
      </c>
      <c r="O73" s="73">
        <f t="shared" si="5"/>
        <v>0.11564581273075714</v>
      </c>
      <c r="P73" s="73">
        <f t="shared" si="5"/>
        <v>0.11564581273075714</v>
      </c>
    </row>
    <row r="74" spans="1:18" ht="38.25" x14ac:dyDescent="0.25">
      <c r="A74" s="41" t="s">
        <v>378</v>
      </c>
      <c r="B74" s="42">
        <v>2018</v>
      </c>
      <c r="C74" s="42"/>
      <c r="D74" s="42"/>
      <c r="E74" s="41">
        <v>2019</v>
      </c>
      <c r="F74" s="41">
        <f>E74+1</f>
        <v>2020</v>
      </c>
      <c r="G74" s="41">
        <f t="shared" ref="G74:P74" si="6">F74+1</f>
        <v>2021</v>
      </c>
      <c r="H74" s="41">
        <f t="shared" si="6"/>
        <v>2022</v>
      </c>
      <c r="I74" s="41">
        <f t="shared" si="6"/>
        <v>2023</v>
      </c>
      <c r="J74" s="41">
        <f t="shared" si="6"/>
        <v>2024</v>
      </c>
      <c r="K74" s="41">
        <f t="shared" si="6"/>
        <v>2025</v>
      </c>
      <c r="L74" s="41">
        <f t="shared" si="6"/>
        <v>2026</v>
      </c>
      <c r="M74" s="41">
        <f t="shared" si="6"/>
        <v>2027</v>
      </c>
      <c r="N74" s="41">
        <f t="shared" si="6"/>
        <v>2028</v>
      </c>
      <c r="O74" s="41">
        <f t="shared" si="6"/>
        <v>2029</v>
      </c>
      <c r="P74" s="41">
        <f t="shared" si="6"/>
        <v>2030</v>
      </c>
      <c r="R74" s="46" t="s">
        <v>379</v>
      </c>
    </row>
    <row r="75" spans="1:18" x14ac:dyDescent="0.25">
      <c r="A75" s="43" t="s">
        <v>39</v>
      </c>
      <c r="B75" s="44">
        <f>+D6+D7+D8</f>
        <v>2921369621.8124862</v>
      </c>
      <c r="C75" s="44"/>
      <c r="D75" s="44"/>
      <c r="E75" s="44">
        <f>+E9+E10+E11+E12</f>
        <v>4437765863.3462143</v>
      </c>
      <c r="F75" s="44">
        <f>+E13+E14+E15+E16</f>
        <v>7354557753.4084721</v>
      </c>
      <c r="G75" s="44">
        <f>+E17+E18+E19+E20</f>
        <v>7938517203.7197666</v>
      </c>
      <c r="H75" s="44">
        <f>+E21+E22+E23+E24</f>
        <v>7494740617.3851433</v>
      </c>
      <c r="I75" s="44">
        <f>+E25+E26+E27+E28</f>
        <v>7050964031.0505238</v>
      </c>
      <c r="J75" s="44">
        <f>+E29+E30+E31+E32</f>
        <v>6607187444.7159004</v>
      </c>
      <c r="K75" s="44">
        <f>+E33+E34+E35+E36</f>
        <v>6163410858.381279</v>
      </c>
      <c r="L75" s="44">
        <f>+E37+E38+E39+E40</f>
        <v>5719634272.0466576</v>
      </c>
      <c r="M75" s="44">
        <f>+E41+E42+E43+E44</f>
        <v>5275857685.7120361</v>
      </c>
      <c r="N75" s="44">
        <f>+E45+E46+E47+E48</f>
        <v>4832081099.3774147</v>
      </c>
      <c r="O75" s="44">
        <f>+E49+E50+E51+E52</f>
        <v>4388304513.0427933</v>
      </c>
      <c r="P75" s="44">
        <f>+E53</f>
        <v>1027736036.6459138</v>
      </c>
      <c r="Q75" s="54">
        <f>SUM(B75:P75)</f>
        <v>71212127000.644608</v>
      </c>
      <c r="R75" s="74">
        <f>+Q75-D58</f>
        <v>71212127000.644608</v>
      </c>
    </row>
    <row r="76" spans="1:18" ht="51" x14ac:dyDescent="0.25">
      <c r="A76" s="41" t="s">
        <v>380</v>
      </c>
      <c r="B76" s="42">
        <v>2017</v>
      </c>
      <c r="C76" s="41">
        <v>2018</v>
      </c>
      <c r="D76" s="42">
        <v>2019</v>
      </c>
      <c r="E76" s="41">
        <v>2020</v>
      </c>
      <c r="F76" s="42">
        <v>2021</v>
      </c>
      <c r="G76" s="41">
        <v>2022</v>
      </c>
      <c r="H76" s="42">
        <v>2023</v>
      </c>
      <c r="I76" s="41">
        <v>2024</v>
      </c>
      <c r="J76" s="42">
        <v>2025</v>
      </c>
      <c r="K76" s="41">
        <v>2026</v>
      </c>
      <c r="L76" s="42">
        <v>2027</v>
      </c>
      <c r="M76" s="41">
        <v>2028</v>
      </c>
      <c r="N76" s="42">
        <v>2029</v>
      </c>
      <c r="P76" s="46" t="s">
        <v>381</v>
      </c>
    </row>
    <row r="77" spans="1:18" x14ac:dyDescent="0.25">
      <c r="A77" s="47" t="s">
        <v>39</v>
      </c>
      <c r="B77" s="48">
        <f>+C10</f>
        <v>0</v>
      </c>
      <c r="C77" s="48">
        <f>+C11+C12+C13+C14</f>
        <v>1000000000</v>
      </c>
      <c r="D77" s="48">
        <f>+C16+C17+C18</f>
        <v>3000000000</v>
      </c>
      <c r="E77" s="48">
        <f>+C19+C20+C21+C22</f>
        <v>4000000000</v>
      </c>
      <c r="F77" s="48">
        <f>+C23+C24+C25+C26</f>
        <v>4000000000</v>
      </c>
      <c r="G77" s="48">
        <f>+C27+C28+C29+C30</f>
        <v>4000000000</v>
      </c>
      <c r="H77" s="48">
        <f>+C31+C32+C33+C34</f>
        <v>4000000000</v>
      </c>
      <c r="I77" s="48">
        <f>+C35+C36+C37+C38</f>
        <v>4000000000</v>
      </c>
      <c r="J77" s="48">
        <f>+C39+C40+C41+C42</f>
        <v>4000000000</v>
      </c>
      <c r="K77" s="48">
        <f>+C43+C44+C45+C46</f>
        <v>4000000000</v>
      </c>
      <c r="L77" s="48">
        <f>+C47+C48+C49+C50</f>
        <v>4000000000</v>
      </c>
      <c r="M77" s="48">
        <f>+C51+C52+C53+C54</f>
        <v>43000000000</v>
      </c>
      <c r="N77" s="48">
        <f>+C55+C56+C57</f>
        <v>0</v>
      </c>
      <c r="O77" s="54">
        <f>SUM(B77:N77)</f>
        <v>79000000000</v>
      </c>
      <c r="P77" s="74">
        <f>+O77-H9</f>
        <v>39000000000</v>
      </c>
    </row>
    <row r="78" spans="1:18" x14ac:dyDescent="0.25">
      <c r="Q78" s="45">
        <f>SUM(B78:P78)</f>
        <v>0</v>
      </c>
    </row>
    <row r="81" spans="2:17" x14ac:dyDescent="0.25">
      <c r="Q81" s="45">
        <f>SUM(B81:P81)</f>
        <v>0</v>
      </c>
    </row>
    <row r="84" spans="2:17" x14ac:dyDescent="0.25">
      <c r="B84" s="50">
        <f>B74+0.00495</f>
        <v>2018.00495</v>
      </c>
      <c r="C84" s="50">
        <f>E74+0.00495</f>
        <v>2019.00495</v>
      </c>
    </row>
  </sheetData>
  <mergeCells count="4">
    <mergeCell ref="A1:H1"/>
    <mergeCell ref="A2:H2"/>
    <mergeCell ref="A3:H3"/>
    <mergeCell ref="B58:C58"/>
  </mergeCells>
  <hyperlinks>
    <hyperlink ref="B58" r:id="rId1" xr:uid="{00000000-0004-0000-09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C00000"/>
  </sheetPr>
  <dimension ref="A1:R171"/>
  <sheetViews>
    <sheetView zoomScale="90" zoomScaleNormal="90" workbookViewId="0">
      <selection activeCell="E21" sqref="E21"/>
    </sheetView>
  </sheetViews>
  <sheetFormatPr baseColWidth="10" defaultColWidth="11.5703125" defaultRowHeight="15" x14ac:dyDescent="0.25"/>
  <cols>
    <col min="1" max="1" width="15" customWidth="1"/>
    <col min="2" max="2" width="19" customWidth="1"/>
    <col min="3" max="3" width="18.5703125" customWidth="1"/>
    <col min="4" max="4" width="16.28515625" customWidth="1"/>
    <col min="5" max="5" width="16.85546875"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x14ac:dyDescent="0.25">
      <c r="A1" s="511" t="s">
        <v>2</v>
      </c>
      <c r="B1" s="512"/>
      <c r="C1" s="512"/>
      <c r="D1" s="512"/>
      <c r="E1" s="512"/>
      <c r="F1" s="512"/>
      <c r="G1" s="512"/>
      <c r="H1" s="512"/>
    </row>
    <row r="2" spans="1:15" x14ac:dyDescent="0.25">
      <c r="A2" s="511" t="s">
        <v>3102</v>
      </c>
      <c r="B2" s="512"/>
      <c r="C2" s="512"/>
      <c r="D2" s="512"/>
      <c r="E2" s="512"/>
      <c r="F2" s="512"/>
      <c r="G2" s="512"/>
      <c r="H2" s="512"/>
    </row>
    <row r="3" spans="1:15" x14ac:dyDescent="0.25">
      <c r="A3" s="511" t="s">
        <v>3103</v>
      </c>
      <c r="B3" s="512"/>
      <c r="C3" s="512"/>
      <c r="D3" s="512"/>
      <c r="E3" s="512"/>
      <c r="F3" s="512"/>
      <c r="G3" s="512"/>
      <c r="H3" s="512"/>
    </row>
    <row r="4" spans="1:15" ht="15.75" thickBot="1" x14ac:dyDescent="0.3">
      <c r="A4" s="515" t="s">
        <v>3105</v>
      </c>
      <c r="B4" s="516"/>
      <c r="C4" s="516"/>
      <c r="D4" s="516"/>
      <c r="E4" s="516"/>
      <c r="F4" s="516"/>
      <c r="G4" s="516"/>
      <c r="H4" s="516"/>
    </row>
    <row r="5" spans="1:15" ht="60.75" thickBot="1" x14ac:dyDescent="0.3">
      <c r="A5" s="103" t="s">
        <v>5</v>
      </c>
      <c r="B5" s="2" t="s">
        <v>6</v>
      </c>
      <c r="C5" s="3" t="s">
        <v>7</v>
      </c>
      <c r="D5" s="3" t="s">
        <v>40</v>
      </c>
      <c r="E5" s="3" t="s">
        <v>41</v>
      </c>
      <c r="F5" s="3" t="s">
        <v>3132</v>
      </c>
      <c r="G5" s="4" t="s">
        <v>3058</v>
      </c>
      <c r="H5" s="5" t="s">
        <v>8</v>
      </c>
    </row>
    <row r="6" spans="1:15" x14ac:dyDescent="0.25">
      <c r="A6" s="6">
        <v>43735</v>
      </c>
      <c r="B6" s="7" t="s">
        <v>359</v>
      </c>
      <c r="C6" s="8">
        <v>0</v>
      </c>
      <c r="D6" s="8">
        <v>0</v>
      </c>
      <c r="E6" s="8"/>
      <c r="F6" s="8"/>
      <c r="G6" s="8"/>
      <c r="H6" s="9">
        <v>3779457000</v>
      </c>
      <c r="I6" s="54"/>
    </row>
    <row r="7" spans="1:15" s="106" customFormat="1" x14ac:dyDescent="0.25">
      <c r="A7" s="329">
        <f>+A6+30</f>
        <v>43765</v>
      </c>
      <c r="B7" s="297" t="s">
        <v>9</v>
      </c>
      <c r="C7" s="294">
        <v>0</v>
      </c>
      <c r="D7" s="294">
        <f>H6*$B$160*B$159/360</f>
        <v>19253183.867500003</v>
      </c>
      <c r="E7" s="294">
        <v>19253183.867500003</v>
      </c>
      <c r="F7" s="294"/>
      <c r="G7" s="294">
        <f>E7+C7+F7</f>
        <v>19253183.867500003</v>
      </c>
      <c r="H7" s="298">
        <f t="shared" ref="H7:H38" si="0">+H6-C7</f>
        <v>3779457000</v>
      </c>
      <c r="J7" s="408"/>
    </row>
    <row r="8" spans="1:15" x14ac:dyDescent="0.25">
      <c r="A8" s="10">
        <f>+A7+31</f>
        <v>43796</v>
      </c>
      <c r="B8" s="11" t="s">
        <v>9</v>
      </c>
      <c r="C8" s="12">
        <v>0</v>
      </c>
      <c r="D8" s="294">
        <f>H7*$C$160*C$159/360</f>
        <v>19272081.1525</v>
      </c>
      <c r="E8" s="294">
        <v>19272081.1525</v>
      </c>
      <c r="F8" s="294"/>
      <c r="G8" s="294">
        <f t="shared" ref="G8:G71" si="1">E8+C8+F8</f>
        <v>19272081.1525</v>
      </c>
      <c r="H8" s="13">
        <f t="shared" si="0"/>
        <v>3779457000</v>
      </c>
      <c r="I8" s="54"/>
      <c r="J8" s="76"/>
      <c r="K8" s="76"/>
    </row>
    <row r="9" spans="1:15" x14ac:dyDescent="0.25">
      <c r="A9" s="10">
        <f>+A8+30</f>
        <v>43826</v>
      </c>
      <c r="B9" s="11" t="s">
        <v>9</v>
      </c>
      <c r="C9" s="12">
        <v>0</v>
      </c>
      <c r="D9" s="294">
        <f>H8*$D$160*D$159/360</f>
        <v>19253183.867500003</v>
      </c>
      <c r="E9" s="294">
        <v>19253183.867500003</v>
      </c>
      <c r="F9" s="294"/>
      <c r="G9" s="294">
        <f t="shared" si="1"/>
        <v>19253183.867500003</v>
      </c>
      <c r="H9" s="13">
        <f t="shared" si="0"/>
        <v>3779457000</v>
      </c>
    </row>
    <row r="10" spans="1:15" x14ac:dyDescent="0.25">
      <c r="A10" s="10">
        <f>+A9+31</f>
        <v>43857</v>
      </c>
      <c r="B10" s="11" t="s">
        <v>9</v>
      </c>
      <c r="C10" s="12">
        <v>0</v>
      </c>
      <c r="D10" s="294">
        <f>H9*$E$160*E$159/360</f>
        <v>19250034.319999997</v>
      </c>
      <c r="E10" s="294">
        <v>19250034.319999997</v>
      </c>
      <c r="F10" s="294"/>
      <c r="G10" s="294">
        <f t="shared" si="1"/>
        <v>19250034.319999997</v>
      </c>
      <c r="H10" s="13">
        <f t="shared" si="0"/>
        <v>3779457000</v>
      </c>
    </row>
    <row r="11" spans="1:15" x14ac:dyDescent="0.25">
      <c r="A11" s="10">
        <f>+A10+31</f>
        <v>43888</v>
      </c>
      <c r="B11" s="11" t="s">
        <v>9</v>
      </c>
      <c r="C11" s="12">
        <v>0</v>
      </c>
      <c r="D11" s="294">
        <f>H10*$F$160*F$159/360</f>
        <v>19265782.057500001</v>
      </c>
      <c r="E11" s="294">
        <v>19265782.057500001</v>
      </c>
      <c r="F11" s="294"/>
      <c r="G11" s="294">
        <f t="shared" si="1"/>
        <v>19265782.057500001</v>
      </c>
      <c r="H11" s="13">
        <f t="shared" si="0"/>
        <v>3779457000</v>
      </c>
    </row>
    <row r="12" spans="1:15" x14ac:dyDescent="0.25">
      <c r="A12" s="10">
        <f>+A11+29</f>
        <v>43917</v>
      </c>
      <c r="B12" s="11" t="s">
        <v>9</v>
      </c>
      <c r="C12" s="12">
        <v>0</v>
      </c>
      <c r="D12" s="294">
        <f>H11*$G$160*G$159/360</f>
        <v>19253183.867500003</v>
      </c>
      <c r="E12" s="294">
        <v>19253183.867500003</v>
      </c>
      <c r="F12" s="294"/>
      <c r="G12" s="294">
        <f>E12+C12+F12</f>
        <v>19253183.867500003</v>
      </c>
      <c r="H12" s="13">
        <f t="shared" si="0"/>
        <v>3779457000</v>
      </c>
    </row>
    <row r="13" spans="1:15" x14ac:dyDescent="0.25">
      <c r="A13" s="10">
        <f>+A12+31</f>
        <v>43948</v>
      </c>
      <c r="B13" s="11" t="s">
        <v>9</v>
      </c>
      <c r="C13" s="12">
        <v>0</v>
      </c>
      <c r="D13" s="18">
        <f>H12*$H$160*H$159/360</f>
        <v>18245328.667499997</v>
      </c>
      <c r="E13" s="18">
        <v>18245328.667499997</v>
      </c>
      <c r="F13" s="294"/>
      <c r="G13" s="294">
        <f>C13</f>
        <v>0</v>
      </c>
      <c r="H13" s="13">
        <f t="shared" si="0"/>
        <v>3779457000</v>
      </c>
    </row>
    <row r="14" spans="1:15" x14ac:dyDescent="0.25">
      <c r="A14" s="10">
        <f>+A13+30</f>
        <v>43978</v>
      </c>
      <c r="B14" s="11" t="s">
        <v>9</v>
      </c>
      <c r="C14" s="12">
        <v>0</v>
      </c>
      <c r="D14" s="18">
        <f>H13*$I$160*I$159/360</f>
        <v>16229618.267500004</v>
      </c>
      <c r="E14" s="18">
        <v>16229618.267500004</v>
      </c>
      <c r="G14" s="294">
        <f t="shared" ref="G14:G19" si="2">E14+C14+F14</f>
        <v>16229618.267500004</v>
      </c>
      <c r="H14" s="13">
        <f t="shared" si="0"/>
        <v>3779457000</v>
      </c>
      <c r="N14" s="54"/>
      <c r="O14" s="54"/>
    </row>
    <row r="15" spans="1:15" x14ac:dyDescent="0.25">
      <c r="A15" s="10">
        <f>+A14+31</f>
        <v>44009</v>
      </c>
      <c r="B15" s="11" t="s">
        <v>9</v>
      </c>
      <c r="C15" s="12">
        <v>0</v>
      </c>
      <c r="D15" s="18">
        <f>H14*$J$160*J$159/360</f>
        <v>14985547.005000001</v>
      </c>
      <c r="E15" s="18">
        <v>14985547.005000001</v>
      </c>
      <c r="F15" s="294"/>
      <c r="G15" s="294">
        <f t="shared" si="2"/>
        <v>14985547.005000001</v>
      </c>
      <c r="H15" s="13">
        <f t="shared" si="0"/>
        <v>3779457000</v>
      </c>
    </row>
    <row r="16" spans="1:15" x14ac:dyDescent="0.25">
      <c r="A16" s="10">
        <f>+A15+30</f>
        <v>44039</v>
      </c>
      <c r="B16" s="11" t="s">
        <v>9</v>
      </c>
      <c r="C16" s="12">
        <v>0</v>
      </c>
      <c r="D16" s="18">
        <f>H15*$B$169*B$168/360</f>
        <v>13672185.697500002</v>
      </c>
      <c r="E16" s="18">
        <v>13672185.697500002</v>
      </c>
      <c r="F16" s="294">
        <f>SUM(D13:D18)</f>
        <v>89188886.104999989</v>
      </c>
      <c r="G16" s="294">
        <f t="shared" si="2"/>
        <v>102861071.80249999</v>
      </c>
      <c r="H16" s="13">
        <f t="shared" si="0"/>
        <v>3779457000</v>
      </c>
      <c r="I16" t="s">
        <v>3158</v>
      </c>
    </row>
    <row r="17" spans="1:9" x14ac:dyDescent="0.25">
      <c r="A17" s="10">
        <f>+A16+31</f>
        <v>44070</v>
      </c>
      <c r="B17" s="11" t="s">
        <v>9</v>
      </c>
      <c r="C17" s="12">
        <v>0</v>
      </c>
      <c r="D17" s="18">
        <f>H16*$C$169*C$168/360</f>
        <v>13426520.9925</v>
      </c>
      <c r="E17" s="18">
        <v>13426520.9925</v>
      </c>
      <c r="F17" s="462">
        <f>+SUM(F18:F26)</f>
        <v>124651989</v>
      </c>
      <c r="G17" s="294">
        <f t="shared" si="2"/>
        <v>138078509.99250001</v>
      </c>
      <c r="H17" s="13">
        <f t="shared" si="0"/>
        <v>3779457000</v>
      </c>
      <c r="I17" t="s">
        <v>3134</v>
      </c>
    </row>
    <row r="18" spans="1:9" x14ac:dyDescent="0.25">
      <c r="A18" s="10">
        <f>+A17+31</f>
        <v>44101</v>
      </c>
      <c r="B18" s="11" t="s">
        <v>9</v>
      </c>
      <c r="C18" s="12">
        <v>0</v>
      </c>
      <c r="D18" s="18">
        <f>H17*$D$169*D$168/360</f>
        <v>12629685.475</v>
      </c>
      <c r="E18" s="18">
        <v>12629685.475</v>
      </c>
      <c r="F18" s="294">
        <v>13850221</v>
      </c>
      <c r="G18" s="294">
        <f t="shared" si="2"/>
        <v>26479906.475000001</v>
      </c>
      <c r="H18" s="13">
        <f t="shared" si="0"/>
        <v>3779457000</v>
      </c>
    </row>
    <row r="19" spans="1:9" x14ac:dyDescent="0.25">
      <c r="A19" s="10">
        <f>+A18+30</f>
        <v>44131</v>
      </c>
      <c r="B19" s="11" t="s">
        <v>9</v>
      </c>
      <c r="C19" s="12">
        <v>0</v>
      </c>
      <c r="D19" s="294">
        <f>H18*$E$169*E$168/360</f>
        <v>12135206.5175</v>
      </c>
      <c r="E19" s="294">
        <v>12135206.5175</v>
      </c>
      <c r="F19" s="294">
        <v>13850221</v>
      </c>
      <c r="G19" s="294">
        <f t="shared" si="2"/>
        <v>25985427.517499998</v>
      </c>
      <c r="H19" s="13">
        <f t="shared" si="0"/>
        <v>3779457000</v>
      </c>
    </row>
    <row r="20" spans="1:9" x14ac:dyDescent="0.25">
      <c r="A20" s="10">
        <f>+A19+31</f>
        <v>44162</v>
      </c>
      <c r="B20" s="11" t="s">
        <v>9</v>
      </c>
      <c r="C20" s="12">
        <v>0</v>
      </c>
      <c r="D20" s="294">
        <f>H19*$F$169*F$168/360</f>
        <v>11694269.8675</v>
      </c>
      <c r="E20" s="294">
        <v>11694269.8675</v>
      </c>
      <c r="F20" s="294">
        <v>13850221</v>
      </c>
      <c r="G20" s="294">
        <f t="shared" si="1"/>
        <v>25544490.8675</v>
      </c>
      <c r="H20" s="13">
        <f t="shared" si="0"/>
        <v>3779457000</v>
      </c>
    </row>
    <row r="21" spans="1:9" x14ac:dyDescent="0.25">
      <c r="A21" s="10">
        <f>+A20+30</f>
        <v>44192</v>
      </c>
      <c r="B21" s="11" t="s">
        <v>9</v>
      </c>
      <c r="C21" s="12">
        <v>0</v>
      </c>
      <c r="D21" s="294">
        <f>H20*$G$169*G$168/360</f>
        <v>11697419.414999999</v>
      </c>
      <c r="E21" s="294">
        <v>11697419.414999999</v>
      </c>
      <c r="F21" s="12">
        <v>13850221</v>
      </c>
      <c r="G21" s="294">
        <f t="shared" si="1"/>
        <v>25547640.414999999</v>
      </c>
      <c r="H21" s="13">
        <f t="shared" si="0"/>
        <v>3779457000</v>
      </c>
    </row>
    <row r="22" spans="1:9" x14ac:dyDescent="0.25">
      <c r="A22" s="10">
        <f>+A21+31</f>
        <v>44223</v>
      </c>
      <c r="B22" s="11" t="s">
        <v>9</v>
      </c>
      <c r="C22" s="12">
        <v>0</v>
      </c>
      <c r="D22" s="294">
        <f>H21*$H$169*H$168/360</f>
        <v>11691120.32</v>
      </c>
      <c r="E22" s="294">
        <v>11691120</v>
      </c>
      <c r="F22" s="12">
        <v>13850221</v>
      </c>
      <c r="G22" s="294">
        <f t="shared" si="1"/>
        <v>25541341</v>
      </c>
      <c r="H22" s="13">
        <f t="shared" si="0"/>
        <v>3779457000</v>
      </c>
    </row>
    <row r="23" spans="1:9" x14ac:dyDescent="0.25">
      <c r="A23" s="10">
        <f>+A22+31</f>
        <v>44254</v>
      </c>
      <c r="B23" s="11" t="s">
        <v>9</v>
      </c>
      <c r="C23" s="12">
        <v>0</v>
      </c>
      <c r="D23" s="294">
        <f>H22*$I$169*I$168/360</f>
        <v>18897285</v>
      </c>
      <c r="E23" s="12"/>
      <c r="F23" s="12">
        <v>13850221</v>
      </c>
      <c r="G23" s="294">
        <f t="shared" si="1"/>
        <v>13850221</v>
      </c>
      <c r="H23" s="13">
        <f t="shared" si="0"/>
        <v>3779457000</v>
      </c>
    </row>
    <row r="24" spans="1:9" x14ac:dyDescent="0.25">
      <c r="A24" s="10">
        <f>+A23+28</f>
        <v>44282</v>
      </c>
      <c r="B24" s="11" t="s">
        <v>9</v>
      </c>
      <c r="C24" s="12">
        <v>0</v>
      </c>
      <c r="D24" s="294">
        <f t="shared" ref="D24:D33" si="3">H23*$I$169*I$168/360</f>
        <v>18897285</v>
      </c>
      <c r="E24" s="12"/>
      <c r="F24" s="12">
        <v>13850221</v>
      </c>
      <c r="G24" s="294">
        <f t="shared" si="1"/>
        <v>13850221</v>
      </c>
      <c r="H24" s="13">
        <f t="shared" si="0"/>
        <v>3779457000</v>
      </c>
    </row>
    <row r="25" spans="1:9" x14ac:dyDescent="0.25">
      <c r="A25" s="10">
        <f>+A24+31</f>
        <v>44313</v>
      </c>
      <c r="B25" s="11" t="s">
        <v>9</v>
      </c>
      <c r="C25" s="12">
        <v>0</v>
      </c>
      <c r="D25" s="294">
        <f t="shared" si="3"/>
        <v>18897285</v>
      </c>
      <c r="E25" s="12"/>
      <c r="F25" s="12">
        <v>13850221</v>
      </c>
      <c r="G25" s="294">
        <f t="shared" si="1"/>
        <v>13850221</v>
      </c>
      <c r="H25" s="13">
        <f t="shared" si="0"/>
        <v>3779457000</v>
      </c>
    </row>
    <row r="26" spans="1:9" x14ac:dyDescent="0.25">
      <c r="A26" s="10">
        <f>+A25+30</f>
        <v>44343</v>
      </c>
      <c r="B26" s="11" t="s">
        <v>9</v>
      </c>
      <c r="C26" s="12">
        <v>0</v>
      </c>
      <c r="D26" s="294">
        <f t="shared" si="3"/>
        <v>18897285</v>
      </c>
      <c r="E26" s="12"/>
      <c r="F26" s="12">
        <v>13850221</v>
      </c>
      <c r="G26" s="294">
        <f t="shared" si="1"/>
        <v>13850221</v>
      </c>
      <c r="H26" s="13">
        <f t="shared" si="0"/>
        <v>3779457000</v>
      </c>
    </row>
    <row r="27" spans="1:9" x14ac:dyDescent="0.25">
      <c r="A27" s="10">
        <f>+A26+31</f>
        <v>44374</v>
      </c>
      <c r="B27" s="11" t="s">
        <v>9</v>
      </c>
      <c r="C27" s="12">
        <v>0</v>
      </c>
      <c r="D27" s="294">
        <f t="shared" si="3"/>
        <v>18897285</v>
      </c>
      <c r="E27" s="12"/>
      <c r="F27" s="12"/>
      <c r="G27" s="294">
        <f t="shared" si="1"/>
        <v>0</v>
      </c>
      <c r="H27" s="13">
        <f t="shared" si="0"/>
        <v>3779457000</v>
      </c>
    </row>
    <row r="28" spans="1:9" x14ac:dyDescent="0.25">
      <c r="A28" s="10">
        <f>+A27+30</f>
        <v>44404</v>
      </c>
      <c r="B28" s="11" t="s">
        <v>9</v>
      </c>
      <c r="C28" s="12">
        <v>0</v>
      </c>
      <c r="D28" s="294">
        <f t="shared" si="3"/>
        <v>18897285</v>
      </c>
      <c r="E28" s="12"/>
      <c r="F28" s="12"/>
      <c r="G28" s="294">
        <f t="shared" si="1"/>
        <v>0</v>
      </c>
      <c r="H28" s="13">
        <f t="shared" si="0"/>
        <v>3779457000</v>
      </c>
    </row>
    <row r="29" spans="1:9" x14ac:dyDescent="0.25">
      <c r="A29" s="10">
        <f>+A28+31</f>
        <v>44435</v>
      </c>
      <c r="B29" s="11" t="s">
        <v>9</v>
      </c>
      <c r="C29" s="12">
        <v>0</v>
      </c>
      <c r="D29" s="294">
        <f>H28*$I$169*I$168/360</f>
        <v>18897285</v>
      </c>
      <c r="E29" s="12"/>
      <c r="F29" s="12"/>
      <c r="G29" s="294">
        <f t="shared" si="1"/>
        <v>0</v>
      </c>
      <c r="H29" s="13">
        <f t="shared" si="0"/>
        <v>3779457000</v>
      </c>
    </row>
    <row r="30" spans="1:9" x14ac:dyDescent="0.25">
      <c r="A30" s="10">
        <f>+A29+31</f>
        <v>44466</v>
      </c>
      <c r="B30" s="11" t="s">
        <v>9</v>
      </c>
      <c r="C30" s="12"/>
      <c r="D30" s="294">
        <f t="shared" si="3"/>
        <v>18897285</v>
      </c>
      <c r="E30" s="12"/>
      <c r="F30" s="12"/>
      <c r="G30" s="294">
        <f t="shared" si="1"/>
        <v>0</v>
      </c>
      <c r="H30" s="13">
        <f t="shared" si="0"/>
        <v>3779457000</v>
      </c>
    </row>
    <row r="31" spans="1:9" x14ac:dyDescent="0.25">
      <c r="A31" s="10">
        <f>+A30+30</f>
        <v>44496</v>
      </c>
      <c r="B31" s="11" t="s">
        <v>3061</v>
      </c>
      <c r="C31" s="12">
        <v>31495475</v>
      </c>
      <c r="D31" s="294">
        <f t="shared" si="3"/>
        <v>18897285</v>
      </c>
      <c r="E31" s="12"/>
      <c r="F31" s="12"/>
      <c r="G31" s="294">
        <f t="shared" si="1"/>
        <v>31495475</v>
      </c>
      <c r="H31" s="13">
        <f t="shared" si="0"/>
        <v>3747961525</v>
      </c>
    </row>
    <row r="32" spans="1:9" x14ac:dyDescent="0.25">
      <c r="A32" s="10">
        <f>+A31+31</f>
        <v>44527</v>
      </c>
      <c r="B32" s="11" t="s">
        <v>3061</v>
      </c>
      <c r="C32" s="12">
        <v>31495475</v>
      </c>
      <c r="D32" s="294">
        <f t="shared" si="3"/>
        <v>18739807.625</v>
      </c>
      <c r="E32" s="12"/>
      <c r="F32" s="12"/>
      <c r="G32" s="294">
        <f t="shared" si="1"/>
        <v>31495475</v>
      </c>
      <c r="H32" s="13">
        <f t="shared" si="0"/>
        <v>3716466050</v>
      </c>
    </row>
    <row r="33" spans="1:8" x14ac:dyDescent="0.25">
      <c r="A33" s="10">
        <f>+A32+30</f>
        <v>44557</v>
      </c>
      <c r="B33" s="11" t="s">
        <v>3061</v>
      </c>
      <c r="C33" s="12">
        <v>31495475</v>
      </c>
      <c r="D33" s="294">
        <f t="shared" si="3"/>
        <v>18582330.25</v>
      </c>
      <c r="E33" s="12"/>
      <c r="F33" s="12"/>
      <c r="G33" s="294">
        <f t="shared" si="1"/>
        <v>31495475</v>
      </c>
      <c r="H33" s="13">
        <f t="shared" si="0"/>
        <v>3684970575</v>
      </c>
    </row>
    <row r="34" spans="1:8" x14ac:dyDescent="0.25">
      <c r="A34" s="10">
        <f>+A33+31</f>
        <v>44588</v>
      </c>
      <c r="B34" s="11" t="s">
        <v>3061</v>
      </c>
      <c r="C34" s="12">
        <v>31495475</v>
      </c>
      <c r="D34" s="294">
        <f>H33*$J$169*J$168/360</f>
        <v>19960257.28125</v>
      </c>
      <c r="E34" s="12"/>
      <c r="F34" s="12"/>
      <c r="G34" s="294">
        <f t="shared" si="1"/>
        <v>31495475</v>
      </c>
      <c r="H34" s="13">
        <f t="shared" si="0"/>
        <v>3653475100</v>
      </c>
    </row>
    <row r="35" spans="1:8" x14ac:dyDescent="0.25">
      <c r="A35" s="10">
        <f>+A34+31</f>
        <v>44619</v>
      </c>
      <c r="B35" s="11" t="s">
        <v>3061</v>
      </c>
      <c r="C35" s="12">
        <v>31495475</v>
      </c>
      <c r="D35" s="294">
        <f t="shared" ref="D35:D45" si="4">H34*$J$169*J$168/360</f>
        <v>19789656.791666668</v>
      </c>
      <c r="E35" s="12"/>
      <c r="F35" s="12"/>
      <c r="G35" s="294">
        <f t="shared" si="1"/>
        <v>31495475</v>
      </c>
      <c r="H35" s="13">
        <f t="shared" si="0"/>
        <v>3621979625</v>
      </c>
    </row>
    <row r="36" spans="1:8" x14ac:dyDescent="0.25">
      <c r="A36" s="10">
        <f>+A35+28</f>
        <v>44647</v>
      </c>
      <c r="B36" s="11" t="s">
        <v>3061</v>
      </c>
      <c r="C36" s="12">
        <v>31495475</v>
      </c>
      <c r="D36" s="294">
        <f t="shared" si="4"/>
        <v>19619056.302083332</v>
      </c>
      <c r="E36" s="12"/>
      <c r="F36" s="12"/>
      <c r="G36" s="294">
        <f t="shared" si="1"/>
        <v>31495475</v>
      </c>
      <c r="H36" s="13">
        <f t="shared" si="0"/>
        <v>3590484150</v>
      </c>
    </row>
    <row r="37" spans="1:8" x14ac:dyDescent="0.25">
      <c r="A37" s="10">
        <f>+A36+31</f>
        <v>44678</v>
      </c>
      <c r="B37" s="11" t="s">
        <v>3061</v>
      </c>
      <c r="C37" s="12">
        <v>31495475</v>
      </c>
      <c r="D37" s="294">
        <f t="shared" si="4"/>
        <v>19448455.8125</v>
      </c>
      <c r="E37" s="12"/>
      <c r="F37" s="12"/>
      <c r="G37" s="294">
        <f t="shared" si="1"/>
        <v>31495475</v>
      </c>
      <c r="H37" s="13">
        <f t="shared" si="0"/>
        <v>3558988675</v>
      </c>
    </row>
    <row r="38" spans="1:8" x14ac:dyDescent="0.25">
      <c r="A38" s="10">
        <f>+A37+30</f>
        <v>44708</v>
      </c>
      <c r="B38" s="11" t="s">
        <v>3061</v>
      </c>
      <c r="C38" s="12">
        <v>31495475</v>
      </c>
      <c r="D38" s="294">
        <f t="shared" si="4"/>
        <v>19277855.322916668</v>
      </c>
      <c r="E38" s="12"/>
      <c r="F38" s="12"/>
      <c r="G38" s="294">
        <f t="shared" si="1"/>
        <v>31495475</v>
      </c>
      <c r="H38" s="13">
        <f t="shared" si="0"/>
        <v>3527493200</v>
      </c>
    </row>
    <row r="39" spans="1:8" x14ac:dyDescent="0.25">
      <c r="A39" s="10">
        <f>+A38+31</f>
        <v>44739</v>
      </c>
      <c r="B39" s="11" t="s">
        <v>3061</v>
      </c>
      <c r="C39" s="12">
        <v>31495475</v>
      </c>
      <c r="D39" s="294">
        <f t="shared" si="4"/>
        <v>19107254.833333332</v>
      </c>
      <c r="E39" s="12"/>
      <c r="F39" s="12"/>
      <c r="G39" s="294">
        <f t="shared" si="1"/>
        <v>31495475</v>
      </c>
      <c r="H39" s="13">
        <f t="shared" ref="H39:H70" si="5">+H38-C39</f>
        <v>3495997725</v>
      </c>
    </row>
    <row r="40" spans="1:8" x14ac:dyDescent="0.25">
      <c r="A40" s="10">
        <f>+A39+30</f>
        <v>44769</v>
      </c>
      <c r="B40" s="11" t="s">
        <v>3061</v>
      </c>
      <c r="C40" s="12">
        <v>31495475</v>
      </c>
      <c r="D40" s="294">
        <f t="shared" si="4"/>
        <v>18936654.34375</v>
      </c>
      <c r="E40" s="12"/>
      <c r="F40" s="12"/>
      <c r="G40" s="294">
        <f t="shared" si="1"/>
        <v>31495475</v>
      </c>
      <c r="H40" s="13">
        <f t="shared" si="5"/>
        <v>3464502250</v>
      </c>
    </row>
    <row r="41" spans="1:8" x14ac:dyDescent="0.25">
      <c r="A41" s="10">
        <f>+A40+31</f>
        <v>44800</v>
      </c>
      <c r="B41" s="11" t="s">
        <v>3061</v>
      </c>
      <c r="C41" s="12">
        <v>31495475</v>
      </c>
      <c r="D41" s="294">
        <f t="shared" si="4"/>
        <v>18766053.854166668</v>
      </c>
      <c r="E41" s="12"/>
      <c r="F41" s="12"/>
      <c r="G41" s="294">
        <f t="shared" si="1"/>
        <v>31495475</v>
      </c>
      <c r="H41" s="13">
        <f t="shared" si="5"/>
        <v>3433006775</v>
      </c>
    </row>
    <row r="42" spans="1:8" x14ac:dyDescent="0.25">
      <c r="A42" s="10">
        <f>+A41+31</f>
        <v>44831</v>
      </c>
      <c r="B42" s="11" t="s">
        <v>3061</v>
      </c>
      <c r="C42" s="12">
        <v>31495475</v>
      </c>
      <c r="D42" s="294">
        <f t="shared" si="4"/>
        <v>18595453.364583332</v>
      </c>
      <c r="E42" s="12"/>
      <c r="F42" s="12"/>
      <c r="G42" s="294">
        <f t="shared" si="1"/>
        <v>31495475</v>
      </c>
      <c r="H42" s="13">
        <f t="shared" si="5"/>
        <v>3401511300</v>
      </c>
    </row>
    <row r="43" spans="1:8" x14ac:dyDescent="0.25">
      <c r="A43" s="10">
        <f>+A42+30</f>
        <v>44861</v>
      </c>
      <c r="B43" s="11" t="s">
        <v>3061</v>
      </c>
      <c r="C43" s="12">
        <v>31495475</v>
      </c>
      <c r="D43" s="294">
        <f t="shared" si="4"/>
        <v>18424852.875</v>
      </c>
      <c r="E43" s="12"/>
      <c r="F43" s="12"/>
      <c r="G43" s="294">
        <f t="shared" si="1"/>
        <v>31495475</v>
      </c>
      <c r="H43" s="13">
        <f t="shared" si="5"/>
        <v>3370015825</v>
      </c>
    </row>
    <row r="44" spans="1:8" x14ac:dyDescent="0.25">
      <c r="A44" s="10">
        <f>+A43+31</f>
        <v>44892</v>
      </c>
      <c r="B44" s="11" t="s">
        <v>3061</v>
      </c>
      <c r="C44" s="12">
        <v>31495475</v>
      </c>
      <c r="D44" s="294">
        <f t="shared" si="4"/>
        <v>18254252.385416668</v>
      </c>
      <c r="E44" s="12"/>
      <c r="F44" s="12"/>
      <c r="G44" s="294">
        <f t="shared" si="1"/>
        <v>31495475</v>
      </c>
      <c r="H44" s="13">
        <f t="shared" si="5"/>
        <v>3338520350</v>
      </c>
    </row>
    <row r="45" spans="1:8" x14ac:dyDescent="0.25">
      <c r="A45" s="10">
        <f>+A44+30</f>
        <v>44922</v>
      </c>
      <c r="B45" s="11" t="s">
        <v>3061</v>
      </c>
      <c r="C45" s="12">
        <v>31495475</v>
      </c>
      <c r="D45" s="294">
        <f t="shared" si="4"/>
        <v>18083651.895833332</v>
      </c>
      <c r="E45" s="12"/>
      <c r="F45" s="12"/>
      <c r="G45" s="294">
        <f t="shared" si="1"/>
        <v>31495475</v>
      </c>
      <c r="H45" s="13">
        <f t="shared" si="5"/>
        <v>3307024875</v>
      </c>
    </row>
    <row r="46" spans="1:8" x14ac:dyDescent="0.25">
      <c r="A46" s="10">
        <f>+A45+31</f>
        <v>44953</v>
      </c>
      <c r="B46" s="11" t="s">
        <v>3061</v>
      </c>
      <c r="C46" s="12">
        <v>31495475</v>
      </c>
      <c r="D46" s="294">
        <f>H45*$K$169*K$168/360</f>
        <v>19290978.437500004</v>
      </c>
      <c r="E46" s="12"/>
      <c r="F46" s="12"/>
      <c r="G46" s="294">
        <f t="shared" si="1"/>
        <v>31495475</v>
      </c>
      <c r="H46" s="13">
        <f t="shared" si="5"/>
        <v>3275529400</v>
      </c>
    </row>
    <row r="47" spans="1:8" x14ac:dyDescent="0.25">
      <c r="A47" s="10">
        <f>+A46+31</f>
        <v>44984</v>
      </c>
      <c r="B47" s="11" t="s">
        <v>3061</v>
      </c>
      <c r="C47" s="12">
        <v>31495475</v>
      </c>
      <c r="D47" s="294">
        <f t="shared" ref="D47:D110" si="6">H46*$K$169*K$168/360</f>
        <v>19107254.833333336</v>
      </c>
      <c r="E47" s="12"/>
      <c r="F47" s="12"/>
      <c r="G47" s="294">
        <f t="shared" si="1"/>
        <v>31495475</v>
      </c>
      <c r="H47" s="13">
        <f t="shared" si="5"/>
        <v>3244033925</v>
      </c>
    </row>
    <row r="48" spans="1:8" x14ac:dyDescent="0.25">
      <c r="A48" s="10">
        <f>+A47+28</f>
        <v>45012</v>
      </c>
      <c r="B48" s="11" t="s">
        <v>3061</v>
      </c>
      <c r="C48" s="12">
        <v>31495475</v>
      </c>
      <c r="D48" s="294">
        <f t="shared" si="6"/>
        <v>18923531.229166668</v>
      </c>
      <c r="E48" s="12"/>
      <c r="F48" s="12"/>
      <c r="G48" s="294">
        <f t="shared" si="1"/>
        <v>31495475</v>
      </c>
      <c r="H48" s="13">
        <f t="shared" si="5"/>
        <v>3212538450</v>
      </c>
    </row>
    <row r="49" spans="1:8" x14ac:dyDescent="0.25">
      <c r="A49" s="10">
        <f>+A48+31</f>
        <v>45043</v>
      </c>
      <c r="B49" s="11" t="s">
        <v>3061</v>
      </c>
      <c r="C49" s="12">
        <v>31495475</v>
      </c>
      <c r="D49" s="294">
        <f t="shared" si="6"/>
        <v>18739807.625000004</v>
      </c>
      <c r="E49" s="12"/>
      <c r="F49" s="12"/>
      <c r="G49" s="294">
        <f t="shared" si="1"/>
        <v>31495475</v>
      </c>
      <c r="H49" s="13">
        <f t="shared" si="5"/>
        <v>3181042975</v>
      </c>
    </row>
    <row r="50" spans="1:8" x14ac:dyDescent="0.25">
      <c r="A50" s="10">
        <f>+A49+30</f>
        <v>45073</v>
      </c>
      <c r="B50" s="11" t="s">
        <v>3061</v>
      </c>
      <c r="C50" s="12">
        <v>31495475</v>
      </c>
      <c r="D50" s="294">
        <f t="shared" si="6"/>
        <v>18556084.020833336</v>
      </c>
      <c r="E50" s="12"/>
      <c r="F50" s="12"/>
      <c r="G50" s="294">
        <f t="shared" si="1"/>
        <v>31495475</v>
      </c>
      <c r="H50" s="13">
        <f t="shared" si="5"/>
        <v>3149547500</v>
      </c>
    </row>
    <row r="51" spans="1:8" x14ac:dyDescent="0.25">
      <c r="A51" s="10">
        <f>+A50+31</f>
        <v>45104</v>
      </c>
      <c r="B51" s="11" t="s">
        <v>3061</v>
      </c>
      <c r="C51" s="12">
        <v>31495475</v>
      </c>
      <c r="D51" s="294">
        <f t="shared" si="6"/>
        <v>18372360.416666668</v>
      </c>
      <c r="E51" s="12"/>
      <c r="F51" s="12"/>
      <c r="G51" s="294">
        <f t="shared" si="1"/>
        <v>31495475</v>
      </c>
      <c r="H51" s="13">
        <f t="shared" si="5"/>
        <v>3118052025</v>
      </c>
    </row>
    <row r="52" spans="1:8" x14ac:dyDescent="0.25">
      <c r="A52" s="10">
        <f>+A51+30</f>
        <v>45134</v>
      </c>
      <c r="B52" s="11" t="s">
        <v>3061</v>
      </c>
      <c r="C52" s="12">
        <v>31495475</v>
      </c>
      <c r="D52" s="294">
        <f t="shared" si="6"/>
        <v>18188636.812500004</v>
      </c>
      <c r="E52" s="12"/>
      <c r="F52" s="12"/>
      <c r="G52" s="294">
        <f t="shared" si="1"/>
        <v>31495475</v>
      </c>
      <c r="H52" s="13">
        <f t="shared" si="5"/>
        <v>3086556550</v>
      </c>
    </row>
    <row r="53" spans="1:8" x14ac:dyDescent="0.25">
      <c r="A53" s="10">
        <f>+A52+31</f>
        <v>45165</v>
      </c>
      <c r="B53" s="11" t="s">
        <v>3061</v>
      </c>
      <c r="C53" s="12">
        <v>31495475</v>
      </c>
      <c r="D53" s="294">
        <f t="shared" si="6"/>
        <v>18004913.208333336</v>
      </c>
      <c r="E53" s="12"/>
      <c r="F53" s="12"/>
      <c r="G53" s="294">
        <f t="shared" si="1"/>
        <v>31495475</v>
      </c>
      <c r="H53" s="13">
        <f t="shared" si="5"/>
        <v>3055061075</v>
      </c>
    </row>
    <row r="54" spans="1:8" x14ac:dyDescent="0.25">
      <c r="A54" s="10">
        <f>+A53+31</f>
        <v>45196</v>
      </c>
      <c r="B54" s="11" t="s">
        <v>3061</v>
      </c>
      <c r="C54" s="12">
        <v>31495475</v>
      </c>
      <c r="D54" s="294">
        <f t="shared" si="6"/>
        <v>17821189.604166668</v>
      </c>
      <c r="E54" s="12"/>
      <c r="F54" s="12"/>
      <c r="G54" s="294">
        <f t="shared" si="1"/>
        <v>31495475</v>
      </c>
      <c r="H54" s="13">
        <f t="shared" si="5"/>
        <v>3023565600</v>
      </c>
    </row>
    <row r="55" spans="1:8" x14ac:dyDescent="0.25">
      <c r="A55" s="10">
        <f>+A54+30</f>
        <v>45226</v>
      </c>
      <c r="B55" s="11" t="s">
        <v>3061</v>
      </c>
      <c r="C55" s="12">
        <v>31495475</v>
      </c>
      <c r="D55" s="294">
        <f t="shared" si="6"/>
        <v>17637466.000000004</v>
      </c>
      <c r="E55" s="12"/>
      <c r="F55" s="12"/>
      <c r="G55" s="294">
        <f t="shared" si="1"/>
        <v>31495475</v>
      </c>
      <c r="H55" s="13">
        <f t="shared" si="5"/>
        <v>2992070125</v>
      </c>
    </row>
    <row r="56" spans="1:8" x14ac:dyDescent="0.25">
      <c r="A56" s="10">
        <f>+A55+31</f>
        <v>45257</v>
      </c>
      <c r="B56" s="11" t="s">
        <v>3061</v>
      </c>
      <c r="C56" s="12">
        <v>31495475</v>
      </c>
      <c r="D56" s="294">
        <f t="shared" si="6"/>
        <v>17453742.395833336</v>
      </c>
      <c r="E56" s="12"/>
      <c r="F56" s="12"/>
      <c r="G56" s="294">
        <f t="shared" si="1"/>
        <v>31495475</v>
      </c>
      <c r="H56" s="13">
        <f t="shared" si="5"/>
        <v>2960574650</v>
      </c>
    </row>
    <row r="57" spans="1:8" x14ac:dyDescent="0.25">
      <c r="A57" s="10">
        <f>+A56+30</f>
        <v>45287</v>
      </c>
      <c r="B57" s="11" t="s">
        <v>3061</v>
      </c>
      <c r="C57" s="12">
        <v>31495475</v>
      </c>
      <c r="D57" s="294">
        <f t="shared" si="6"/>
        <v>17270018.791666668</v>
      </c>
      <c r="E57" s="12"/>
      <c r="F57" s="12"/>
      <c r="G57" s="294">
        <f t="shared" si="1"/>
        <v>31495475</v>
      </c>
      <c r="H57" s="13">
        <f t="shared" si="5"/>
        <v>2929079175</v>
      </c>
    </row>
    <row r="58" spans="1:8" x14ac:dyDescent="0.25">
      <c r="A58" s="10">
        <f>+A57+31</f>
        <v>45318</v>
      </c>
      <c r="B58" s="11" t="s">
        <v>3061</v>
      </c>
      <c r="C58" s="12">
        <v>31495475</v>
      </c>
      <c r="D58" s="294">
        <f t="shared" si="6"/>
        <v>17086295.187500004</v>
      </c>
      <c r="E58" s="12"/>
      <c r="F58" s="12"/>
      <c r="G58" s="294">
        <f t="shared" si="1"/>
        <v>31495475</v>
      </c>
      <c r="H58" s="13">
        <f t="shared" si="5"/>
        <v>2897583700</v>
      </c>
    </row>
    <row r="59" spans="1:8" x14ac:dyDescent="0.25">
      <c r="A59" s="10">
        <f>+A58+31</f>
        <v>45349</v>
      </c>
      <c r="B59" s="11" t="s">
        <v>3061</v>
      </c>
      <c r="C59" s="12">
        <v>31495475</v>
      </c>
      <c r="D59" s="294">
        <f t="shared" si="6"/>
        <v>16902571.583333336</v>
      </c>
      <c r="E59" s="12"/>
      <c r="F59" s="12"/>
      <c r="G59" s="294">
        <f t="shared" si="1"/>
        <v>31495475</v>
      </c>
      <c r="H59" s="13">
        <f t="shared" si="5"/>
        <v>2866088225</v>
      </c>
    </row>
    <row r="60" spans="1:8" x14ac:dyDescent="0.25">
      <c r="A60" s="10">
        <f>+A59+29</f>
        <v>45378</v>
      </c>
      <c r="B60" s="11" t="s">
        <v>3061</v>
      </c>
      <c r="C60" s="12">
        <v>31495475</v>
      </c>
      <c r="D60" s="294">
        <f t="shared" si="6"/>
        <v>16718847.97916667</v>
      </c>
      <c r="E60" s="12"/>
      <c r="F60" s="12"/>
      <c r="G60" s="294">
        <f t="shared" si="1"/>
        <v>31495475</v>
      </c>
      <c r="H60" s="13">
        <f t="shared" si="5"/>
        <v>2834592750</v>
      </c>
    </row>
    <row r="61" spans="1:8" x14ac:dyDescent="0.25">
      <c r="A61" s="10">
        <f>+A60+31</f>
        <v>45409</v>
      </c>
      <c r="B61" s="11" t="s">
        <v>3061</v>
      </c>
      <c r="C61" s="12">
        <v>31495475</v>
      </c>
      <c r="D61" s="294">
        <f t="shared" si="6"/>
        <v>16535124.375000002</v>
      </c>
      <c r="E61" s="12"/>
      <c r="F61" s="12"/>
      <c r="G61" s="294">
        <f t="shared" si="1"/>
        <v>31495475</v>
      </c>
      <c r="H61" s="13">
        <f t="shared" si="5"/>
        <v>2803097275</v>
      </c>
    </row>
    <row r="62" spans="1:8" x14ac:dyDescent="0.25">
      <c r="A62" s="10">
        <f>+A61+30</f>
        <v>45439</v>
      </c>
      <c r="B62" s="11" t="s">
        <v>3061</v>
      </c>
      <c r="C62" s="12">
        <v>31495475</v>
      </c>
      <c r="D62" s="294">
        <f t="shared" si="6"/>
        <v>16351400.770833336</v>
      </c>
      <c r="E62" s="12"/>
      <c r="F62" s="12"/>
      <c r="G62" s="294">
        <f t="shared" si="1"/>
        <v>31495475</v>
      </c>
      <c r="H62" s="13">
        <f t="shared" si="5"/>
        <v>2771601800</v>
      </c>
    </row>
    <row r="63" spans="1:8" x14ac:dyDescent="0.25">
      <c r="A63" s="10">
        <f>+A62+31</f>
        <v>45470</v>
      </c>
      <c r="B63" s="11" t="s">
        <v>3061</v>
      </c>
      <c r="C63" s="12">
        <v>31495475</v>
      </c>
      <c r="D63" s="294">
        <f t="shared" si="6"/>
        <v>16167677.16666667</v>
      </c>
      <c r="E63" s="12"/>
      <c r="F63" s="12"/>
      <c r="G63" s="294">
        <f t="shared" si="1"/>
        <v>31495475</v>
      </c>
      <c r="H63" s="13">
        <f t="shared" si="5"/>
        <v>2740106325</v>
      </c>
    </row>
    <row r="64" spans="1:8" x14ac:dyDescent="0.25">
      <c r="A64" s="10">
        <f>+A63+30</f>
        <v>45500</v>
      </c>
      <c r="B64" s="11" t="s">
        <v>3061</v>
      </c>
      <c r="C64" s="12">
        <v>31495475</v>
      </c>
      <c r="D64" s="294">
        <f t="shared" si="6"/>
        <v>15983953.562500002</v>
      </c>
      <c r="E64" s="12"/>
      <c r="F64" s="12"/>
      <c r="G64" s="294">
        <f t="shared" si="1"/>
        <v>31495475</v>
      </c>
      <c r="H64" s="13">
        <f t="shared" si="5"/>
        <v>2708610850</v>
      </c>
    </row>
    <row r="65" spans="1:8" x14ac:dyDescent="0.25">
      <c r="A65" s="10">
        <f>+A64+31</f>
        <v>45531</v>
      </c>
      <c r="B65" s="11" t="s">
        <v>3061</v>
      </c>
      <c r="C65" s="12">
        <v>31495475</v>
      </c>
      <c r="D65" s="294">
        <f t="shared" si="6"/>
        <v>15800229.958333336</v>
      </c>
      <c r="E65" s="12"/>
      <c r="F65" s="12"/>
      <c r="G65" s="294">
        <f t="shared" si="1"/>
        <v>31495475</v>
      </c>
      <c r="H65" s="13">
        <f t="shared" si="5"/>
        <v>2677115375</v>
      </c>
    </row>
    <row r="66" spans="1:8" x14ac:dyDescent="0.25">
      <c r="A66" s="10">
        <f>+A65+31</f>
        <v>45562</v>
      </c>
      <c r="B66" s="11" t="s">
        <v>3061</v>
      </c>
      <c r="C66" s="12">
        <v>31495475</v>
      </c>
      <c r="D66" s="294">
        <f t="shared" si="6"/>
        <v>15616506.35416667</v>
      </c>
      <c r="E66" s="12"/>
      <c r="F66" s="12"/>
      <c r="G66" s="294">
        <f t="shared" si="1"/>
        <v>31495475</v>
      </c>
      <c r="H66" s="13">
        <f t="shared" si="5"/>
        <v>2645619900</v>
      </c>
    </row>
    <row r="67" spans="1:8" x14ac:dyDescent="0.25">
      <c r="A67" s="10">
        <f>+A66+30</f>
        <v>45592</v>
      </c>
      <c r="B67" s="11" t="s">
        <v>3061</v>
      </c>
      <c r="C67" s="12">
        <v>31495475</v>
      </c>
      <c r="D67" s="294">
        <f t="shared" si="6"/>
        <v>15432782.750000002</v>
      </c>
      <c r="E67" s="12"/>
      <c r="F67" s="12"/>
      <c r="G67" s="294">
        <f t="shared" si="1"/>
        <v>31495475</v>
      </c>
      <c r="H67" s="13">
        <f t="shared" si="5"/>
        <v>2614124425</v>
      </c>
    </row>
    <row r="68" spans="1:8" x14ac:dyDescent="0.25">
      <c r="A68" s="10">
        <f>+A67+31</f>
        <v>45623</v>
      </c>
      <c r="B68" s="11" t="s">
        <v>3061</v>
      </c>
      <c r="C68" s="12">
        <v>31495475</v>
      </c>
      <c r="D68" s="294">
        <f t="shared" si="6"/>
        <v>15249059.145833336</v>
      </c>
      <c r="E68" s="12"/>
      <c r="F68" s="12"/>
      <c r="G68" s="294">
        <f t="shared" si="1"/>
        <v>31495475</v>
      </c>
      <c r="H68" s="13">
        <f t="shared" si="5"/>
        <v>2582628950</v>
      </c>
    </row>
    <row r="69" spans="1:8" x14ac:dyDescent="0.25">
      <c r="A69" s="10">
        <f>+A68+30</f>
        <v>45653</v>
      </c>
      <c r="B69" s="11" t="s">
        <v>3061</v>
      </c>
      <c r="C69" s="12">
        <v>31495475</v>
      </c>
      <c r="D69" s="294">
        <f t="shared" si="6"/>
        <v>15065335.54166667</v>
      </c>
      <c r="E69" s="12"/>
      <c r="F69" s="12"/>
      <c r="G69" s="294">
        <f t="shared" si="1"/>
        <v>31495475</v>
      </c>
      <c r="H69" s="13">
        <f t="shared" si="5"/>
        <v>2551133475</v>
      </c>
    </row>
    <row r="70" spans="1:8" x14ac:dyDescent="0.25">
      <c r="A70" s="10">
        <f>+A69+31</f>
        <v>45684</v>
      </c>
      <c r="B70" s="11" t="s">
        <v>3061</v>
      </c>
      <c r="C70" s="12">
        <v>31495475</v>
      </c>
      <c r="D70" s="294">
        <f t="shared" si="6"/>
        <v>14881611.937500002</v>
      </c>
      <c r="E70" s="12"/>
      <c r="F70" s="12"/>
      <c r="G70" s="294">
        <f t="shared" si="1"/>
        <v>31495475</v>
      </c>
      <c r="H70" s="13">
        <f t="shared" si="5"/>
        <v>2519638000</v>
      </c>
    </row>
    <row r="71" spans="1:8" x14ac:dyDescent="0.25">
      <c r="A71" s="10">
        <f>+A70+31</f>
        <v>45715</v>
      </c>
      <c r="B71" s="11" t="s">
        <v>3061</v>
      </c>
      <c r="C71" s="12">
        <v>31495475</v>
      </c>
      <c r="D71" s="294">
        <f t="shared" si="6"/>
        <v>14697888.333333336</v>
      </c>
      <c r="E71" s="12"/>
      <c r="F71" s="12"/>
      <c r="G71" s="294">
        <f t="shared" si="1"/>
        <v>31495475</v>
      </c>
      <c r="H71" s="13">
        <f t="shared" ref="H71:H102" si="7">+H70-C71</f>
        <v>2488142525</v>
      </c>
    </row>
    <row r="72" spans="1:8" x14ac:dyDescent="0.25">
      <c r="A72" s="10">
        <f>+A71+28</f>
        <v>45743</v>
      </c>
      <c r="B72" s="11" t="s">
        <v>3061</v>
      </c>
      <c r="C72" s="12">
        <v>31495475</v>
      </c>
      <c r="D72" s="294">
        <f t="shared" si="6"/>
        <v>14514164.72916667</v>
      </c>
      <c r="E72" s="12"/>
      <c r="F72" s="12"/>
      <c r="G72" s="294">
        <f t="shared" ref="G72:G135" si="8">E72+C72+F72</f>
        <v>31495475</v>
      </c>
      <c r="H72" s="13">
        <f t="shared" si="7"/>
        <v>2456647050</v>
      </c>
    </row>
    <row r="73" spans="1:8" x14ac:dyDescent="0.25">
      <c r="A73" s="10">
        <f>+A72+31</f>
        <v>45774</v>
      </c>
      <c r="B73" s="11" t="s">
        <v>3061</v>
      </c>
      <c r="C73" s="12">
        <v>31495475</v>
      </c>
      <c r="D73" s="294">
        <f t="shared" si="6"/>
        <v>14330441.125000002</v>
      </c>
      <c r="E73" s="12"/>
      <c r="F73" s="12"/>
      <c r="G73" s="294">
        <f t="shared" si="8"/>
        <v>31495475</v>
      </c>
      <c r="H73" s="13">
        <f t="shared" si="7"/>
        <v>2425151575</v>
      </c>
    </row>
    <row r="74" spans="1:8" x14ac:dyDescent="0.25">
      <c r="A74" s="10">
        <f>+A73+30</f>
        <v>45804</v>
      </c>
      <c r="B74" s="11" t="s">
        <v>3061</v>
      </c>
      <c r="C74" s="12">
        <v>31495475</v>
      </c>
      <c r="D74" s="294">
        <f t="shared" si="6"/>
        <v>14146717.520833336</v>
      </c>
      <c r="E74" s="12"/>
      <c r="F74" s="12"/>
      <c r="G74" s="294">
        <f t="shared" si="8"/>
        <v>31495475</v>
      </c>
      <c r="H74" s="13">
        <f t="shared" si="7"/>
        <v>2393656100</v>
      </c>
    </row>
    <row r="75" spans="1:8" x14ac:dyDescent="0.25">
      <c r="A75" s="10">
        <f>+A74+31</f>
        <v>45835</v>
      </c>
      <c r="B75" s="11" t="s">
        <v>3061</v>
      </c>
      <c r="C75" s="12">
        <v>31495475</v>
      </c>
      <c r="D75" s="294">
        <f t="shared" si="6"/>
        <v>13962993.91666667</v>
      </c>
      <c r="E75" s="12"/>
      <c r="F75" s="12"/>
      <c r="G75" s="294">
        <f t="shared" si="8"/>
        <v>31495475</v>
      </c>
      <c r="H75" s="13">
        <f t="shared" si="7"/>
        <v>2362160625</v>
      </c>
    </row>
    <row r="76" spans="1:8" x14ac:dyDescent="0.25">
      <c r="A76" s="10">
        <f>+A75+30</f>
        <v>45865</v>
      </c>
      <c r="B76" s="11" t="s">
        <v>3061</v>
      </c>
      <c r="C76" s="12">
        <v>31495475</v>
      </c>
      <c r="D76" s="294">
        <f t="shared" si="6"/>
        <v>13779270.312500002</v>
      </c>
      <c r="E76" s="12"/>
      <c r="F76" s="12"/>
      <c r="G76" s="294">
        <f t="shared" si="8"/>
        <v>31495475</v>
      </c>
      <c r="H76" s="13">
        <f t="shared" si="7"/>
        <v>2330665150</v>
      </c>
    </row>
    <row r="77" spans="1:8" x14ac:dyDescent="0.25">
      <c r="A77" s="10">
        <f>+A76+31</f>
        <v>45896</v>
      </c>
      <c r="B77" s="11" t="s">
        <v>3061</v>
      </c>
      <c r="C77" s="12">
        <v>31495475</v>
      </c>
      <c r="D77" s="294">
        <f t="shared" si="6"/>
        <v>13595546.708333336</v>
      </c>
      <c r="E77" s="12"/>
      <c r="F77" s="12"/>
      <c r="G77" s="294">
        <f t="shared" si="8"/>
        <v>31495475</v>
      </c>
      <c r="H77" s="13">
        <f t="shared" si="7"/>
        <v>2299169675</v>
      </c>
    </row>
    <row r="78" spans="1:8" x14ac:dyDescent="0.25">
      <c r="A78" s="10">
        <f>+A77+31</f>
        <v>45927</v>
      </c>
      <c r="B78" s="11" t="s">
        <v>3061</v>
      </c>
      <c r="C78" s="12">
        <v>31495475</v>
      </c>
      <c r="D78" s="294">
        <f t="shared" si="6"/>
        <v>13411823.10416667</v>
      </c>
      <c r="E78" s="12"/>
      <c r="F78" s="12"/>
      <c r="G78" s="294">
        <f t="shared" si="8"/>
        <v>31495475</v>
      </c>
      <c r="H78" s="13">
        <f t="shared" si="7"/>
        <v>2267674200</v>
      </c>
    </row>
    <row r="79" spans="1:8" x14ac:dyDescent="0.25">
      <c r="A79" s="10">
        <f>+A78+30</f>
        <v>45957</v>
      </c>
      <c r="B79" s="11" t="s">
        <v>3061</v>
      </c>
      <c r="C79" s="12">
        <v>31495475</v>
      </c>
      <c r="D79" s="294">
        <f t="shared" si="6"/>
        <v>13228099.500000002</v>
      </c>
      <c r="E79" s="12"/>
      <c r="F79" s="12"/>
      <c r="G79" s="294">
        <f t="shared" si="8"/>
        <v>31495475</v>
      </c>
      <c r="H79" s="13">
        <f t="shared" si="7"/>
        <v>2236178725</v>
      </c>
    </row>
    <row r="80" spans="1:8" x14ac:dyDescent="0.25">
      <c r="A80" s="10">
        <f>+A79+31</f>
        <v>45988</v>
      </c>
      <c r="B80" s="11" t="s">
        <v>3061</v>
      </c>
      <c r="C80" s="12">
        <v>31495475</v>
      </c>
      <c r="D80" s="294">
        <f t="shared" si="6"/>
        <v>13044375.895833334</v>
      </c>
      <c r="E80" s="12"/>
      <c r="F80" s="12"/>
      <c r="G80" s="294">
        <f t="shared" si="8"/>
        <v>31495475</v>
      </c>
      <c r="H80" s="13">
        <f t="shared" si="7"/>
        <v>2204683250</v>
      </c>
    </row>
    <row r="81" spans="1:8" x14ac:dyDescent="0.25">
      <c r="A81" s="10">
        <f>+A80+30</f>
        <v>46018</v>
      </c>
      <c r="B81" s="11" t="s">
        <v>3061</v>
      </c>
      <c r="C81" s="12">
        <v>31495475</v>
      </c>
      <c r="D81" s="294">
        <f t="shared" si="6"/>
        <v>12860652.291666666</v>
      </c>
      <c r="E81" s="12"/>
      <c r="F81" s="12"/>
      <c r="G81" s="294">
        <f t="shared" si="8"/>
        <v>31495475</v>
      </c>
      <c r="H81" s="13">
        <f t="shared" si="7"/>
        <v>2173187775</v>
      </c>
    </row>
    <row r="82" spans="1:8" x14ac:dyDescent="0.25">
      <c r="A82" s="10">
        <f>+A81+31</f>
        <v>46049</v>
      </c>
      <c r="B82" s="11" t="s">
        <v>3061</v>
      </c>
      <c r="C82" s="12">
        <v>31495475</v>
      </c>
      <c r="D82" s="294">
        <f t="shared" si="6"/>
        <v>12676928.6875</v>
      </c>
      <c r="E82" s="12"/>
      <c r="F82" s="12"/>
      <c r="G82" s="294">
        <f t="shared" si="8"/>
        <v>31495475</v>
      </c>
      <c r="H82" s="13">
        <f t="shared" si="7"/>
        <v>2141692300</v>
      </c>
    </row>
    <row r="83" spans="1:8" x14ac:dyDescent="0.25">
      <c r="A83" s="10">
        <f>+A82+31</f>
        <v>46080</v>
      </c>
      <c r="B83" s="11" t="s">
        <v>3061</v>
      </c>
      <c r="C83" s="12">
        <v>31495475</v>
      </c>
      <c r="D83" s="294">
        <f t="shared" si="6"/>
        <v>12493205.083333334</v>
      </c>
      <c r="E83" s="12"/>
      <c r="F83" s="12"/>
      <c r="G83" s="294">
        <f t="shared" si="8"/>
        <v>31495475</v>
      </c>
      <c r="H83" s="13">
        <f t="shared" si="7"/>
        <v>2110196825</v>
      </c>
    </row>
    <row r="84" spans="1:8" x14ac:dyDescent="0.25">
      <c r="A84" s="10">
        <f>+A83+28</f>
        <v>46108</v>
      </c>
      <c r="B84" s="11" t="s">
        <v>3061</v>
      </c>
      <c r="C84" s="12">
        <v>31495475</v>
      </c>
      <c r="D84" s="294">
        <f t="shared" si="6"/>
        <v>12309481.479166666</v>
      </c>
      <c r="E84" s="12"/>
      <c r="F84" s="12"/>
      <c r="G84" s="294">
        <f t="shared" si="8"/>
        <v>31495475</v>
      </c>
      <c r="H84" s="13">
        <f t="shared" si="7"/>
        <v>2078701350</v>
      </c>
    </row>
    <row r="85" spans="1:8" x14ac:dyDescent="0.25">
      <c r="A85" s="10">
        <f>+A84+31</f>
        <v>46139</v>
      </c>
      <c r="B85" s="11" t="s">
        <v>3061</v>
      </c>
      <c r="C85" s="12">
        <v>31495475</v>
      </c>
      <c r="D85" s="294">
        <f t="shared" si="6"/>
        <v>12125757.875</v>
      </c>
      <c r="E85" s="12"/>
      <c r="F85" s="12"/>
      <c r="G85" s="294">
        <f t="shared" si="8"/>
        <v>31495475</v>
      </c>
      <c r="H85" s="13">
        <f t="shared" si="7"/>
        <v>2047205875</v>
      </c>
    </row>
    <row r="86" spans="1:8" x14ac:dyDescent="0.25">
      <c r="A86" s="10">
        <f>+A85+30</f>
        <v>46169</v>
      </c>
      <c r="B86" s="11" t="s">
        <v>3061</v>
      </c>
      <c r="C86" s="12">
        <v>31495475</v>
      </c>
      <c r="D86" s="294">
        <f t="shared" si="6"/>
        <v>11942034.270833334</v>
      </c>
      <c r="E86" s="12"/>
      <c r="F86" s="12"/>
      <c r="G86" s="294">
        <f t="shared" si="8"/>
        <v>31495475</v>
      </c>
      <c r="H86" s="13">
        <f t="shared" si="7"/>
        <v>2015710400</v>
      </c>
    </row>
    <row r="87" spans="1:8" x14ac:dyDescent="0.25">
      <c r="A87" s="10">
        <f>+A86+31</f>
        <v>46200</v>
      </c>
      <c r="B87" s="11" t="s">
        <v>3061</v>
      </c>
      <c r="C87" s="12">
        <v>31495475</v>
      </c>
      <c r="D87" s="294">
        <f t="shared" si="6"/>
        <v>11758310.666666666</v>
      </c>
      <c r="E87" s="12"/>
      <c r="F87" s="12"/>
      <c r="G87" s="294">
        <f t="shared" si="8"/>
        <v>31495475</v>
      </c>
      <c r="H87" s="13">
        <f t="shared" si="7"/>
        <v>1984214925</v>
      </c>
    </row>
    <row r="88" spans="1:8" x14ac:dyDescent="0.25">
      <c r="A88" s="10">
        <f>+A87+30</f>
        <v>46230</v>
      </c>
      <c r="B88" s="11" t="s">
        <v>3061</v>
      </c>
      <c r="C88" s="12">
        <v>31495475</v>
      </c>
      <c r="D88" s="294">
        <f t="shared" si="6"/>
        <v>11574587.0625</v>
      </c>
      <c r="E88" s="12"/>
      <c r="F88" s="12"/>
      <c r="G88" s="294">
        <f t="shared" si="8"/>
        <v>31495475</v>
      </c>
      <c r="H88" s="13">
        <f t="shared" si="7"/>
        <v>1952719450</v>
      </c>
    </row>
    <row r="89" spans="1:8" x14ac:dyDescent="0.25">
      <c r="A89" s="10">
        <f>+A88+31</f>
        <v>46261</v>
      </c>
      <c r="B89" s="11" t="s">
        <v>3061</v>
      </c>
      <c r="C89" s="12">
        <v>31495475</v>
      </c>
      <c r="D89" s="294">
        <f t="shared" si="6"/>
        <v>11390863.458333334</v>
      </c>
      <c r="E89" s="12"/>
      <c r="F89" s="12"/>
      <c r="G89" s="294">
        <f t="shared" si="8"/>
        <v>31495475</v>
      </c>
      <c r="H89" s="13">
        <f t="shared" si="7"/>
        <v>1921223975</v>
      </c>
    </row>
    <row r="90" spans="1:8" x14ac:dyDescent="0.25">
      <c r="A90" s="10">
        <f>+A89+31</f>
        <v>46292</v>
      </c>
      <c r="B90" s="11" t="s">
        <v>3061</v>
      </c>
      <c r="C90" s="12">
        <v>31495475</v>
      </c>
      <c r="D90" s="294">
        <f t="shared" si="6"/>
        <v>11207139.854166666</v>
      </c>
      <c r="E90" s="12"/>
      <c r="F90" s="12"/>
      <c r="G90" s="294">
        <f t="shared" si="8"/>
        <v>31495475</v>
      </c>
      <c r="H90" s="13">
        <f t="shared" si="7"/>
        <v>1889728500</v>
      </c>
    </row>
    <row r="91" spans="1:8" x14ac:dyDescent="0.25">
      <c r="A91" s="10">
        <f>+A90+30</f>
        <v>46322</v>
      </c>
      <c r="B91" s="11" t="s">
        <v>3061</v>
      </c>
      <c r="C91" s="12">
        <v>31495475</v>
      </c>
      <c r="D91" s="294">
        <f t="shared" si="6"/>
        <v>11023416.250000002</v>
      </c>
      <c r="E91" s="12"/>
      <c r="F91" s="12"/>
      <c r="G91" s="294">
        <f t="shared" si="8"/>
        <v>31495475</v>
      </c>
      <c r="H91" s="13">
        <f t="shared" si="7"/>
        <v>1858233025</v>
      </c>
    </row>
    <row r="92" spans="1:8" x14ac:dyDescent="0.25">
      <c r="A92" s="10">
        <f>+A91+31</f>
        <v>46353</v>
      </c>
      <c r="B92" s="11" t="s">
        <v>3061</v>
      </c>
      <c r="C92" s="12">
        <v>31495475</v>
      </c>
      <c r="D92" s="294">
        <f t="shared" si="6"/>
        <v>10839692.645833334</v>
      </c>
      <c r="E92" s="12"/>
      <c r="F92" s="12"/>
      <c r="G92" s="294">
        <f t="shared" si="8"/>
        <v>31495475</v>
      </c>
      <c r="H92" s="13">
        <f t="shared" si="7"/>
        <v>1826737550</v>
      </c>
    </row>
    <row r="93" spans="1:8" x14ac:dyDescent="0.25">
      <c r="A93" s="10">
        <f>+A92+30</f>
        <v>46383</v>
      </c>
      <c r="B93" s="11" t="s">
        <v>3061</v>
      </c>
      <c r="C93" s="12">
        <v>31495475</v>
      </c>
      <c r="D93" s="294">
        <f t="shared" si="6"/>
        <v>10655969.041666668</v>
      </c>
      <c r="E93" s="12"/>
      <c r="F93" s="12"/>
      <c r="G93" s="294">
        <f t="shared" si="8"/>
        <v>31495475</v>
      </c>
      <c r="H93" s="13">
        <f t="shared" si="7"/>
        <v>1795242075</v>
      </c>
    </row>
    <row r="94" spans="1:8" x14ac:dyDescent="0.25">
      <c r="A94" s="10">
        <f>+A93+31</f>
        <v>46414</v>
      </c>
      <c r="B94" s="11" t="s">
        <v>3061</v>
      </c>
      <c r="C94" s="12">
        <v>31495475</v>
      </c>
      <c r="D94" s="294">
        <f t="shared" si="6"/>
        <v>10472245.437500002</v>
      </c>
      <c r="E94" s="12"/>
      <c r="F94" s="12"/>
      <c r="G94" s="294">
        <f t="shared" si="8"/>
        <v>31495475</v>
      </c>
      <c r="H94" s="13">
        <f t="shared" si="7"/>
        <v>1763746600</v>
      </c>
    </row>
    <row r="95" spans="1:8" x14ac:dyDescent="0.25">
      <c r="A95" s="10">
        <f>+A94+31</f>
        <v>46445</v>
      </c>
      <c r="B95" s="11" t="s">
        <v>3061</v>
      </c>
      <c r="C95" s="12">
        <v>31495475</v>
      </c>
      <c r="D95" s="294">
        <f t="shared" si="6"/>
        <v>10288521.833333334</v>
      </c>
      <c r="E95" s="12"/>
      <c r="F95" s="12"/>
      <c r="G95" s="294">
        <f t="shared" si="8"/>
        <v>31495475</v>
      </c>
      <c r="H95" s="13">
        <f t="shared" si="7"/>
        <v>1732251125</v>
      </c>
    </row>
    <row r="96" spans="1:8" x14ac:dyDescent="0.25">
      <c r="A96" s="10">
        <f>+A95+28</f>
        <v>46473</v>
      </c>
      <c r="B96" s="11" t="s">
        <v>3061</v>
      </c>
      <c r="C96" s="12">
        <v>31495475</v>
      </c>
      <c r="D96" s="294">
        <f t="shared" si="6"/>
        <v>10104798.229166668</v>
      </c>
      <c r="E96" s="12"/>
      <c r="F96" s="12"/>
      <c r="G96" s="294">
        <f t="shared" si="8"/>
        <v>31495475</v>
      </c>
      <c r="H96" s="13">
        <f t="shared" si="7"/>
        <v>1700755650</v>
      </c>
    </row>
    <row r="97" spans="1:8" x14ac:dyDescent="0.25">
      <c r="A97" s="10">
        <f>+A96+31</f>
        <v>46504</v>
      </c>
      <c r="B97" s="11" t="s">
        <v>3061</v>
      </c>
      <c r="C97" s="12">
        <v>31495475</v>
      </c>
      <c r="D97" s="294">
        <f t="shared" si="6"/>
        <v>9921074.6250000019</v>
      </c>
      <c r="E97" s="12"/>
      <c r="F97" s="12"/>
      <c r="G97" s="294">
        <f t="shared" si="8"/>
        <v>31495475</v>
      </c>
      <c r="H97" s="13">
        <f t="shared" si="7"/>
        <v>1669260175</v>
      </c>
    </row>
    <row r="98" spans="1:8" x14ac:dyDescent="0.25">
      <c r="A98" s="10">
        <f>+A97+30</f>
        <v>46534</v>
      </c>
      <c r="B98" s="11" t="s">
        <v>3061</v>
      </c>
      <c r="C98" s="12">
        <v>31495475</v>
      </c>
      <c r="D98" s="294">
        <f t="shared" si="6"/>
        <v>9737351.020833334</v>
      </c>
      <c r="E98" s="12"/>
      <c r="F98" s="12"/>
      <c r="G98" s="294">
        <f t="shared" si="8"/>
        <v>31495475</v>
      </c>
      <c r="H98" s="13">
        <f t="shared" si="7"/>
        <v>1637764700</v>
      </c>
    </row>
    <row r="99" spans="1:8" x14ac:dyDescent="0.25">
      <c r="A99" s="10">
        <f>+A98+31</f>
        <v>46565</v>
      </c>
      <c r="B99" s="11" t="s">
        <v>3061</v>
      </c>
      <c r="C99" s="12">
        <v>31495475</v>
      </c>
      <c r="D99" s="294">
        <f t="shared" si="6"/>
        <v>9553627.4166666679</v>
      </c>
      <c r="E99" s="12"/>
      <c r="F99" s="12"/>
      <c r="G99" s="294">
        <f t="shared" si="8"/>
        <v>31495475</v>
      </c>
      <c r="H99" s="13">
        <f t="shared" si="7"/>
        <v>1606269225</v>
      </c>
    </row>
    <row r="100" spans="1:8" x14ac:dyDescent="0.25">
      <c r="A100" s="10">
        <f>+A99+30</f>
        <v>46595</v>
      </c>
      <c r="B100" s="11" t="s">
        <v>3061</v>
      </c>
      <c r="C100" s="12">
        <v>31495475</v>
      </c>
      <c r="D100" s="294">
        <f t="shared" si="6"/>
        <v>9369903.8125000019</v>
      </c>
      <c r="E100" s="12"/>
      <c r="F100" s="12"/>
      <c r="G100" s="294">
        <f t="shared" si="8"/>
        <v>31495475</v>
      </c>
      <c r="H100" s="13">
        <f t="shared" si="7"/>
        <v>1574773750</v>
      </c>
    </row>
    <row r="101" spans="1:8" x14ac:dyDescent="0.25">
      <c r="A101" s="10">
        <f>+A100+31</f>
        <v>46626</v>
      </c>
      <c r="B101" s="11" t="s">
        <v>3061</v>
      </c>
      <c r="C101" s="12">
        <v>31495475</v>
      </c>
      <c r="D101" s="294">
        <f t="shared" si="6"/>
        <v>9186180.208333334</v>
      </c>
      <c r="E101" s="12"/>
      <c r="F101" s="12"/>
      <c r="G101" s="294">
        <f t="shared" si="8"/>
        <v>31495475</v>
      </c>
      <c r="H101" s="13">
        <f t="shared" si="7"/>
        <v>1543278275</v>
      </c>
    </row>
    <row r="102" spans="1:8" x14ac:dyDescent="0.25">
      <c r="A102" s="10">
        <f>+A101+31</f>
        <v>46657</v>
      </c>
      <c r="B102" s="11" t="s">
        <v>3061</v>
      </c>
      <c r="C102" s="12">
        <v>31495475</v>
      </c>
      <c r="D102" s="294">
        <f t="shared" si="6"/>
        <v>9002456.6041666679</v>
      </c>
      <c r="E102" s="12"/>
      <c r="F102" s="12"/>
      <c r="G102" s="294">
        <f t="shared" si="8"/>
        <v>31495475</v>
      </c>
      <c r="H102" s="13">
        <f t="shared" si="7"/>
        <v>1511782800</v>
      </c>
    </row>
    <row r="103" spans="1:8" x14ac:dyDescent="0.25">
      <c r="A103" s="10">
        <f>+A102+30</f>
        <v>46687</v>
      </c>
      <c r="B103" s="11" t="s">
        <v>3061</v>
      </c>
      <c r="C103" s="12">
        <v>31495475</v>
      </c>
      <c r="D103" s="294">
        <f t="shared" si="6"/>
        <v>8818733.0000000019</v>
      </c>
      <c r="E103" s="12"/>
      <c r="F103" s="12"/>
      <c r="G103" s="294">
        <f t="shared" si="8"/>
        <v>31495475</v>
      </c>
      <c r="H103" s="13">
        <f t="shared" ref="H103:H134" si="9">+H102-C103</f>
        <v>1480287325</v>
      </c>
    </row>
    <row r="104" spans="1:8" x14ac:dyDescent="0.25">
      <c r="A104" s="10">
        <f>+A103+31</f>
        <v>46718</v>
      </c>
      <c r="B104" s="11" t="s">
        <v>3061</v>
      </c>
      <c r="C104" s="12">
        <v>31495475</v>
      </c>
      <c r="D104" s="294">
        <f t="shared" si="6"/>
        <v>8635009.395833334</v>
      </c>
      <c r="E104" s="12"/>
      <c r="F104" s="12"/>
      <c r="G104" s="294">
        <f t="shared" si="8"/>
        <v>31495475</v>
      </c>
      <c r="H104" s="13">
        <f t="shared" si="9"/>
        <v>1448791850</v>
      </c>
    </row>
    <row r="105" spans="1:8" x14ac:dyDescent="0.25">
      <c r="A105" s="10">
        <f>+A104+30</f>
        <v>46748</v>
      </c>
      <c r="B105" s="11" t="s">
        <v>3061</v>
      </c>
      <c r="C105" s="12">
        <v>31495475</v>
      </c>
      <c r="D105" s="294">
        <f t="shared" si="6"/>
        <v>8451285.7916666679</v>
      </c>
      <c r="E105" s="12"/>
      <c r="F105" s="12"/>
      <c r="G105" s="294">
        <f t="shared" si="8"/>
        <v>31495475</v>
      </c>
      <c r="H105" s="13">
        <f t="shared" si="9"/>
        <v>1417296375</v>
      </c>
    </row>
    <row r="106" spans="1:8" x14ac:dyDescent="0.25">
      <c r="A106" s="10">
        <f>+A105+31</f>
        <v>46779</v>
      </c>
      <c r="B106" s="11" t="s">
        <v>3061</v>
      </c>
      <c r="C106" s="12">
        <v>31495475</v>
      </c>
      <c r="D106" s="294">
        <f t="shared" si="6"/>
        <v>8267562.1875000009</v>
      </c>
      <c r="E106" s="12"/>
      <c r="F106" s="12"/>
      <c r="G106" s="294">
        <f t="shared" si="8"/>
        <v>31495475</v>
      </c>
      <c r="H106" s="13">
        <f t="shared" si="9"/>
        <v>1385800900</v>
      </c>
    </row>
    <row r="107" spans="1:8" x14ac:dyDescent="0.25">
      <c r="A107" s="10">
        <f>+A106+31</f>
        <v>46810</v>
      </c>
      <c r="B107" s="11" t="s">
        <v>3061</v>
      </c>
      <c r="C107" s="12">
        <v>31495475</v>
      </c>
      <c r="D107" s="294">
        <f t="shared" si="6"/>
        <v>8083838.5833333349</v>
      </c>
      <c r="E107" s="12"/>
      <c r="F107" s="12"/>
      <c r="G107" s="294">
        <f t="shared" si="8"/>
        <v>31495475</v>
      </c>
      <c r="H107" s="13">
        <f t="shared" si="9"/>
        <v>1354305425</v>
      </c>
    </row>
    <row r="108" spans="1:8" x14ac:dyDescent="0.25">
      <c r="A108" s="10">
        <f>+A107+29</f>
        <v>46839</v>
      </c>
      <c r="B108" s="11" t="s">
        <v>3061</v>
      </c>
      <c r="C108" s="12">
        <v>31495475</v>
      </c>
      <c r="D108" s="294">
        <f t="shared" si="6"/>
        <v>7900114.9791666679</v>
      </c>
      <c r="E108" s="12"/>
      <c r="F108" s="12"/>
      <c r="G108" s="294">
        <f t="shared" si="8"/>
        <v>31495475</v>
      </c>
      <c r="H108" s="13">
        <f t="shared" si="9"/>
        <v>1322809950</v>
      </c>
    </row>
    <row r="109" spans="1:8" x14ac:dyDescent="0.25">
      <c r="A109" s="10">
        <f>+A108+31</f>
        <v>46870</v>
      </c>
      <c r="B109" s="11" t="s">
        <v>3061</v>
      </c>
      <c r="C109" s="12">
        <v>31495475</v>
      </c>
      <c r="D109" s="294">
        <f t="shared" si="6"/>
        <v>7716391.3750000009</v>
      </c>
      <c r="E109" s="12"/>
      <c r="F109" s="12"/>
      <c r="G109" s="294">
        <f t="shared" si="8"/>
        <v>31495475</v>
      </c>
      <c r="H109" s="13">
        <f t="shared" si="9"/>
        <v>1291314475</v>
      </c>
    </row>
    <row r="110" spans="1:8" x14ac:dyDescent="0.25">
      <c r="A110" s="10">
        <f>+A109+30</f>
        <v>46900</v>
      </c>
      <c r="B110" s="11" t="s">
        <v>3061</v>
      </c>
      <c r="C110" s="12">
        <v>31495475</v>
      </c>
      <c r="D110" s="294">
        <f t="shared" si="6"/>
        <v>7532667.7708333349</v>
      </c>
      <c r="E110" s="12"/>
      <c r="F110" s="12"/>
      <c r="G110" s="294">
        <f t="shared" si="8"/>
        <v>31495475</v>
      </c>
      <c r="H110" s="13">
        <f t="shared" si="9"/>
        <v>1259819000</v>
      </c>
    </row>
    <row r="111" spans="1:8" x14ac:dyDescent="0.25">
      <c r="A111" s="10">
        <f>+A110+31</f>
        <v>46931</v>
      </c>
      <c r="B111" s="11" t="s">
        <v>3061</v>
      </c>
      <c r="C111" s="12">
        <v>31495475</v>
      </c>
      <c r="D111" s="294">
        <f t="shared" ref="D111:D150" si="10">H110*$K$169*K$168/360</f>
        <v>7348944.1666666679</v>
      </c>
      <c r="E111" s="12"/>
      <c r="F111" s="12"/>
      <c r="G111" s="294">
        <f t="shared" si="8"/>
        <v>31495475</v>
      </c>
      <c r="H111" s="13">
        <f t="shared" si="9"/>
        <v>1228323525</v>
      </c>
    </row>
    <row r="112" spans="1:8" x14ac:dyDescent="0.25">
      <c r="A112" s="10">
        <f>+A111+30</f>
        <v>46961</v>
      </c>
      <c r="B112" s="11" t="s">
        <v>3061</v>
      </c>
      <c r="C112" s="12">
        <v>31495475</v>
      </c>
      <c r="D112" s="294">
        <f t="shared" si="10"/>
        <v>7165220.5625000009</v>
      </c>
      <c r="E112" s="12"/>
      <c r="F112" s="12"/>
      <c r="G112" s="294">
        <f t="shared" si="8"/>
        <v>31495475</v>
      </c>
      <c r="H112" s="13">
        <f t="shared" si="9"/>
        <v>1196828050</v>
      </c>
    </row>
    <row r="113" spans="1:8" x14ac:dyDescent="0.25">
      <c r="A113" s="10">
        <f>+A112+31</f>
        <v>46992</v>
      </c>
      <c r="B113" s="11" t="s">
        <v>3061</v>
      </c>
      <c r="C113" s="12">
        <v>31495475</v>
      </c>
      <c r="D113" s="294">
        <f t="shared" si="10"/>
        <v>6981496.9583333349</v>
      </c>
      <c r="E113" s="12"/>
      <c r="F113" s="12"/>
      <c r="G113" s="294">
        <f t="shared" si="8"/>
        <v>31495475</v>
      </c>
      <c r="H113" s="13">
        <f t="shared" si="9"/>
        <v>1165332575</v>
      </c>
    </row>
    <row r="114" spans="1:8" x14ac:dyDescent="0.25">
      <c r="A114" s="10">
        <f>+A113+31</f>
        <v>47023</v>
      </c>
      <c r="B114" s="11" t="s">
        <v>3061</v>
      </c>
      <c r="C114" s="12">
        <v>31495475</v>
      </c>
      <c r="D114" s="294">
        <f t="shared" si="10"/>
        <v>6797773.3541666679</v>
      </c>
      <c r="E114" s="12"/>
      <c r="F114" s="12"/>
      <c r="G114" s="294">
        <f t="shared" si="8"/>
        <v>31495475</v>
      </c>
      <c r="H114" s="13">
        <f t="shared" si="9"/>
        <v>1133837100</v>
      </c>
    </row>
    <row r="115" spans="1:8" x14ac:dyDescent="0.25">
      <c r="A115" s="10">
        <f>+A114+30</f>
        <v>47053</v>
      </c>
      <c r="B115" s="11" t="s">
        <v>3061</v>
      </c>
      <c r="C115" s="12">
        <v>31495475</v>
      </c>
      <c r="D115" s="294">
        <f t="shared" si="10"/>
        <v>6614049.7500000009</v>
      </c>
      <c r="E115" s="12"/>
      <c r="F115" s="12"/>
      <c r="G115" s="294">
        <f t="shared" si="8"/>
        <v>31495475</v>
      </c>
      <c r="H115" s="13">
        <f t="shared" si="9"/>
        <v>1102341625</v>
      </c>
    </row>
    <row r="116" spans="1:8" x14ac:dyDescent="0.25">
      <c r="A116" s="10">
        <f>+A115+31</f>
        <v>47084</v>
      </c>
      <c r="B116" s="11" t="s">
        <v>3061</v>
      </c>
      <c r="C116" s="12">
        <v>31495475</v>
      </c>
      <c r="D116" s="294">
        <f t="shared" si="10"/>
        <v>6430326.145833333</v>
      </c>
      <c r="E116" s="12"/>
      <c r="F116" s="12"/>
      <c r="G116" s="294">
        <f t="shared" si="8"/>
        <v>31495475</v>
      </c>
      <c r="H116" s="13">
        <f t="shared" si="9"/>
        <v>1070846150</v>
      </c>
    </row>
    <row r="117" spans="1:8" x14ac:dyDescent="0.25">
      <c r="A117" s="10">
        <f>+A116+30</f>
        <v>47114</v>
      </c>
      <c r="B117" s="11" t="s">
        <v>3061</v>
      </c>
      <c r="C117" s="12">
        <v>31495475</v>
      </c>
      <c r="D117" s="294">
        <f t="shared" si="10"/>
        <v>6246602.541666667</v>
      </c>
      <c r="E117" s="12"/>
      <c r="F117" s="12"/>
      <c r="G117" s="294">
        <f t="shared" si="8"/>
        <v>31495475</v>
      </c>
      <c r="H117" s="13">
        <f t="shared" si="9"/>
        <v>1039350675</v>
      </c>
    </row>
    <row r="118" spans="1:8" x14ac:dyDescent="0.25">
      <c r="A118" s="10">
        <f>+A117+31</f>
        <v>47145</v>
      </c>
      <c r="B118" s="11" t="s">
        <v>3061</v>
      </c>
      <c r="C118" s="12">
        <v>31495475</v>
      </c>
      <c r="D118" s="294">
        <f t="shared" si="10"/>
        <v>6062878.9375</v>
      </c>
      <c r="E118" s="12"/>
      <c r="F118" s="12"/>
      <c r="G118" s="294">
        <f t="shared" si="8"/>
        <v>31495475</v>
      </c>
      <c r="H118" s="13">
        <f t="shared" si="9"/>
        <v>1007855200</v>
      </c>
    </row>
    <row r="119" spans="1:8" x14ac:dyDescent="0.25">
      <c r="A119" s="10">
        <f>+A118+31</f>
        <v>47176</v>
      </c>
      <c r="B119" s="11" t="s">
        <v>3061</v>
      </c>
      <c r="C119" s="12">
        <v>31495475</v>
      </c>
      <c r="D119" s="294">
        <f t="shared" si="10"/>
        <v>5879155.333333333</v>
      </c>
      <c r="E119" s="12"/>
      <c r="F119" s="12"/>
      <c r="G119" s="294">
        <f t="shared" si="8"/>
        <v>31495475</v>
      </c>
      <c r="H119" s="13">
        <f t="shared" si="9"/>
        <v>976359725</v>
      </c>
    </row>
    <row r="120" spans="1:8" x14ac:dyDescent="0.25">
      <c r="A120" s="10">
        <f>+A119+28</f>
        <v>47204</v>
      </c>
      <c r="B120" s="11" t="s">
        <v>3061</v>
      </c>
      <c r="C120" s="12">
        <v>31495475</v>
      </c>
      <c r="D120" s="294">
        <f t="shared" si="10"/>
        <v>5695431.729166667</v>
      </c>
      <c r="E120" s="12"/>
      <c r="F120" s="12"/>
      <c r="G120" s="294">
        <f t="shared" si="8"/>
        <v>31495475</v>
      </c>
      <c r="H120" s="13">
        <f t="shared" si="9"/>
        <v>944864250</v>
      </c>
    </row>
    <row r="121" spans="1:8" x14ac:dyDescent="0.25">
      <c r="A121" s="10">
        <f>+A120+31</f>
        <v>47235</v>
      </c>
      <c r="B121" s="11" t="s">
        <v>3061</v>
      </c>
      <c r="C121" s="12">
        <v>31495475</v>
      </c>
      <c r="D121" s="294">
        <f t="shared" si="10"/>
        <v>5511708.1250000009</v>
      </c>
      <c r="E121" s="12"/>
      <c r="F121" s="12"/>
      <c r="G121" s="294">
        <f t="shared" si="8"/>
        <v>31495475</v>
      </c>
      <c r="H121" s="13">
        <f t="shared" si="9"/>
        <v>913368775</v>
      </c>
    </row>
    <row r="122" spans="1:8" x14ac:dyDescent="0.25">
      <c r="A122" s="10">
        <f>+A121+30</f>
        <v>47265</v>
      </c>
      <c r="B122" s="11" t="s">
        <v>3061</v>
      </c>
      <c r="C122" s="12">
        <v>31495475</v>
      </c>
      <c r="D122" s="294">
        <f t="shared" si="10"/>
        <v>5327984.520833334</v>
      </c>
      <c r="E122" s="12"/>
      <c r="F122" s="12"/>
      <c r="G122" s="294">
        <f t="shared" si="8"/>
        <v>31495475</v>
      </c>
      <c r="H122" s="13">
        <f t="shared" si="9"/>
        <v>881873300</v>
      </c>
    </row>
    <row r="123" spans="1:8" x14ac:dyDescent="0.25">
      <c r="A123" s="10">
        <f>+A122+31</f>
        <v>47296</v>
      </c>
      <c r="B123" s="11" t="s">
        <v>3061</v>
      </c>
      <c r="C123" s="12">
        <v>31495475</v>
      </c>
      <c r="D123" s="294">
        <f t="shared" si="10"/>
        <v>5144260.916666667</v>
      </c>
      <c r="E123" s="12"/>
      <c r="F123" s="12"/>
      <c r="G123" s="294">
        <f t="shared" si="8"/>
        <v>31495475</v>
      </c>
      <c r="H123" s="13">
        <f t="shared" si="9"/>
        <v>850377825</v>
      </c>
    </row>
    <row r="124" spans="1:8" x14ac:dyDescent="0.25">
      <c r="A124" s="10">
        <f>+A123+30</f>
        <v>47326</v>
      </c>
      <c r="B124" s="11" t="s">
        <v>3061</v>
      </c>
      <c r="C124" s="12">
        <v>31495475</v>
      </c>
      <c r="D124" s="294">
        <f t="shared" si="10"/>
        <v>4960537.3125000009</v>
      </c>
      <c r="E124" s="12"/>
      <c r="F124" s="12"/>
      <c r="G124" s="294">
        <f t="shared" si="8"/>
        <v>31495475</v>
      </c>
      <c r="H124" s="13">
        <f t="shared" si="9"/>
        <v>818882350</v>
      </c>
    </row>
    <row r="125" spans="1:8" x14ac:dyDescent="0.25">
      <c r="A125" s="10">
        <f>+A124+31</f>
        <v>47357</v>
      </c>
      <c r="B125" s="11" t="s">
        <v>3061</v>
      </c>
      <c r="C125" s="12">
        <v>31495475</v>
      </c>
      <c r="D125" s="294">
        <f t="shared" si="10"/>
        <v>4776813.708333334</v>
      </c>
      <c r="E125" s="12"/>
      <c r="F125" s="12"/>
      <c r="G125" s="294">
        <f t="shared" si="8"/>
        <v>31495475</v>
      </c>
      <c r="H125" s="13">
        <f t="shared" si="9"/>
        <v>787386875</v>
      </c>
    </row>
    <row r="126" spans="1:8" x14ac:dyDescent="0.25">
      <c r="A126" s="10">
        <f>+A125+31</f>
        <v>47388</v>
      </c>
      <c r="B126" s="11" t="s">
        <v>3061</v>
      </c>
      <c r="C126" s="12">
        <v>31495475</v>
      </c>
      <c r="D126" s="294">
        <f t="shared" si="10"/>
        <v>4593090.104166667</v>
      </c>
      <c r="E126" s="12"/>
      <c r="F126" s="12"/>
      <c r="G126" s="294">
        <f t="shared" si="8"/>
        <v>31495475</v>
      </c>
      <c r="H126" s="13">
        <f t="shared" si="9"/>
        <v>755891400</v>
      </c>
    </row>
    <row r="127" spans="1:8" x14ac:dyDescent="0.25">
      <c r="A127" s="10">
        <f>+A126+30</f>
        <v>47418</v>
      </c>
      <c r="B127" s="11" t="s">
        <v>3061</v>
      </c>
      <c r="C127" s="12">
        <v>31495475</v>
      </c>
      <c r="D127" s="294">
        <f t="shared" si="10"/>
        <v>4409366.5000000009</v>
      </c>
      <c r="E127" s="12"/>
      <c r="F127" s="12"/>
      <c r="G127" s="294">
        <f t="shared" si="8"/>
        <v>31495475</v>
      </c>
      <c r="H127" s="13">
        <f t="shared" si="9"/>
        <v>724395925</v>
      </c>
    </row>
    <row r="128" spans="1:8" x14ac:dyDescent="0.25">
      <c r="A128" s="10">
        <f>+A127+31</f>
        <v>47449</v>
      </c>
      <c r="B128" s="11" t="s">
        <v>3061</v>
      </c>
      <c r="C128" s="12">
        <v>31495475</v>
      </c>
      <c r="D128" s="294">
        <f t="shared" si="10"/>
        <v>4225642.895833334</v>
      </c>
      <c r="E128" s="12"/>
      <c r="F128" s="12"/>
      <c r="G128" s="294">
        <f t="shared" si="8"/>
        <v>31495475</v>
      </c>
      <c r="H128" s="13">
        <f t="shared" si="9"/>
        <v>692900450</v>
      </c>
    </row>
    <row r="129" spans="1:8" x14ac:dyDescent="0.25">
      <c r="A129" s="10">
        <f>+A128+30</f>
        <v>47479</v>
      </c>
      <c r="B129" s="11" t="s">
        <v>3061</v>
      </c>
      <c r="C129" s="12">
        <v>31495475</v>
      </c>
      <c r="D129" s="294">
        <f t="shared" si="10"/>
        <v>4041919.2916666674</v>
      </c>
      <c r="E129" s="12"/>
      <c r="F129" s="12"/>
      <c r="G129" s="294">
        <f t="shared" si="8"/>
        <v>31495475</v>
      </c>
      <c r="H129" s="13">
        <f t="shared" si="9"/>
        <v>661404975</v>
      </c>
    </row>
    <row r="130" spans="1:8" x14ac:dyDescent="0.25">
      <c r="A130" s="10">
        <f>+A129+31</f>
        <v>47510</v>
      </c>
      <c r="B130" s="11" t="s">
        <v>3061</v>
      </c>
      <c r="C130" s="12">
        <v>31495475</v>
      </c>
      <c r="D130" s="294">
        <f t="shared" si="10"/>
        <v>3858195.6875000005</v>
      </c>
      <c r="E130" s="12"/>
      <c r="F130" s="12"/>
      <c r="G130" s="294">
        <f t="shared" si="8"/>
        <v>31495475</v>
      </c>
      <c r="H130" s="13">
        <f t="shared" si="9"/>
        <v>629909500</v>
      </c>
    </row>
    <row r="131" spans="1:8" x14ac:dyDescent="0.25">
      <c r="A131" s="10">
        <f>+A130+31</f>
        <v>47541</v>
      </c>
      <c r="B131" s="11" t="s">
        <v>3061</v>
      </c>
      <c r="C131" s="12">
        <v>31495475</v>
      </c>
      <c r="D131" s="294">
        <f t="shared" si="10"/>
        <v>3674472.083333334</v>
      </c>
      <c r="E131" s="12"/>
      <c r="F131" s="12"/>
      <c r="G131" s="294">
        <f t="shared" si="8"/>
        <v>31495475</v>
      </c>
      <c r="H131" s="13">
        <f t="shared" si="9"/>
        <v>598414025</v>
      </c>
    </row>
    <row r="132" spans="1:8" x14ac:dyDescent="0.25">
      <c r="A132" s="10">
        <f>+A131+28</f>
        <v>47569</v>
      </c>
      <c r="B132" s="11" t="s">
        <v>3061</v>
      </c>
      <c r="C132" s="12">
        <v>31495475</v>
      </c>
      <c r="D132" s="294">
        <f t="shared" si="10"/>
        <v>3490748.4791666674</v>
      </c>
      <c r="E132" s="12"/>
      <c r="F132" s="12"/>
      <c r="G132" s="294">
        <f t="shared" si="8"/>
        <v>31495475</v>
      </c>
      <c r="H132" s="13">
        <f t="shared" si="9"/>
        <v>566918550</v>
      </c>
    </row>
    <row r="133" spans="1:8" x14ac:dyDescent="0.25">
      <c r="A133" s="10">
        <f>+A132+31</f>
        <v>47600</v>
      </c>
      <c r="B133" s="11" t="s">
        <v>3061</v>
      </c>
      <c r="C133" s="12">
        <v>31495475</v>
      </c>
      <c r="D133" s="294">
        <f t="shared" si="10"/>
        <v>3307024.8750000005</v>
      </c>
      <c r="E133" s="12"/>
      <c r="F133" s="12"/>
      <c r="G133" s="294">
        <f t="shared" si="8"/>
        <v>31495475</v>
      </c>
      <c r="H133" s="13">
        <f t="shared" si="9"/>
        <v>535423075</v>
      </c>
    </row>
    <row r="134" spans="1:8" x14ac:dyDescent="0.25">
      <c r="A134" s="10">
        <f>+A133+30</f>
        <v>47630</v>
      </c>
      <c r="B134" s="11" t="s">
        <v>3061</v>
      </c>
      <c r="C134" s="12">
        <v>31495475</v>
      </c>
      <c r="D134" s="294">
        <f t="shared" si="10"/>
        <v>3123301.2708333335</v>
      </c>
      <c r="E134" s="12"/>
      <c r="F134" s="12"/>
      <c r="G134" s="294">
        <f t="shared" si="8"/>
        <v>31495475</v>
      </c>
      <c r="H134" s="13">
        <f t="shared" si="9"/>
        <v>503927600</v>
      </c>
    </row>
    <row r="135" spans="1:8" x14ac:dyDescent="0.25">
      <c r="A135" s="10">
        <f>+A134+31</f>
        <v>47661</v>
      </c>
      <c r="B135" s="11" t="s">
        <v>3061</v>
      </c>
      <c r="C135" s="12">
        <v>31495475</v>
      </c>
      <c r="D135" s="294">
        <f t="shared" si="10"/>
        <v>2939577.6666666665</v>
      </c>
      <c r="E135" s="12"/>
      <c r="F135" s="12"/>
      <c r="G135" s="294">
        <f t="shared" si="8"/>
        <v>31495475</v>
      </c>
      <c r="H135" s="13">
        <f t="shared" ref="H135:H150" si="11">+H134-C135</f>
        <v>472432125</v>
      </c>
    </row>
    <row r="136" spans="1:8" x14ac:dyDescent="0.25">
      <c r="A136" s="10">
        <f>+A135+30</f>
        <v>47691</v>
      </c>
      <c r="B136" s="11" t="s">
        <v>3061</v>
      </c>
      <c r="C136" s="12">
        <v>31495475</v>
      </c>
      <c r="D136" s="294">
        <f t="shared" si="10"/>
        <v>2755854.0625000005</v>
      </c>
      <c r="E136" s="12"/>
      <c r="F136" s="12"/>
      <c r="G136" s="294">
        <f t="shared" ref="G136:G150" si="12">E136+C136+F136</f>
        <v>31495475</v>
      </c>
      <c r="H136" s="13">
        <f t="shared" si="11"/>
        <v>440936650</v>
      </c>
    </row>
    <row r="137" spans="1:8" x14ac:dyDescent="0.25">
      <c r="A137" s="10">
        <f>+A136+31</f>
        <v>47722</v>
      </c>
      <c r="B137" s="11" t="s">
        <v>3061</v>
      </c>
      <c r="C137" s="12">
        <v>31495475</v>
      </c>
      <c r="D137" s="294">
        <f t="shared" si="10"/>
        <v>2572130.4583333335</v>
      </c>
      <c r="E137" s="12"/>
      <c r="F137" s="12"/>
      <c r="G137" s="294">
        <f t="shared" si="12"/>
        <v>31495475</v>
      </c>
      <c r="H137" s="13">
        <f t="shared" si="11"/>
        <v>409441175</v>
      </c>
    </row>
    <row r="138" spans="1:8" x14ac:dyDescent="0.25">
      <c r="A138" s="10">
        <f>+A137+31</f>
        <v>47753</v>
      </c>
      <c r="B138" s="11" t="s">
        <v>3061</v>
      </c>
      <c r="C138" s="12">
        <v>31495475</v>
      </c>
      <c r="D138" s="294">
        <f t="shared" si="10"/>
        <v>2388406.854166667</v>
      </c>
      <c r="E138" s="12"/>
      <c r="F138" s="12"/>
      <c r="G138" s="294">
        <f t="shared" si="12"/>
        <v>31495475</v>
      </c>
      <c r="H138" s="13">
        <f t="shared" si="11"/>
        <v>377945700</v>
      </c>
    </row>
    <row r="139" spans="1:8" x14ac:dyDescent="0.25">
      <c r="A139" s="10">
        <f>+A138+30</f>
        <v>47783</v>
      </c>
      <c r="B139" s="11" t="s">
        <v>3061</v>
      </c>
      <c r="C139" s="12">
        <v>31495475</v>
      </c>
      <c r="D139" s="294">
        <f t="shared" si="10"/>
        <v>2204683.2500000005</v>
      </c>
      <c r="E139" s="12"/>
      <c r="F139" s="12"/>
      <c r="G139" s="294">
        <f t="shared" si="12"/>
        <v>31495475</v>
      </c>
      <c r="H139" s="13">
        <f t="shared" si="11"/>
        <v>346450225</v>
      </c>
    </row>
    <row r="140" spans="1:8" x14ac:dyDescent="0.25">
      <c r="A140" s="10">
        <f>+A139+31</f>
        <v>47814</v>
      </c>
      <c r="B140" s="11" t="s">
        <v>3061</v>
      </c>
      <c r="C140" s="12">
        <v>31495475</v>
      </c>
      <c r="D140" s="294">
        <f t="shared" si="10"/>
        <v>2020959.6458333337</v>
      </c>
      <c r="E140" s="12"/>
      <c r="F140" s="12"/>
      <c r="G140" s="294">
        <f t="shared" si="12"/>
        <v>31495475</v>
      </c>
      <c r="H140" s="13">
        <f t="shared" si="11"/>
        <v>314954750</v>
      </c>
    </row>
    <row r="141" spans="1:8" x14ac:dyDescent="0.25">
      <c r="A141" s="10">
        <f>+A140+30</f>
        <v>47844</v>
      </c>
      <c r="B141" s="11" t="s">
        <v>3061</v>
      </c>
      <c r="C141" s="12">
        <v>31495475</v>
      </c>
      <c r="D141" s="294">
        <f t="shared" si="10"/>
        <v>1837236.041666667</v>
      </c>
      <c r="E141" s="12"/>
      <c r="F141" s="12"/>
      <c r="G141" s="294">
        <f t="shared" si="12"/>
        <v>31495475</v>
      </c>
      <c r="H141" s="13">
        <f t="shared" si="11"/>
        <v>283459275</v>
      </c>
    </row>
    <row r="142" spans="1:8" x14ac:dyDescent="0.25">
      <c r="A142" s="10">
        <f>+A141+31</f>
        <v>47875</v>
      </c>
      <c r="B142" s="11" t="s">
        <v>3061</v>
      </c>
      <c r="C142" s="12">
        <v>31495475</v>
      </c>
      <c r="D142" s="294">
        <f t="shared" si="10"/>
        <v>1653512.4375000002</v>
      </c>
      <c r="E142" s="12"/>
      <c r="F142" s="12"/>
      <c r="G142" s="294">
        <f t="shared" si="12"/>
        <v>31495475</v>
      </c>
      <c r="H142" s="13">
        <f t="shared" si="11"/>
        <v>251963800</v>
      </c>
    </row>
    <row r="143" spans="1:8" x14ac:dyDescent="0.25">
      <c r="A143" s="10">
        <f>+A142+31</f>
        <v>47906</v>
      </c>
      <c r="B143" s="11" t="s">
        <v>3061</v>
      </c>
      <c r="C143" s="12">
        <v>31495475</v>
      </c>
      <c r="D143" s="294">
        <f t="shared" si="10"/>
        <v>1469788.8333333333</v>
      </c>
      <c r="E143" s="12"/>
      <c r="F143" s="12"/>
      <c r="G143" s="294">
        <f t="shared" si="12"/>
        <v>31495475</v>
      </c>
      <c r="H143" s="13">
        <f t="shared" si="11"/>
        <v>220468325</v>
      </c>
    </row>
    <row r="144" spans="1:8" x14ac:dyDescent="0.25">
      <c r="A144" s="10">
        <f>+A143+28</f>
        <v>47934</v>
      </c>
      <c r="B144" s="11" t="s">
        <v>3061</v>
      </c>
      <c r="C144" s="12">
        <v>31495475</v>
      </c>
      <c r="D144" s="294">
        <f t="shared" si="10"/>
        <v>1286065.2291666667</v>
      </c>
      <c r="E144" s="12"/>
      <c r="F144" s="12"/>
      <c r="G144" s="294">
        <f t="shared" si="12"/>
        <v>31495475</v>
      </c>
      <c r="H144" s="13">
        <f t="shared" si="11"/>
        <v>188972850</v>
      </c>
    </row>
    <row r="145" spans="1:18" x14ac:dyDescent="0.25">
      <c r="A145" s="10">
        <f>+A144+31</f>
        <v>47965</v>
      </c>
      <c r="B145" s="11" t="s">
        <v>3061</v>
      </c>
      <c r="C145" s="12">
        <v>31495475</v>
      </c>
      <c r="D145" s="294">
        <f t="shared" si="10"/>
        <v>1102341.6250000002</v>
      </c>
      <c r="E145" s="12"/>
      <c r="F145" s="12"/>
      <c r="G145" s="294">
        <f t="shared" si="12"/>
        <v>31495475</v>
      </c>
      <c r="H145" s="13">
        <f t="shared" si="11"/>
        <v>157477375</v>
      </c>
    </row>
    <row r="146" spans="1:18" x14ac:dyDescent="0.25">
      <c r="A146" s="10">
        <f>+A145+30</f>
        <v>47995</v>
      </c>
      <c r="B146" s="11" t="s">
        <v>3061</v>
      </c>
      <c r="C146" s="12">
        <v>31495475</v>
      </c>
      <c r="D146" s="294">
        <f t="shared" si="10"/>
        <v>918618.02083333349</v>
      </c>
      <c r="E146" s="12"/>
      <c r="F146" s="12"/>
      <c r="G146" s="294">
        <f t="shared" si="12"/>
        <v>31495475</v>
      </c>
      <c r="H146" s="13">
        <f t="shared" si="11"/>
        <v>125981900</v>
      </c>
    </row>
    <row r="147" spans="1:18" x14ac:dyDescent="0.25">
      <c r="A147" s="10">
        <f>+A146+31</f>
        <v>48026</v>
      </c>
      <c r="B147" s="11" t="s">
        <v>3061</v>
      </c>
      <c r="C147" s="12">
        <v>31495475</v>
      </c>
      <c r="D147" s="294">
        <f t="shared" si="10"/>
        <v>734894.41666666663</v>
      </c>
      <c r="E147" s="12"/>
      <c r="F147" s="12"/>
      <c r="G147" s="294">
        <f t="shared" si="12"/>
        <v>31495475</v>
      </c>
      <c r="H147" s="13">
        <f t="shared" si="11"/>
        <v>94486425</v>
      </c>
    </row>
    <row r="148" spans="1:18" x14ac:dyDescent="0.25">
      <c r="A148" s="10">
        <f>+A147+30</f>
        <v>48056</v>
      </c>
      <c r="B148" s="11" t="s">
        <v>3061</v>
      </c>
      <c r="C148" s="12">
        <v>31495475</v>
      </c>
      <c r="D148" s="294">
        <f t="shared" si="10"/>
        <v>551170.81250000012</v>
      </c>
      <c r="E148" s="12"/>
      <c r="F148" s="12"/>
      <c r="G148" s="294">
        <f t="shared" si="12"/>
        <v>31495475</v>
      </c>
      <c r="H148" s="13">
        <f t="shared" si="11"/>
        <v>62990950</v>
      </c>
    </row>
    <row r="149" spans="1:18" x14ac:dyDescent="0.25">
      <c r="A149" s="10">
        <f>+A148+31</f>
        <v>48087</v>
      </c>
      <c r="B149" s="11" t="s">
        <v>3061</v>
      </c>
      <c r="C149" s="12">
        <v>31495475</v>
      </c>
      <c r="D149" s="294">
        <f t="shared" si="10"/>
        <v>367447.20833333331</v>
      </c>
      <c r="E149" s="12"/>
      <c r="F149" s="12"/>
      <c r="G149" s="294">
        <f t="shared" si="12"/>
        <v>31495475</v>
      </c>
      <c r="H149" s="13">
        <f t="shared" si="11"/>
        <v>31495475</v>
      </c>
    </row>
    <row r="150" spans="1:18" x14ac:dyDescent="0.25">
      <c r="A150" s="10">
        <f>+A149+31</f>
        <v>48118</v>
      </c>
      <c r="B150" s="11" t="s">
        <v>3061</v>
      </c>
      <c r="C150" s="12">
        <v>31495475</v>
      </c>
      <c r="D150" s="294">
        <f t="shared" si="10"/>
        <v>183723.60416666666</v>
      </c>
      <c r="E150" s="12"/>
      <c r="F150" s="12"/>
      <c r="G150" s="294">
        <f t="shared" si="12"/>
        <v>31495475</v>
      </c>
      <c r="H150" s="13">
        <f t="shared" si="11"/>
        <v>0</v>
      </c>
    </row>
    <row r="151" spans="1:18" x14ac:dyDescent="0.25">
      <c r="A151" s="15"/>
      <c r="B151" s="16" t="s">
        <v>11</v>
      </c>
      <c r="C151" s="17">
        <f>SUM(C30:C150)</f>
        <v>3779457000</v>
      </c>
      <c r="D151" s="17">
        <f>SUM(D6:D67)</f>
        <v>1069576882.3575001</v>
      </c>
      <c r="E151" s="17"/>
      <c r="F151" s="17"/>
      <c r="G151" s="17">
        <f>SUM(G7:G67)</f>
        <v>1737534461.4749999</v>
      </c>
      <c r="H151" s="18"/>
    </row>
    <row r="152" spans="1:18" x14ac:dyDescent="0.25">
      <c r="A152" s="389"/>
      <c r="B152" s="390"/>
      <c r="C152" s="391"/>
      <c r="D152" s="391"/>
      <c r="E152" s="391"/>
      <c r="F152" s="391"/>
      <c r="G152" s="391"/>
      <c r="H152" s="392"/>
    </row>
    <row r="153" spans="1:18" x14ac:dyDescent="0.25">
      <c r="A153" s="389"/>
      <c r="B153" s="390"/>
      <c r="C153" s="391"/>
      <c r="D153" s="391"/>
      <c r="E153" s="391"/>
      <c r="F153" s="391"/>
      <c r="G153" s="391"/>
      <c r="H153" s="392"/>
    </row>
    <row r="154" spans="1:18" x14ac:dyDescent="0.25">
      <c r="A154" s="389"/>
      <c r="B154" s="390"/>
      <c r="C154" s="391"/>
      <c r="D154" s="391"/>
      <c r="E154" s="391"/>
      <c r="F154" s="391"/>
      <c r="G154" s="391"/>
      <c r="H154" s="392"/>
    </row>
    <row r="155" spans="1:18" x14ac:dyDescent="0.25">
      <c r="A155" s="313" t="s">
        <v>42</v>
      </c>
      <c r="B155" s="314"/>
      <c r="C155" s="20"/>
      <c r="D155" s="20"/>
      <c r="E155" s="20"/>
      <c r="F155" s="20"/>
      <c r="G155" s="20"/>
      <c r="H155" s="20"/>
    </row>
    <row r="156" spans="1:18" x14ac:dyDescent="0.25">
      <c r="A156" s="39" t="s">
        <v>3041</v>
      </c>
      <c r="B156" s="315" t="s">
        <v>3055</v>
      </c>
      <c r="C156" s="315" t="s">
        <v>3059</v>
      </c>
      <c r="D156" s="315" t="s">
        <v>3060</v>
      </c>
      <c r="E156" s="315" t="s">
        <v>3062</v>
      </c>
      <c r="F156" s="315" t="s">
        <v>3063</v>
      </c>
      <c r="G156" s="315" t="s">
        <v>3039</v>
      </c>
      <c r="H156" s="454" t="s">
        <v>3040</v>
      </c>
      <c r="I156" s="454" t="s">
        <v>3064</v>
      </c>
      <c r="J156" s="454" t="s">
        <v>3110</v>
      </c>
      <c r="K156" s="393"/>
      <c r="L156" s="394"/>
      <c r="M156" s="394"/>
      <c r="N156" s="394"/>
      <c r="O156" s="394"/>
      <c r="P156" s="80"/>
      <c r="Q156" s="80"/>
      <c r="R156" s="80"/>
    </row>
    <row r="157" spans="1:18" x14ac:dyDescent="0.25">
      <c r="A157" s="39" t="s">
        <v>3153</v>
      </c>
      <c r="B157" s="160">
        <v>4.113E-2</v>
      </c>
      <c r="C157" s="88">
        <v>4.1189999999999997E-2</v>
      </c>
      <c r="D157" s="160">
        <v>4.113E-2</v>
      </c>
      <c r="E157" s="88">
        <v>4.1119999999999997E-2</v>
      </c>
      <c r="F157" s="33">
        <v>4.1169999999999998E-2</v>
      </c>
      <c r="G157" s="88">
        <v>4.113E-2</v>
      </c>
      <c r="H157" s="455">
        <v>3.7929999999999998E-2</v>
      </c>
      <c r="I157" s="455">
        <v>3.1530000000000002E-2</v>
      </c>
      <c r="J157" s="455">
        <v>2.758E-2</v>
      </c>
      <c r="K157" s="395"/>
      <c r="L157" s="395"/>
      <c r="M157" s="395"/>
      <c r="N157" s="395"/>
      <c r="O157" s="395"/>
      <c r="P157" s="80"/>
      <c r="Q157" s="80"/>
      <c r="R157" s="80"/>
    </row>
    <row r="158" spans="1:18" x14ac:dyDescent="0.25">
      <c r="A158" s="39" t="s">
        <v>370</v>
      </c>
      <c r="B158" s="88">
        <v>0.02</v>
      </c>
      <c r="C158" s="88">
        <v>0.02</v>
      </c>
      <c r="D158" s="88">
        <v>0.02</v>
      </c>
      <c r="E158" s="88">
        <v>0.02</v>
      </c>
      <c r="F158" s="88">
        <v>0.02</v>
      </c>
      <c r="G158" s="88">
        <v>0.02</v>
      </c>
      <c r="H158" s="455">
        <v>0.02</v>
      </c>
      <c r="I158" s="455">
        <v>0.02</v>
      </c>
      <c r="J158" s="455">
        <v>0.02</v>
      </c>
      <c r="K158" s="396"/>
      <c r="L158" s="396"/>
      <c r="M158" s="396"/>
      <c r="N158" s="396"/>
      <c r="O158" s="396"/>
      <c r="P158" s="80"/>
      <c r="Q158" s="80"/>
      <c r="R158" s="80"/>
    </row>
    <row r="159" spans="1:18" x14ac:dyDescent="0.25">
      <c r="A159" s="39" t="s">
        <v>377</v>
      </c>
      <c r="B159" s="296">
        <v>30</v>
      </c>
      <c r="C159" s="67">
        <v>30</v>
      </c>
      <c r="D159" s="67">
        <v>30</v>
      </c>
      <c r="E159" s="67">
        <v>30</v>
      </c>
      <c r="F159" s="67">
        <v>30</v>
      </c>
      <c r="G159" s="67">
        <v>30</v>
      </c>
      <c r="H159" s="456">
        <v>30</v>
      </c>
      <c r="I159" s="456">
        <v>30</v>
      </c>
      <c r="J159" s="456">
        <v>30</v>
      </c>
      <c r="K159" s="397"/>
      <c r="L159" s="397"/>
      <c r="M159" s="397"/>
      <c r="N159" s="397"/>
      <c r="O159" s="397"/>
      <c r="P159" s="80"/>
      <c r="Q159" s="80"/>
      <c r="R159" s="80"/>
    </row>
    <row r="160" spans="1:18" x14ac:dyDescent="0.25">
      <c r="A160" s="39" t="s">
        <v>3152</v>
      </c>
      <c r="B160" s="398">
        <f>B157+B158</f>
        <v>6.1130000000000004E-2</v>
      </c>
      <c r="C160" s="400">
        <f>C157+C158</f>
        <v>6.1189999999999994E-2</v>
      </c>
      <c r="D160" s="399">
        <f t="shared" ref="D160:I160" si="13">D157+D158</f>
        <v>6.1130000000000004E-2</v>
      </c>
      <c r="E160" s="400">
        <f t="shared" si="13"/>
        <v>6.1119999999999994E-2</v>
      </c>
      <c r="F160" s="400">
        <f t="shared" si="13"/>
        <v>6.1170000000000002E-2</v>
      </c>
      <c r="G160" s="400">
        <f>G157+G158</f>
        <v>6.1130000000000004E-2</v>
      </c>
      <c r="H160" s="457">
        <f>H157+H158</f>
        <v>5.7929999999999995E-2</v>
      </c>
      <c r="I160" s="457">
        <f t="shared" si="13"/>
        <v>5.1530000000000006E-2</v>
      </c>
      <c r="J160" s="457">
        <f>J157+J158</f>
        <v>4.7579999999999997E-2</v>
      </c>
      <c r="K160" s="401"/>
      <c r="L160" s="401"/>
      <c r="M160" s="401"/>
      <c r="N160" s="401"/>
      <c r="O160" s="401"/>
      <c r="P160" s="80"/>
      <c r="Q160" s="80"/>
      <c r="R160" s="80"/>
    </row>
    <row r="161" spans="1:18" x14ac:dyDescent="0.25">
      <c r="A161" s="39" t="s">
        <v>3010</v>
      </c>
      <c r="B161" s="398">
        <f>EFFECT(B157+B158,4)</f>
        <v>6.2545660590653807E-2</v>
      </c>
      <c r="C161" s="400">
        <f>EFFECT(C160,4)</f>
        <v>6.2608455086268222E-2</v>
      </c>
      <c r="D161" s="398">
        <f t="shared" ref="D161:I161" si="14">EFFECT(D157+D158,4)</f>
        <v>6.2545660590653807E-2</v>
      </c>
      <c r="E161" s="398">
        <f t="shared" si="14"/>
        <v>6.2535195111971031E-2</v>
      </c>
      <c r="F161" s="398">
        <f t="shared" si="14"/>
        <v>6.2587523278485158E-2</v>
      </c>
      <c r="G161" s="398">
        <f t="shared" si="14"/>
        <v>6.2545660590653807E-2</v>
      </c>
      <c r="H161" s="461">
        <f>EFFECT(H157+H158,4)</f>
        <v>5.9200651230310486E-2</v>
      </c>
      <c r="I161" s="461">
        <f t="shared" si="14"/>
        <v>5.2534332237110792E-2</v>
      </c>
      <c r="J161" s="461">
        <f>EFFECT(J157+J158,4)</f>
        <v>4.8435698312679465E-2</v>
      </c>
      <c r="K161" s="402"/>
      <c r="L161" s="402"/>
      <c r="M161" s="402"/>
      <c r="N161" s="402"/>
      <c r="O161" s="402"/>
      <c r="P161" s="80"/>
      <c r="Q161" s="80"/>
      <c r="R161" s="80"/>
    </row>
    <row r="162" spans="1:18" x14ac:dyDescent="0.25">
      <c r="A162" s="43" t="s">
        <v>39</v>
      </c>
      <c r="B162" s="44">
        <f>D7</f>
        <v>19253183.867500003</v>
      </c>
      <c r="C162" s="44">
        <f>D$8</f>
        <v>19272081.1525</v>
      </c>
      <c r="D162" s="44">
        <f>+D9</f>
        <v>19253183.867500003</v>
      </c>
      <c r="E162" s="44">
        <f>+$D$10</f>
        <v>19250034.319999997</v>
      </c>
      <c r="F162" s="44">
        <f>+$D$11</f>
        <v>19265782.057500001</v>
      </c>
      <c r="G162" s="44">
        <f>+$D$12</f>
        <v>19253183.867500003</v>
      </c>
      <c r="H162" s="458">
        <f>+D13</f>
        <v>18245328.667499997</v>
      </c>
      <c r="I162" s="458">
        <f>+D14</f>
        <v>16229618.267500004</v>
      </c>
      <c r="J162" s="458">
        <f>+D15</f>
        <v>14985547.005000001</v>
      </c>
      <c r="K162" s="403"/>
      <c r="L162" s="403"/>
      <c r="M162" s="403"/>
      <c r="N162" s="403"/>
      <c r="O162" s="403"/>
      <c r="P162" s="136"/>
      <c r="Q162" s="404"/>
      <c r="R162" s="80"/>
    </row>
    <row r="163" spans="1:18" x14ac:dyDescent="0.25">
      <c r="B163" s="232"/>
      <c r="J163" s="80"/>
      <c r="K163" s="80"/>
      <c r="L163" s="80"/>
      <c r="M163" s="80"/>
      <c r="N163" s="80"/>
      <c r="O163" s="80"/>
      <c r="P163" s="80"/>
      <c r="Q163" s="405"/>
      <c r="R163" s="80"/>
    </row>
    <row r="164" spans="1:18" x14ac:dyDescent="0.25">
      <c r="J164" s="80"/>
      <c r="K164" s="80"/>
      <c r="L164" s="80"/>
      <c r="M164" s="80"/>
      <c r="N164" s="80"/>
      <c r="O164" s="80"/>
      <c r="P164" s="80"/>
      <c r="Q164" s="80"/>
      <c r="R164" s="80"/>
    </row>
    <row r="165" spans="1:18" x14ac:dyDescent="0.25">
      <c r="A165" s="39" t="s">
        <v>3041</v>
      </c>
      <c r="B165" s="454" t="s">
        <v>3111</v>
      </c>
      <c r="C165" s="454" t="s">
        <v>3114</v>
      </c>
      <c r="D165" s="454" t="s">
        <v>3128</v>
      </c>
      <c r="E165" s="315" t="s">
        <v>3129</v>
      </c>
      <c r="F165" s="315" t="s">
        <v>3130</v>
      </c>
      <c r="G165" s="315" t="s">
        <v>3140</v>
      </c>
      <c r="H165" s="315" t="s">
        <v>3168</v>
      </c>
      <c r="I165" s="315" t="s">
        <v>3148</v>
      </c>
      <c r="J165" s="315" t="s">
        <v>3149</v>
      </c>
      <c r="K165" s="315" t="s">
        <v>3150</v>
      </c>
      <c r="L165" s="80"/>
      <c r="M165" s="80"/>
      <c r="N165" s="80"/>
      <c r="O165" s="80"/>
      <c r="P165" s="80"/>
      <c r="Q165" s="80"/>
    </row>
    <row r="166" spans="1:18" x14ac:dyDescent="0.25">
      <c r="A166" s="39" t="s">
        <v>3153</v>
      </c>
      <c r="B166" s="455">
        <v>2.341E-2</v>
      </c>
      <c r="C166" s="455">
        <v>2.2630000000000001E-2</v>
      </c>
      <c r="D166" s="455">
        <v>2.01E-2</v>
      </c>
      <c r="E166" s="88">
        <v>1.8530000000000001E-2</v>
      </c>
      <c r="F166" s="88">
        <v>1.7129999999999999E-2</v>
      </c>
      <c r="G166" s="88">
        <v>1.7139999999999999E-2</v>
      </c>
      <c r="H166" s="88">
        <v>1.712E-2</v>
      </c>
      <c r="I166" s="88">
        <v>0.04</v>
      </c>
      <c r="J166" s="88">
        <v>4.4999999999999998E-2</v>
      </c>
      <c r="K166" s="88">
        <v>0.05</v>
      </c>
      <c r="L166" s="80"/>
      <c r="M166" s="80"/>
      <c r="N166" s="80"/>
      <c r="O166" s="80"/>
      <c r="P166" s="405"/>
      <c r="Q166" s="80"/>
    </row>
    <row r="167" spans="1:18" x14ac:dyDescent="0.25">
      <c r="A167" s="39" t="s">
        <v>370</v>
      </c>
      <c r="B167" s="455">
        <v>0.02</v>
      </c>
      <c r="C167" s="455">
        <v>0.02</v>
      </c>
      <c r="D167" s="455">
        <v>0.02</v>
      </c>
      <c r="E167" s="88">
        <v>0.02</v>
      </c>
      <c r="F167" s="88">
        <v>0.02</v>
      </c>
      <c r="G167" s="88">
        <v>0.02</v>
      </c>
      <c r="H167" s="88">
        <v>0.02</v>
      </c>
      <c r="I167" s="88">
        <v>0.02</v>
      </c>
      <c r="J167" s="88">
        <v>0.02</v>
      </c>
      <c r="K167" s="88">
        <v>0.02</v>
      </c>
      <c r="L167" s="80"/>
      <c r="M167" s="80"/>
      <c r="N167" s="80"/>
      <c r="O167" s="80"/>
      <c r="P167" s="80"/>
      <c r="Q167" s="80"/>
    </row>
    <row r="168" spans="1:18" x14ac:dyDescent="0.25">
      <c r="A168" s="39" t="s">
        <v>377</v>
      </c>
      <c r="B168" s="456">
        <v>30</v>
      </c>
      <c r="C168" s="456">
        <v>30</v>
      </c>
      <c r="D168" s="456">
        <v>30</v>
      </c>
      <c r="E168" s="67">
        <v>30</v>
      </c>
      <c r="F168" s="67">
        <v>30</v>
      </c>
      <c r="G168" s="67">
        <v>30</v>
      </c>
      <c r="H168" s="67">
        <v>30</v>
      </c>
      <c r="I168" s="67">
        <v>30</v>
      </c>
      <c r="J168" s="67">
        <v>30</v>
      </c>
      <c r="K168" s="67">
        <v>30</v>
      </c>
      <c r="L168" s="80"/>
      <c r="M168" s="80"/>
      <c r="N168" s="80"/>
      <c r="O168" s="80"/>
      <c r="P168" s="80"/>
      <c r="Q168" s="80"/>
    </row>
    <row r="169" spans="1:18" x14ac:dyDescent="0.25">
      <c r="A169" s="39" t="s">
        <v>3152</v>
      </c>
      <c r="B169" s="457">
        <f t="shared" ref="B169:H169" si="15">B166+B167</f>
        <v>4.3410000000000004E-2</v>
      </c>
      <c r="C169" s="457">
        <f t="shared" si="15"/>
        <v>4.2630000000000001E-2</v>
      </c>
      <c r="D169" s="457">
        <f t="shared" si="15"/>
        <v>4.0099999999999997E-2</v>
      </c>
      <c r="E169" s="400">
        <f t="shared" si="15"/>
        <v>3.8530000000000002E-2</v>
      </c>
      <c r="F169" s="400">
        <f t="shared" si="15"/>
        <v>3.7129999999999996E-2</v>
      </c>
      <c r="G169" s="400">
        <f t="shared" si="15"/>
        <v>3.7139999999999999E-2</v>
      </c>
      <c r="H169" s="400">
        <f t="shared" si="15"/>
        <v>3.712E-2</v>
      </c>
      <c r="I169" s="400">
        <f t="shared" ref="I169:K169" si="16">I166+I167</f>
        <v>0.06</v>
      </c>
      <c r="J169" s="400">
        <f t="shared" si="16"/>
        <v>6.5000000000000002E-2</v>
      </c>
      <c r="K169" s="400">
        <f t="shared" si="16"/>
        <v>7.0000000000000007E-2</v>
      </c>
    </row>
    <row r="170" spans="1:18" x14ac:dyDescent="0.25">
      <c r="A170" s="39" t="s">
        <v>3010</v>
      </c>
      <c r="B170" s="461">
        <f t="shared" ref="B170:H170" si="17">EFFECT(B166+B167,4)</f>
        <v>4.4121787097852749E-2</v>
      </c>
      <c r="C170" s="461">
        <f t="shared" si="17"/>
        <v>4.3316348752155509E-2</v>
      </c>
      <c r="D170" s="461">
        <f t="shared" si="17"/>
        <v>4.070704392543778E-2</v>
      </c>
      <c r="E170" s="398">
        <f t="shared" si="17"/>
        <v>3.9090293954783695E-2</v>
      </c>
      <c r="F170" s="398">
        <f t="shared" si="17"/>
        <v>3.7650195561130362E-2</v>
      </c>
      <c r="G170" s="398">
        <f t="shared" si="17"/>
        <v>3.7660476667271681E-2</v>
      </c>
      <c r="H170" s="398">
        <f t="shared" si="17"/>
        <v>3.763991453138682E-2</v>
      </c>
      <c r="I170" s="398">
        <f t="shared" ref="I170:K170" si="18">EFFECT(I166+I167,4)</f>
        <v>6.136355062499943E-2</v>
      </c>
      <c r="J170" s="398">
        <f t="shared" si="18"/>
        <v>6.6601608791504452E-2</v>
      </c>
      <c r="K170" s="398">
        <f t="shared" si="18"/>
        <v>7.1859031289062791E-2</v>
      </c>
    </row>
    <row r="171" spans="1:18" x14ac:dyDescent="0.25">
      <c r="A171" s="43" t="s">
        <v>39</v>
      </c>
      <c r="B171" s="458">
        <f>+D16</f>
        <v>13672185.697500002</v>
      </c>
      <c r="C171" s="458">
        <f>+D17</f>
        <v>13426520.9925</v>
      </c>
      <c r="D171" s="458">
        <f>+D18</f>
        <v>12629685.475</v>
      </c>
      <c r="E171" s="44">
        <f>+D19</f>
        <v>12135206.5175</v>
      </c>
      <c r="F171" s="44">
        <f>+D20</f>
        <v>11694269.8675</v>
      </c>
      <c r="G171" s="44">
        <f>+D21</f>
        <v>11697419.414999999</v>
      </c>
      <c r="H171" s="44">
        <f>+E22</f>
        <v>11691120</v>
      </c>
      <c r="I171" s="44"/>
      <c r="J171" s="44"/>
      <c r="K171" s="44"/>
    </row>
  </sheetData>
  <mergeCells count="4">
    <mergeCell ref="A1:H1"/>
    <mergeCell ref="A2:H2"/>
    <mergeCell ref="A3:H3"/>
    <mergeCell ref="A4:H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7030A0"/>
  </sheetPr>
  <dimension ref="A1:R170"/>
  <sheetViews>
    <sheetView zoomScale="90" zoomScaleNormal="90" workbookViewId="0">
      <selection activeCell="E19" sqref="E19"/>
    </sheetView>
  </sheetViews>
  <sheetFormatPr baseColWidth="10" defaultColWidth="11.5703125" defaultRowHeight="15" x14ac:dyDescent="0.25"/>
  <cols>
    <col min="1" max="1" width="15" customWidth="1"/>
    <col min="2" max="2" width="19" customWidth="1"/>
    <col min="3" max="3" width="18.5703125" customWidth="1"/>
    <col min="4" max="4" width="16.28515625" customWidth="1"/>
    <col min="5" max="5" width="19"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5" x14ac:dyDescent="0.25">
      <c r="A1" s="511" t="s">
        <v>2</v>
      </c>
      <c r="B1" s="512"/>
      <c r="C1" s="512"/>
      <c r="D1" s="512"/>
      <c r="E1" s="512"/>
      <c r="F1" s="512"/>
      <c r="G1" s="512"/>
      <c r="H1" s="512"/>
    </row>
    <row r="2" spans="1:15" x14ac:dyDescent="0.25">
      <c r="A2" s="511" t="s">
        <v>3102</v>
      </c>
      <c r="B2" s="512"/>
      <c r="C2" s="512"/>
      <c r="D2" s="512"/>
      <c r="E2" s="512"/>
      <c r="F2" s="512"/>
      <c r="G2" s="512"/>
      <c r="H2" s="512"/>
    </row>
    <row r="3" spans="1:15" x14ac:dyDescent="0.25">
      <c r="A3" s="511" t="s">
        <v>3107</v>
      </c>
      <c r="B3" s="512"/>
      <c r="C3" s="512"/>
      <c r="D3" s="512"/>
      <c r="E3" s="512"/>
      <c r="F3" s="512"/>
      <c r="G3" s="512"/>
      <c r="H3" s="512"/>
    </row>
    <row r="4" spans="1:15" ht="15.75" thickBot="1" x14ac:dyDescent="0.3">
      <c r="A4" s="515" t="s">
        <v>3108</v>
      </c>
      <c r="B4" s="516"/>
      <c r="C4" s="516"/>
      <c r="D4" s="516"/>
      <c r="E4" s="516"/>
      <c r="F4" s="516"/>
      <c r="G4" s="516"/>
      <c r="H4" s="516"/>
    </row>
    <row r="5" spans="1:15" ht="60.75" thickBot="1" x14ac:dyDescent="0.3">
      <c r="A5" s="103" t="s">
        <v>5</v>
      </c>
      <c r="B5" s="2" t="s">
        <v>6</v>
      </c>
      <c r="C5" s="3" t="s">
        <v>7</v>
      </c>
      <c r="D5" s="3" t="s">
        <v>40</v>
      </c>
      <c r="E5" s="3" t="s">
        <v>41</v>
      </c>
      <c r="F5" s="3" t="s">
        <v>3135</v>
      </c>
      <c r="G5" s="4" t="s">
        <v>3058</v>
      </c>
      <c r="H5" s="5" t="s">
        <v>8</v>
      </c>
    </row>
    <row r="6" spans="1:15" x14ac:dyDescent="0.25">
      <c r="A6" s="6">
        <v>43781</v>
      </c>
      <c r="B6" s="7" t="s">
        <v>359</v>
      </c>
      <c r="C6" s="8">
        <v>0</v>
      </c>
      <c r="D6" s="8">
        <v>0</v>
      </c>
      <c r="E6" s="8"/>
      <c r="F6" s="8"/>
      <c r="G6" s="8"/>
      <c r="H6" s="9">
        <v>4737213200</v>
      </c>
      <c r="I6" s="54"/>
    </row>
    <row r="7" spans="1:15" s="106" customFormat="1" x14ac:dyDescent="0.25">
      <c r="A7" s="329">
        <f>+A6+30</f>
        <v>43811</v>
      </c>
      <c r="B7" s="297" t="s">
        <v>9</v>
      </c>
      <c r="C7" s="294">
        <v>0</v>
      </c>
      <c r="D7" s="294">
        <f>H6*$B$160*B$159/360</f>
        <v>24151891.964666665</v>
      </c>
      <c r="E7" s="294">
        <v>24151891.964666665</v>
      </c>
      <c r="F7" s="294"/>
      <c r="G7" s="294">
        <f>E7+C7+F7</f>
        <v>24151891.964666665</v>
      </c>
      <c r="H7" s="298">
        <f t="shared" ref="H7:H38" si="0">+H6-C7</f>
        <v>4737213200</v>
      </c>
      <c r="J7" s="408"/>
    </row>
    <row r="8" spans="1:15" x14ac:dyDescent="0.25">
      <c r="A8" s="10">
        <f>+A7+31</f>
        <v>43842</v>
      </c>
      <c r="B8" s="11" t="s">
        <v>9</v>
      </c>
      <c r="C8" s="12">
        <v>0</v>
      </c>
      <c r="D8" s="294">
        <f>H7*$C$160*C$159/360</f>
        <v>24132153.576333333</v>
      </c>
      <c r="E8" s="294">
        <v>24132153.576333333</v>
      </c>
      <c r="F8" s="294"/>
      <c r="G8" s="294">
        <f t="shared" ref="G8:G71" si="1">E8+C8+F8</f>
        <v>24132153.576333333</v>
      </c>
      <c r="H8" s="13">
        <f t="shared" si="0"/>
        <v>4737213200</v>
      </c>
      <c r="I8" s="54"/>
      <c r="J8" s="76"/>
      <c r="K8" s="76"/>
    </row>
    <row r="9" spans="1:15" x14ac:dyDescent="0.25">
      <c r="A9" s="10">
        <f>+A8+31</f>
        <v>43873</v>
      </c>
      <c r="B9" s="11" t="s">
        <v>9</v>
      </c>
      <c r="C9" s="12">
        <v>0</v>
      </c>
      <c r="D9" s="294">
        <f>H8*$D$160*D$159/360</f>
        <v>24136101.253999997</v>
      </c>
      <c r="E9" s="294">
        <v>24136101.253999997</v>
      </c>
      <c r="F9" s="294"/>
      <c r="G9" s="294">
        <f t="shared" si="1"/>
        <v>24136101.253999997</v>
      </c>
      <c r="H9" s="13">
        <f t="shared" si="0"/>
        <v>4737213200</v>
      </c>
    </row>
    <row r="10" spans="1:15" x14ac:dyDescent="0.25">
      <c r="A10" s="10">
        <f>+A9+29</f>
        <v>43902</v>
      </c>
      <c r="B10" s="11" t="s">
        <v>9</v>
      </c>
      <c r="C10" s="12">
        <v>0</v>
      </c>
      <c r="D10" s="294">
        <f>H9*$E$160*E$159/360</f>
        <v>24136101.253999997</v>
      </c>
      <c r="E10" s="294">
        <v>24136101.253999997</v>
      </c>
      <c r="F10" s="294"/>
      <c r="G10" s="294">
        <f t="shared" si="1"/>
        <v>24136101.253999997</v>
      </c>
      <c r="H10" s="13">
        <f t="shared" si="0"/>
        <v>4737213200</v>
      </c>
    </row>
    <row r="11" spans="1:15" x14ac:dyDescent="0.25">
      <c r="A11" s="10">
        <f>+A10+31</f>
        <v>43933</v>
      </c>
      <c r="B11" s="11" t="s">
        <v>9</v>
      </c>
      <c r="C11" s="12">
        <v>0</v>
      </c>
      <c r="D11" s="294">
        <f>H10*$F$160*F$159/360</f>
        <v>24171630.353000004</v>
      </c>
      <c r="E11" s="294">
        <v>24171630.353000004</v>
      </c>
      <c r="F11" s="294"/>
      <c r="G11" s="294">
        <f t="shared" si="1"/>
        <v>24171630.353000004</v>
      </c>
      <c r="H11" s="13">
        <f t="shared" si="0"/>
        <v>4737213200</v>
      </c>
    </row>
    <row r="12" spans="1:15" x14ac:dyDescent="0.25">
      <c r="A12" s="10">
        <f>+A11+30</f>
        <v>43963</v>
      </c>
      <c r="B12" s="11" t="s">
        <v>9</v>
      </c>
      <c r="C12" s="12">
        <v>0</v>
      </c>
      <c r="D12" s="18">
        <f>H11*$G$160*G$159/360</f>
        <v>21546424.70466667</v>
      </c>
      <c r="E12" s="18">
        <v>21546424.70466667</v>
      </c>
      <c r="F12" s="294"/>
      <c r="G12" s="294">
        <f>C12</f>
        <v>0</v>
      </c>
      <c r="H12" s="13">
        <f t="shared" si="0"/>
        <v>4737213200</v>
      </c>
    </row>
    <row r="13" spans="1:15" x14ac:dyDescent="0.25">
      <c r="A13" s="10">
        <f>+A12+31</f>
        <v>43994</v>
      </c>
      <c r="B13" s="11" t="s">
        <v>9</v>
      </c>
      <c r="C13" s="12">
        <v>0</v>
      </c>
      <c r="D13" s="18">
        <f>H12*$H$160*H$159/360</f>
        <v>19521266.061666667</v>
      </c>
      <c r="E13" s="18">
        <v>19521266.061666667</v>
      </c>
      <c r="F13" s="294"/>
      <c r="G13" s="294">
        <f t="shared" ref="G13:G17" si="2">C13</f>
        <v>0</v>
      </c>
      <c r="H13" s="13">
        <f t="shared" si="0"/>
        <v>4737213200</v>
      </c>
    </row>
    <row r="14" spans="1:15" x14ac:dyDescent="0.25">
      <c r="A14" s="10">
        <f>+A13+30</f>
        <v>44024</v>
      </c>
      <c r="B14" s="11" t="s">
        <v>9</v>
      </c>
      <c r="C14" s="12">
        <v>0</v>
      </c>
      <c r="D14" s="18">
        <f>H13*$I$160*I$159/360</f>
        <v>17961933.383333333</v>
      </c>
      <c r="E14" s="18">
        <v>17961933.383333333</v>
      </c>
      <c r="F14" s="294"/>
      <c r="G14" s="294">
        <f t="shared" si="2"/>
        <v>0</v>
      </c>
      <c r="H14" s="13">
        <f t="shared" si="0"/>
        <v>4737213200</v>
      </c>
      <c r="N14" s="54"/>
      <c r="O14" s="54"/>
    </row>
    <row r="15" spans="1:15" x14ac:dyDescent="0.25">
      <c r="A15" s="10">
        <f>+A14+31</f>
        <v>44055</v>
      </c>
      <c r="B15" s="11" t="s">
        <v>9</v>
      </c>
      <c r="C15" s="12">
        <v>0</v>
      </c>
      <c r="D15" s="18">
        <f>H14*$J$160*J$159/360</f>
        <v>17030281.454</v>
      </c>
      <c r="E15" s="18">
        <v>17030281.454</v>
      </c>
      <c r="F15" s="294"/>
      <c r="G15" s="294">
        <f t="shared" si="2"/>
        <v>0</v>
      </c>
      <c r="H15" s="13">
        <f t="shared" si="0"/>
        <v>4737213200</v>
      </c>
    </row>
    <row r="16" spans="1:15" x14ac:dyDescent="0.25">
      <c r="A16" s="10">
        <f>+A15+31</f>
        <v>44086</v>
      </c>
      <c r="B16" s="11" t="s">
        <v>9</v>
      </c>
      <c r="C16" s="12">
        <v>0</v>
      </c>
      <c r="D16" s="18">
        <f>H15*$K$160*K$159/360</f>
        <v>16130210.945999999</v>
      </c>
      <c r="E16" s="18">
        <v>16130210.945999999</v>
      </c>
      <c r="F16" s="294"/>
      <c r="G16" s="294">
        <f t="shared" si="2"/>
        <v>0</v>
      </c>
      <c r="H16" s="13">
        <f t="shared" si="0"/>
        <v>4737213200</v>
      </c>
    </row>
    <row r="17" spans="1:8" x14ac:dyDescent="0.25">
      <c r="A17" s="10">
        <f>+A16+30</f>
        <v>44116</v>
      </c>
      <c r="B17" s="11" t="s">
        <v>9</v>
      </c>
      <c r="C17" s="12">
        <v>0</v>
      </c>
      <c r="D17" s="18">
        <f>H16*$B$168*B$167/360</f>
        <v>15470948.775666665</v>
      </c>
      <c r="E17" s="18">
        <v>15470948.775666665</v>
      </c>
      <c r="F17" s="462">
        <v>130757506</v>
      </c>
      <c r="G17" s="294">
        <f t="shared" si="2"/>
        <v>0</v>
      </c>
      <c r="H17" s="13">
        <f t="shared" si="0"/>
        <v>4737213200</v>
      </c>
    </row>
    <row r="18" spans="1:8" x14ac:dyDescent="0.25">
      <c r="A18" s="10">
        <f>+A17+31</f>
        <v>44147</v>
      </c>
      <c r="B18" s="11" t="s">
        <v>9</v>
      </c>
      <c r="C18" s="12">
        <v>0</v>
      </c>
      <c r="D18" s="294">
        <f>H17*$C$168*C$167/360</f>
        <v>14649831.821</v>
      </c>
      <c r="E18" s="294">
        <v>14649831.821</v>
      </c>
      <c r="F18" s="12">
        <f>+F17/8</f>
        <v>16344688.25</v>
      </c>
      <c r="G18" s="294">
        <f>E18+C18+F18</f>
        <v>30994520.071000002</v>
      </c>
      <c r="H18" s="13">
        <f t="shared" si="0"/>
        <v>4737213200</v>
      </c>
    </row>
    <row r="19" spans="1:8" x14ac:dyDescent="0.25">
      <c r="A19" s="10">
        <f>+A18+30</f>
        <v>44177</v>
      </c>
      <c r="B19" s="11" t="s">
        <v>9</v>
      </c>
      <c r="C19" s="12">
        <v>0</v>
      </c>
      <c r="D19" s="294">
        <f>H18*$D$168*D$167/360</f>
        <v>14661674.853999998</v>
      </c>
      <c r="E19" s="294">
        <v>14661674.853999998</v>
      </c>
      <c r="F19" s="12">
        <v>16344688.25</v>
      </c>
      <c r="G19" s="294">
        <f t="shared" si="1"/>
        <v>31006363.103999998</v>
      </c>
      <c r="H19" s="13">
        <f t="shared" si="0"/>
        <v>4737213200</v>
      </c>
    </row>
    <row r="20" spans="1:8" x14ac:dyDescent="0.25">
      <c r="A20" s="10">
        <f>+A19+31</f>
        <v>44208</v>
      </c>
      <c r="B20" s="11" t="s">
        <v>9</v>
      </c>
      <c r="C20" s="12">
        <v>0</v>
      </c>
      <c r="D20" s="294">
        <f>H19*$E$168*E$167/360</f>
        <v>14661674.853999998</v>
      </c>
      <c r="E20" s="294">
        <v>14661675</v>
      </c>
      <c r="F20" s="12">
        <v>16344688.25</v>
      </c>
      <c r="G20" s="294">
        <f t="shared" si="1"/>
        <v>31006363.25</v>
      </c>
      <c r="H20" s="13">
        <f t="shared" si="0"/>
        <v>4737213200</v>
      </c>
    </row>
    <row r="21" spans="1:8" x14ac:dyDescent="0.25">
      <c r="A21" s="10">
        <f>+A20+31</f>
        <v>44239</v>
      </c>
      <c r="B21" s="11" t="s">
        <v>9</v>
      </c>
      <c r="C21" s="12">
        <v>0</v>
      </c>
      <c r="D21" s="294">
        <f t="shared" ref="D21:D31" si="3">H20*$F$168*F$167/360</f>
        <v>23686066</v>
      </c>
      <c r="E21" s="12"/>
      <c r="F21" s="12">
        <v>16344688.25</v>
      </c>
      <c r="G21" s="294">
        <f t="shared" si="1"/>
        <v>16344688.25</v>
      </c>
      <c r="H21" s="13">
        <f t="shared" si="0"/>
        <v>4737213200</v>
      </c>
    </row>
    <row r="22" spans="1:8" x14ac:dyDescent="0.25">
      <c r="A22" s="10">
        <f>+A21+28</f>
        <v>44267</v>
      </c>
      <c r="B22" s="11" t="s">
        <v>9</v>
      </c>
      <c r="C22" s="12">
        <v>0</v>
      </c>
      <c r="D22" s="294">
        <f t="shared" si="3"/>
        <v>23686066</v>
      </c>
      <c r="E22" s="12"/>
      <c r="F22" s="12">
        <v>16344688.25</v>
      </c>
      <c r="G22" s="294">
        <f t="shared" si="1"/>
        <v>16344688.25</v>
      </c>
      <c r="H22" s="13">
        <f t="shared" si="0"/>
        <v>4737213200</v>
      </c>
    </row>
    <row r="23" spans="1:8" x14ac:dyDescent="0.25">
      <c r="A23" s="10">
        <f>+A22+31</f>
        <v>44298</v>
      </c>
      <c r="B23" s="11" t="s">
        <v>9</v>
      </c>
      <c r="C23" s="12">
        <v>0</v>
      </c>
      <c r="D23" s="294">
        <f t="shared" si="3"/>
        <v>23686066</v>
      </c>
      <c r="E23" s="12"/>
      <c r="F23" s="12">
        <v>16344688.25</v>
      </c>
      <c r="G23" s="294">
        <f t="shared" si="1"/>
        <v>16344688.25</v>
      </c>
      <c r="H23" s="13">
        <f t="shared" si="0"/>
        <v>4737213200</v>
      </c>
    </row>
    <row r="24" spans="1:8" x14ac:dyDescent="0.25">
      <c r="A24" s="10">
        <f>+A23+30</f>
        <v>44328</v>
      </c>
      <c r="B24" s="11" t="s">
        <v>9</v>
      </c>
      <c r="C24" s="12">
        <v>0</v>
      </c>
      <c r="D24" s="294">
        <f t="shared" si="3"/>
        <v>23686066</v>
      </c>
      <c r="E24" s="12"/>
      <c r="F24" s="12">
        <v>16344688.25</v>
      </c>
      <c r="G24" s="294">
        <f t="shared" si="1"/>
        <v>16344688.25</v>
      </c>
      <c r="H24" s="13">
        <f t="shared" si="0"/>
        <v>4737213200</v>
      </c>
    </row>
    <row r="25" spans="1:8" x14ac:dyDescent="0.25">
      <c r="A25" s="10">
        <f>+A24+31</f>
        <v>44359</v>
      </c>
      <c r="B25" s="11" t="s">
        <v>9</v>
      </c>
      <c r="C25" s="12">
        <v>0</v>
      </c>
      <c r="D25" s="294">
        <f t="shared" si="3"/>
        <v>23686066</v>
      </c>
      <c r="E25" s="12"/>
      <c r="F25" s="12">
        <v>16344688.25</v>
      </c>
      <c r="G25" s="294">
        <f t="shared" si="1"/>
        <v>16344688.25</v>
      </c>
      <c r="H25" s="13">
        <f t="shared" si="0"/>
        <v>4737213200</v>
      </c>
    </row>
    <row r="26" spans="1:8" x14ac:dyDescent="0.25">
      <c r="A26" s="10">
        <f>+A25+30</f>
        <v>44389</v>
      </c>
      <c r="B26" s="11" t="s">
        <v>9</v>
      </c>
      <c r="C26" s="12">
        <v>0</v>
      </c>
      <c r="D26" s="294">
        <f t="shared" si="3"/>
        <v>23686066</v>
      </c>
      <c r="E26" s="12"/>
      <c r="F26" s="12"/>
      <c r="G26" s="294">
        <f t="shared" si="1"/>
        <v>0</v>
      </c>
      <c r="H26" s="13">
        <f t="shared" si="0"/>
        <v>4737213200</v>
      </c>
    </row>
    <row r="27" spans="1:8" x14ac:dyDescent="0.25">
      <c r="A27" s="10">
        <f>+A26+31</f>
        <v>44420</v>
      </c>
      <c r="B27" s="11" t="s">
        <v>9</v>
      </c>
      <c r="C27" s="12">
        <v>0</v>
      </c>
      <c r="D27" s="294">
        <f t="shared" si="3"/>
        <v>23686066</v>
      </c>
      <c r="E27" s="12"/>
      <c r="F27" s="12"/>
      <c r="G27" s="294">
        <f t="shared" si="1"/>
        <v>0</v>
      </c>
      <c r="H27" s="13">
        <f t="shared" si="0"/>
        <v>4737213200</v>
      </c>
    </row>
    <row r="28" spans="1:8" x14ac:dyDescent="0.25">
      <c r="A28" s="10">
        <f>+A27+31</f>
        <v>44451</v>
      </c>
      <c r="B28" s="11" t="s">
        <v>9</v>
      </c>
      <c r="C28" s="12">
        <v>0</v>
      </c>
      <c r="D28" s="294">
        <f t="shared" si="3"/>
        <v>23686066</v>
      </c>
      <c r="E28" s="12"/>
      <c r="F28" s="12"/>
      <c r="G28" s="294">
        <f t="shared" si="1"/>
        <v>0</v>
      </c>
      <c r="H28" s="13">
        <f t="shared" si="0"/>
        <v>4737213200</v>
      </c>
    </row>
    <row r="29" spans="1:8" x14ac:dyDescent="0.25">
      <c r="A29" s="10">
        <f>+A28+30</f>
        <v>44481</v>
      </c>
      <c r="B29" s="11" t="s">
        <v>9</v>
      </c>
      <c r="C29" s="12">
        <v>0</v>
      </c>
      <c r="D29" s="294">
        <f t="shared" si="3"/>
        <v>23686066</v>
      </c>
      <c r="E29" s="12"/>
      <c r="F29" s="12"/>
      <c r="G29" s="294">
        <f t="shared" si="1"/>
        <v>0</v>
      </c>
      <c r="H29" s="13">
        <f t="shared" si="0"/>
        <v>4737213200</v>
      </c>
    </row>
    <row r="30" spans="1:8" x14ac:dyDescent="0.25">
      <c r="A30" s="10">
        <f>+A29+31</f>
        <v>44512</v>
      </c>
      <c r="B30" s="11" t="s">
        <v>9</v>
      </c>
      <c r="C30" s="12">
        <v>0</v>
      </c>
      <c r="D30" s="294">
        <f t="shared" si="3"/>
        <v>23686066</v>
      </c>
      <c r="E30" s="12"/>
      <c r="F30" s="12"/>
      <c r="G30" s="294">
        <f t="shared" si="1"/>
        <v>0</v>
      </c>
      <c r="H30" s="13">
        <f t="shared" si="0"/>
        <v>4737213200</v>
      </c>
    </row>
    <row r="31" spans="1:8" x14ac:dyDescent="0.25">
      <c r="A31" s="10">
        <f>+A30+30</f>
        <v>44542</v>
      </c>
      <c r="B31" s="11" t="s">
        <v>3061</v>
      </c>
      <c r="C31" s="12">
        <f>+H13/120</f>
        <v>39476776.666666664</v>
      </c>
      <c r="D31" s="294">
        <f t="shared" si="3"/>
        <v>23686066</v>
      </c>
      <c r="E31" s="12"/>
      <c r="F31" s="12"/>
      <c r="G31" s="294">
        <f t="shared" si="1"/>
        <v>39476776.666666664</v>
      </c>
      <c r="H31" s="13">
        <f t="shared" si="0"/>
        <v>4697736423.333333</v>
      </c>
    </row>
    <row r="32" spans="1:8" x14ac:dyDescent="0.25">
      <c r="A32" s="10">
        <f>+A31+31</f>
        <v>44573</v>
      </c>
      <c r="B32" s="11" t="s">
        <v>3061</v>
      </c>
      <c r="C32" s="12">
        <v>39476776.666666664</v>
      </c>
      <c r="D32" s="294">
        <f t="shared" ref="D32:D43" si="4">H31*$G$168*G$167/360</f>
        <v>25446072.293055557</v>
      </c>
      <c r="E32" s="12"/>
      <c r="F32" s="12"/>
      <c r="G32" s="294">
        <f t="shared" si="1"/>
        <v>39476776.666666664</v>
      </c>
      <c r="H32" s="13">
        <f t="shared" si="0"/>
        <v>4658259646.666666</v>
      </c>
    </row>
    <row r="33" spans="1:8" x14ac:dyDescent="0.25">
      <c r="A33" s="10">
        <f>+A32+31</f>
        <v>44604</v>
      </c>
      <c r="B33" s="11" t="s">
        <v>3061</v>
      </c>
      <c r="C33" s="12">
        <v>39476776.666666664</v>
      </c>
      <c r="D33" s="294">
        <f t="shared" si="4"/>
        <v>25232239.752777778</v>
      </c>
      <c r="E33" s="12"/>
      <c r="F33" s="12"/>
      <c r="G33" s="294">
        <f t="shared" si="1"/>
        <v>39476776.666666664</v>
      </c>
      <c r="H33" s="13">
        <f t="shared" si="0"/>
        <v>4618782869.999999</v>
      </c>
    </row>
    <row r="34" spans="1:8" x14ac:dyDescent="0.25">
      <c r="A34" s="10">
        <f>+A33+28</f>
        <v>44632</v>
      </c>
      <c r="B34" s="11" t="s">
        <v>3061</v>
      </c>
      <c r="C34" s="12">
        <v>39476776.666666664</v>
      </c>
      <c r="D34" s="294">
        <f t="shared" si="4"/>
        <v>25018407.212499995</v>
      </c>
      <c r="E34" s="12"/>
      <c r="F34" s="12"/>
      <c r="G34" s="294">
        <f t="shared" si="1"/>
        <v>39476776.666666664</v>
      </c>
      <c r="H34" s="13">
        <f t="shared" si="0"/>
        <v>4579306093.3333321</v>
      </c>
    </row>
    <row r="35" spans="1:8" x14ac:dyDescent="0.25">
      <c r="A35" s="10">
        <f>+A34+31</f>
        <v>44663</v>
      </c>
      <c r="B35" s="11" t="s">
        <v>3061</v>
      </c>
      <c r="C35" s="12">
        <v>39476776.666666664</v>
      </c>
      <c r="D35" s="294">
        <f t="shared" si="4"/>
        <v>24804574.672222216</v>
      </c>
      <c r="E35" s="12"/>
      <c r="F35" s="12"/>
      <c r="G35" s="294">
        <f t="shared" si="1"/>
        <v>39476776.666666664</v>
      </c>
      <c r="H35" s="13">
        <f t="shared" si="0"/>
        <v>4539829316.6666651</v>
      </c>
    </row>
    <row r="36" spans="1:8" x14ac:dyDescent="0.25">
      <c r="A36" s="10">
        <f>+A35+30</f>
        <v>44693</v>
      </c>
      <c r="B36" s="11" t="s">
        <v>3061</v>
      </c>
      <c r="C36" s="12">
        <v>39476776.666666664</v>
      </c>
      <c r="D36" s="294">
        <f t="shared" si="4"/>
        <v>24590742.13194444</v>
      </c>
      <c r="E36" s="12"/>
      <c r="F36" s="12"/>
      <c r="G36" s="294">
        <f t="shared" si="1"/>
        <v>39476776.666666664</v>
      </c>
      <c r="H36" s="13">
        <f t="shared" si="0"/>
        <v>4500352539.9999981</v>
      </c>
    </row>
    <row r="37" spans="1:8" x14ac:dyDescent="0.25">
      <c r="A37" s="10">
        <f>+A36+31</f>
        <v>44724</v>
      </c>
      <c r="B37" s="11" t="s">
        <v>3061</v>
      </c>
      <c r="C37" s="12">
        <v>39476776.666666664</v>
      </c>
      <c r="D37" s="294">
        <f t="shared" si="4"/>
        <v>24376909.591666657</v>
      </c>
      <c r="E37" s="12"/>
      <c r="F37" s="12"/>
      <c r="G37" s="294">
        <f t="shared" si="1"/>
        <v>39476776.666666664</v>
      </c>
      <c r="H37" s="13">
        <f t="shared" si="0"/>
        <v>4460875763.3333311</v>
      </c>
    </row>
    <row r="38" spans="1:8" x14ac:dyDescent="0.25">
      <c r="A38" s="10">
        <f>+A37+30</f>
        <v>44754</v>
      </c>
      <c r="B38" s="11" t="s">
        <v>3061</v>
      </c>
      <c r="C38" s="12">
        <v>39476776.666666664</v>
      </c>
      <c r="D38" s="294">
        <f t="shared" si="4"/>
        <v>24163077.051388878</v>
      </c>
      <c r="E38" s="12"/>
      <c r="F38" s="12"/>
      <c r="G38" s="294">
        <f t="shared" si="1"/>
        <v>39476776.666666664</v>
      </c>
      <c r="H38" s="13">
        <f t="shared" si="0"/>
        <v>4421398986.6666641</v>
      </c>
    </row>
    <row r="39" spans="1:8" x14ac:dyDescent="0.25">
      <c r="A39" s="10">
        <f>+A38+31</f>
        <v>44785</v>
      </c>
      <c r="B39" s="11" t="s">
        <v>3061</v>
      </c>
      <c r="C39" s="12">
        <v>39476776.666666664</v>
      </c>
      <c r="D39" s="294">
        <f t="shared" si="4"/>
        <v>23949244.511111099</v>
      </c>
      <c r="E39" s="12"/>
      <c r="F39" s="12"/>
      <c r="G39" s="294">
        <f t="shared" si="1"/>
        <v>39476776.666666664</v>
      </c>
      <c r="H39" s="13">
        <f t="shared" ref="H39:H67" si="5">+H38-C39</f>
        <v>4381922209.9999971</v>
      </c>
    </row>
    <row r="40" spans="1:8" x14ac:dyDescent="0.25">
      <c r="A40" s="10">
        <f>+A39+31</f>
        <v>44816</v>
      </c>
      <c r="B40" s="11" t="s">
        <v>3061</v>
      </c>
      <c r="C40" s="12">
        <v>39476776.666666664</v>
      </c>
      <c r="D40" s="294">
        <f t="shared" si="4"/>
        <v>23735411.970833316</v>
      </c>
      <c r="E40" s="12"/>
      <c r="F40" s="12"/>
      <c r="G40" s="294">
        <f t="shared" si="1"/>
        <v>39476776.666666664</v>
      </c>
      <c r="H40" s="13">
        <f t="shared" si="5"/>
        <v>4342445433.3333302</v>
      </c>
    </row>
    <row r="41" spans="1:8" x14ac:dyDescent="0.25">
      <c r="A41" s="10">
        <f>+A40+30</f>
        <v>44846</v>
      </c>
      <c r="B41" s="11" t="s">
        <v>3061</v>
      </c>
      <c r="C41" s="12">
        <v>39476776.666666664</v>
      </c>
      <c r="D41" s="294">
        <f t="shared" si="4"/>
        <v>23521579.430555537</v>
      </c>
      <c r="E41" s="12"/>
      <c r="F41" s="12"/>
      <c r="G41" s="294">
        <f t="shared" si="1"/>
        <v>39476776.666666664</v>
      </c>
      <c r="H41" s="13">
        <f t="shared" si="5"/>
        <v>4302968656.6666632</v>
      </c>
    </row>
    <row r="42" spans="1:8" x14ac:dyDescent="0.25">
      <c r="A42" s="10">
        <f>+A41+31</f>
        <v>44877</v>
      </c>
      <c r="B42" s="11" t="s">
        <v>3061</v>
      </c>
      <c r="C42" s="12">
        <v>39476776.666666664</v>
      </c>
      <c r="D42" s="294">
        <f t="shared" si="4"/>
        <v>23307746.890277758</v>
      </c>
      <c r="E42" s="12"/>
      <c r="F42" s="12"/>
      <c r="G42" s="294">
        <f t="shared" si="1"/>
        <v>39476776.666666664</v>
      </c>
      <c r="H42" s="13">
        <f t="shared" si="5"/>
        <v>4263491879.9999967</v>
      </c>
    </row>
    <row r="43" spans="1:8" x14ac:dyDescent="0.25">
      <c r="A43" s="10">
        <f>+A42+30</f>
        <v>44907</v>
      </c>
      <c r="B43" s="11" t="s">
        <v>3061</v>
      </c>
      <c r="C43" s="12">
        <v>39476776.666666664</v>
      </c>
      <c r="D43" s="294">
        <f t="shared" si="4"/>
        <v>23093914.349999983</v>
      </c>
      <c r="E43" s="12"/>
      <c r="F43" s="12"/>
      <c r="G43" s="294">
        <f t="shared" si="1"/>
        <v>39476776.666666664</v>
      </c>
      <c r="H43" s="13">
        <f t="shared" si="5"/>
        <v>4224015103.3333302</v>
      </c>
    </row>
    <row r="44" spans="1:8" x14ac:dyDescent="0.25">
      <c r="A44" s="10">
        <f>+A43+31</f>
        <v>44938</v>
      </c>
      <c r="B44" s="11" t="s">
        <v>3061</v>
      </c>
      <c r="C44" s="12">
        <v>39476776.666666664</v>
      </c>
      <c r="D44" s="294">
        <f t="shared" ref="D44:D75" si="6">H43*$H$168*H$167/360</f>
        <v>24640088.102777757</v>
      </c>
      <c r="E44" s="12"/>
      <c r="F44" s="12"/>
      <c r="G44" s="294">
        <f t="shared" si="1"/>
        <v>39476776.666666664</v>
      </c>
      <c r="H44" s="13">
        <f t="shared" si="5"/>
        <v>4184538326.6666636</v>
      </c>
    </row>
    <row r="45" spans="1:8" x14ac:dyDescent="0.25">
      <c r="A45" s="10">
        <f t="shared" ref="A45:A77" si="7">+A44+31</f>
        <v>44969</v>
      </c>
      <c r="B45" s="11" t="s">
        <v>3061</v>
      </c>
      <c r="C45" s="12">
        <v>39476776.666666664</v>
      </c>
      <c r="D45" s="294">
        <f t="shared" si="6"/>
        <v>24409806.905555539</v>
      </c>
      <c r="E45" s="12"/>
      <c r="F45" s="12"/>
      <c r="G45" s="294">
        <f t="shared" si="1"/>
        <v>39476776.666666664</v>
      </c>
      <c r="H45" s="13">
        <f t="shared" si="5"/>
        <v>4145061549.9999971</v>
      </c>
    </row>
    <row r="46" spans="1:8" x14ac:dyDescent="0.25">
      <c r="A46" s="10">
        <f>+A45+28</f>
        <v>44997</v>
      </c>
      <c r="B46" s="11" t="s">
        <v>3061</v>
      </c>
      <c r="C46" s="12">
        <v>39476776.666666664</v>
      </c>
      <c r="D46" s="294">
        <f t="shared" si="6"/>
        <v>24179525.708333317</v>
      </c>
      <c r="E46" s="12"/>
      <c r="F46" s="12"/>
      <c r="G46" s="294">
        <f t="shared" si="1"/>
        <v>39476776.666666664</v>
      </c>
      <c r="H46" s="13">
        <f t="shared" si="5"/>
        <v>4105584773.3333306</v>
      </c>
    </row>
    <row r="47" spans="1:8" x14ac:dyDescent="0.25">
      <c r="A47" s="10">
        <f t="shared" si="7"/>
        <v>45028</v>
      </c>
      <c r="B47" s="11" t="s">
        <v>3061</v>
      </c>
      <c r="C47" s="12">
        <v>39476776.666666664</v>
      </c>
      <c r="D47" s="294">
        <f t="shared" si="6"/>
        <v>23949244.511111096</v>
      </c>
      <c r="E47" s="12"/>
      <c r="F47" s="12"/>
      <c r="G47" s="294">
        <f t="shared" si="1"/>
        <v>39476776.666666664</v>
      </c>
      <c r="H47" s="13">
        <f t="shared" si="5"/>
        <v>4066107996.6666641</v>
      </c>
    </row>
    <row r="48" spans="1:8" x14ac:dyDescent="0.25">
      <c r="A48" s="10">
        <f t="shared" si="7"/>
        <v>45059</v>
      </c>
      <c r="B48" s="11" t="s">
        <v>3061</v>
      </c>
      <c r="C48" s="12">
        <v>39476776.666666664</v>
      </c>
      <c r="D48" s="294">
        <f t="shared" si="6"/>
        <v>23718963.313888878</v>
      </c>
      <c r="E48" s="12"/>
      <c r="F48" s="12"/>
      <c r="G48" s="294">
        <f t="shared" si="1"/>
        <v>39476776.666666664</v>
      </c>
      <c r="H48" s="13">
        <f t="shared" si="5"/>
        <v>4026631219.9999976</v>
      </c>
    </row>
    <row r="49" spans="1:8" x14ac:dyDescent="0.25">
      <c r="A49" s="10">
        <f t="shared" si="7"/>
        <v>45090</v>
      </c>
      <c r="B49" s="11" t="s">
        <v>3061</v>
      </c>
      <c r="C49" s="12">
        <v>39476776.666666664</v>
      </c>
      <c r="D49" s="294">
        <f t="shared" si="6"/>
        <v>23488682.116666656</v>
      </c>
      <c r="E49" s="12"/>
      <c r="F49" s="12"/>
      <c r="G49" s="294">
        <f t="shared" si="1"/>
        <v>39476776.666666664</v>
      </c>
      <c r="H49" s="13">
        <f t="shared" si="5"/>
        <v>3987154443.3333311</v>
      </c>
    </row>
    <row r="50" spans="1:8" x14ac:dyDescent="0.25">
      <c r="A50" s="10">
        <f t="shared" si="7"/>
        <v>45121</v>
      </c>
      <c r="B50" s="11" t="s">
        <v>3061</v>
      </c>
      <c r="C50" s="12">
        <v>39476776.666666664</v>
      </c>
      <c r="D50" s="294">
        <f t="shared" si="6"/>
        <v>23258400.919444431</v>
      </c>
      <c r="E50" s="12"/>
      <c r="F50" s="12"/>
      <c r="G50" s="294">
        <f t="shared" si="1"/>
        <v>39476776.666666664</v>
      </c>
      <c r="H50" s="13">
        <f t="shared" si="5"/>
        <v>3947677666.6666646</v>
      </c>
    </row>
    <row r="51" spans="1:8" x14ac:dyDescent="0.25">
      <c r="A51" s="10">
        <f t="shared" si="7"/>
        <v>45152</v>
      </c>
      <c r="B51" s="11" t="s">
        <v>3061</v>
      </c>
      <c r="C51" s="12">
        <v>39476776.666666664</v>
      </c>
      <c r="D51" s="294">
        <f t="shared" si="6"/>
        <v>23028119.722222213</v>
      </c>
      <c r="E51" s="12"/>
      <c r="F51" s="12"/>
      <c r="G51" s="294">
        <f t="shared" si="1"/>
        <v>39476776.666666664</v>
      </c>
      <c r="H51" s="13">
        <f t="shared" si="5"/>
        <v>3908200889.9999981</v>
      </c>
    </row>
    <row r="52" spans="1:8" x14ac:dyDescent="0.25">
      <c r="A52" s="10">
        <f t="shared" si="7"/>
        <v>45183</v>
      </c>
      <c r="B52" s="11" t="s">
        <v>3061</v>
      </c>
      <c r="C52" s="12">
        <v>39476776.666666664</v>
      </c>
      <c r="D52" s="294">
        <f t="shared" si="6"/>
        <v>22797838.524999991</v>
      </c>
      <c r="E52" s="12"/>
      <c r="F52" s="12"/>
      <c r="G52" s="294">
        <f t="shared" si="1"/>
        <v>39476776.666666664</v>
      </c>
      <c r="H52" s="13">
        <f t="shared" si="5"/>
        <v>3868724113.3333316</v>
      </c>
    </row>
    <row r="53" spans="1:8" x14ac:dyDescent="0.25">
      <c r="A53" s="10">
        <f t="shared" si="7"/>
        <v>45214</v>
      </c>
      <c r="B53" s="11" t="s">
        <v>3061</v>
      </c>
      <c r="C53" s="12">
        <v>39476776.666666664</v>
      </c>
      <c r="D53" s="294">
        <f t="shared" si="6"/>
        <v>22567557.327777766</v>
      </c>
      <c r="E53" s="12"/>
      <c r="F53" s="12"/>
      <c r="G53" s="294">
        <f t="shared" si="1"/>
        <v>39476776.666666664</v>
      </c>
      <c r="H53" s="13">
        <f t="shared" si="5"/>
        <v>3829247336.6666651</v>
      </c>
    </row>
    <row r="54" spans="1:8" x14ac:dyDescent="0.25">
      <c r="A54" s="10">
        <f t="shared" si="7"/>
        <v>45245</v>
      </c>
      <c r="B54" s="11" t="s">
        <v>3061</v>
      </c>
      <c r="C54" s="12">
        <v>39476776.666666664</v>
      </c>
      <c r="D54" s="294">
        <f t="shared" si="6"/>
        <v>22337276.130555548</v>
      </c>
      <c r="E54" s="12"/>
      <c r="F54" s="12"/>
      <c r="G54" s="294">
        <f t="shared" si="1"/>
        <v>39476776.666666664</v>
      </c>
      <c r="H54" s="13">
        <f t="shared" si="5"/>
        <v>3789770559.9999986</v>
      </c>
    </row>
    <row r="55" spans="1:8" x14ac:dyDescent="0.25">
      <c r="A55" s="10">
        <f t="shared" si="7"/>
        <v>45276</v>
      </c>
      <c r="B55" s="11" t="s">
        <v>3061</v>
      </c>
      <c r="C55" s="12">
        <v>39476776.666666664</v>
      </c>
      <c r="D55" s="294">
        <f t="shared" si="6"/>
        <v>22106994.93333333</v>
      </c>
      <c r="E55" s="12"/>
      <c r="F55" s="12"/>
      <c r="G55" s="294">
        <f t="shared" si="1"/>
        <v>39476776.666666664</v>
      </c>
      <c r="H55" s="13">
        <f t="shared" si="5"/>
        <v>3750293783.3333321</v>
      </c>
    </row>
    <row r="56" spans="1:8" x14ac:dyDescent="0.25">
      <c r="A56" s="10">
        <f t="shared" si="7"/>
        <v>45307</v>
      </c>
      <c r="B56" s="11" t="s">
        <v>3061</v>
      </c>
      <c r="C56" s="12">
        <v>39476776.666666664</v>
      </c>
      <c r="D56" s="294">
        <f t="shared" si="6"/>
        <v>21876713.736111104</v>
      </c>
      <c r="E56" s="12"/>
      <c r="F56" s="12"/>
      <c r="G56" s="294">
        <f t="shared" si="1"/>
        <v>39476776.666666664</v>
      </c>
      <c r="H56" s="13">
        <f t="shared" si="5"/>
        <v>3710817006.6666656</v>
      </c>
    </row>
    <row r="57" spans="1:8" x14ac:dyDescent="0.25">
      <c r="A57" s="10">
        <f t="shared" si="7"/>
        <v>45338</v>
      </c>
      <c r="B57" s="11" t="s">
        <v>3061</v>
      </c>
      <c r="C57" s="12">
        <v>39476776.666666664</v>
      </c>
      <c r="D57" s="294">
        <f t="shared" si="6"/>
        <v>21646432.538888883</v>
      </c>
      <c r="E57" s="12"/>
      <c r="F57" s="12"/>
      <c r="G57" s="294">
        <f t="shared" si="1"/>
        <v>39476776.666666664</v>
      </c>
      <c r="H57" s="13">
        <f t="shared" si="5"/>
        <v>3671340229.999999</v>
      </c>
    </row>
    <row r="58" spans="1:8" x14ac:dyDescent="0.25">
      <c r="A58" s="10">
        <f t="shared" si="7"/>
        <v>45369</v>
      </c>
      <c r="B58" s="11" t="s">
        <v>3061</v>
      </c>
      <c r="C58" s="12">
        <v>39476776.666666664</v>
      </c>
      <c r="D58" s="294">
        <f t="shared" si="6"/>
        <v>21416151.341666665</v>
      </c>
      <c r="E58" s="12"/>
      <c r="F58" s="12"/>
      <c r="G58" s="294">
        <f t="shared" si="1"/>
        <v>39476776.666666664</v>
      </c>
      <c r="H58" s="13">
        <f t="shared" si="5"/>
        <v>3631863453.3333325</v>
      </c>
    </row>
    <row r="59" spans="1:8" x14ac:dyDescent="0.25">
      <c r="A59" s="10">
        <f t="shared" si="7"/>
        <v>45400</v>
      </c>
      <c r="B59" s="11" t="s">
        <v>3061</v>
      </c>
      <c r="C59" s="12">
        <v>39476776.666666664</v>
      </c>
      <c r="D59" s="294">
        <f t="shared" si="6"/>
        <v>21185870.144444443</v>
      </c>
      <c r="E59" s="12"/>
      <c r="F59" s="12"/>
      <c r="G59" s="294">
        <f t="shared" si="1"/>
        <v>39476776.666666664</v>
      </c>
      <c r="H59" s="13">
        <f t="shared" si="5"/>
        <v>3592386676.666666</v>
      </c>
    </row>
    <row r="60" spans="1:8" x14ac:dyDescent="0.25">
      <c r="A60" s="10">
        <f t="shared" si="7"/>
        <v>45431</v>
      </c>
      <c r="B60" s="11" t="s">
        <v>3061</v>
      </c>
      <c r="C60" s="12">
        <v>39476776.666666664</v>
      </c>
      <c r="D60" s="294">
        <f t="shared" si="6"/>
        <v>20955588.947222218</v>
      </c>
      <c r="E60" s="12"/>
      <c r="F60" s="12"/>
      <c r="G60" s="294">
        <f t="shared" si="1"/>
        <v>39476776.666666664</v>
      </c>
      <c r="H60" s="13">
        <f t="shared" si="5"/>
        <v>3552909899.9999995</v>
      </c>
    </row>
    <row r="61" spans="1:8" x14ac:dyDescent="0.25">
      <c r="A61" s="10">
        <f t="shared" si="7"/>
        <v>45462</v>
      </c>
      <c r="B61" s="11" t="s">
        <v>3061</v>
      </c>
      <c r="C61" s="12">
        <v>39476776.666666664</v>
      </c>
      <c r="D61" s="294">
        <f t="shared" si="6"/>
        <v>20725307.75</v>
      </c>
      <c r="E61" s="12"/>
      <c r="F61" s="12"/>
      <c r="G61" s="294">
        <f t="shared" si="1"/>
        <v>39476776.666666664</v>
      </c>
      <c r="H61" s="13">
        <f t="shared" si="5"/>
        <v>3513433123.333333</v>
      </c>
    </row>
    <row r="62" spans="1:8" x14ac:dyDescent="0.25">
      <c r="A62" s="10">
        <f t="shared" si="7"/>
        <v>45493</v>
      </c>
      <c r="B62" s="11" t="s">
        <v>3061</v>
      </c>
      <c r="C62" s="12">
        <v>39476776.666666664</v>
      </c>
      <c r="D62" s="294">
        <f t="shared" si="6"/>
        <v>20495026.552777778</v>
      </c>
      <c r="E62" s="12"/>
      <c r="F62" s="12"/>
      <c r="G62" s="294">
        <f t="shared" si="1"/>
        <v>39476776.666666664</v>
      </c>
      <c r="H62" s="13">
        <f t="shared" si="5"/>
        <v>3473956346.6666665</v>
      </c>
    </row>
    <row r="63" spans="1:8" x14ac:dyDescent="0.25">
      <c r="A63" s="10">
        <f t="shared" si="7"/>
        <v>45524</v>
      </c>
      <c r="B63" s="11" t="s">
        <v>3061</v>
      </c>
      <c r="C63" s="12">
        <v>39476776.666666664</v>
      </c>
      <c r="D63" s="294">
        <f t="shared" si="6"/>
        <v>20264745.355555557</v>
      </c>
      <c r="E63" s="12"/>
      <c r="F63" s="12"/>
      <c r="G63" s="294">
        <f t="shared" si="1"/>
        <v>39476776.666666664</v>
      </c>
      <c r="H63" s="13">
        <f t="shared" si="5"/>
        <v>3434479570</v>
      </c>
    </row>
    <row r="64" spans="1:8" x14ac:dyDescent="0.25">
      <c r="A64" s="10">
        <f t="shared" si="7"/>
        <v>45555</v>
      </c>
      <c r="B64" s="11" t="s">
        <v>3061</v>
      </c>
      <c r="C64" s="12">
        <v>39476776.666666664</v>
      </c>
      <c r="D64" s="294">
        <f t="shared" si="6"/>
        <v>20034464.158333335</v>
      </c>
      <c r="E64" s="12"/>
      <c r="F64" s="12"/>
      <c r="G64" s="294">
        <f t="shared" si="1"/>
        <v>39476776.666666664</v>
      </c>
      <c r="H64" s="13">
        <f t="shared" si="5"/>
        <v>3395002793.3333335</v>
      </c>
    </row>
    <row r="65" spans="1:8" x14ac:dyDescent="0.25">
      <c r="A65" s="10">
        <f t="shared" si="7"/>
        <v>45586</v>
      </c>
      <c r="B65" s="11" t="s">
        <v>3061</v>
      </c>
      <c r="C65" s="12">
        <v>39476776.666666664</v>
      </c>
      <c r="D65" s="294">
        <f t="shared" si="6"/>
        <v>19804182.961111113</v>
      </c>
      <c r="E65" s="12"/>
      <c r="F65" s="12"/>
      <c r="G65" s="294">
        <f t="shared" si="1"/>
        <v>39476776.666666664</v>
      </c>
      <c r="H65" s="13">
        <f t="shared" si="5"/>
        <v>3355526016.666667</v>
      </c>
    </row>
    <row r="66" spans="1:8" x14ac:dyDescent="0.25">
      <c r="A66" s="10">
        <f t="shared" si="7"/>
        <v>45617</v>
      </c>
      <c r="B66" s="11" t="s">
        <v>3061</v>
      </c>
      <c r="C66" s="12">
        <v>39476776.666666664</v>
      </c>
      <c r="D66" s="294">
        <f t="shared" si="6"/>
        <v>19573901.763888896</v>
      </c>
      <c r="E66" s="12"/>
      <c r="F66" s="12"/>
      <c r="G66" s="294">
        <f t="shared" si="1"/>
        <v>39476776.666666664</v>
      </c>
      <c r="H66" s="13">
        <f t="shared" si="5"/>
        <v>3316049240.0000005</v>
      </c>
    </row>
    <row r="67" spans="1:8" x14ac:dyDescent="0.25">
      <c r="A67" s="10">
        <f t="shared" si="7"/>
        <v>45648</v>
      </c>
      <c r="B67" s="11" t="s">
        <v>3061</v>
      </c>
      <c r="C67" s="12">
        <v>39476776.666666664</v>
      </c>
      <c r="D67" s="294">
        <f t="shared" si="6"/>
        <v>19343620.56666667</v>
      </c>
      <c r="E67" s="12"/>
      <c r="F67" s="12"/>
      <c r="G67" s="294">
        <f t="shared" si="1"/>
        <v>39476776.666666664</v>
      </c>
      <c r="H67" s="13">
        <f t="shared" si="5"/>
        <v>3276572463.333334</v>
      </c>
    </row>
    <row r="68" spans="1:8" x14ac:dyDescent="0.25">
      <c r="A68" s="10">
        <f t="shared" si="7"/>
        <v>45679</v>
      </c>
      <c r="B68" s="11" t="s">
        <v>3061</v>
      </c>
      <c r="C68" s="12">
        <v>39476776.666666664</v>
      </c>
      <c r="D68" s="294">
        <f t="shared" si="6"/>
        <v>19113339.369444449</v>
      </c>
      <c r="E68" s="12"/>
      <c r="F68" s="12"/>
      <c r="G68" s="294">
        <f t="shared" si="1"/>
        <v>39476776.666666664</v>
      </c>
      <c r="H68" s="13">
        <f t="shared" ref="H68:H131" si="8">+H67-C68</f>
        <v>3237095686.6666675</v>
      </c>
    </row>
    <row r="69" spans="1:8" x14ac:dyDescent="0.25">
      <c r="A69" s="10">
        <f t="shared" si="7"/>
        <v>45710</v>
      </c>
      <c r="B69" s="11" t="s">
        <v>3061</v>
      </c>
      <c r="C69" s="12">
        <v>39476776.666666664</v>
      </c>
      <c r="D69" s="294">
        <f t="shared" si="6"/>
        <v>18883058.172222231</v>
      </c>
      <c r="E69" s="12"/>
      <c r="F69" s="12"/>
      <c r="G69" s="294">
        <f t="shared" si="1"/>
        <v>39476776.666666664</v>
      </c>
      <c r="H69" s="13">
        <f t="shared" si="8"/>
        <v>3197618910.000001</v>
      </c>
    </row>
    <row r="70" spans="1:8" x14ac:dyDescent="0.25">
      <c r="A70" s="10">
        <f t="shared" si="7"/>
        <v>45741</v>
      </c>
      <c r="B70" s="11" t="s">
        <v>3061</v>
      </c>
      <c r="C70" s="12">
        <v>39476776.666666664</v>
      </c>
      <c r="D70" s="294">
        <f t="shared" si="6"/>
        <v>18652776.975000005</v>
      </c>
      <c r="E70" s="12"/>
      <c r="F70" s="12"/>
      <c r="G70" s="294">
        <f t="shared" si="1"/>
        <v>39476776.666666664</v>
      </c>
      <c r="H70" s="13">
        <f t="shared" si="8"/>
        <v>3158142133.3333344</v>
      </c>
    </row>
    <row r="71" spans="1:8" x14ac:dyDescent="0.25">
      <c r="A71" s="10">
        <f t="shared" si="7"/>
        <v>45772</v>
      </c>
      <c r="B71" s="11" t="s">
        <v>3061</v>
      </c>
      <c r="C71" s="12">
        <v>39476776.666666664</v>
      </c>
      <c r="D71" s="294">
        <f t="shared" si="6"/>
        <v>18422495.777777787</v>
      </c>
      <c r="E71" s="12"/>
      <c r="F71" s="12"/>
      <c r="G71" s="294">
        <f t="shared" si="1"/>
        <v>39476776.666666664</v>
      </c>
      <c r="H71" s="13">
        <f t="shared" si="8"/>
        <v>3118665356.6666679</v>
      </c>
    </row>
    <row r="72" spans="1:8" x14ac:dyDescent="0.25">
      <c r="A72" s="10">
        <f t="shared" si="7"/>
        <v>45803</v>
      </c>
      <c r="B72" s="11" t="s">
        <v>3061</v>
      </c>
      <c r="C72" s="12">
        <v>39476776.666666664</v>
      </c>
      <c r="D72" s="294">
        <f t="shared" si="6"/>
        <v>18192214.580555566</v>
      </c>
      <c r="E72" s="12"/>
      <c r="F72" s="12"/>
      <c r="G72" s="294">
        <f t="shared" ref="G72:G110" si="9">E72+C72+F72</f>
        <v>39476776.666666664</v>
      </c>
      <c r="H72" s="13">
        <f t="shared" si="8"/>
        <v>3079188580.0000014</v>
      </c>
    </row>
    <row r="73" spans="1:8" x14ac:dyDescent="0.25">
      <c r="A73" s="10">
        <f t="shared" si="7"/>
        <v>45834</v>
      </c>
      <c r="B73" s="11" t="s">
        <v>3061</v>
      </c>
      <c r="C73" s="12">
        <v>39476776.666666664</v>
      </c>
      <c r="D73" s="294">
        <f t="shared" si="6"/>
        <v>17961933.383333344</v>
      </c>
      <c r="E73" s="12"/>
      <c r="F73" s="12"/>
      <c r="G73" s="294">
        <f t="shared" si="9"/>
        <v>39476776.666666664</v>
      </c>
      <c r="H73" s="13">
        <f t="shared" si="8"/>
        <v>3039711803.3333349</v>
      </c>
    </row>
    <row r="74" spans="1:8" x14ac:dyDescent="0.25">
      <c r="A74" s="10">
        <f t="shared" si="7"/>
        <v>45865</v>
      </c>
      <c r="B74" s="11" t="s">
        <v>3061</v>
      </c>
      <c r="C74" s="12">
        <v>39476776.666666664</v>
      </c>
      <c r="D74" s="294">
        <f t="shared" si="6"/>
        <v>17731652.186111122</v>
      </c>
      <c r="E74" s="12"/>
      <c r="F74" s="12"/>
      <c r="G74" s="294">
        <f t="shared" si="9"/>
        <v>39476776.666666664</v>
      </c>
      <c r="H74" s="13">
        <f t="shared" si="8"/>
        <v>3000235026.6666684</v>
      </c>
    </row>
    <row r="75" spans="1:8" x14ac:dyDescent="0.25">
      <c r="A75" s="10">
        <f t="shared" si="7"/>
        <v>45896</v>
      </c>
      <c r="B75" s="11" t="s">
        <v>3061</v>
      </c>
      <c r="C75" s="12">
        <v>39476776.666666664</v>
      </c>
      <c r="D75" s="294">
        <f t="shared" si="6"/>
        <v>17501370.988888901</v>
      </c>
      <c r="E75" s="12"/>
      <c r="F75" s="12"/>
      <c r="G75" s="294">
        <f t="shared" si="9"/>
        <v>39476776.666666664</v>
      </c>
      <c r="H75" s="13">
        <f t="shared" si="8"/>
        <v>2960758250.0000019</v>
      </c>
    </row>
    <row r="76" spans="1:8" x14ac:dyDescent="0.25">
      <c r="A76" s="10">
        <f t="shared" si="7"/>
        <v>45927</v>
      </c>
      <c r="B76" s="11" t="s">
        <v>3061</v>
      </c>
      <c r="C76" s="12">
        <v>39476776.666666664</v>
      </c>
      <c r="D76" s="294">
        <f t="shared" ref="D76:D107" si="10">H75*$H$168*H$167/360</f>
        <v>17271089.791666679</v>
      </c>
      <c r="E76" s="12"/>
      <c r="F76" s="12"/>
      <c r="G76" s="294">
        <f t="shared" si="9"/>
        <v>39476776.666666664</v>
      </c>
      <c r="H76" s="13">
        <f t="shared" si="8"/>
        <v>2921281473.3333354</v>
      </c>
    </row>
    <row r="77" spans="1:8" x14ac:dyDescent="0.25">
      <c r="A77" s="10">
        <f t="shared" si="7"/>
        <v>45958</v>
      </c>
      <c r="B77" s="11" t="s">
        <v>3061</v>
      </c>
      <c r="C77" s="12">
        <v>39476776.666666664</v>
      </c>
      <c r="D77" s="294">
        <f t="shared" si="10"/>
        <v>17040808.594444457</v>
      </c>
      <c r="E77" s="12"/>
      <c r="F77" s="12"/>
      <c r="G77" s="294">
        <f t="shared" si="9"/>
        <v>39476776.666666664</v>
      </c>
      <c r="H77" s="13">
        <f t="shared" si="8"/>
        <v>2881804696.6666689</v>
      </c>
    </row>
    <row r="78" spans="1:8" x14ac:dyDescent="0.25">
      <c r="A78" s="10">
        <v>45989</v>
      </c>
      <c r="B78" s="11" t="s">
        <v>3061</v>
      </c>
      <c r="C78" s="12">
        <v>39476776.666666664</v>
      </c>
      <c r="D78" s="294">
        <f t="shared" si="10"/>
        <v>16810527.397222236</v>
      </c>
      <c r="E78" s="12"/>
      <c r="F78" s="12"/>
      <c r="G78" s="294">
        <f t="shared" si="9"/>
        <v>39476776.666666664</v>
      </c>
      <c r="H78" s="13">
        <f t="shared" si="8"/>
        <v>2842327920.0000024</v>
      </c>
    </row>
    <row r="79" spans="1:8" x14ac:dyDescent="0.25">
      <c r="A79" s="10">
        <v>46020</v>
      </c>
      <c r="B79" s="11" t="s">
        <v>3061</v>
      </c>
      <c r="C79" s="12">
        <v>39476776.666666664</v>
      </c>
      <c r="D79" s="294">
        <f t="shared" si="10"/>
        <v>16580246.200000016</v>
      </c>
      <c r="E79" s="12"/>
      <c r="F79" s="12"/>
      <c r="G79" s="294">
        <f t="shared" si="9"/>
        <v>39476776.666666664</v>
      </c>
      <c r="H79" s="13">
        <f t="shared" si="8"/>
        <v>2802851143.3333359</v>
      </c>
    </row>
    <row r="80" spans="1:8" x14ac:dyDescent="0.25">
      <c r="A80" s="10">
        <v>46051</v>
      </c>
      <c r="B80" s="11" t="s">
        <v>3061</v>
      </c>
      <c r="C80" s="12">
        <v>39476776.666666664</v>
      </c>
      <c r="D80" s="294">
        <f t="shared" si="10"/>
        <v>16349965.002777794</v>
      </c>
      <c r="E80" s="12"/>
      <c r="F80" s="12"/>
      <c r="G80" s="294">
        <f t="shared" si="9"/>
        <v>39476776.666666664</v>
      </c>
      <c r="H80" s="13">
        <f t="shared" si="8"/>
        <v>2763374366.6666694</v>
      </c>
    </row>
    <row r="81" spans="1:8" x14ac:dyDescent="0.25">
      <c r="A81" s="10">
        <v>46081</v>
      </c>
      <c r="B81" s="11" t="s">
        <v>3061</v>
      </c>
      <c r="C81" s="12">
        <v>39476776.666666664</v>
      </c>
      <c r="D81" s="294">
        <f t="shared" si="10"/>
        <v>16119683.805555571</v>
      </c>
      <c r="E81" s="12"/>
      <c r="F81" s="12"/>
      <c r="G81" s="294">
        <f t="shared" si="9"/>
        <v>39476776.666666664</v>
      </c>
      <c r="H81" s="13">
        <f t="shared" si="8"/>
        <v>2723897590.0000029</v>
      </c>
    </row>
    <row r="82" spans="1:8" x14ac:dyDescent="0.25">
      <c r="A82" s="10">
        <v>46110</v>
      </c>
      <c r="B82" s="11" t="s">
        <v>3061</v>
      </c>
      <c r="C82" s="12">
        <v>39476776.666666664</v>
      </c>
      <c r="D82" s="294">
        <f t="shared" si="10"/>
        <v>15889402.608333351</v>
      </c>
      <c r="E82" s="12"/>
      <c r="F82" s="12"/>
      <c r="G82" s="294">
        <f t="shared" si="9"/>
        <v>39476776.666666664</v>
      </c>
      <c r="H82" s="13">
        <f t="shared" si="8"/>
        <v>2684420813.3333364</v>
      </c>
    </row>
    <row r="83" spans="1:8" x14ac:dyDescent="0.25">
      <c r="A83" s="10">
        <v>46141</v>
      </c>
      <c r="B83" s="11" t="s">
        <v>3061</v>
      </c>
      <c r="C83" s="12">
        <v>39476776.666666664</v>
      </c>
      <c r="D83" s="294">
        <f t="shared" si="10"/>
        <v>15659121.411111133</v>
      </c>
      <c r="E83" s="12"/>
      <c r="F83" s="12"/>
      <c r="G83" s="294">
        <f t="shared" si="9"/>
        <v>39476776.666666664</v>
      </c>
      <c r="H83" s="13">
        <f t="shared" si="8"/>
        <v>2644944036.6666698</v>
      </c>
    </row>
    <row r="84" spans="1:8" x14ac:dyDescent="0.25">
      <c r="A84" s="10">
        <v>46171</v>
      </c>
      <c r="B84" s="11" t="s">
        <v>3061</v>
      </c>
      <c r="C84" s="12">
        <v>39476776.666666664</v>
      </c>
      <c r="D84" s="294">
        <f t="shared" si="10"/>
        <v>15428840.213888908</v>
      </c>
      <c r="E84" s="12"/>
      <c r="F84" s="12"/>
      <c r="G84" s="294">
        <f t="shared" si="9"/>
        <v>39476776.666666664</v>
      </c>
      <c r="H84" s="13">
        <f t="shared" si="8"/>
        <v>2605467260.0000033</v>
      </c>
    </row>
    <row r="85" spans="1:8" x14ac:dyDescent="0.25">
      <c r="A85" s="10">
        <v>46202</v>
      </c>
      <c r="B85" s="11" t="s">
        <v>3061</v>
      </c>
      <c r="C85" s="12">
        <v>39476776.666666664</v>
      </c>
      <c r="D85" s="294">
        <f t="shared" si="10"/>
        <v>15198559.016666688</v>
      </c>
      <c r="E85" s="12"/>
      <c r="F85" s="12"/>
      <c r="G85" s="294">
        <f t="shared" si="9"/>
        <v>39476776.666666664</v>
      </c>
      <c r="H85" s="13">
        <f t="shared" si="8"/>
        <v>2565990483.3333368</v>
      </c>
    </row>
    <row r="86" spans="1:8" x14ac:dyDescent="0.25">
      <c r="A86" s="10">
        <v>46232</v>
      </c>
      <c r="B86" s="11" t="s">
        <v>3061</v>
      </c>
      <c r="C86" s="12">
        <v>39476776.666666664</v>
      </c>
      <c r="D86" s="294">
        <f t="shared" si="10"/>
        <v>14968277.819444466</v>
      </c>
      <c r="E86" s="12"/>
      <c r="F86" s="12"/>
      <c r="G86" s="294">
        <f t="shared" si="9"/>
        <v>39476776.666666664</v>
      </c>
      <c r="H86" s="13">
        <f t="shared" si="8"/>
        <v>2526513706.6666703</v>
      </c>
    </row>
    <row r="87" spans="1:8" x14ac:dyDescent="0.25">
      <c r="A87" s="10">
        <v>46263</v>
      </c>
      <c r="B87" s="11" t="s">
        <v>3061</v>
      </c>
      <c r="C87" s="12">
        <v>39476776.666666664</v>
      </c>
      <c r="D87" s="294">
        <f t="shared" si="10"/>
        <v>14737996.622222243</v>
      </c>
      <c r="E87" s="12"/>
      <c r="F87" s="12"/>
      <c r="G87" s="294">
        <f t="shared" si="9"/>
        <v>39476776.666666664</v>
      </c>
      <c r="H87" s="13">
        <f t="shared" si="8"/>
        <v>2487036930.0000038</v>
      </c>
    </row>
    <row r="88" spans="1:8" x14ac:dyDescent="0.25">
      <c r="A88" s="10">
        <v>46294</v>
      </c>
      <c r="B88" s="11" t="s">
        <v>3061</v>
      </c>
      <c r="C88" s="12">
        <v>39476776.666666664</v>
      </c>
      <c r="D88" s="294">
        <f t="shared" si="10"/>
        <v>14507715.425000023</v>
      </c>
      <c r="E88" s="12"/>
      <c r="F88" s="12"/>
      <c r="G88" s="294">
        <f t="shared" si="9"/>
        <v>39476776.666666664</v>
      </c>
      <c r="H88" s="13">
        <f t="shared" si="8"/>
        <v>2447560153.3333373</v>
      </c>
    </row>
    <row r="89" spans="1:8" x14ac:dyDescent="0.25">
      <c r="A89" s="10">
        <v>46324</v>
      </c>
      <c r="B89" s="11" t="s">
        <v>3061</v>
      </c>
      <c r="C89" s="12">
        <v>39476776.666666664</v>
      </c>
      <c r="D89" s="294">
        <f t="shared" si="10"/>
        <v>14277434.227777801</v>
      </c>
      <c r="E89" s="12"/>
      <c r="F89" s="12"/>
      <c r="G89" s="294">
        <f t="shared" si="9"/>
        <v>39476776.666666664</v>
      </c>
      <c r="H89" s="13">
        <f t="shared" si="8"/>
        <v>2408083376.6666708</v>
      </c>
    </row>
    <row r="90" spans="1:8" x14ac:dyDescent="0.25">
      <c r="A90" s="10">
        <v>46355</v>
      </c>
      <c r="B90" s="11" t="s">
        <v>3061</v>
      </c>
      <c r="C90" s="12">
        <v>39476776.666666664</v>
      </c>
      <c r="D90" s="294">
        <f t="shared" si="10"/>
        <v>14047153.030555582</v>
      </c>
      <c r="E90" s="12"/>
      <c r="F90" s="12"/>
      <c r="G90" s="294">
        <f t="shared" si="9"/>
        <v>39476776.666666664</v>
      </c>
      <c r="H90" s="13">
        <f t="shared" si="8"/>
        <v>2368606600.0000043</v>
      </c>
    </row>
    <row r="91" spans="1:8" x14ac:dyDescent="0.25">
      <c r="A91" s="10">
        <v>46385</v>
      </c>
      <c r="B91" s="11" t="s">
        <v>3061</v>
      </c>
      <c r="C91" s="12">
        <v>39476776.666666664</v>
      </c>
      <c r="D91" s="294">
        <f t="shared" si="10"/>
        <v>13816871.83333336</v>
      </c>
      <c r="E91" s="12"/>
      <c r="F91" s="12"/>
      <c r="G91" s="294">
        <f t="shared" si="9"/>
        <v>39476776.666666664</v>
      </c>
      <c r="H91" s="13">
        <f t="shared" si="8"/>
        <v>2329129823.3333378</v>
      </c>
    </row>
    <row r="92" spans="1:8" x14ac:dyDescent="0.25">
      <c r="A92" s="10">
        <v>46416</v>
      </c>
      <c r="B92" s="11" t="s">
        <v>3061</v>
      </c>
      <c r="C92" s="12">
        <v>39476776.666666664</v>
      </c>
      <c r="D92" s="294">
        <f t="shared" si="10"/>
        <v>13586590.636111138</v>
      </c>
      <c r="E92" s="12"/>
      <c r="F92" s="12"/>
      <c r="G92" s="294">
        <f t="shared" si="9"/>
        <v>39476776.666666664</v>
      </c>
      <c r="H92" s="13">
        <f t="shared" si="8"/>
        <v>2289653046.6666713</v>
      </c>
    </row>
    <row r="93" spans="1:8" x14ac:dyDescent="0.25">
      <c r="A93" s="10">
        <v>46446</v>
      </c>
      <c r="B93" s="11" t="s">
        <v>3061</v>
      </c>
      <c r="C93" s="12">
        <v>39476776.666666664</v>
      </c>
      <c r="D93" s="294">
        <f t="shared" si="10"/>
        <v>13356309.438888919</v>
      </c>
      <c r="E93" s="12"/>
      <c r="F93" s="12"/>
      <c r="G93" s="294">
        <f t="shared" si="9"/>
        <v>39476776.666666664</v>
      </c>
      <c r="H93" s="13">
        <f t="shared" si="8"/>
        <v>2250176270.0000048</v>
      </c>
    </row>
    <row r="94" spans="1:8" x14ac:dyDescent="0.25">
      <c r="A94" s="10">
        <v>46475</v>
      </c>
      <c r="B94" s="11" t="s">
        <v>3061</v>
      </c>
      <c r="C94" s="12">
        <v>39476776.666666664</v>
      </c>
      <c r="D94" s="294">
        <f t="shared" si="10"/>
        <v>13126028.241666695</v>
      </c>
      <c r="E94" s="12"/>
      <c r="F94" s="12"/>
      <c r="G94" s="294">
        <f t="shared" si="9"/>
        <v>39476776.666666664</v>
      </c>
      <c r="H94" s="13">
        <f t="shared" si="8"/>
        <v>2210699493.3333383</v>
      </c>
    </row>
    <row r="95" spans="1:8" x14ac:dyDescent="0.25">
      <c r="A95" s="10">
        <v>46506</v>
      </c>
      <c r="B95" s="11" t="s">
        <v>3061</v>
      </c>
      <c r="C95" s="12">
        <v>39476776.666666664</v>
      </c>
      <c r="D95" s="294">
        <f t="shared" si="10"/>
        <v>12895747.044444473</v>
      </c>
      <c r="E95" s="12"/>
      <c r="F95" s="12"/>
      <c r="G95" s="294">
        <f t="shared" si="9"/>
        <v>39476776.666666664</v>
      </c>
      <c r="H95" s="13">
        <f t="shared" si="8"/>
        <v>2171222716.6666718</v>
      </c>
    </row>
    <row r="96" spans="1:8" x14ac:dyDescent="0.25">
      <c r="A96" s="10">
        <v>46536</v>
      </c>
      <c r="B96" s="11" t="s">
        <v>3061</v>
      </c>
      <c r="C96" s="12">
        <v>39476776.666666664</v>
      </c>
      <c r="D96" s="294">
        <f t="shared" si="10"/>
        <v>12665465.847222254</v>
      </c>
      <c r="E96" s="12"/>
      <c r="F96" s="12"/>
      <c r="G96" s="294">
        <f t="shared" si="9"/>
        <v>39476776.666666664</v>
      </c>
      <c r="H96" s="13">
        <f t="shared" si="8"/>
        <v>2131745940.000005</v>
      </c>
    </row>
    <row r="97" spans="1:8" x14ac:dyDescent="0.25">
      <c r="A97" s="10">
        <v>46567</v>
      </c>
      <c r="B97" s="11" t="s">
        <v>3061</v>
      </c>
      <c r="C97" s="12">
        <v>39476776.666666664</v>
      </c>
      <c r="D97" s="294">
        <f t="shared" si="10"/>
        <v>12435184.650000032</v>
      </c>
      <c r="E97" s="12"/>
      <c r="F97" s="12"/>
      <c r="G97" s="294">
        <f t="shared" si="9"/>
        <v>39476776.666666664</v>
      </c>
      <c r="H97" s="13">
        <f t="shared" si="8"/>
        <v>2092269163.3333383</v>
      </c>
    </row>
    <row r="98" spans="1:8" x14ac:dyDescent="0.25">
      <c r="A98" s="10">
        <v>46597</v>
      </c>
      <c r="B98" s="11" t="s">
        <v>3061</v>
      </c>
      <c r="C98" s="12">
        <v>39476776.666666664</v>
      </c>
      <c r="D98" s="294">
        <f t="shared" si="10"/>
        <v>12204903.452777807</v>
      </c>
      <c r="E98" s="12"/>
      <c r="F98" s="12"/>
      <c r="G98" s="294">
        <f t="shared" si="9"/>
        <v>39476776.666666664</v>
      </c>
      <c r="H98" s="13">
        <f t="shared" si="8"/>
        <v>2052792386.6666715</v>
      </c>
    </row>
    <row r="99" spans="1:8" x14ac:dyDescent="0.25">
      <c r="A99" s="10">
        <v>46628</v>
      </c>
      <c r="B99" s="11" t="s">
        <v>3061</v>
      </c>
      <c r="C99" s="12">
        <v>39476776.666666664</v>
      </c>
      <c r="D99" s="294">
        <f t="shared" si="10"/>
        <v>11974622.255555585</v>
      </c>
      <c r="E99" s="12"/>
      <c r="F99" s="12"/>
      <c r="G99" s="294">
        <f t="shared" si="9"/>
        <v>39476776.666666664</v>
      </c>
      <c r="H99" s="13">
        <f t="shared" si="8"/>
        <v>2013315610.0000048</v>
      </c>
    </row>
    <row r="100" spans="1:8" x14ac:dyDescent="0.25">
      <c r="A100" s="10">
        <v>46659</v>
      </c>
      <c r="B100" s="11" t="s">
        <v>3061</v>
      </c>
      <c r="C100" s="12">
        <v>39476776.666666664</v>
      </c>
      <c r="D100" s="294">
        <f t="shared" si="10"/>
        <v>11744341.058333363</v>
      </c>
      <c r="E100" s="12"/>
      <c r="F100" s="12"/>
      <c r="G100" s="294">
        <f t="shared" si="9"/>
        <v>39476776.666666664</v>
      </c>
      <c r="H100" s="13">
        <f t="shared" si="8"/>
        <v>1973838833.333338</v>
      </c>
    </row>
    <row r="101" spans="1:8" x14ac:dyDescent="0.25">
      <c r="A101" s="10">
        <v>46689</v>
      </c>
      <c r="B101" s="11" t="s">
        <v>3061</v>
      </c>
      <c r="C101" s="12">
        <v>39476776.666666664</v>
      </c>
      <c r="D101" s="294">
        <f t="shared" si="10"/>
        <v>11514059.861111138</v>
      </c>
      <c r="E101" s="12"/>
      <c r="F101" s="12"/>
      <c r="G101" s="294">
        <f t="shared" si="9"/>
        <v>39476776.666666664</v>
      </c>
      <c r="H101" s="13">
        <f t="shared" si="8"/>
        <v>1934362056.6666713</v>
      </c>
    </row>
    <row r="102" spans="1:8" x14ac:dyDescent="0.25">
      <c r="A102" s="10">
        <v>46720</v>
      </c>
      <c r="B102" s="11" t="s">
        <v>3061</v>
      </c>
      <c r="C102" s="12">
        <v>39476776.666666664</v>
      </c>
      <c r="D102" s="294">
        <f t="shared" si="10"/>
        <v>11283778.663888916</v>
      </c>
      <c r="E102" s="12"/>
      <c r="F102" s="12"/>
      <c r="G102" s="294">
        <f t="shared" si="9"/>
        <v>39476776.666666664</v>
      </c>
      <c r="H102" s="13">
        <f t="shared" si="8"/>
        <v>1894885280.0000045</v>
      </c>
    </row>
    <row r="103" spans="1:8" x14ac:dyDescent="0.25">
      <c r="A103" s="10">
        <v>46750</v>
      </c>
      <c r="B103" s="11" t="s">
        <v>3061</v>
      </c>
      <c r="C103" s="12">
        <v>39476776.666666664</v>
      </c>
      <c r="D103" s="294">
        <f t="shared" si="10"/>
        <v>11053497.466666695</v>
      </c>
      <c r="E103" s="12"/>
      <c r="F103" s="12"/>
      <c r="G103" s="294">
        <f t="shared" si="9"/>
        <v>39476776.666666664</v>
      </c>
      <c r="H103" s="13">
        <f t="shared" si="8"/>
        <v>1855408503.3333378</v>
      </c>
    </row>
    <row r="104" spans="1:8" x14ac:dyDescent="0.25">
      <c r="A104" s="10">
        <v>46781</v>
      </c>
      <c r="B104" s="11" t="s">
        <v>3061</v>
      </c>
      <c r="C104" s="12">
        <v>39476776.666666664</v>
      </c>
      <c r="D104" s="294">
        <f t="shared" si="10"/>
        <v>10823216.269444473</v>
      </c>
      <c r="E104" s="12"/>
      <c r="F104" s="12"/>
      <c r="G104" s="294">
        <f t="shared" si="9"/>
        <v>39476776.666666664</v>
      </c>
      <c r="H104" s="13">
        <f t="shared" si="8"/>
        <v>1815931726.666671</v>
      </c>
    </row>
    <row r="105" spans="1:8" x14ac:dyDescent="0.25">
      <c r="A105" s="10">
        <v>46812</v>
      </c>
      <c r="B105" s="11" t="s">
        <v>3061</v>
      </c>
      <c r="C105" s="12">
        <v>39476776.666666664</v>
      </c>
      <c r="D105" s="294">
        <f t="shared" si="10"/>
        <v>10592935.07222225</v>
      </c>
      <c r="E105" s="12"/>
      <c r="F105" s="12"/>
      <c r="G105" s="294">
        <f t="shared" si="9"/>
        <v>39476776.666666664</v>
      </c>
      <c r="H105" s="13">
        <f t="shared" si="8"/>
        <v>1776454950.0000043</v>
      </c>
    </row>
    <row r="106" spans="1:8" x14ac:dyDescent="0.25">
      <c r="A106" s="10">
        <v>46841</v>
      </c>
      <c r="B106" s="11" t="s">
        <v>3061</v>
      </c>
      <c r="C106" s="12">
        <v>39476776.666666664</v>
      </c>
      <c r="D106" s="294">
        <f t="shared" si="10"/>
        <v>10362653.875000026</v>
      </c>
      <c r="E106" s="12"/>
      <c r="F106" s="12"/>
      <c r="G106" s="294">
        <f t="shared" si="9"/>
        <v>39476776.666666664</v>
      </c>
      <c r="H106" s="13">
        <f t="shared" si="8"/>
        <v>1736978173.3333375</v>
      </c>
    </row>
    <row r="107" spans="1:8" x14ac:dyDescent="0.25">
      <c r="A107" s="10">
        <v>46872</v>
      </c>
      <c r="B107" s="11" t="s">
        <v>3061</v>
      </c>
      <c r="C107" s="12">
        <v>39476776.666666664</v>
      </c>
      <c r="D107" s="294">
        <f t="shared" si="10"/>
        <v>10132372.677777803</v>
      </c>
      <c r="E107" s="12"/>
      <c r="F107" s="12"/>
      <c r="G107" s="294">
        <f t="shared" si="9"/>
        <v>39476776.666666664</v>
      </c>
      <c r="H107" s="13">
        <f t="shared" si="8"/>
        <v>1697501396.6666708</v>
      </c>
    </row>
    <row r="108" spans="1:8" x14ac:dyDescent="0.25">
      <c r="A108" s="10">
        <v>46902</v>
      </c>
      <c r="B108" s="11" t="s">
        <v>3061</v>
      </c>
      <c r="C108" s="12">
        <v>39476776.666666664</v>
      </c>
      <c r="D108" s="294">
        <f t="shared" ref="D108:D139" si="11">H107*$H$168*H$167/360</f>
        <v>9902091.4805555809</v>
      </c>
      <c r="E108" s="12"/>
      <c r="F108" s="12"/>
      <c r="G108" s="294">
        <f t="shared" si="9"/>
        <v>39476776.666666664</v>
      </c>
      <c r="H108" s="13">
        <f t="shared" si="8"/>
        <v>1658024620.0000041</v>
      </c>
    </row>
    <row r="109" spans="1:8" x14ac:dyDescent="0.25">
      <c r="A109" s="10">
        <v>46933</v>
      </c>
      <c r="B109" s="11" t="s">
        <v>3061</v>
      </c>
      <c r="C109" s="12">
        <v>39476776.666666664</v>
      </c>
      <c r="D109" s="294">
        <f t="shared" si="11"/>
        <v>9671810.2833333574</v>
      </c>
      <c r="E109" s="12"/>
      <c r="F109" s="12"/>
      <c r="G109" s="294">
        <f t="shared" si="9"/>
        <v>39476776.666666664</v>
      </c>
      <c r="H109" s="13">
        <f t="shared" si="8"/>
        <v>1618547843.3333373</v>
      </c>
    </row>
    <row r="110" spans="1:8" x14ac:dyDescent="0.25">
      <c r="A110" s="10">
        <v>46963</v>
      </c>
      <c r="B110" s="11" t="s">
        <v>3061</v>
      </c>
      <c r="C110" s="12">
        <v>39476776.666666664</v>
      </c>
      <c r="D110" s="294">
        <f t="shared" si="11"/>
        <v>9441529.0861111358</v>
      </c>
      <c r="E110" s="12"/>
      <c r="F110" s="12"/>
      <c r="G110" s="294">
        <f t="shared" si="9"/>
        <v>39476776.666666664</v>
      </c>
      <c r="H110" s="13">
        <f t="shared" si="8"/>
        <v>1579071066.6666706</v>
      </c>
    </row>
    <row r="111" spans="1:8" x14ac:dyDescent="0.25">
      <c r="A111" s="10">
        <v>46994</v>
      </c>
      <c r="B111" s="11" t="s">
        <v>3061</v>
      </c>
      <c r="C111" s="12">
        <v>39476776.666666664</v>
      </c>
      <c r="D111" s="294">
        <f t="shared" si="11"/>
        <v>9211247.8888889123</v>
      </c>
      <c r="E111" s="12"/>
      <c r="F111" s="12"/>
      <c r="G111" s="294">
        <f>E111+C111+F111</f>
        <v>39476776.666666664</v>
      </c>
      <c r="H111" s="13">
        <f t="shared" si="8"/>
        <v>1539594290.0000038</v>
      </c>
    </row>
    <row r="112" spans="1:8" x14ac:dyDescent="0.25">
      <c r="A112" s="10">
        <v>47025</v>
      </c>
      <c r="B112" s="11" t="s">
        <v>3061</v>
      </c>
      <c r="C112" s="12">
        <v>39476776.666666664</v>
      </c>
      <c r="D112" s="294">
        <f t="shared" si="11"/>
        <v>8980966.6916666906</v>
      </c>
      <c r="E112" s="12"/>
      <c r="F112" s="12"/>
      <c r="G112" s="294">
        <f t="shared" ref="G112:G150" si="12">E112+C112+F112</f>
        <v>39476776.666666664</v>
      </c>
      <c r="H112" s="13">
        <f t="shared" si="8"/>
        <v>1500117513.3333371</v>
      </c>
    </row>
    <row r="113" spans="1:8" x14ac:dyDescent="0.25">
      <c r="A113" s="10">
        <v>47055</v>
      </c>
      <c r="B113" s="11" t="s">
        <v>3061</v>
      </c>
      <c r="C113" s="12">
        <v>39476776.666666664</v>
      </c>
      <c r="D113" s="294">
        <f t="shared" si="11"/>
        <v>8750685.4944444671</v>
      </c>
      <c r="E113" s="12"/>
      <c r="F113" s="12"/>
      <c r="G113" s="294">
        <f t="shared" si="12"/>
        <v>39476776.666666664</v>
      </c>
      <c r="H113" s="13">
        <f t="shared" si="8"/>
        <v>1460640736.6666703</v>
      </c>
    </row>
    <row r="114" spans="1:8" x14ac:dyDescent="0.25">
      <c r="A114" s="10">
        <v>47086</v>
      </c>
      <c r="B114" s="11" t="s">
        <v>3061</v>
      </c>
      <c r="C114" s="12">
        <v>39476776.666666664</v>
      </c>
      <c r="D114" s="294">
        <f t="shared" si="11"/>
        <v>8520404.2972222455</v>
      </c>
      <c r="E114" s="12"/>
      <c r="F114" s="12"/>
      <c r="G114" s="294">
        <f t="shared" si="12"/>
        <v>39476776.666666664</v>
      </c>
      <c r="H114" s="13">
        <f t="shared" si="8"/>
        <v>1421163960.0000036</v>
      </c>
    </row>
    <row r="115" spans="1:8" x14ac:dyDescent="0.25">
      <c r="A115" s="10">
        <v>47116</v>
      </c>
      <c r="B115" s="11" t="s">
        <v>3061</v>
      </c>
      <c r="C115" s="12">
        <v>39476776.666666664</v>
      </c>
      <c r="D115" s="294">
        <f t="shared" si="11"/>
        <v>8290123.100000021</v>
      </c>
      <c r="E115" s="12"/>
      <c r="F115" s="12"/>
      <c r="G115" s="294">
        <f t="shared" si="12"/>
        <v>39476776.666666664</v>
      </c>
      <c r="H115" s="13">
        <f t="shared" si="8"/>
        <v>1381687183.3333368</v>
      </c>
    </row>
    <row r="116" spans="1:8" x14ac:dyDescent="0.25">
      <c r="A116" s="10">
        <v>47147</v>
      </c>
      <c r="B116" s="11" t="s">
        <v>3061</v>
      </c>
      <c r="C116" s="12">
        <v>39476776.666666664</v>
      </c>
      <c r="D116" s="294">
        <f t="shared" si="11"/>
        <v>8059841.9027777994</v>
      </c>
      <c r="E116" s="12"/>
      <c r="F116" s="12"/>
      <c r="G116" s="294">
        <f t="shared" si="12"/>
        <v>39476776.666666664</v>
      </c>
      <c r="H116" s="13">
        <f t="shared" si="8"/>
        <v>1342210406.6666701</v>
      </c>
    </row>
    <row r="117" spans="1:8" x14ac:dyDescent="0.25">
      <c r="A117" s="10">
        <v>47177</v>
      </c>
      <c r="B117" s="11" t="s">
        <v>3061</v>
      </c>
      <c r="C117" s="12">
        <v>39476776.666666664</v>
      </c>
      <c r="D117" s="294">
        <f t="shared" si="11"/>
        <v>7829560.7055555768</v>
      </c>
      <c r="E117" s="12"/>
      <c r="F117" s="12"/>
      <c r="G117" s="294">
        <f t="shared" si="12"/>
        <v>39476776.666666664</v>
      </c>
      <c r="H117" s="13">
        <f t="shared" si="8"/>
        <v>1302733630.0000033</v>
      </c>
    </row>
    <row r="118" spans="1:8" x14ac:dyDescent="0.25">
      <c r="A118" s="10">
        <v>47206</v>
      </c>
      <c r="B118" s="11" t="s">
        <v>3061</v>
      </c>
      <c r="C118" s="12">
        <v>39476776.666666664</v>
      </c>
      <c r="D118" s="294">
        <f t="shared" si="11"/>
        <v>7599279.5083333543</v>
      </c>
      <c r="E118" s="12"/>
      <c r="F118" s="12"/>
      <c r="G118" s="294">
        <f t="shared" si="12"/>
        <v>39476776.666666664</v>
      </c>
      <c r="H118" s="13">
        <f t="shared" si="8"/>
        <v>1263256853.3333366</v>
      </c>
    </row>
    <row r="119" spans="1:8" x14ac:dyDescent="0.25">
      <c r="A119" s="10">
        <v>47237</v>
      </c>
      <c r="B119" s="11" t="s">
        <v>3061</v>
      </c>
      <c r="C119" s="12">
        <v>39476776.666666664</v>
      </c>
      <c r="D119" s="294">
        <f t="shared" si="11"/>
        <v>7368998.3111111308</v>
      </c>
      <c r="E119" s="12"/>
      <c r="F119" s="12"/>
      <c r="G119" s="294">
        <f t="shared" si="12"/>
        <v>39476776.666666664</v>
      </c>
      <c r="H119" s="13">
        <f t="shared" si="8"/>
        <v>1223780076.6666698</v>
      </c>
    </row>
    <row r="120" spans="1:8" x14ac:dyDescent="0.25">
      <c r="A120" s="10">
        <v>47267</v>
      </c>
      <c r="B120" s="11" t="s">
        <v>3061</v>
      </c>
      <c r="C120" s="12">
        <v>39476776.666666664</v>
      </c>
      <c r="D120" s="294">
        <f t="shared" si="11"/>
        <v>7138717.1138889091</v>
      </c>
      <c r="E120" s="12"/>
      <c r="F120" s="12"/>
      <c r="G120" s="294">
        <f t="shared" si="12"/>
        <v>39476776.666666664</v>
      </c>
      <c r="H120" s="13">
        <f t="shared" si="8"/>
        <v>1184303300.0000031</v>
      </c>
    </row>
    <row r="121" spans="1:8" x14ac:dyDescent="0.25">
      <c r="A121" s="10">
        <v>47298</v>
      </c>
      <c r="B121" s="11" t="s">
        <v>3061</v>
      </c>
      <c r="C121" s="12">
        <v>39476776.666666664</v>
      </c>
      <c r="D121" s="294">
        <f t="shared" si="11"/>
        <v>6908435.9166666856</v>
      </c>
      <c r="E121" s="12"/>
      <c r="F121" s="12"/>
      <c r="G121" s="294">
        <f t="shared" si="12"/>
        <v>39476776.666666664</v>
      </c>
      <c r="H121" s="13">
        <f t="shared" si="8"/>
        <v>1144826523.3333364</v>
      </c>
    </row>
    <row r="122" spans="1:8" x14ac:dyDescent="0.25">
      <c r="A122" s="10">
        <v>47328</v>
      </c>
      <c r="B122" s="11" t="s">
        <v>3061</v>
      </c>
      <c r="C122" s="12">
        <v>39476776.666666664</v>
      </c>
      <c r="D122" s="294">
        <f t="shared" si="11"/>
        <v>6678154.719444463</v>
      </c>
      <c r="E122" s="12"/>
      <c r="F122" s="12"/>
      <c r="G122" s="294">
        <f t="shared" si="12"/>
        <v>39476776.666666664</v>
      </c>
      <c r="H122" s="13">
        <f t="shared" si="8"/>
        <v>1105349746.6666696</v>
      </c>
    </row>
    <row r="123" spans="1:8" x14ac:dyDescent="0.25">
      <c r="A123" s="10">
        <v>47359</v>
      </c>
      <c r="B123" s="11" t="s">
        <v>3061</v>
      </c>
      <c r="C123" s="12">
        <v>39476776.666666664</v>
      </c>
      <c r="D123" s="294">
        <f t="shared" si="11"/>
        <v>6447873.5222222395</v>
      </c>
      <c r="E123" s="12"/>
      <c r="F123" s="12"/>
      <c r="G123" s="294">
        <f t="shared" si="12"/>
        <v>39476776.666666664</v>
      </c>
      <c r="H123" s="13">
        <f t="shared" si="8"/>
        <v>1065872970.000003</v>
      </c>
    </row>
    <row r="124" spans="1:8" x14ac:dyDescent="0.25">
      <c r="A124" s="10">
        <v>47390</v>
      </c>
      <c r="B124" s="11" t="s">
        <v>3061</v>
      </c>
      <c r="C124" s="12">
        <v>39476776.666666664</v>
      </c>
      <c r="D124" s="294">
        <f t="shared" si="11"/>
        <v>6217592.3250000188</v>
      </c>
      <c r="E124" s="12"/>
      <c r="F124" s="12"/>
      <c r="G124" s="294">
        <f t="shared" si="12"/>
        <v>39476776.666666664</v>
      </c>
      <c r="H124" s="13">
        <f t="shared" si="8"/>
        <v>1026396193.3333364</v>
      </c>
    </row>
    <row r="125" spans="1:8" x14ac:dyDescent="0.25">
      <c r="A125" s="10">
        <v>47420</v>
      </c>
      <c r="B125" s="11" t="s">
        <v>3061</v>
      </c>
      <c r="C125" s="12">
        <v>39476776.666666664</v>
      </c>
      <c r="D125" s="294">
        <f t="shared" si="11"/>
        <v>5987311.1277777962</v>
      </c>
      <c r="E125" s="12"/>
      <c r="F125" s="12"/>
      <c r="G125" s="294">
        <f t="shared" si="12"/>
        <v>39476776.666666664</v>
      </c>
      <c r="H125" s="13">
        <f t="shared" si="8"/>
        <v>986919416.66666973</v>
      </c>
    </row>
    <row r="126" spans="1:8" x14ac:dyDescent="0.25">
      <c r="A126" s="10">
        <v>47451</v>
      </c>
      <c r="B126" s="11" t="s">
        <v>3061</v>
      </c>
      <c r="C126" s="12">
        <v>39476776.666666664</v>
      </c>
      <c r="D126" s="294">
        <f t="shared" si="11"/>
        <v>5757029.9305555737</v>
      </c>
      <c r="E126" s="12"/>
      <c r="F126" s="12"/>
      <c r="G126" s="294">
        <f t="shared" si="12"/>
        <v>39476776.666666664</v>
      </c>
      <c r="H126" s="13">
        <f t="shared" si="8"/>
        <v>947442640.0000031</v>
      </c>
    </row>
    <row r="127" spans="1:8" x14ac:dyDescent="0.25">
      <c r="A127" s="10">
        <v>47481</v>
      </c>
      <c r="B127" s="11" t="s">
        <v>3061</v>
      </c>
      <c r="C127" s="12">
        <v>39476776.666666664</v>
      </c>
      <c r="D127" s="294">
        <f t="shared" si="11"/>
        <v>5526748.733333352</v>
      </c>
      <c r="E127" s="12"/>
      <c r="F127" s="12"/>
      <c r="G127" s="294">
        <f t="shared" si="12"/>
        <v>39476776.666666664</v>
      </c>
      <c r="H127" s="13">
        <f t="shared" si="8"/>
        <v>907965863.33333647</v>
      </c>
    </row>
    <row r="128" spans="1:8" x14ac:dyDescent="0.25">
      <c r="A128" s="10">
        <v>47512</v>
      </c>
      <c r="B128" s="11" t="s">
        <v>3061</v>
      </c>
      <c r="C128" s="12">
        <v>39476776.666666664</v>
      </c>
      <c r="D128" s="294">
        <f t="shared" si="11"/>
        <v>5296467.5361111304</v>
      </c>
      <c r="E128" s="12"/>
      <c r="F128" s="12"/>
      <c r="G128" s="294">
        <f t="shared" si="12"/>
        <v>39476776.666666664</v>
      </c>
      <c r="H128" s="13">
        <f t="shared" si="8"/>
        <v>868489086.66666985</v>
      </c>
    </row>
    <row r="129" spans="1:8" x14ac:dyDescent="0.25">
      <c r="A129" s="10">
        <v>47542</v>
      </c>
      <c r="B129" s="11" t="s">
        <v>3061</v>
      </c>
      <c r="C129" s="12">
        <v>39476776.666666664</v>
      </c>
      <c r="D129" s="294">
        <f t="shared" si="11"/>
        <v>5066186.3388889078</v>
      </c>
      <c r="E129" s="12"/>
      <c r="F129" s="12"/>
      <c r="G129" s="294">
        <f t="shared" si="12"/>
        <v>39476776.666666664</v>
      </c>
      <c r="H129" s="13">
        <f t="shared" si="8"/>
        <v>829012310.00000322</v>
      </c>
    </row>
    <row r="130" spans="1:8" x14ac:dyDescent="0.25">
      <c r="A130" s="10">
        <v>47571</v>
      </c>
      <c r="B130" s="11" t="s">
        <v>3061</v>
      </c>
      <c r="C130" s="12">
        <v>39476776.666666664</v>
      </c>
      <c r="D130" s="294">
        <f t="shared" si="11"/>
        <v>4835905.1416666862</v>
      </c>
      <c r="E130" s="12"/>
      <c r="F130" s="12"/>
      <c r="G130" s="294">
        <f t="shared" si="12"/>
        <v>39476776.666666664</v>
      </c>
      <c r="H130" s="13">
        <f t="shared" si="8"/>
        <v>789535533.33333659</v>
      </c>
    </row>
    <row r="131" spans="1:8" x14ac:dyDescent="0.25">
      <c r="A131" s="10">
        <v>47602</v>
      </c>
      <c r="B131" s="11" t="s">
        <v>3061</v>
      </c>
      <c r="C131" s="12">
        <v>39476776.666666664</v>
      </c>
      <c r="D131" s="294">
        <f t="shared" si="11"/>
        <v>4605623.9444444636</v>
      </c>
      <c r="E131" s="12"/>
      <c r="F131" s="12"/>
      <c r="G131" s="294">
        <f t="shared" si="12"/>
        <v>39476776.666666664</v>
      </c>
      <c r="H131" s="13">
        <f t="shared" si="8"/>
        <v>750058756.66666996</v>
      </c>
    </row>
    <row r="132" spans="1:8" x14ac:dyDescent="0.25">
      <c r="A132" s="10">
        <v>47632</v>
      </c>
      <c r="B132" s="11" t="s">
        <v>3061</v>
      </c>
      <c r="C132" s="12">
        <v>39476776.666666664</v>
      </c>
      <c r="D132" s="294">
        <f t="shared" si="11"/>
        <v>4375342.747222241</v>
      </c>
      <c r="E132" s="12"/>
      <c r="F132" s="12"/>
      <c r="G132" s="294">
        <f t="shared" si="12"/>
        <v>39476776.666666664</v>
      </c>
      <c r="H132" s="13">
        <f t="shared" ref="H132:H150" si="13">+H131-C132</f>
        <v>710581980.00000334</v>
      </c>
    </row>
    <row r="133" spans="1:8" x14ac:dyDescent="0.25">
      <c r="A133" s="10">
        <v>47663</v>
      </c>
      <c r="B133" s="11" t="s">
        <v>3061</v>
      </c>
      <c r="C133" s="12">
        <v>39476776.666666664</v>
      </c>
      <c r="D133" s="294">
        <f t="shared" si="11"/>
        <v>4145061.5500000198</v>
      </c>
      <c r="E133" s="12"/>
      <c r="F133" s="12"/>
      <c r="G133" s="294">
        <f t="shared" si="12"/>
        <v>39476776.666666664</v>
      </c>
      <c r="H133" s="13">
        <f t="shared" si="13"/>
        <v>671105203.33333671</v>
      </c>
    </row>
    <row r="134" spans="1:8" x14ac:dyDescent="0.25">
      <c r="A134" s="10">
        <v>47693</v>
      </c>
      <c r="B134" s="11" t="s">
        <v>3061</v>
      </c>
      <c r="C134" s="12">
        <v>39476776.666666664</v>
      </c>
      <c r="D134" s="294">
        <f t="shared" si="11"/>
        <v>3914780.3527777977</v>
      </c>
      <c r="E134" s="12"/>
      <c r="F134" s="12"/>
      <c r="G134" s="294">
        <f t="shared" si="12"/>
        <v>39476776.666666664</v>
      </c>
      <c r="H134" s="13">
        <f t="shared" si="13"/>
        <v>631628426.66667008</v>
      </c>
    </row>
    <row r="135" spans="1:8" x14ac:dyDescent="0.25">
      <c r="A135" s="10">
        <v>47724</v>
      </c>
      <c r="B135" s="11" t="s">
        <v>3061</v>
      </c>
      <c r="C135" s="12">
        <v>39476776.666666664</v>
      </c>
      <c r="D135" s="294">
        <f t="shared" si="11"/>
        <v>3684499.1555555761</v>
      </c>
      <c r="E135" s="12"/>
      <c r="F135" s="12"/>
      <c r="G135" s="294">
        <f t="shared" si="12"/>
        <v>39476776.666666664</v>
      </c>
      <c r="H135" s="13">
        <f t="shared" si="13"/>
        <v>592151650.00000346</v>
      </c>
    </row>
    <row r="136" spans="1:8" x14ac:dyDescent="0.25">
      <c r="A136" s="10">
        <v>47755</v>
      </c>
      <c r="B136" s="11" t="s">
        <v>3061</v>
      </c>
      <c r="C136" s="12">
        <v>39476776.666666664</v>
      </c>
      <c r="D136" s="294">
        <f t="shared" si="11"/>
        <v>3454217.958333354</v>
      </c>
      <c r="E136" s="12"/>
      <c r="F136" s="12"/>
      <c r="G136" s="294">
        <f t="shared" si="12"/>
        <v>39476776.666666664</v>
      </c>
      <c r="H136" s="13">
        <f t="shared" si="13"/>
        <v>552674873.33333683</v>
      </c>
    </row>
    <row r="137" spans="1:8" x14ac:dyDescent="0.25">
      <c r="A137" s="10">
        <v>47785</v>
      </c>
      <c r="B137" s="11" t="s">
        <v>3061</v>
      </c>
      <c r="C137" s="12">
        <v>39476776.666666664</v>
      </c>
      <c r="D137" s="294">
        <f t="shared" si="11"/>
        <v>3223936.7611111319</v>
      </c>
      <c r="E137" s="12"/>
      <c r="F137" s="12"/>
      <c r="G137" s="294">
        <f t="shared" si="12"/>
        <v>39476776.666666664</v>
      </c>
      <c r="H137" s="13">
        <f t="shared" si="13"/>
        <v>513198096.66667014</v>
      </c>
    </row>
    <row r="138" spans="1:8" x14ac:dyDescent="0.25">
      <c r="A138" s="10">
        <v>47816</v>
      </c>
      <c r="B138" s="11" t="s">
        <v>3061</v>
      </c>
      <c r="C138" s="12">
        <v>39476776.666666664</v>
      </c>
      <c r="D138" s="294">
        <f t="shared" si="11"/>
        <v>2993655.5638889093</v>
      </c>
      <c r="E138" s="12"/>
      <c r="F138" s="12"/>
      <c r="G138" s="294">
        <f t="shared" si="12"/>
        <v>39476776.666666664</v>
      </c>
      <c r="H138" s="13">
        <f t="shared" si="13"/>
        <v>473721320.00000346</v>
      </c>
    </row>
    <row r="139" spans="1:8" x14ac:dyDescent="0.25">
      <c r="A139" s="10">
        <v>47846</v>
      </c>
      <c r="B139" s="11" t="s">
        <v>3061</v>
      </c>
      <c r="C139" s="12">
        <v>39476776.666666664</v>
      </c>
      <c r="D139" s="294">
        <f t="shared" si="11"/>
        <v>2763374.3666666872</v>
      </c>
      <c r="E139" s="12"/>
      <c r="F139" s="12"/>
      <c r="G139" s="294">
        <f t="shared" si="12"/>
        <v>39476776.666666664</v>
      </c>
      <c r="H139" s="13">
        <f t="shared" si="13"/>
        <v>434244543.33333677</v>
      </c>
    </row>
    <row r="140" spans="1:8" x14ac:dyDescent="0.25">
      <c r="A140" s="10">
        <v>47877</v>
      </c>
      <c r="B140" s="11" t="s">
        <v>3061</v>
      </c>
      <c r="C140" s="12">
        <v>39476776.666666664</v>
      </c>
      <c r="D140" s="294">
        <f t="shared" ref="D140:D150" si="14">H139*$H$168*H$167/360</f>
        <v>2533093.1694444646</v>
      </c>
      <c r="E140" s="12"/>
      <c r="F140" s="12"/>
      <c r="G140" s="294">
        <f t="shared" si="12"/>
        <v>39476776.666666664</v>
      </c>
      <c r="H140" s="13">
        <f t="shared" si="13"/>
        <v>394767766.66667008</v>
      </c>
    </row>
    <row r="141" spans="1:8" x14ac:dyDescent="0.25">
      <c r="A141" s="10">
        <v>47907</v>
      </c>
      <c r="B141" s="11" t="s">
        <v>3061</v>
      </c>
      <c r="C141" s="12">
        <v>39476776.666666664</v>
      </c>
      <c r="D141" s="294">
        <f t="shared" si="14"/>
        <v>2302811.9722222425</v>
      </c>
      <c r="E141" s="12"/>
      <c r="F141" s="12"/>
      <c r="G141" s="294">
        <f t="shared" si="12"/>
        <v>39476776.666666664</v>
      </c>
      <c r="H141" s="13">
        <f t="shared" si="13"/>
        <v>355290990.0000034</v>
      </c>
    </row>
    <row r="142" spans="1:8" x14ac:dyDescent="0.25">
      <c r="A142" s="10">
        <v>47936</v>
      </c>
      <c r="B142" s="11" t="s">
        <v>3061</v>
      </c>
      <c r="C142" s="12">
        <v>39476776.666666664</v>
      </c>
      <c r="D142" s="294">
        <f t="shared" si="14"/>
        <v>2072530.7750000199</v>
      </c>
      <c r="E142" s="12"/>
      <c r="F142" s="12"/>
      <c r="G142" s="294">
        <f t="shared" si="12"/>
        <v>39476776.666666664</v>
      </c>
      <c r="H142" s="13">
        <f t="shared" si="13"/>
        <v>315814213.33333671</v>
      </c>
    </row>
    <row r="143" spans="1:8" x14ac:dyDescent="0.25">
      <c r="A143" s="10">
        <v>47967</v>
      </c>
      <c r="B143" s="11" t="s">
        <v>3061</v>
      </c>
      <c r="C143" s="12">
        <v>39476776.666666664</v>
      </c>
      <c r="D143" s="294">
        <f t="shared" si="14"/>
        <v>1842249.5777777976</v>
      </c>
      <c r="E143" s="12"/>
      <c r="F143" s="12"/>
      <c r="G143" s="294">
        <f t="shared" si="12"/>
        <v>39476776.666666664</v>
      </c>
      <c r="H143" s="13">
        <f t="shared" si="13"/>
        <v>276337436.66667002</v>
      </c>
    </row>
    <row r="144" spans="1:8" x14ac:dyDescent="0.25">
      <c r="A144" s="10">
        <v>47997</v>
      </c>
      <c r="B144" s="11" t="s">
        <v>3061</v>
      </c>
      <c r="C144" s="12">
        <v>39476776.666666664</v>
      </c>
      <c r="D144" s="294">
        <f t="shared" si="14"/>
        <v>1611968.3805555755</v>
      </c>
      <c r="E144" s="12"/>
      <c r="F144" s="12"/>
      <c r="G144" s="294">
        <f t="shared" si="12"/>
        <v>39476776.666666664</v>
      </c>
      <c r="H144" s="13">
        <f t="shared" si="13"/>
        <v>236860660.00000337</v>
      </c>
    </row>
    <row r="145" spans="1:18" x14ac:dyDescent="0.25">
      <c r="A145" s="10">
        <v>48028</v>
      </c>
      <c r="B145" s="11" t="s">
        <v>3061</v>
      </c>
      <c r="C145" s="12">
        <v>39476776.666666664</v>
      </c>
      <c r="D145" s="294">
        <f t="shared" si="14"/>
        <v>1381687.1833333531</v>
      </c>
      <c r="E145" s="12"/>
      <c r="F145" s="12"/>
      <c r="G145" s="294">
        <f t="shared" si="12"/>
        <v>39476776.666666664</v>
      </c>
      <c r="H145" s="13">
        <f t="shared" si="13"/>
        <v>197383883.33333671</v>
      </c>
    </row>
    <row r="146" spans="1:18" x14ac:dyDescent="0.25">
      <c r="A146" s="10">
        <v>48058</v>
      </c>
      <c r="B146" s="11" t="s">
        <v>3061</v>
      </c>
      <c r="C146" s="12">
        <v>39476776.666666664</v>
      </c>
      <c r="D146" s="294">
        <f t="shared" si="14"/>
        <v>1151405.9861111308</v>
      </c>
      <c r="E146" s="12"/>
      <c r="F146" s="12"/>
      <c r="G146" s="294">
        <f t="shared" si="12"/>
        <v>39476776.666666664</v>
      </c>
      <c r="H146" s="13">
        <f t="shared" si="13"/>
        <v>157907106.66667005</v>
      </c>
    </row>
    <row r="147" spans="1:18" x14ac:dyDescent="0.25">
      <c r="A147" s="10">
        <v>48089</v>
      </c>
      <c r="B147" s="11" t="s">
        <v>3061</v>
      </c>
      <c r="C147" s="12">
        <v>39476776.666666664</v>
      </c>
      <c r="D147" s="294">
        <f t="shared" si="14"/>
        <v>921124.78888890881</v>
      </c>
      <c r="E147" s="12"/>
      <c r="F147" s="12"/>
      <c r="G147" s="294">
        <f t="shared" si="12"/>
        <v>39476776.666666664</v>
      </c>
      <c r="H147" s="13">
        <f t="shared" si="13"/>
        <v>118430330.0000034</v>
      </c>
    </row>
    <row r="148" spans="1:18" x14ac:dyDescent="0.25">
      <c r="A148" s="10">
        <v>48120</v>
      </c>
      <c r="B148" s="11" t="s">
        <v>3061</v>
      </c>
      <c r="C148" s="12">
        <v>39476776.666666664</v>
      </c>
      <c r="D148" s="294">
        <f t="shared" si="14"/>
        <v>690843.59166668658</v>
      </c>
      <c r="E148" s="12"/>
      <c r="F148" s="12"/>
      <c r="G148" s="294">
        <f t="shared" si="12"/>
        <v>39476776.666666664</v>
      </c>
      <c r="H148" s="13">
        <f t="shared" si="13"/>
        <v>78953553.333336741</v>
      </c>
    </row>
    <row r="149" spans="1:18" x14ac:dyDescent="0.25">
      <c r="A149" s="10">
        <v>48150</v>
      </c>
      <c r="B149" s="11" t="s">
        <v>3061</v>
      </c>
      <c r="C149" s="12">
        <v>39476776.666666664</v>
      </c>
      <c r="D149" s="294">
        <f t="shared" si="14"/>
        <v>460562.39444446441</v>
      </c>
      <c r="E149" s="12"/>
      <c r="F149" s="12"/>
      <c r="G149" s="294">
        <f t="shared" si="12"/>
        <v>39476776.666666664</v>
      </c>
      <c r="H149" s="13">
        <f t="shared" si="13"/>
        <v>39476776.666670077</v>
      </c>
    </row>
    <row r="150" spans="1:18" x14ac:dyDescent="0.25">
      <c r="A150" s="10">
        <v>48181</v>
      </c>
      <c r="B150" s="11" t="s">
        <v>3061</v>
      </c>
      <c r="C150" s="12">
        <v>39476776.666666664</v>
      </c>
      <c r="D150" s="294">
        <f t="shared" si="14"/>
        <v>230281.19722224213</v>
      </c>
      <c r="E150" s="12"/>
      <c r="F150" s="12"/>
      <c r="G150" s="294">
        <f t="shared" si="12"/>
        <v>39476776.666666664</v>
      </c>
      <c r="H150" s="13">
        <f t="shared" si="13"/>
        <v>3.4123659133911133E-6</v>
      </c>
    </row>
    <row r="151" spans="1:18" x14ac:dyDescent="0.25">
      <c r="A151" s="15"/>
      <c r="B151" s="16" t="s">
        <v>11</v>
      </c>
      <c r="C151" s="17">
        <f>SUM(C6:C150)</f>
        <v>4737213199.9999971</v>
      </c>
      <c r="D151" s="17">
        <f>SUM(D6:D150)</f>
        <v>2154713528.6646686</v>
      </c>
      <c r="E151" s="17">
        <f>+SUM(E7:E11)+SUM(E18:E150)</f>
        <v>164701060.07699996</v>
      </c>
      <c r="F151" s="17">
        <f>+SUM(F18:F150)</f>
        <v>130757506</v>
      </c>
      <c r="G151" s="17">
        <f>SUM(G7:G150)</f>
        <v>5032671766.0769987</v>
      </c>
      <c r="H151" s="17">
        <f>SUM(H7:H150)</f>
        <v>395557302200</v>
      </c>
    </row>
    <row r="152" spans="1:18" x14ac:dyDescent="0.25">
      <c r="A152" s="389"/>
      <c r="B152" s="390"/>
      <c r="C152" s="391"/>
      <c r="D152" s="391"/>
      <c r="E152" s="391"/>
      <c r="F152" s="391"/>
      <c r="G152" s="391"/>
      <c r="H152" s="392"/>
    </row>
    <row r="153" spans="1:18" x14ac:dyDescent="0.25">
      <c r="A153" s="389"/>
      <c r="B153" s="390"/>
      <c r="C153" s="391"/>
      <c r="D153" s="391"/>
      <c r="E153" s="391"/>
      <c r="F153" s="391"/>
      <c r="G153" s="391"/>
      <c r="H153" s="392"/>
    </row>
    <row r="154" spans="1:18" x14ac:dyDescent="0.25">
      <c r="A154" s="389"/>
      <c r="B154" s="390"/>
      <c r="C154" s="391"/>
      <c r="D154" s="391"/>
      <c r="E154" s="391"/>
      <c r="F154" s="391"/>
      <c r="G154" s="391"/>
      <c r="H154" s="392"/>
    </row>
    <row r="155" spans="1:18" x14ac:dyDescent="0.25">
      <c r="A155" s="313" t="s">
        <v>42</v>
      </c>
      <c r="B155" s="314"/>
      <c r="C155" s="20"/>
      <c r="D155" s="20"/>
      <c r="E155" s="20"/>
      <c r="F155" s="20"/>
      <c r="G155" s="20"/>
      <c r="H155" s="20"/>
    </row>
    <row r="156" spans="1:18" x14ac:dyDescent="0.25">
      <c r="A156" s="39" t="s">
        <v>3041</v>
      </c>
      <c r="B156" s="315" t="s">
        <v>3054</v>
      </c>
      <c r="C156" s="315" t="s">
        <v>3109</v>
      </c>
      <c r="D156" s="315" t="s">
        <v>3038</v>
      </c>
      <c r="E156" s="315" t="s">
        <v>3039</v>
      </c>
      <c r="F156" s="315" t="s">
        <v>3040</v>
      </c>
      <c r="G156" s="454" t="s">
        <v>3064</v>
      </c>
      <c r="H156" s="454" t="s">
        <v>3110</v>
      </c>
      <c r="I156" s="454" t="s">
        <v>3111</v>
      </c>
      <c r="J156" s="454" t="s">
        <v>3114</v>
      </c>
      <c r="K156" s="454" t="s">
        <v>3128</v>
      </c>
      <c r="L156" s="394"/>
      <c r="M156" s="394"/>
      <c r="N156" s="394"/>
      <c r="O156" s="394"/>
      <c r="P156" s="80"/>
      <c r="Q156" s="80"/>
      <c r="R156" s="80"/>
    </row>
    <row r="157" spans="1:18" ht="25.5" x14ac:dyDescent="0.25">
      <c r="A157" s="39" t="s">
        <v>3009</v>
      </c>
      <c r="B157" s="160">
        <v>4.1180000000000001E-2</v>
      </c>
      <c r="C157" s="88">
        <v>4.113E-2</v>
      </c>
      <c r="D157" s="160">
        <v>4.1140000000000003E-2</v>
      </c>
      <c r="E157" s="88">
        <v>4.1140000000000003E-2</v>
      </c>
      <c r="F157" s="88">
        <v>4.1230000000000003E-2</v>
      </c>
      <c r="G157" s="455">
        <v>3.458E-2</v>
      </c>
      <c r="H157" s="455">
        <v>2.945E-2</v>
      </c>
      <c r="I157" s="455">
        <v>2.5499999999999998E-2</v>
      </c>
      <c r="J157" s="455">
        <v>2.3140000000000001E-2</v>
      </c>
      <c r="K157" s="455">
        <v>2.086E-2</v>
      </c>
      <c r="L157" s="395"/>
      <c r="M157" s="395"/>
      <c r="N157" s="395"/>
      <c r="O157" s="395"/>
      <c r="P157" s="80"/>
      <c r="Q157" s="80"/>
      <c r="R157" s="80"/>
    </row>
    <row r="158" spans="1:18" x14ac:dyDescent="0.25">
      <c r="A158" s="39" t="s">
        <v>370</v>
      </c>
      <c r="B158" s="88">
        <v>0.02</v>
      </c>
      <c r="C158" s="88">
        <v>0.02</v>
      </c>
      <c r="D158" s="88">
        <v>0.02</v>
      </c>
      <c r="E158" s="88">
        <v>0.02</v>
      </c>
      <c r="F158" s="88">
        <v>0.02</v>
      </c>
      <c r="G158" s="455">
        <v>0.02</v>
      </c>
      <c r="H158" s="455">
        <v>0.02</v>
      </c>
      <c r="I158" s="455">
        <v>0.02</v>
      </c>
      <c r="J158" s="455">
        <v>0.02</v>
      </c>
      <c r="K158" s="455">
        <v>0.02</v>
      </c>
      <c r="L158" s="396"/>
      <c r="M158" s="396"/>
      <c r="N158" s="396"/>
      <c r="O158" s="396"/>
      <c r="P158" s="80"/>
      <c r="Q158" s="80"/>
      <c r="R158" s="80"/>
    </row>
    <row r="159" spans="1:18" x14ac:dyDescent="0.25">
      <c r="A159" s="39" t="s">
        <v>377</v>
      </c>
      <c r="B159" s="296">
        <v>30</v>
      </c>
      <c r="C159" s="67">
        <v>30</v>
      </c>
      <c r="D159" s="67">
        <v>30</v>
      </c>
      <c r="E159" s="67">
        <v>30</v>
      </c>
      <c r="F159" s="67">
        <v>30</v>
      </c>
      <c r="G159" s="456">
        <v>30</v>
      </c>
      <c r="H159" s="456">
        <v>30</v>
      </c>
      <c r="I159" s="456">
        <v>30</v>
      </c>
      <c r="J159" s="456">
        <v>30</v>
      </c>
      <c r="K159" s="456">
        <v>30</v>
      </c>
      <c r="L159" s="397"/>
      <c r="M159" s="397"/>
      <c r="N159" s="397"/>
      <c r="O159" s="397"/>
      <c r="P159" s="80"/>
      <c r="Q159" s="80"/>
      <c r="R159" s="80"/>
    </row>
    <row r="160" spans="1:18" x14ac:dyDescent="0.25">
      <c r="A160" s="39" t="s">
        <v>2973</v>
      </c>
      <c r="B160" s="398">
        <f>B157+B158</f>
        <v>6.1179999999999998E-2</v>
      </c>
      <c r="C160" s="400">
        <f>C157+C158</f>
        <v>6.1130000000000004E-2</v>
      </c>
      <c r="D160" s="399">
        <f t="shared" ref="D160:I160" si="15">D157+D158</f>
        <v>6.114E-2</v>
      </c>
      <c r="E160" s="400">
        <f t="shared" si="15"/>
        <v>6.114E-2</v>
      </c>
      <c r="F160" s="400">
        <f t="shared" si="15"/>
        <v>6.1230000000000007E-2</v>
      </c>
      <c r="G160" s="457">
        <f t="shared" si="15"/>
        <v>5.4580000000000004E-2</v>
      </c>
      <c r="H160" s="457">
        <f t="shared" si="15"/>
        <v>4.9450000000000001E-2</v>
      </c>
      <c r="I160" s="457">
        <f t="shared" si="15"/>
        <v>4.5499999999999999E-2</v>
      </c>
      <c r="J160" s="457">
        <f>J157+J158</f>
        <v>4.3139999999999998E-2</v>
      </c>
      <c r="K160" s="457">
        <f>K157+K158</f>
        <v>4.086E-2</v>
      </c>
      <c r="L160" s="401"/>
      <c r="M160" s="401"/>
      <c r="N160" s="401"/>
      <c r="O160" s="401"/>
      <c r="P160" s="80"/>
      <c r="Q160" s="80"/>
      <c r="R160" s="80"/>
    </row>
    <row r="161" spans="1:18" x14ac:dyDescent="0.25">
      <c r="A161" s="39" t="s">
        <v>3010</v>
      </c>
      <c r="B161" s="398">
        <f>EFFECT(B157+B158,4)</f>
        <v>6.2597989143721389E-2</v>
      </c>
      <c r="C161" s="400">
        <f>EFFECT(C160,4)</f>
        <v>6.2545660590653807E-2</v>
      </c>
      <c r="D161" s="398">
        <f t="shared" ref="D161:K161" si="16">EFFECT(D157+D158,4)</f>
        <v>6.255612614664563E-2</v>
      </c>
      <c r="E161" s="398">
        <f t="shared" si="16"/>
        <v>6.255612614664563E-2</v>
      </c>
      <c r="F161" s="398">
        <f t="shared" si="16"/>
        <v>6.2650319629583784E-2</v>
      </c>
      <c r="G161" s="461">
        <f t="shared" si="16"/>
        <v>5.5707312848480184E-2</v>
      </c>
      <c r="H161" s="461">
        <f t="shared" si="16"/>
        <v>5.0374569307978012E-2</v>
      </c>
      <c r="I161" s="461">
        <f t="shared" si="16"/>
        <v>4.6282247765370821E-2</v>
      </c>
      <c r="J161" s="461">
        <f t="shared" si="16"/>
        <v>4.3842928761410827E-2</v>
      </c>
      <c r="K161" s="461">
        <f t="shared" si="16"/>
        <v>4.1490351824888805E-2</v>
      </c>
      <c r="L161" s="402"/>
      <c r="M161" s="402"/>
      <c r="N161" s="402"/>
      <c r="O161" s="402"/>
      <c r="P161" s="80"/>
      <c r="Q161" s="80"/>
      <c r="R161" s="80"/>
    </row>
    <row r="162" spans="1:18" x14ac:dyDescent="0.25">
      <c r="A162" s="43" t="s">
        <v>39</v>
      </c>
      <c r="B162" s="44">
        <f>E7</f>
        <v>24151891.964666665</v>
      </c>
      <c r="C162" s="44">
        <f>E$8</f>
        <v>24132153.576333333</v>
      </c>
      <c r="D162" s="44">
        <f>E$9</f>
        <v>24136101.253999997</v>
      </c>
      <c r="E162" s="44">
        <f>+E10</f>
        <v>24136101.253999997</v>
      </c>
      <c r="F162" s="44">
        <f>+E11</f>
        <v>24171630.353000004</v>
      </c>
      <c r="G162" s="458">
        <f>+E12</f>
        <v>21546424.70466667</v>
      </c>
      <c r="H162" s="458">
        <f>+E13</f>
        <v>19521266.061666667</v>
      </c>
      <c r="I162" s="458">
        <f>+E14</f>
        <v>17961933.383333333</v>
      </c>
      <c r="J162" s="458">
        <f>+E15</f>
        <v>17030281.454</v>
      </c>
      <c r="K162" s="458">
        <f>+E16</f>
        <v>16130210.945999999</v>
      </c>
      <c r="L162" s="403"/>
      <c r="M162" s="403"/>
      <c r="N162" s="403"/>
      <c r="O162" s="403"/>
      <c r="P162" s="136"/>
      <c r="Q162" s="404"/>
      <c r="R162" s="80"/>
    </row>
    <row r="163" spans="1:18" x14ac:dyDescent="0.25">
      <c r="B163" s="232"/>
      <c r="J163" s="80"/>
      <c r="K163" s="80"/>
      <c r="L163" s="80"/>
      <c r="M163" s="80"/>
      <c r="N163" s="80"/>
      <c r="O163" s="80"/>
      <c r="P163" s="80"/>
      <c r="Q163" s="405"/>
      <c r="R163" s="80"/>
    </row>
    <row r="164" spans="1:18" x14ac:dyDescent="0.25">
      <c r="A164" s="39" t="s">
        <v>3041</v>
      </c>
      <c r="B164" s="454" t="s">
        <v>3129</v>
      </c>
      <c r="C164" s="315" t="s">
        <v>3130</v>
      </c>
      <c r="D164" s="315" t="s">
        <v>3138</v>
      </c>
      <c r="E164" s="315" t="s">
        <v>3168</v>
      </c>
      <c r="F164" s="315" t="s">
        <v>3148</v>
      </c>
      <c r="G164" s="315" t="s">
        <v>3149</v>
      </c>
      <c r="H164" s="315" t="s">
        <v>3150</v>
      </c>
      <c r="J164" s="80"/>
      <c r="K164" s="80"/>
      <c r="L164" s="80"/>
      <c r="M164" s="80"/>
      <c r="N164" s="80"/>
      <c r="O164" s="80"/>
      <c r="P164" s="80"/>
      <c r="Q164" s="80"/>
    </row>
    <row r="165" spans="1:18" x14ac:dyDescent="0.25">
      <c r="A165" s="39" t="s">
        <v>3153</v>
      </c>
      <c r="B165" s="455">
        <v>1.9189999999999999E-2</v>
      </c>
      <c r="C165" s="88">
        <v>1.711E-2</v>
      </c>
      <c r="D165" s="88">
        <v>1.7139999999999999E-2</v>
      </c>
      <c r="E165" s="88">
        <v>1.7139999999999999E-2</v>
      </c>
      <c r="F165" s="88">
        <v>0.04</v>
      </c>
      <c r="G165" s="88">
        <v>4.4999999999999998E-2</v>
      </c>
      <c r="H165" s="88">
        <v>0.05</v>
      </c>
      <c r="J165" s="80"/>
      <c r="K165" s="80"/>
      <c r="L165" s="80"/>
      <c r="M165" s="80"/>
      <c r="N165" s="80"/>
      <c r="O165" s="80"/>
      <c r="P165" s="80"/>
      <c r="Q165" s="80"/>
    </row>
    <row r="166" spans="1:18" x14ac:dyDescent="0.25">
      <c r="A166" s="39" t="s">
        <v>370</v>
      </c>
      <c r="B166" s="455">
        <v>0.02</v>
      </c>
      <c r="C166" s="88">
        <v>0.02</v>
      </c>
      <c r="D166" s="88">
        <v>0.02</v>
      </c>
      <c r="E166" s="88">
        <v>0.02</v>
      </c>
      <c r="F166" s="88">
        <v>0.02</v>
      </c>
      <c r="G166" s="88">
        <v>0.02</v>
      </c>
      <c r="H166" s="88">
        <v>0.02</v>
      </c>
      <c r="J166" s="80"/>
      <c r="K166" s="80"/>
      <c r="L166" s="80"/>
      <c r="M166" s="80"/>
      <c r="N166" s="80"/>
      <c r="O166" s="80"/>
      <c r="P166" s="405"/>
      <c r="Q166" s="80"/>
    </row>
    <row r="167" spans="1:18" x14ac:dyDescent="0.25">
      <c r="A167" s="39" t="s">
        <v>377</v>
      </c>
      <c r="B167" s="456">
        <v>30</v>
      </c>
      <c r="C167" s="67">
        <v>30</v>
      </c>
      <c r="D167" s="67">
        <v>30</v>
      </c>
      <c r="E167" s="67">
        <v>30</v>
      </c>
      <c r="F167" s="67">
        <v>30</v>
      </c>
      <c r="G167" s="67">
        <v>30</v>
      </c>
      <c r="H167" s="67">
        <v>30</v>
      </c>
      <c r="J167" s="80"/>
      <c r="K167" s="80"/>
      <c r="L167" s="80"/>
      <c r="M167" s="80"/>
      <c r="N167" s="80"/>
      <c r="O167" s="80"/>
      <c r="P167" s="80"/>
      <c r="Q167" s="80"/>
    </row>
    <row r="168" spans="1:18" x14ac:dyDescent="0.25">
      <c r="A168" s="39" t="s">
        <v>3152</v>
      </c>
      <c r="B168" s="457">
        <f>B165+B166</f>
        <v>3.9190000000000003E-2</v>
      </c>
      <c r="C168" s="400">
        <f>C165+C166</f>
        <v>3.7110000000000004E-2</v>
      </c>
      <c r="D168" s="467">
        <f>D165+D166</f>
        <v>3.7139999999999999E-2</v>
      </c>
      <c r="E168" s="467">
        <f t="shared" ref="E168" si="17">E165+E166</f>
        <v>3.7139999999999999E-2</v>
      </c>
      <c r="F168" s="467">
        <f t="shared" ref="F168:H168" si="18">F165+F166</f>
        <v>0.06</v>
      </c>
      <c r="G168" s="467">
        <f t="shared" si="18"/>
        <v>6.5000000000000002E-2</v>
      </c>
      <c r="H168" s="467">
        <f t="shared" si="18"/>
        <v>7.0000000000000007E-2</v>
      </c>
      <c r="J168" s="80"/>
      <c r="K168" s="80"/>
      <c r="L168" s="80"/>
      <c r="M168" s="80"/>
      <c r="N168" s="80"/>
      <c r="O168" s="80"/>
      <c r="P168" s="80"/>
      <c r="Q168" s="80"/>
    </row>
    <row r="169" spans="1:18" x14ac:dyDescent="0.25">
      <c r="A169" s="39" t="s">
        <v>3010</v>
      </c>
      <c r="B169" s="461">
        <f>EFFECT(B165+B166,4)</f>
        <v>3.9769717139307659E-2</v>
      </c>
      <c r="C169" s="398">
        <f>EFFECT(C165+C166,4)</f>
        <v>3.7629633578042609E-2</v>
      </c>
      <c r="D169" s="468">
        <f>EFFECT(D165+D166,4)</f>
        <v>3.7660476667271681E-2</v>
      </c>
      <c r="E169" s="468">
        <f t="shared" ref="E169" si="19">EFFECT(E165+E166,4)</f>
        <v>3.7660476667271681E-2</v>
      </c>
      <c r="F169" s="468">
        <f t="shared" ref="F169:H169" si="20">EFFECT(F165+F166,4)</f>
        <v>6.136355062499943E-2</v>
      </c>
      <c r="G169" s="468">
        <f t="shared" si="20"/>
        <v>6.6601608791504452E-2</v>
      </c>
      <c r="H169" s="468">
        <f t="shared" si="20"/>
        <v>7.1859031289062791E-2</v>
      </c>
    </row>
    <row r="170" spans="1:18" x14ac:dyDescent="0.25">
      <c r="A170" s="43" t="s">
        <v>39</v>
      </c>
      <c r="B170" s="458">
        <f>+E17</f>
        <v>15470948.775666665</v>
      </c>
      <c r="C170" s="44">
        <f>+E18</f>
        <v>14649831.821</v>
      </c>
      <c r="D170" s="44">
        <f>+E19</f>
        <v>14661674.853999998</v>
      </c>
      <c r="E170" s="44">
        <f>+E20</f>
        <v>14661675</v>
      </c>
      <c r="F170" s="44"/>
      <c r="G170" s="44"/>
      <c r="H170" s="44"/>
    </row>
  </sheetData>
  <mergeCells count="4">
    <mergeCell ref="A1:H1"/>
    <mergeCell ref="A2:H2"/>
    <mergeCell ref="A3:H3"/>
    <mergeCell ref="A4:H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7030A0"/>
  </sheetPr>
  <dimension ref="A1:R169"/>
  <sheetViews>
    <sheetView zoomScale="90" zoomScaleNormal="90" workbookViewId="0">
      <selection activeCell="E10" sqref="E10"/>
    </sheetView>
  </sheetViews>
  <sheetFormatPr baseColWidth="10" defaultColWidth="11.5703125" defaultRowHeight="15" x14ac:dyDescent="0.25"/>
  <cols>
    <col min="1" max="1" width="15" customWidth="1"/>
    <col min="2" max="2" width="19" customWidth="1"/>
    <col min="3" max="3" width="18.5703125" customWidth="1"/>
    <col min="4" max="4" width="16.28515625" customWidth="1"/>
    <col min="5" max="5" width="19"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4" x14ac:dyDescent="0.25">
      <c r="A1" s="511" t="s">
        <v>2</v>
      </c>
      <c r="B1" s="512"/>
      <c r="C1" s="512"/>
      <c r="D1" s="512"/>
      <c r="E1" s="512"/>
      <c r="F1" s="512"/>
      <c r="G1" s="512"/>
    </row>
    <row r="2" spans="1:14" x14ac:dyDescent="0.25">
      <c r="A2" s="511" t="s">
        <v>3123</v>
      </c>
      <c r="B2" s="512"/>
      <c r="C2" s="512"/>
      <c r="D2" s="512"/>
      <c r="E2" s="512"/>
      <c r="F2" s="512"/>
      <c r="G2" s="512"/>
    </row>
    <row r="3" spans="1:14" x14ac:dyDescent="0.25">
      <c r="A3" s="511" t="s">
        <v>3124</v>
      </c>
      <c r="B3" s="512"/>
      <c r="C3" s="512"/>
      <c r="D3" s="512"/>
      <c r="E3" s="512"/>
      <c r="F3" s="512"/>
      <c r="G3" s="512"/>
    </row>
    <row r="4" spans="1:14" ht="15.75" thickBot="1" x14ac:dyDescent="0.3">
      <c r="A4" s="515" t="s">
        <v>3125</v>
      </c>
      <c r="B4" s="516"/>
      <c r="C4" s="516"/>
      <c r="D4" s="516"/>
      <c r="E4" s="516"/>
      <c r="F4" s="516"/>
      <c r="G4" s="516"/>
    </row>
    <row r="5" spans="1:14" ht="60.75" thickBot="1" x14ac:dyDescent="0.3">
      <c r="A5" s="103" t="s">
        <v>5</v>
      </c>
      <c r="B5" s="2" t="s">
        <v>6</v>
      </c>
      <c r="C5" s="3" t="s">
        <v>7</v>
      </c>
      <c r="D5" s="3" t="s">
        <v>40</v>
      </c>
      <c r="E5" s="3" t="s">
        <v>41</v>
      </c>
      <c r="F5" s="4" t="s">
        <v>3058</v>
      </c>
      <c r="G5" s="5" t="s">
        <v>8</v>
      </c>
    </row>
    <row r="6" spans="1:14" x14ac:dyDescent="0.25">
      <c r="A6" s="6">
        <v>44071</v>
      </c>
      <c r="B6" s="7" t="s">
        <v>359</v>
      </c>
      <c r="C6" s="8">
        <v>0</v>
      </c>
      <c r="D6" s="8">
        <v>0</v>
      </c>
      <c r="E6" s="8"/>
      <c r="F6" s="8"/>
      <c r="G6" s="9">
        <v>568290347</v>
      </c>
      <c r="H6" s="54"/>
    </row>
    <row r="7" spans="1:14" s="106" customFormat="1" x14ac:dyDescent="0.25">
      <c r="A7" s="329">
        <f>+A6+31</f>
        <v>44102</v>
      </c>
      <c r="B7" s="297" t="s">
        <v>9</v>
      </c>
      <c r="C7" s="294">
        <v>0</v>
      </c>
      <c r="D7" s="294">
        <f>G6*$B$160*B$159/360</f>
        <v>1897616.1836908334</v>
      </c>
      <c r="E7" s="294">
        <v>1897616.1836908334</v>
      </c>
      <c r="F7" s="294">
        <f>+C7+E7</f>
        <v>1897616.1836908334</v>
      </c>
      <c r="G7" s="298">
        <f t="shared" ref="G7:G38" si="0">+G6-C7</f>
        <v>568290347</v>
      </c>
      <c r="I7" s="408"/>
    </row>
    <row r="8" spans="1:14" x14ac:dyDescent="0.25">
      <c r="A8" s="10">
        <f>+A7+30</f>
        <v>44132</v>
      </c>
      <c r="B8" s="11" t="s">
        <v>9</v>
      </c>
      <c r="C8" s="12">
        <v>0</v>
      </c>
      <c r="D8" s="294">
        <f>G7*$C$160*C$159/360</f>
        <v>1817581.9598216666</v>
      </c>
      <c r="E8" s="294">
        <v>1817581.9598216666</v>
      </c>
      <c r="F8" s="294">
        <f t="shared" ref="F8:F71" si="1">+C8+E8</f>
        <v>1817581.9598216666</v>
      </c>
      <c r="G8" s="13">
        <f t="shared" si="0"/>
        <v>568290347</v>
      </c>
      <c r="H8" s="54"/>
      <c r="I8" s="76"/>
      <c r="J8" s="76"/>
    </row>
    <row r="9" spans="1:14" x14ac:dyDescent="0.25">
      <c r="A9" s="10">
        <f>+A8+31</f>
        <v>44163</v>
      </c>
      <c r="B9" s="11" t="s">
        <v>9</v>
      </c>
      <c r="C9" s="12">
        <v>0</v>
      </c>
      <c r="D9" s="294">
        <f>G8*$D$160*D$159/360</f>
        <v>1760752.9251216671</v>
      </c>
      <c r="E9" s="294">
        <v>1760752.9251216671</v>
      </c>
      <c r="F9" s="294">
        <f t="shared" si="1"/>
        <v>1760752.9251216671</v>
      </c>
      <c r="G9" s="13">
        <f t="shared" si="0"/>
        <v>568290347</v>
      </c>
    </row>
    <row r="10" spans="1:14" x14ac:dyDescent="0.25">
      <c r="A10" s="10">
        <f>+A9+30</f>
        <v>44193</v>
      </c>
      <c r="B10" s="11" t="s">
        <v>9</v>
      </c>
      <c r="C10" s="12">
        <v>0</v>
      </c>
      <c r="D10" s="294">
        <f>G9*$E$160*E$159/360</f>
        <v>1758858.623965</v>
      </c>
      <c r="E10" s="294">
        <v>1758858.623965</v>
      </c>
      <c r="F10" s="294">
        <f t="shared" si="1"/>
        <v>1758858.623965</v>
      </c>
      <c r="G10" s="13">
        <f t="shared" si="0"/>
        <v>568290347</v>
      </c>
    </row>
    <row r="11" spans="1:14" x14ac:dyDescent="0.25">
      <c r="A11" s="10">
        <f>+A10+31</f>
        <v>44224</v>
      </c>
      <c r="B11" s="11" t="s">
        <v>9</v>
      </c>
      <c r="C11" s="12">
        <v>0</v>
      </c>
      <c r="D11" s="294">
        <f>G10*$F$160*F$159/360</f>
        <v>1757911.4733866667</v>
      </c>
      <c r="E11" s="294">
        <v>1757911</v>
      </c>
      <c r="F11" s="294">
        <f t="shared" si="1"/>
        <v>1757911</v>
      </c>
      <c r="G11" s="13">
        <f t="shared" si="0"/>
        <v>568290347</v>
      </c>
    </row>
    <row r="12" spans="1:14" x14ac:dyDescent="0.25">
      <c r="A12" s="10">
        <f>+A11+30</f>
        <v>44254</v>
      </c>
      <c r="B12" s="11" t="s">
        <v>9</v>
      </c>
      <c r="C12" s="12">
        <v>0</v>
      </c>
      <c r="D12" s="294">
        <f t="shared" ref="D12:D22" si="2">G11*$G$160*G$159/360</f>
        <v>2841451.7349999999</v>
      </c>
      <c r="E12" s="294"/>
      <c r="F12" s="294">
        <f t="shared" si="1"/>
        <v>0</v>
      </c>
      <c r="G12" s="13">
        <f t="shared" si="0"/>
        <v>568290347</v>
      </c>
    </row>
    <row r="13" spans="1:14" x14ac:dyDescent="0.25">
      <c r="A13" s="10">
        <f>+A12+31</f>
        <v>44285</v>
      </c>
      <c r="B13" s="11" t="s">
        <v>9</v>
      </c>
      <c r="C13" s="12">
        <v>0</v>
      </c>
      <c r="D13" s="294">
        <f t="shared" si="2"/>
        <v>2841451.7349999999</v>
      </c>
      <c r="E13" s="12"/>
      <c r="F13" s="294">
        <f t="shared" si="1"/>
        <v>0</v>
      </c>
      <c r="G13" s="13">
        <f t="shared" si="0"/>
        <v>568290347</v>
      </c>
    </row>
    <row r="14" spans="1:14" x14ac:dyDescent="0.25">
      <c r="A14" s="10">
        <f>+A13+30</f>
        <v>44315</v>
      </c>
      <c r="B14" s="11" t="s">
        <v>9</v>
      </c>
      <c r="C14" s="12">
        <v>0</v>
      </c>
      <c r="D14" s="294">
        <f t="shared" si="2"/>
        <v>2841451.7349999999</v>
      </c>
      <c r="E14" s="12"/>
      <c r="F14" s="294">
        <f t="shared" si="1"/>
        <v>0</v>
      </c>
      <c r="G14" s="13">
        <f t="shared" si="0"/>
        <v>568290347</v>
      </c>
      <c r="M14" s="54"/>
      <c r="N14" s="54"/>
    </row>
    <row r="15" spans="1:14" x14ac:dyDescent="0.25">
      <c r="A15" s="10">
        <f>+A14+31</f>
        <v>44346</v>
      </c>
      <c r="B15" s="11" t="s">
        <v>9</v>
      </c>
      <c r="C15" s="12">
        <v>0</v>
      </c>
      <c r="D15" s="294">
        <f t="shared" si="2"/>
        <v>2841451.7349999999</v>
      </c>
      <c r="E15" s="12"/>
      <c r="F15" s="294">
        <f t="shared" si="1"/>
        <v>0</v>
      </c>
      <c r="G15" s="13">
        <f t="shared" si="0"/>
        <v>568290347</v>
      </c>
    </row>
    <row r="16" spans="1:14" x14ac:dyDescent="0.25">
      <c r="A16" s="10">
        <f>+A15+31</f>
        <v>44377</v>
      </c>
      <c r="B16" s="11" t="s">
        <v>9</v>
      </c>
      <c r="C16" s="12">
        <v>0</v>
      </c>
      <c r="D16" s="294">
        <f t="shared" si="2"/>
        <v>2841451.7349999999</v>
      </c>
      <c r="E16" s="12"/>
      <c r="F16" s="294">
        <f t="shared" si="1"/>
        <v>0</v>
      </c>
      <c r="G16" s="13">
        <f t="shared" si="0"/>
        <v>568290347</v>
      </c>
    </row>
    <row r="17" spans="1:7" x14ac:dyDescent="0.25">
      <c r="A17" s="10">
        <f>+A16+30</f>
        <v>44407</v>
      </c>
      <c r="B17" s="11" t="s">
        <v>9</v>
      </c>
      <c r="C17" s="12">
        <v>0</v>
      </c>
      <c r="D17" s="294">
        <f t="shared" si="2"/>
        <v>2841451.7349999999</v>
      </c>
      <c r="E17" s="12"/>
      <c r="F17" s="294">
        <f t="shared" si="1"/>
        <v>0</v>
      </c>
      <c r="G17" s="13">
        <f t="shared" si="0"/>
        <v>568290347</v>
      </c>
    </row>
    <row r="18" spans="1:7" x14ac:dyDescent="0.25">
      <c r="A18" s="10">
        <f>+A17+31</f>
        <v>44438</v>
      </c>
      <c r="B18" s="11" t="s">
        <v>9</v>
      </c>
      <c r="C18" s="12">
        <v>0</v>
      </c>
      <c r="D18" s="294">
        <f t="shared" si="2"/>
        <v>2841451.7349999999</v>
      </c>
      <c r="E18" s="12"/>
      <c r="F18" s="294">
        <f t="shared" si="1"/>
        <v>0</v>
      </c>
      <c r="G18" s="13">
        <f t="shared" si="0"/>
        <v>568290347</v>
      </c>
    </row>
    <row r="19" spans="1:7" x14ac:dyDescent="0.25">
      <c r="A19" s="10">
        <f>+A18+30</f>
        <v>44468</v>
      </c>
      <c r="B19" s="11" t="s">
        <v>9</v>
      </c>
      <c r="C19" s="12">
        <v>0</v>
      </c>
      <c r="D19" s="294">
        <f t="shared" si="2"/>
        <v>2841451.7349999999</v>
      </c>
      <c r="E19" s="12"/>
      <c r="F19" s="294">
        <f t="shared" si="1"/>
        <v>0</v>
      </c>
      <c r="G19" s="13">
        <f t="shared" si="0"/>
        <v>568290347</v>
      </c>
    </row>
    <row r="20" spans="1:7" x14ac:dyDescent="0.25">
      <c r="A20" s="10">
        <f>+A19+31</f>
        <v>44499</v>
      </c>
      <c r="B20" s="11" t="s">
        <v>9</v>
      </c>
      <c r="C20" s="12">
        <v>0</v>
      </c>
      <c r="D20" s="294">
        <f t="shared" si="2"/>
        <v>2841451.7349999999</v>
      </c>
      <c r="E20" s="12"/>
      <c r="F20" s="294">
        <f t="shared" si="1"/>
        <v>0</v>
      </c>
      <c r="G20" s="13">
        <f t="shared" si="0"/>
        <v>568290347</v>
      </c>
    </row>
    <row r="21" spans="1:7" x14ac:dyDescent="0.25">
      <c r="A21" s="10">
        <f>+A20+31</f>
        <v>44530</v>
      </c>
      <c r="B21" s="11" t="s">
        <v>9</v>
      </c>
      <c r="C21" s="12">
        <v>0</v>
      </c>
      <c r="D21" s="294">
        <f t="shared" si="2"/>
        <v>2841451.7349999999</v>
      </c>
      <c r="E21" s="12"/>
      <c r="F21" s="294">
        <f t="shared" si="1"/>
        <v>0</v>
      </c>
      <c r="G21" s="13">
        <f t="shared" si="0"/>
        <v>568290347</v>
      </c>
    </row>
    <row r="22" spans="1:7" x14ac:dyDescent="0.25">
      <c r="A22" s="10">
        <f>+A21+28</f>
        <v>44558</v>
      </c>
      <c r="B22" s="11" t="s">
        <v>9</v>
      </c>
      <c r="C22" s="12">
        <v>0</v>
      </c>
      <c r="D22" s="294">
        <f t="shared" si="2"/>
        <v>2841451.7349999999</v>
      </c>
      <c r="E22" s="12"/>
      <c r="F22" s="294">
        <f t="shared" si="1"/>
        <v>0</v>
      </c>
      <c r="G22" s="13">
        <f t="shared" si="0"/>
        <v>568290347</v>
      </c>
    </row>
    <row r="23" spans="1:7" x14ac:dyDescent="0.25">
      <c r="A23" s="10">
        <f>+A22+31</f>
        <v>44589</v>
      </c>
      <c r="B23" s="11" t="s">
        <v>9</v>
      </c>
      <c r="C23" s="12">
        <v>0</v>
      </c>
      <c r="D23" s="294">
        <f t="shared" ref="D23:D34" si="3">G22*$H$160*H$159/360</f>
        <v>3078239.3795833336</v>
      </c>
      <c r="E23" s="12"/>
      <c r="F23" s="294">
        <f t="shared" si="1"/>
        <v>0</v>
      </c>
      <c r="G23" s="13">
        <f t="shared" si="0"/>
        <v>568290347</v>
      </c>
    </row>
    <row r="24" spans="1:7" x14ac:dyDescent="0.25">
      <c r="A24" s="10">
        <f>+A23+30</f>
        <v>44619</v>
      </c>
      <c r="B24" s="11" t="s">
        <v>9</v>
      </c>
      <c r="C24" s="12">
        <v>0</v>
      </c>
      <c r="D24" s="294">
        <f t="shared" si="3"/>
        <v>3078239.3795833336</v>
      </c>
      <c r="E24" s="12"/>
      <c r="F24" s="294">
        <f t="shared" si="1"/>
        <v>0</v>
      </c>
      <c r="G24" s="13">
        <f t="shared" si="0"/>
        <v>568290347</v>
      </c>
    </row>
    <row r="25" spans="1:7" x14ac:dyDescent="0.25">
      <c r="A25" s="10">
        <f>+A24+31</f>
        <v>44650</v>
      </c>
      <c r="B25" s="11" t="s">
        <v>9</v>
      </c>
      <c r="C25" s="12">
        <v>0</v>
      </c>
      <c r="D25" s="294">
        <f t="shared" si="3"/>
        <v>3078239.3795833336</v>
      </c>
      <c r="E25" s="12"/>
      <c r="F25" s="294">
        <f t="shared" si="1"/>
        <v>0</v>
      </c>
      <c r="G25" s="13">
        <f t="shared" si="0"/>
        <v>568290347</v>
      </c>
    </row>
    <row r="26" spans="1:7" x14ac:dyDescent="0.25">
      <c r="A26" s="10">
        <f>+A25+30</f>
        <v>44680</v>
      </c>
      <c r="B26" s="11" t="s">
        <v>9</v>
      </c>
      <c r="C26" s="12">
        <v>0</v>
      </c>
      <c r="D26" s="294">
        <f t="shared" si="3"/>
        <v>3078239.3795833336</v>
      </c>
      <c r="E26" s="12"/>
      <c r="F26" s="294">
        <f t="shared" si="1"/>
        <v>0</v>
      </c>
      <c r="G26" s="13">
        <f t="shared" si="0"/>
        <v>568290347</v>
      </c>
    </row>
    <row r="27" spans="1:7" x14ac:dyDescent="0.25">
      <c r="A27" s="10">
        <f>+A26+31</f>
        <v>44711</v>
      </c>
      <c r="B27" s="11" t="s">
        <v>9</v>
      </c>
      <c r="C27" s="12">
        <v>0</v>
      </c>
      <c r="D27" s="294">
        <f t="shared" si="3"/>
        <v>3078239.3795833336</v>
      </c>
      <c r="E27" s="12"/>
      <c r="F27" s="294">
        <f t="shared" si="1"/>
        <v>0</v>
      </c>
      <c r="G27" s="13">
        <f t="shared" si="0"/>
        <v>568290347</v>
      </c>
    </row>
    <row r="28" spans="1:7" x14ac:dyDescent="0.25">
      <c r="A28" s="10">
        <f>+A27+31</f>
        <v>44742</v>
      </c>
      <c r="B28" s="11" t="s">
        <v>9</v>
      </c>
      <c r="C28" s="12">
        <v>0</v>
      </c>
      <c r="D28" s="294">
        <f t="shared" si="3"/>
        <v>3078239.3795833336</v>
      </c>
      <c r="E28" s="12"/>
      <c r="F28" s="294">
        <f t="shared" si="1"/>
        <v>0</v>
      </c>
      <c r="G28" s="13">
        <f t="shared" si="0"/>
        <v>568290347</v>
      </c>
    </row>
    <row r="29" spans="1:7" x14ac:dyDescent="0.25">
      <c r="A29" s="10">
        <v>44772</v>
      </c>
      <c r="B29" s="11" t="s">
        <v>9</v>
      </c>
      <c r="C29" s="12">
        <v>0</v>
      </c>
      <c r="D29" s="294">
        <f t="shared" si="3"/>
        <v>3078239.3795833336</v>
      </c>
      <c r="E29" s="12"/>
      <c r="F29" s="294">
        <f t="shared" si="1"/>
        <v>0</v>
      </c>
      <c r="G29" s="13">
        <f t="shared" si="0"/>
        <v>568290347</v>
      </c>
    </row>
    <row r="30" spans="1:7" x14ac:dyDescent="0.25">
      <c r="A30" s="10">
        <v>44803</v>
      </c>
      <c r="B30" s="11" t="s">
        <v>9</v>
      </c>
      <c r="C30" s="12">
        <v>0</v>
      </c>
      <c r="D30" s="294">
        <f t="shared" si="3"/>
        <v>3078239.3795833336</v>
      </c>
      <c r="E30" s="12"/>
      <c r="F30" s="294">
        <f t="shared" si="1"/>
        <v>0</v>
      </c>
      <c r="G30" s="13">
        <f t="shared" si="0"/>
        <v>568290347</v>
      </c>
    </row>
    <row r="31" spans="1:7" x14ac:dyDescent="0.25">
      <c r="A31" s="10">
        <v>44834</v>
      </c>
      <c r="B31" s="11" t="s">
        <v>3061</v>
      </c>
      <c r="C31" s="12">
        <f>+G13/120</f>
        <v>4735752.8916666666</v>
      </c>
      <c r="D31" s="294">
        <f t="shared" si="3"/>
        <v>3078239.3795833336</v>
      </c>
      <c r="E31" s="12"/>
      <c r="F31" s="294">
        <f>+C31+E31</f>
        <v>4735752.8916666666</v>
      </c>
      <c r="G31" s="13">
        <f t="shared" si="0"/>
        <v>563554594.10833335</v>
      </c>
    </row>
    <row r="32" spans="1:7" x14ac:dyDescent="0.25">
      <c r="A32" s="10">
        <v>44864</v>
      </c>
      <c r="B32" s="11" t="s">
        <v>3061</v>
      </c>
      <c r="C32" s="12">
        <v>4735753</v>
      </c>
      <c r="D32" s="294">
        <f t="shared" si="3"/>
        <v>3052587.3847534722</v>
      </c>
      <c r="E32" s="12"/>
      <c r="F32" s="294">
        <f t="shared" si="1"/>
        <v>4735753</v>
      </c>
      <c r="G32" s="13">
        <f t="shared" si="0"/>
        <v>558818841.10833335</v>
      </c>
    </row>
    <row r="33" spans="1:7" x14ac:dyDescent="0.25">
      <c r="A33" s="10">
        <v>44895</v>
      </c>
      <c r="B33" s="11" t="s">
        <v>3061</v>
      </c>
      <c r="C33" s="12">
        <v>4735753</v>
      </c>
      <c r="D33" s="294">
        <f t="shared" si="3"/>
        <v>3026935.3893368058</v>
      </c>
      <c r="E33" s="12"/>
      <c r="F33" s="294">
        <f t="shared" si="1"/>
        <v>4735753</v>
      </c>
      <c r="G33" s="13">
        <f t="shared" si="0"/>
        <v>554083088.10833335</v>
      </c>
    </row>
    <row r="34" spans="1:7" x14ac:dyDescent="0.25">
      <c r="A34" s="10">
        <v>44925</v>
      </c>
      <c r="B34" s="11" t="s">
        <v>3061</v>
      </c>
      <c r="C34" s="12">
        <v>4735753</v>
      </c>
      <c r="D34" s="294">
        <f t="shared" si="3"/>
        <v>3001283.3939201389</v>
      </c>
      <c r="E34" s="12"/>
      <c r="F34" s="294">
        <f t="shared" si="1"/>
        <v>4735753</v>
      </c>
      <c r="G34" s="13">
        <f t="shared" si="0"/>
        <v>549347335.10833335</v>
      </c>
    </row>
    <row r="35" spans="1:7" x14ac:dyDescent="0.25">
      <c r="A35" s="10">
        <v>44956</v>
      </c>
      <c r="B35" s="11" t="s">
        <v>3061</v>
      </c>
      <c r="C35" s="12">
        <v>4735753</v>
      </c>
      <c r="D35" s="294">
        <f t="shared" ref="D35:D66" si="4">G34*$I$160*I$159/360</f>
        <v>4120105.0133125</v>
      </c>
      <c r="E35" s="12"/>
      <c r="F35" s="294">
        <f t="shared" si="1"/>
        <v>4735753</v>
      </c>
      <c r="G35" s="13">
        <f t="shared" si="0"/>
        <v>544611582.10833335</v>
      </c>
    </row>
    <row r="36" spans="1:7" x14ac:dyDescent="0.25">
      <c r="A36" s="10">
        <v>44985</v>
      </c>
      <c r="B36" s="11" t="s">
        <v>3061</v>
      </c>
      <c r="C36" s="12">
        <v>4735753</v>
      </c>
      <c r="D36" s="294">
        <f t="shared" si="4"/>
        <v>4084586.8658124995</v>
      </c>
      <c r="E36" s="12"/>
      <c r="F36" s="294">
        <f t="shared" si="1"/>
        <v>4735753</v>
      </c>
      <c r="G36" s="13">
        <f t="shared" si="0"/>
        <v>539875829.10833335</v>
      </c>
    </row>
    <row r="37" spans="1:7" x14ac:dyDescent="0.25">
      <c r="A37" s="10">
        <v>45015</v>
      </c>
      <c r="B37" s="11" t="s">
        <v>3061</v>
      </c>
      <c r="C37" s="12">
        <v>4735753</v>
      </c>
      <c r="D37" s="294">
        <f t="shared" si="4"/>
        <v>4049068.7183125</v>
      </c>
      <c r="E37" s="12"/>
      <c r="F37" s="294">
        <f t="shared" si="1"/>
        <v>4735753</v>
      </c>
      <c r="G37" s="13">
        <f t="shared" si="0"/>
        <v>535140076.10833335</v>
      </c>
    </row>
    <row r="38" spans="1:7" x14ac:dyDescent="0.25">
      <c r="A38" s="10">
        <v>45046</v>
      </c>
      <c r="B38" s="11" t="s">
        <v>3061</v>
      </c>
      <c r="C38" s="12">
        <v>4735753</v>
      </c>
      <c r="D38" s="294">
        <f t="shared" si="4"/>
        <v>4013550.5708124996</v>
      </c>
      <c r="E38" s="12"/>
      <c r="F38" s="294">
        <f t="shared" si="1"/>
        <v>4735753</v>
      </c>
      <c r="G38" s="13">
        <f t="shared" si="0"/>
        <v>530404323.10833335</v>
      </c>
    </row>
    <row r="39" spans="1:7" x14ac:dyDescent="0.25">
      <c r="A39" s="10">
        <v>45076</v>
      </c>
      <c r="B39" s="11" t="s">
        <v>3061</v>
      </c>
      <c r="C39" s="12">
        <v>4735753</v>
      </c>
      <c r="D39" s="294">
        <f t="shared" si="4"/>
        <v>3978032.4233124997</v>
      </c>
      <c r="E39" s="12"/>
      <c r="F39" s="294">
        <f t="shared" si="1"/>
        <v>4735753</v>
      </c>
      <c r="G39" s="13">
        <f t="shared" ref="G39:G67" si="5">+G38-C39</f>
        <v>525668570.10833335</v>
      </c>
    </row>
    <row r="40" spans="1:7" x14ac:dyDescent="0.25">
      <c r="A40" s="10">
        <v>45107</v>
      </c>
      <c r="B40" s="11" t="s">
        <v>3061</v>
      </c>
      <c r="C40" s="12">
        <v>4735753</v>
      </c>
      <c r="D40" s="294">
        <f t="shared" si="4"/>
        <v>3942514.2758125002</v>
      </c>
      <c r="E40" s="12"/>
      <c r="F40" s="294">
        <f t="shared" si="1"/>
        <v>4735753</v>
      </c>
      <c r="G40" s="13">
        <f t="shared" si="5"/>
        <v>520932817.10833335</v>
      </c>
    </row>
    <row r="41" spans="1:7" x14ac:dyDescent="0.25">
      <c r="A41" s="10">
        <v>45137</v>
      </c>
      <c r="B41" s="11" t="s">
        <v>3061</v>
      </c>
      <c r="C41" s="12">
        <v>4735753</v>
      </c>
      <c r="D41" s="294">
        <f t="shared" si="4"/>
        <v>3906996.1283125002</v>
      </c>
      <c r="E41" s="12"/>
      <c r="F41" s="294">
        <f t="shared" si="1"/>
        <v>4735753</v>
      </c>
      <c r="G41" s="13">
        <f t="shared" si="5"/>
        <v>516197064.10833335</v>
      </c>
    </row>
    <row r="42" spans="1:7" x14ac:dyDescent="0.25">
      <c r="A42" s="10">
        <v>45168</v>
      </c>
      <c r="B42" s="11" t="s">
        <v>3061</v>
      </c>
      <c r="C42" s="12">
        <v>4735753</v>
      </c>
      <c r="D42" s="294">
        <f t="shared" si="4"/>
        <v>3871477.9808124998</v>
      </c>
      <c r="E42" s="12"/>
      <c r="F42" s="294">
        <f t="shared" si="1"/>
        <v>4735753</v>
      </c>
      <c r="G42" s="13">
        <f t="shared" si="5"/>
        <v>511461311.10833335</v>
      </c>
    </row>
    <row r="43" spans="1:7" x14ac:dyDescent="0.25">
      <c r="A43" s="10">
        <v>45199</v>
      </c>
      <c r="B43" s="11" t="s">
        <v>3061</v>
      </c>
      <c r="C43" s="12">
        <v>4735753</v>
      </c>
      <c r="D43" s="294">
        <f t="shared" si="4"/>
        <v>3835959.8333125003</v>
      </c>
      <c r="E43" s="12"/>
      <c r="F43" s="294">
        <f t="shared" si="1"/>
        <v>4735753</v>
      </c>
      <c r="G43" s="13">
        <f t="shared" si="5"/>
        <v>506725558.10833335</v>
      </c>
    </row>
    <row r="44" spans="1:7" x14ac:dyDescent="0.25">
      <c r="A44" s="10">
        <v>45229</v>
      </c>
      <c r="B44" s="11" t="s">
        <v>3061</v>
      </c>
      <c r="C44" s="12">
        <v>4735753</v>
      </c>
      <c r="D44" s="294">
        <f t="shared" si="4"/>
        <v>3800441.6858124998</v>
      </c>
      <c r="E44" s="12"/>
      <c r="F44" s="294">
        <f t="shared" si="1"/>
        <v>4735753</v>
      </c>
      <c r="G44" s="13">
        <f t="shared" si="5"/>
        <v>501989805.10833335</v>
      </c>
    </row>
    <row r="45" spans="1:7" x14ac:dyDescent="0.25">
      <c r="A45" s="10">
        <v>45260</v>
      </c>
      <c r="B45" s="11" t="s">
        <v>3061</v>
      </c>
      <c r="C45" s="12">
        <v>4735753</v>
      </c>
      <c r="D45" s="294">
        <f t="shared" si="4"/>
        <v>3764923.5383124999</v>
      </c>
      <c r="E45" s="12"/>
      <c r="F45" s="294">
        <f t="shared" si="1"/>
        <v>4735753</v>
      </c>
      <c r="G45" s="13">
        <f t="shared" si="5"/>
        <v>497254052.10833335</v>
      </c>
    </row>
    <row r="46" spans="1:7" x14ac:dyDescent="0.25">
      <c r="A46" s="10">
        <v>45290</v>
      </c>
      <c r="B46" s="11" t="s">
        <v>3061</v>
      </c>
      <c r="C46" s="12">
        <v>4735753</v>
      </c>
      <c r="D46" s="294">
        <f t="shared" si="4"/>
        <v>3729405.3908125004</v>
      </c>
      <c r="E46" s="12"/>
      <c r="F46" s="294">
        <f t="shared" si="1"/>
        <v>4735753</v>
      </c>
      <c r="G46" s="13">
        <f t="shared" si="5"/>
        <v>492518299.10833335</v>
      </c>
    </row>
    <row r="47" spans="1:7" x14ac:dyDescent="0.25">
      <c r="A47" s="10">
        <v>45321</v>
      </c>
      <c r="B47" s="11" t="s">
        <v>3061</v>
      </c>
      <c r="C47" s="12">
        <v>4735753</v>
      </c>
      <c r="D47" s="294">
        <f t="shared" si="4"/>
        <v>3693887.2433125</v>
      </c>
      <c r="E47" s="12"/>
      <c r="F47" s="294">
        <f t="shared" si="1"/>
        <v>4735753</v>
      </c>
      <c r="G47" s="13">
        <f t="shared" si="5"/>
        <v>487782546.10833335</v>
      </c>
    </row>
    <row r="48" spans="1:7" x14ac:dyDescent="0.25">
      <c r="A48" s="10">
        <v>45351</v>
      </c>
      <c r="B48" s="11" t="s">
        <v>3061</v>
      </c>
      <c r="C48" s="12">
        <v>4735753</v>
      </c>
      <c r="D48" s="294">
        <f t="shared" si="4"/>
        <v>3658369.0958125</v>
      </c>
      <c r="E48" s="12"/>
      <c r="F48" s="294">
        <f t="shared" si="1"/>
        <v>4735753</v>
      </c>
      <c r="G48" s="13">
        <f t="shared" si="5"/>
        <v>483046793.10833335</v>
      </c>
    </row>
    <row r="49" spans="1:7" x14ac:dyDescent="0.25">
      <c r="A49" s="10">
        <v>45381</v>
      </c>
      <c r="B49" s="11" t="s">
        <v>3061</v>
      </c>
      <c r="C49" s="12">
        <v>4735753</v>
      </c>
      <c r="D49" s="294">
        <f t="shared" si="4"/>
        <v>3622850.9483124996</v>
      </c>
      <c r="E49" s="12"/>
      <c r="F49" s="294">
        <f t="shared" si="1"/>
        <v>4735753</v>
      </c>
      <c r="G49" s="13">
        <f t="shared" si="5"/>
        <v>478311040.10833335</v>
      </c>
    </row>
    <row r="50" spans="1:7" x14ac:dyDescent="0.25">
      <c r="A50" s="10">
        <v>45412</v>
      </c>
      <c r="B50" s="11" t="s">
        <v>3061</v>
      </c>
      <c r="C50" s="12">
        <v>4735753</v>
      </c>
      <c r="D50" s="294">
        <f t="shared" si="4"/>
        <v>3587332.8008125001</v>
      </c>
      <c r="E50" s="12"/>
      <c r="F50" s="294">
        <f t="shared" si="1"/>
        <v>4735753</v>
      </c>
      <c r="G50" s="13">
        <f t="shared" si="5"/>
        <v>473575287.10833335</v>
      </c>
    </row>
    <row r="51" spans="1:7" x14ac:dyDescent="0.25">
      <c r="A51" s="10">
        <v>45442</v>
      </c>
      <c r="B51" s="11" t="s">
        <v>3061</v>
      </c>
      <c r="C51" s="12">
        <v>4735753</v>
      </c>
      <c r="D51" s="294">
        <f t="shared" si="4"/>
        <v>3551814.6533124996</v>
      </c>
      <c r="E51" s="12"/>
      <c r="F51" s="294">
        <f t="shared" si="1"/>
        <v>4735753</v>
      </c>
      <c r="G51" s="13">
        <f t="shared" si="5"/>
        <v>468839534.10833335</v>
      </c>
    </row>
    <row r="52" spans="1:7" x14ac:dyDescent="0.25">
      <c r="A52" s="10">
        <v>45473</v>
      </c>
      <c r="B52" s="11" t="s">
        <v>3061</v>
      </c>
      <c r="C52" s="12">
        <v>4735753</v>
      </c>
      <c r="D52" s="294">
        <f t="shared" si="4"/>
        <v>3516296.5058125006</v>
      </c>
      <c r="E52" s="12"/>
      <c r="F52" s="294">
        <f t="shared" si="1"/>
        <v>4735753</v>
      </c>
      <c r="G52" s="13">
        <f t="shared" si="5"/>
        <v>464103781.10833335</v>
      </c>
    </row>
    <row r="53" spans="1:7" x14ac:dyDescent="0.25">
      <c r="A53" s="10">
        <v>45503</v>
      </c>
      <c r="B53" s="11" t="s">
        <v>3061</v>
      </c>
      <c r="C53" s="12">
        <v>4735753</v>
      </c>
      <c r="D53" s="294">
        <f t="shared" si="4"/>
        <v>3480778.3583125002</v>
      </c>
      <c r="E53" s="12"/>
      <c r="F53" s="294">
        <f t="shared" si="1"/>
        <v>4735753</v>
      </c>
      <c r="G53" s="13">
        <f t="shared" si="5"/>
        <v>459368028.10833335</v>
      </c>
    </row>
    <row r="54" spans="1:7" x14ac:dyDescent="0.25">
      <c r="A54" s="10">
        <v>45534</v>
      </c>
      <c r="B54" s="11" t="s">
        <v>3061</v>
      </c>
      <c r="C54" s="12">
        <v>4735753</v>
      </c>
      <c r="D54" s="294">
        <f t="shared" si="4"/>
        <v>3445260.2108124997</v>
      </c>
      <c r="E54" s="12"/>
      <c r="F54" s="294">
        <f t="shared" si="1"/>
        <v>4735753</v>
      </c>
      <c r="G54" s="13">
        <f t="shared" si="5"/>
        <v>454632275.10833335</v>
      </c>
    </row>
    <row r="55" spans="1:7" x14ac:dyDescent="0.25">
      <c r="A55" s="10">
        <v>45565</v>
      </c>
      <c r="B55" s="11" t="s">
        <v>3061</v>
      </c>
      <c r="C55" s="12">
        <v>4735753</v>
      </c>
      <c r="D55" s="294">
        <f t="shared" si="4"/>
        <v>3409742.0633125002</v>
      </c>
      <c r="E55" s="12"/>
      <c r="F55" s="294">
        <f t="shared" si="1"/>
        <v>4735753</v>
      </c>
      <c r="G55" s="13">
        <f t="shared" si="5"/>
        <v>449896522.10833335</v>
      </c>
    </row>
    <row r="56" spans="1:7" x14ac:dyDescent="0.25">
      <c r="A56" s="10">
        <v>45595</v>
      </c>
      <c r="B56" s="11" t="s">
        <v>3061</v>
      </c>
      <c r="C56" s="12">
        <v>4735753</v>
      </c>
      <c r="D56" s="294">
        <f t="shared" si="4"/>
        <v>3374223.9158124998</v>
      </c>
      <c r="E56" s="12"/>
      <c r="F56" s="294">
        <f t="shared" si="1"/>
        <v>4735753</v>
      </c>
      <c r="G56" s="13">
        <f t="shared" si="5"/>
        <v>445160769.10833335</v>
      </c>
    </row>
    <row r="57" spans="1:7" x14ac:dyDescent="0.25">
      <c r="A57" s="10">
        <v>45626</v>
      </c>
      <c r="B57" s="11" t="s">
        <v>3061</v>
      </c>
      <c r="C57" s="12">
        <v>4735753</v>
      </c>
      <c r="D57" s="294">
        <f t="shared" si="4"/>
        <v>3338705.7683124999</v>
      </c>
      <c r="E57" s="12"/>
      <c r="F57" s="294">
        <f t="shared" si="1"/>
        <v>4735753</v>
      </c>
      <c r="G57" s="13">
        <f t="shared" si="5"/>
        <v>440425016.10833335</v>
      </c>
    </row>
    <row r="58" spans="1:7" x14ac:dyDescent="0.25">
      <c r="A58" s="10">
        <v>45656</v>
      </c>
      <c r="B58" s="11" t="s">
        <v>3061</v>
      </c>
      <c r="C58" s="12">
        <v>4735753</v>
      </c>
      <c r="D58" s="294">
        <f t="shared" si="4"/>
        <v>3303187.6208125004</v>
      </c>
      <c r="E58" s="12"/>
      <c r="F58" s="294">
        <f t="shared" si="1"/>
        <v>4735753</v>
      </c>
      <c r="G58" s="13">
        <f t="shared" si="5"/>
        <v>435689263.10833335</v>
      </c>
    </row>
    <row r="59" spans="1:7" x14ac:dyDescent="0.25">
      <c r="A59" s="10">
        <v>45687</v>
      </c>
      <c r="B59" s="11" t="s">
        <v>3061</v>
      </c>
      <c r="C59" s="12">
        <v>4735753</v>
      </c>
      <c r="D59" s="294">
        <f t="shared" si="4"/>
        <v>3267669.4733125004</v>
      </c>
      <c r="E59" s="12"/>
      <c r="F59" s="294">
        <f t="shared" si="1"/>
        <v>4735753</v>
      </c>
      <c r="G59" s="13">
        <f t="shared" si="5"/>
        <v>430953510.10833335</v>
      </c>
    </row>
    <row r="60" spans="1:7" x14ac:dyDescent="0.25">
      <c r="A60" s="10">
        <v>45716</v>
      </c>
      <c r="B60" s="11" t="s">
        <v>3061</v>
      </c>
      <c r="C60" s="12">
        <v>4735753</v>
      </c>
      <c r="D60" s="294">
        <f t="shared" si="4"/>
        <v>3232151.3258125</v>
      </c>
      <c r="E60" s="12"/>
      <c r="F60" s="294">
        <f t="shared" si="1"/>
        <v>4735753</v>
      </c>
      <c r="G60" s="13">
        <f t="shared" si="5"/>
        <v>426217757.10833335</v>
      </c>
    </row>
    <row r="61" spans="1:7" x14ac:dyDescent="0.25">
      <c r="A61" s="10">
        <v>45746</v>
      </c>
      <c r="B61" s="11" t="s">
        <v>3061</v>
      </c>
      <c r="C61" s="12">
        <v>4735753</v>
      </c>
      <c r="D61" s="294">
        <f t="shared" si="4"/>
        <v>3196633.1783124995</v>
      </c>
      <c r="E61" s="12"/>
      <c r="F61" s="294">
        <f t="shared" si="1"/>
        <v>4735753</v>
      </c>
      <c r="G61" s="13">
        <f t="shared" si="5"/>
        <v>421482004.10833335</v>
      </c>
    </row>
    <row r="62" spans="1:7" x14ac:dyDescent="0.25">
      <c r="A62" s="10">
        <v>45777</v>
      </c>
      <c r="B62" s="11" t="s">
        <v>3061</v>
      </c>
      <c r="C62" s="12">
        <v>4735753</v>
      </c>
      <c r="D62" s="294">
        <f t="shared" si="4"/>
        <v>3161115.0308125</v>
      </c>
      <c r="E62" s="12"/>
      <c r="F62" s="294">
        <f t="shared" si="1"/>
        <v>4735753</v>
      </c>
      <c r="G62" s="13">
        <f t="shared" si="5"/>
        <v>416746251.10833335</v>
      </c>
    </row>
    <row r="63" spans="1:7" x14ac:dyDescent="0.25">
      <c r="A63" s="10">
        <v>45807</v>
      </c>
      <c r="B63" s="11" t="s">
        <v>3061</v>
      </c>
      <c r="C63" s="12">
        <v>4735753</v>
      </c>
      <c r="D63" s="294">
        <f t="shared" si="4"/>
        <v>3125596.8833124996</v>
      </c>
      <c r="E63" s="12"/>
      <c r="F63" s="294">
        <f t="shared" si="1"/>
        <v>4735753</v>
      </c>
      <c r="G63" s="13">
        <f t="shared" si="5"/>
        <v>412010498.10833335</v>
      </c>
    </row>
    <row r="64" spans="1:7" x14ac:dyDescent="0.25">
      <c r="A64" s="10">
        <v>45838</v>
      </c>
      <c r="B64" s="11" t="s">
        <v>3061</v>
      </c>
      <c r="C64" s="12">
        <v>4735753</v>
      </c>
      <c r="D64" s="294">
        <f t="shared" si="4"/>
        <v>3090078.7358124997</v>
      </c>
      <c r="E64" s="12"/>
      <c r="F64" s="294">
        <f t="shared" si="1"/>
        <v>4735753</v>
      </c>
      <c r="G64" s="13">
        <f t="shared" si="5"/>
        <v>407274745.10833335</v>
      </c>
    </row>
    <row r="65" spans="1:7" x14ac:dyDescent="0.25">
      <c r="A65" s="10">
        <v>45868</v>
      </c>
      <c r="B65" s="11" t="s">
        <v>3061</v>
      </c>
      <c r="C65" s="12">
        <v>4735753</v>
      </c>
      <c r="D65" s="294">
        <f t="shared" si="4"/>
        <v>3054560.5883125002</v>
      </c>
      <c r="E65" s="12"/>
      <c r="F65" s="294">
        <f t="shared" si="1"/>
        <v>4735753</v>
      </c>
      <c r="G65" s="13">
        <f t="shared" si="5"/>
        <v>402538992.10833335</v>
      </c>
    </row>
    <row r="66" spans="1:7" x14ac:dyDescent="0.25">
      <c r="A66" s="10">
        <v>45899</v>
      </c>
      <c r="B66" s="11" t="s">
        <v>3061</v>
      </c>
      <c r="C66" s="12">
        <v>4735753</v>
      </c>
      <c r="D66" s="294">
        <f t="shared" si="4"/>
        <v>3019042.4408125002</v>
      </c>
      <c r="E66" s="12"/>
      <c r="F66" s="294">
        <f t="shared" si="1"/>
        <v>4735753</v>
      </c>
      <c r="G66" s="13">
        <f t="shared" si="5"/>
        <v>397803239.10833335</v>
      </c>
    </row>
    <row r="67" spans="1:7" x14ac:dyDescent="0.25">
      <c r="A67" s="10">
        <v>45930</v>
      </c>
      <c r="B67" s="11" t="s">
        <v>3061</v>
      </c>
      <c r="C67" s="12">
        <v>4735753</v>
      </c>
      <c r="D67" s="294">
        <f t="shared" ref="D67:D98" si="6">G66*$I$160*I$159/360</f>
        <v>2983524.2933124998</v>
      </c>
      <c r="E67" s="12"/>
      <c r="F67" s="294">
        <f t="shared" si="1"/>
        <v>4735753</v>
      </c>
      <c r="G67" s="13">
        <f t="shared" si="5"/>
        <v>393067486.10833335</v>
      </c>
    </row>
    <row r="68" spans="1:7" x14ac:dyDescent="0.25">
      <c r="A68" s="10">
        <v>45960</v>
      </c>
      <c r="B68" s="11" t="s">
        <v>3061</v>
      </c>
      <c r="C68" s="12">
        <v>4735753</v>
      </c>
      <c r="D68" s="294">
        <f t="shared" si="6"/>
        <v>2948006.1458125003</v>
      </c>
      <c r="E68" s="12"/>
      <c r="F68" s="294">
        <f t="shared" si="1"/>
        <v>4735753</v>
      </c>
      <c r="G68" s="13">
        <f t="shared" ref="G68:G131" si="7">+G67-C68</f>
        <v>388331733.10833335</v>
      </c>
    </row>
    <row r="69" spans="1:7" x14ac:dyDescent="0.25">
      <c r="A69" s="10">
        <v>45991</v>
      </c>
      <c r="B69" s="11" t="s">
        <v>3061</v>
      </c>
      <c r="C69" s="12">
        <v>4735753</v>
      </c>
      <c r="D69" s="294">
        <f t="shared" si="6"/>
        <v>2912487.9983125003</v>
      </c>
      <c r="E69" s="12"/>
      <c r="F69" s="294">
        <f t="shared" si="1"/>
        <v>4735753</v>
      </c>
      <c r="G69" s="13">
        <f t="shared" si="7"/>
        <v>383595980.10833335</v>
      </c>
    </row>
    <row r="70" spans="1:7" x14ac:dyDescent="0.25">
      <c r="A70" s="10">
        <v>46021</v>
      </c>
      <c r="B70" s="11" t="s">
        <v>3061</v>
      </c>
      <c r="C70" s="12">
        <v>4735753</v>
      </c>
      <c r="D70" s="294">
        <f t="shared" si="6"/>
        <v>2876969.8508124999</v>
      </c>
      <c r="E70" s="12"/>
      <c r="F70" s="294">
        <f t="shared" si="1"/>
        <v>4735753</v>
      </c>
      <c r="G70" s="13">
        <f t="shared" si="7"/>
        <v>378860227.10833335</v>
      </c>
    </row>
    <row r="71" spans="1:7" x14ac:dyDescent="0.25">
      <c r="A71" s="10">
        <v>46052</v>
      </c>
      <c r="B71" s="11" t="s">
        <v>3061</v>
      </c>
      <c r="C71" s="12">
        <v>4735753</v>
      </c>
      <c r="D71" s="294">
        <f t="shared" si="6"/>
        <v>2841451.7033124999</v>
      </c>
      <c r="E71" s="12"/>
      <c r="F71" s="294">
        <f t="shared" si="1"/>
        <v>4735753</v>
      </c>
      <c r="G71" s="13">
        <f t="shared" si="7"/>
        <v>374124474.10833335</v>
      </c>
    </row>
    <row r="72" spans="1:7" x14ac:dyDescent="0.25">
      <c r="A72" s="10">
        <v>46081</v>
      </c>
      <c r="B72" s="11" t="s">
        <v>3061</v>
      </c>
      <c r="C72" s="12">
        <v>4735753</v>
      </c>
      <c r="D72" s="294">
        <f t="shared" si="6"/>
        <v>2805933.5558125</v>
      </c>
      <c r="E72" s="12"/>
      <c r="F72" s="294">
        <f t="shared" ref="F72:F135" si="8">+C72+E72</f>
        <v>4735753</v>
      </c>
      <c r="G72" s="13">
        <f t="shared" si="7"/>
        <v>369388721.10833335</v>
      </c>
    </row>
    <row r="73" spans="1:7" x14ac:dyDescent="0.25">
      <c r="A73" s="10">
        <v>46111</v>
      </c>
      <c r="B73" s="11" t="s">
        <v>3061</v>
      </c>
      <c r="C73" s="12">
        <v>4735753</v>
      </c>
      <c r="D73" s="294">
        <f t="shared" si="6"/>
        <v>2770415.4083125</v>
      </c>
      <c r="E73" s="12"/>
      <c r="F73" s="294">
        <f t="shared" si="8"/>
        <v>4735753</v>
      </c>
      <c r="G73" s="13">
        <f t="shared" si="7"/>
        <v>364652968.10833335</v>
      </c>
    </row>
    <row r="74" spans="1:7" x14ac:dyDescent="0.25">
      <c r="A74" s="10">
        <v>46142</v>
      </c>
      <c r="B74" s="11" t="s">
        <v>3061</v>
      </c>
      <c r="C74" s="12">
        <v>4735753</v>
      </c>
      <c r="D74" s="294">
        <f t="shared" si="6"/>
        <v>2734897.2608124996</v>
      </c>
      <c r="E74" s="12"/>
      <c r="F74" s="294">
        <f t="shared" si="8"/>
        <v>4735753</v>
      </c>
      <c r="G74" s="13">
        <f t="shared" si="7"/>
        <v>359917215.10833335</v>
      </c>
    </row>
    <row r="75" spans="1:7" x14ac:dyDescent="0.25">
      <c r="A75" s="10">
        <v>46172</v>
      </c>
      <c r="B75" s="11" t="s">
        <v>3061</v>
      </c>
      <c r="C75" s="12">
        <v>4735753</v>
      </c>
      <c r="D75" s="294">
        <f t="shared" si="6"/>
        <v>2699379.1133125001</v>
      </c>
      <c r="E75" s="12"/>
      <c r="F75" s="294">
        <f t="shared" si="8"/>
        <v>4735753</v>
      </c>
      <c r="G75" s="13">
        <f t="shared" si="7"/>
        <v>355181462.10833335</v>
      </c>
    </row>
    <row r="76" spans="1:7" x14ac:dyDescent="0.25">
      <c r="A76" s="10">
        <v>46203</v>
      </c>
      <c r="B76" s="11" t="s">
        <v>3061</v>
      </c>
      <c r="C76" s="12">
        <v>4735753</v>
      </c>
      <c r="D76" s="294">
        <f t="shared" si="6"/>
        <v>2663860.9658125001</v>
      </c>
      <c r="E76" s="12"/>
      <c r="F76" s="294">
        <f t="shared" si="8"/>
        <v>4735753</v>
      </c>
      <c r="G76" s="13">
        <f t="shared" si="7"/>
        <v>350445709.10833335</v>
      </c>
    </row>
    <row r="77" spans="1:7" x14ac:dyDescent="0.25">
      <c r="A77" s="10">
        <v>46233</v>
      </c>
      <c r="B77" s="11" t="s">
        <v>3061</v>
      </c>
      <c r="C77" s="12">
        <v>4735753</v>
      </c>
      <c r="D77" s="294">
        <f t="shared" si="6"/>
        <v>2628342.8183125001</v>
      </c>
      <c r="E77" s="12"/>
      <c r="F77" s="294">
        <f t="shared" si="8"/>
        <v>4735753</v>
      </c>
      <c r="G77" s="13">
        <f t="shared" si="7"/>
        <v>345709956.10833335</v>
      </c>
    </row>
    <row r="78" spans="1:7" x14ac:dyDescent="0.25">
      <c r="A78" s="10">
        <v>46264</v>
      </c>
      <c r="B78" s="11" t="s">
        <v>3061</v>
      </c>
      <c r="C78" s="12">
        <v>4735753</v>
      </c>
      <c r="D78" s="294">
        <f t="shared" si="6"/>
        <v>2592824.6708125002</v>
      </c>
      <c r="E78" s="12"/>
      <c r="F78" s="294">
        <f t="shared" si="8"/>
        <v>4735753</v>
      </c>
      <c r="G78" s="13">
        <f t="shared" si="7"/>
        <v>340974203.10833335</v>
      </c>
    </row>
    <row r="79" spans="1:7" x14ac:dyDescent="0.25">
      <c r="A79" s="10">
        <v>46295</v>
      </c>
      <c r="B79" s="11" t="s">
        <v>3061</v>
      </c>
      <c r="C79" s="12">
        <v>4735753</v>
      </c>
      <c r="D79" s="294">
        <f t="shared" si="6"/>
        <v>2557306.5233125002</v>
      </c>
      <c r="E79" s="12"/>
      <c r="F79" s="294">
        <f t="shared" si="8"/>
        <v>4735753</v>
      </c>
      <c r="G79" s="13">
        <f t="shared" si="7"/>
        <v>336238450.10833335</v>
      </c>
    </row>
    <row r="80" spans="1:7" x14ac:dyDescent="0.25">
      <c r="A80" s="10">
        <v>46325</v>
      </c>
      <c r="B80" s="11" t="s">
        <v>3061</v>
      </c>
      <c r="C80" s="12">
        <v>4735753</v>
      </c>
      <c r="D80" s="294">
        <f t="shared" si="6"/>
        <v>2521788.3758125002</v>
      </c>
      <c r="E80" s="12"/>
      <c r="F80" s="294">
        <f t="shared" si="8"/>
        <v>4735753</v>
      </c>
      <c r="G80" s="13">
        <f t="shared" si="7"/>
        <v>331502697.10833335</v>
      </c>
    </row>
    <row r="81" spans="1:7" x14ac:dyDescent="0.25">
      <c r="A81" s="10">
        <v>46356</v>
      </c>
      <c r="B81" s="11" t="s">
        <v>3061</v>
      </c>
      <c r="C81" s="12">
        <v>4735753</v>
      </c>
      <c r="D81" s="294">
        <f t="shared" si="6"/>
        <v>2486270.2283124998</v>
      </c>
      <c r="E81" s="12"/>
      <c r="F81" s="294">
        <f t="shared" si="8"/>
        <v>4735753</v>
      </c>
      <c r="G81" s="13">
        <f t="shared" si="7"/>
        <v>326766944.10833335</v>
      </c>
    </row>
    <row r="82" spans="1:7" x14ac:dyDescent="0.25">
      <c r="A82" s="10">
        <v>46386</v>
      </c>
      <c r="B82" s="11" t="s">
        <v>3061</v>
      </c>
      <c r="C82" s="12">
        <v>4735753</v>
      </c>
      <c r="D82" s="294">
        <f t="shared" si="6"/>
        <v>2450752.0808125003</v>
      </c>
      <c r="E82" s="12"/>
      <c r="F82" s="294">
        <f t="shared" si="8"/>
        <v>4735753</v>
      </c>
      <c r="G82" s="13">
        <f t="shared" si="7"/>
        <v>322031191.10833335</v>
      </c>
    </row>
    <row r="83" spans="1:7" x14ac:dyDescent="0.25">
      <c r="A83" s="10">
        <v>46417</v>
      </c>
      <c r="B83" s="11" t="s">
        <v>3061</v>
      </c>
      <c r="C83" s="12">
        <v>4735753</v>
      </c>
      <c r="D83" s="294">
        <f t="shared" si="6"/>
        <v>2415233.9333124999</v>
      </c>
      <c r="E83" s="12"/>
      <c r="F83" s="294">
        <f t="shared" si="8"/>
        <v>4735753</v>
      </c>
      <c r="G83" s="13">
        <f t="shared" si="7"/>
        <v>317295438.10833335</v>
      </c>
    </row>
    <row r="84" spans="1:7" x14ac:dyDescent="0.25">
      <c r="A84" s="10">
        <v>46446</v>
      </c>
      <c r="B84" s="11" t="s">
        <v>3061</v>
      </c>
      <c r="C84" s="12">
        <v>4735753</v>
      </c>
      <c r="D84" s="294">
        <f t="shared" si="6"/>
        <v>2379715.7858124999</v>
      </c>
      <c r="E84" s="12"/>
      <c r="F84" s="294">
        <f t="shared" si="8"/>
        <v>4735753</v>
      </c>
      <c r="G84" s="13">
        <f t="shared" si="7"/>
        <v>312559685.10833335</v>
      </c>
    </row>
    <row r="85" spans="1:7" x14ac:dyDescent="0.25">
      <c r="A85" s="10">
        <v>46476</v>
      </c>
      <c r="B85" s="11" t="s">
        <v>3061</v>
      </c>
      <c r="C85" s="12">
        <v>4735753</v>
      </c>
      <c r="D85" s="294">
        <f t="shared" si="6"/>
        <v>2344197.6383125</v>
      </c>
      <c r="E85" s="12"/>
      <c r="F85" s="294">
        <f t="shared" si="8"/>
        <v>4735753</v>
      </c>
      <c r="G85" s="13">
        <f t="shared" si="7"/>
        <v>307823932.10833335</v>
      </c>
    </row>
    <row r="86" spans="1:7" x14ac:dyDescent="0.25">
      <c r="A86" s="10">
        <v>46507</v>
      </c>
      <c r="B86" s="11" t="s">
        <v>3061</v>
      </c>
      <c r="C86" s="12">
        <v>4735753</v>
      </c>
      <c r="D86" s="294">
        <f t="shared" si="6"/>
        <v>2308679.4908125</v>
      </c>
      <c r="E86" s="12"/>
      <c r="F86" s="294">
        <f t="shared" si="8"/>
        <v>4735753</v>
      </c>
      <c r="G86" s="13">
        <f t="shared" si="7"/>
        <v>303088179.10833335</v>
      </c>
    </row>
    <row r="87" spans="1:7" x14ac:dyDescent="0.25">
      <c r="A87" s="10">
        <v>46537</v>
      </c>
      <c r="B87" s="11" t="s">
        <v>3061</v>
      </c>
      <c r="C87" s="12">
        <v>4735753</v>
      </c>
      <c r="D87" s="294">
        <f t="shared" si="6"/>
        <v>2273161.3433125</v>
      </c>
      <c r="E87" s="12"/>
      <c r="F87" s="294">
        <f t="shared" si="8"/>
        <v>4735753</v>
      </c>
      <c r="G87" s="13">
        <f t="shared" si="7"/>
        <v>298352426.10833335</v>
      </c>
    </row>
    <row r="88" spans="1:7" x14ac:dyDescent="0.25">
      <c r="A88" s="10">
        <v>46568</v>
      </c>
      <c r="B88" s="11" t="s">
        <v>3061</v>
      </c>
      <c r="C88" s="12">
        <v>4735753</v>
      </c>
      <c r="D88" s="294">
        <f t="shared" si="6"/>
        <v>2237643.1958125001</v>
      </c>
      <c r="E88" s="12"/>
      <c r="F88" s="294">
        <f t="shared" si="8"/>
        <v>4735753</v>
      </c>
      <c r="G88" s="13">
        <f t="shared" si="7"/>
        <v>293616673.10833335</v>
      </c>
    </row>
    <row r="89" spans="1:7" x14ac:dyDescent="0.25">
      <c r="A89" s="10">
        <v>46598</v>
      </c>
      <c r="B89" s="11" t="s">
        <v>3061</v>
      </c>
      <c r="C89" s="12">
        <v>4735753</v>
      </c>
      <c r="D89" s="294">
        <f t="shared" si="6"/>
        <v>2202125.0483125001</v>
      </c>
      <c r="E89" s="12"/>
      <c r="F89" s="294">
        <f t="shared" si="8"/>
        <v>4735753</v>
      </c>
      <c r="G89" s="13">
        <f t="shared" si="7"/>
        <v>288880920.10833335</v>
      </c>
    </row>
    <row r="90" spans="1:7" x14ac:dyDescent="0.25">
      <c r="A90" s="10">
        <v>46629</v>
      </c>
      <c r="B90" s="11" t="s">
        <v>3061</v>
      </c>
      <c r="C90" s="12">
        <v>4735753</v>
      </c>
      <c r="D90" s="294">
        <f t="shared" si="6"/>
        <v>2166606.9008125002</v>
      </c>
      <c r="E90" s="12"/>
      <c r="F90" s="294">
        <f t="shared" si="8"/>
        <v>4735753</v>
      </c>
      <c r="G90" s="13">
        <f t="shared" si="7"/>
        <v>284145167.10833335</v>
      </c>
    </row>
    <row r="91" spans="1:7" x14ac:dyDescent="0.25">
      <c r="A91" s="10">
        <v>46660</v>
      </c>
      <c r="B91" s="11" t="s">
        <v>3061</v>
      </c>
      <c r="C91" s="12">
        <v>4735753</v>
      </c>
      <c r="D91" s="294">
        <f t="shared" si="6"/>
        <v>2131088.7533125002</v>
      </c>
      <c r="E91" s="12"/>
      <c r="F91" s="294">
        <f t="shared" si="8"/>
        <v>4735753</v>
      </c>
      <c r="G91" s="13">
        <f t="shared" si="7"/>
        <v>279409414.10833335</v>
      </c>
    </row>
    <row r="92" spans="1:7" x14ac:dyDescent="0.25">
      <c r="A92" s="10">
        <v>46690</v>
      </c>
      <c r="B92" s="11" t="s">
        <v>3061</v>
      </c>
      <c r="C92" s="12">
        <v>4735753</v>
      </c>
      <c r="D92" s="294">
        <f t="shared" si="6"/>
        <v>2095570.6058125</v>
      </c>
      <c r="E92" s="12"/>
      <c r="F92" s="294">
        <f t="shared" si="8"/>
        <v>4735753</v>
      </c>
      <c r="G92" s="13">
        <f t="shared" si="7"/>
        <v>274673661.10833335</v>
      </c>
    </row>
    <row r="93" spans="1:7" x14ac:dyDescent="0.25">
      <c r="A93" s="10">
        <v>46721</v>
      </c>
      <c r="B93" s="11" t="s">
        <v>3061</v>
      </c>
      <c r="C93" s="12">
        <v>4735753</v>
      </c>
      <c r="D93" s="294">
        <f t="shared" si="6"/>
        <v>2060052.4583124998</v>
      </c>
      <c r="E93" s="12"/>
      <c r="F93" s="294">
        <f t="shared" si="8"/>
        <v>4735753</v>
      </c>
      <c r="G93" s="13">
        <f t="shared" si="7"/>
        <v>269937908.10833335</v>
      </c>
    </row>
    <row r="94" spans="1:7" x14ac:dyDescent="0.25">
      <c r="A94" s="10">
        <v>46751</v>
      </c>
      <c r="B94" s="11" t="s">
        <v>3061</v>
      </c>
      <c r="C94" s="12">
        <v>4735753</v>
      </c>
      <c r="D94" s="294">
        <f t="shared" si="6"/>
        <v>2024534.3108125001</v>
      </c>
      <c r="E94" s="12"/>
      <c r="F94" s="294">
        <f t="shared" si="8"/>
        <v>4735753</v>
      </c>
      <c r="G94" s="13">
        <f t="shared" si="7"/>
        <v>265202155.10833335</v>
      </c>
    </row>
    <row r="95" spans="1:7" x14ac:dyDescent="0.25">
      <c r="A95" s="10">
        <v>46782</v>
      </c>
      <c r="B95" s="11" t="s">
        <v>3061</v>
      </c>
      <c r="C95" s="12">
        <v>4735753</v>
      </c>
      <c r="D95" s="294">
        <f t="shared" si="6"/>
        <v>1989016.1633125001</v>
      </c>
      <c r="E95" s="12"/>
      <c r="F95" s="294">
        <f t="shared" si="8"/>
        <v>4735753</v>
      </c>
      <c r="G95" s="13">
        <f t="shared" si="7"/>
        <v>260466402.10833335</v>
      </c>
    </row>
    <row r="96" spans="1:7" x14ac:dyDescent="0.25">
      <c r="A96" s="10">
        <v>46812</v>
      </c>
      <c r="B96" s="11" t="s">
        <v>3061</v>
      </c>
      <c r="C96" s="12">
        <v>4735753</v>
      </c>
      <c r="D96" s="294">
        <f t="shared" si="6"/>
        <v>1953498.0158124999</v>
      </c>
      <c r="E96" s="12"/>
      <c r="F96" s="294">
        <f t="shared" si="8"/>
        <v>4735753</v>
      </c>
      <c r="G96" s="13">
        <f t="shared" si="7"/>
        <v>255730649.10833335</v>
      </c>
    </row>
    <row r="97" spans="1:7" x14ac:dyDescent="0.25">
      <c r="A97" s="10">
        <v>46842</v>
      </c>
      <c r="B97" s="11" t="s">
        <v>3061</v>
      </c>
      <c r="C97" s="12">
        <v>4735753</v>
      </c>
      <c r="D97" s="294">
        <f t="shared" si="6"/>
        <v>1917979.8683125002</v>
      </c>
      <c r="E97" s="12"/>
      <c r="F97" s="294">
        <f t="shared" si="8"/>
        <v>4735753</v>
      </c>
      <c r="G97" s="13">
        <f t="shared" si="7"/>
        <v>250994896.10833335</v>
      </c>
    </row>
    <row r="98" spans="1:7" x14ac:dyDescent="0.25">
      <c r="A98" s="10">
        <v>46873</v>
      </c>
      <c r="B98" s="11" t="s">
        <v>3061</v>
      </c>
      <c r="C98" s="12">
        <v>4735753</v>
      </c>
      <c r="D98" s="294">
        <f t="shared" si="6"/>
        <v>1882461.7208125002</v>
      </c>
      <c r="E98" s="12"/>
      <c r="F98" s="294">
        <f t="shared" si="8"/>
        <v>4735753</v>
      </c>
      <c r="G98" s="13">
        <f t="shared" si="7"/>
        <v>246259143.10833335</v>
      </c>
    </row>
    <row r="99" spans="1:7" x14ac:dyDescent="0.25">
      <c r="A99" s="10">
        <v>46903</v>
      </c>
      <c r="B99" s="11" t="s">
        <v>3061</v>
      </c>
      <c r="C99" s="12">
        <v>4735753</v>
      </c>
      <c r="D99" s="294">
        <f t="shared" ref="D99:D130" si="9">G98*$I$160*I$159/360</f>
        <v>1846943.5733125</v>
      </c>
      <c r="E99" s="12"/>
      <c r="F99" s="294">
        <f t="shared" si="8"/>
        <v>4735753</v>
      </c>
      <c r="G99" s="13">
        <f t="shared" si="7"/>
        <v>241523390.10833335</v>
      </c>
    </row>
    <row r="100" spans="1:7" x14ac:dyDescent="0.25">
      <c r="A100" s="10">
        <v>46934</v>
      </c>
      <c r="B100" s="11" t="s">
        <v>3061</v>
      </c>
      <c r="C100" s="12">
        <v>4735753</v>
      </c>
      <c r="D100" s="294">
        <f t="shared" si="9"/>
        <v>1811425.4258125001</v>
      </c>
      <c r="E100" s="12"/>
      <c r="F100" s="294">
        <f t="shared" si="8"/>
        <v>4735753</v>
      </c>
      <c r="G100" s="13">
        <f t="shared" si="7"/>
        <v>236787637.10833335</v>
      </c>
    </row>
    <row r="101" spans="1:7" x14ac:dyDescent="0.25">
      <c r="A101" s="10">
        <v>46964</v>
      </c>
      <c r="B101" s="11" t="s">
        <v>3061</v>
      </c>
      <c r="C101" s="12">
        <v>4735753</v>
      </c>
      <c r="D101" s="294">
        <f t="shared" si="9"/>
        <v>1775907.2783125001</v>
      </c>
      <c r="E101" s="12"/>
      <c r="F101" s="294">
        <f t="shared" si="8"/>
        <v>4735753</v>
      </c>
      <c r="G101" s="13">
        <f t="shared" si="7"/>
        <v>232051884.10833335</v>
      </c>
    </row>
    <row r="102" spans="1:7" x14ac:dyDescent="0.25">
      <c r="A102" s="10">
        <v>46995</v>
      </c>
      <c r="B102" s="11" t="s">
        <v>3061</v>
      </c>
      <c r="C102" s="12">
        <v>4735753</v>
      </c>
      <c r="D102" s="294">
        <f t="shared" si="9"/>
        <v>1740389.1308124999</v>
      </c>
      <c r="E102" s="12"/>
      <c r="F102" s="294">
        <f t="shared" si="8"/>
        <v>4735753</v>
      </c>
      <c r="G102" s="13">
        <f t="shared" si="7"/>
        <v>227316131.10833335</v>
      </c>
    </row>
    <row r="103" spans="1:7" x14ac:dyDescent="0.25">
      <c r="A103" s="10">
        <v>47026</v>
      </c>
      <c r="B103" s="11" t="s">
        <v>3061</v>
      </c>
      <c r="C103" s="12">
        <v>4735753</v>
      </c>
      <c r="D103" s="294">
        <f t="shared" si="9"/>
        <v>1704870.9833125002</v>
      </c>
      <c r="E103" s="12"/>
      <c r="F103" s="294">
        <f t="shared" si="8"/>
        <v>4735753</v>
      </c>
      <c r="G103" s="13">
        <f t="shared" si="7"/>
        <v>222580378.10833335</v>
      </c>
    </row>
    <row r="104" spans="1:7" x14ac:dyDescent="0.25">
      <c r="A104" s="10">
        <v>47056</v>
      </c>
      <c r="B104" s="11" t="s">
        <v>3061</v>
      </c>
      <c r="C104" s="12">
        <v>4735753</v>
      </c>
      <c r="D104" s="294">
        <f t="shared" si="9"/>
        <v>1669352.8358125002</v>
      </c>
      <c r="E104" s="12"/>
      <c r="F104" s="294">
        <f t="shared" si="8"/>
        <v>4735753</v>
      </c>
      <c r="G104" s="13">
        <f t="shared" si="7"/>
        <v>217844625.10833335</v>
      </c>
    </row>
    <row r="105" spans="1:7" x14ac:dyDescent="0.25">
      <c r="A105" s="10">
        <v>47087</v>
      </c>
      <c r="B105" s="11" t="s">
        <v>3061</v>
      </c>
      <c r="C105" s="12">
        <v>4735753</v>
      </c>
      <c r="D105" s="294">
        <f t="shared" si="9"/>
        <v>1633834.6883125</v>
      </c>
      <c r="E105" s="12"/>
      <c r="F105" s="294">
        <f t="shared" si="8"/>
        <v>4735753</v>
      </c>
      <c r="G105" s="13">
        <f t="shared" si="7"/>
        <v>213108872.10833335</v>
      </c>
    </row>
    <row r="106" spans="1:7" x14ac:dyDescent="0.25">
      <c r="A106" s="10">
        <v>47117</v>
      </c>
      <c r="B106" s="11" t="s">
        <v>3061</v>
      </c>
      <c r="C106" s="12">
        <v>4735753</v>
      </c>
      <c r="D106" s="294">
        <f t="shared" si="9"/>
        <v>1598316.5408125001</v>
      </c>
      <c r="E106" s="12"/>
      <c r="F106" s="294">
        <f t="shared" si="8"/>
        <v>4735753</v>
      </c>
      <c r="G106" s="13">
        <f t="shared" si="7"/>
        <v>208373119.10833335</v>
      </c>
    </row>
    <row r="107" spans="1:7" x14ac:dyDescent="0.25">
      <c r="A107" s="10">
        <v>47148</v>
      </c>
      <c r="B107" s="11" t="s">
        <v>3061</v>
      </c>
      <c r="C107" s="12">
        <v>4735753</v>
      </c>
      <c r="D107" s="294">
        <f t="shared" si="9"/>
        <v>1562798.3933125003</v>
      </c>
      <c r="E107" s="12"/>
      <c r="F107" s="294">
        <f t="shared" si="8"/>
        <v>4735753</v>
      </c>
      <c r="G107" s="13">
        <f t="shared" si="7"/>
        <v>203637366.10833335</v>
      </c>
    </row>
    <row r="108" spans="1:7" x14ac:dyDescent="0.25">
      <c r="A108" s="10">
        <v>47177</v>
      </c>
      <c r="B108" s="11" t="s">
        <v>3061</v>
      </c>
      <c r="C108" s="12">
        <v>4735753</v>
      </c>
      <c r="D108" s="294">
        <f t="shared" si="9"/>
        <v>1527280.2458125001</v>
      </c>
      <c r="E108" s="12"/>
      <c r="F108" s="294">
        <f t="shared" si="8"/>
        <v>4735753</v>
      </c>
      <c r="G108" s="13">
        <f t="shared" si="7"/>
        <v>198901613.10833335</v>
      </c>
    </row>
    <row r="109" spans="1:7" x14ac:dyDescent="0.25">
      <c r="A109" s="10">
        <v>47207</v>
      </c>
      <c r="B109" s="11" t="s">
        <v>3061</v>
      </c>
      <c r="C109" s="12">
        <v>4735753</v>
      </c>
      <c r="D109" s="294">
        <f t="shared" si="9"/>
        <v>1491762.0983124997</v>
      </c>
      <c r="E109" s="12"/>
      <c r="F109" s="294">
        <f t="shared" si="8"/>
        <v>4735753</v>
      </c>
      <c r="G109" s="13">
        <f t="shared" si="7"/>
        <v>194165860.10833335</v>
      </c>
    </row>
    <row r="110" spans="1:7" x14ac:dyDescent="0.25">
      <c r="A110" s="10">
        <v>47238</v>
      </c>
      <c r="B110" s="11" t="s">
        <v>3061</v>
      </c>
      <c r="C110" s="12">
        <v>4735753</v>
      </c>
      <c r="D110" s="294">
        <f t="shared" si="9"/>
        <v>1456243.9508125</v>
      </c>
      <c r="E110" s="12"/>
      <c r="F110" s="294">
        <f t="shared" si="8"/>
        <v>4735753</v>
      </c>
      <c r="G110" s="13">
        <f t="shared" si="7"/>
        <v>189430107.10833335</v>
      </c>
    </row>
    <row r="111" spans="1:7" x14ac:dyDescent="0.25">
      <c r="A111" s="10">
        <v>47268</v>
      </c>
      <c r="B111" s="11" t="s">
        <v>3061</v>
      </c>
      <c r="C111" s="12">
        <v>4735753</v>
      </c>
      <c r="D111" s="294">
        <f t="shared" si="9"/>
        <v>1420725.8033125</v>
      </c>
      <c r="E111" s="12"/>
      <c r="F111" s="294">
        <f t="shared" si="8"/>
        <v>4735753</v>
      </c>
      <c r="G111" s="13">
        <f t="shared" si="7"/>
        <v>184694354.10833335</v>
      </c>
    </row>
    <row r="112" spans="1:7" x14ac:dyDescent="0.25">
      <c r="A112" s="10">
        <v>47299</v>
      </c>
      <c r="B112" s="11" t="s">
        <v>3061</v>
      </c>
      <c r="C112" s="12">
        <v>4735753</v>
      </c>
      <c r="D112" s="294">
        <f t="shared" si="9"/>
        <v>1385207.6558125</v>
      </c>
      <c r="E112" s="12"/>
      <c r="F112" s="294">
        <f t="shared" si="8"/>
        <v>4735753</v>
      </c>
      <c r="G112" s="13">
        <f t="shared" si="7"/>
        <v>179958601.10833335</v>
      </c>
    </row>
    <row r="113" spans="1:7" x14ac:dyDescent="0.25">
      <c r="A113" s="10">
        <v>47329</v>
      </c>
      <c r="B113" s="11" t="s">
        <v>3061</v>
      </c>
      <c r="C113" s="12">
        <v>4735753</v>
      </c>
      <c r="D113" s="294">
        <f t="shared" si="9"/>
        <v>1349689.5083125001</v>
      </c>
      <c r="E113" s="12"/>
      <c r="F113" s="294">
        <f t="shared" si="8"/>
        <v>4735753</v>
      </c>
      <c r="G113" s="13">
        <f t="shared" si="7"/>
        <v>175222848.10833335</v>
      </c>
    </row>
    <row r="114" spans="1:7" x14ac:dyDescent="0.25">
      <c r="A114" s="10">
        <v>47360</v>
      </c>
      <c r="B114" s="11" t="s">
        <v>3061</v>
      </c>
      <c r="C114" s="12">
        <v>4735753</v>
      </c>
      <c r="D114" s="294">
        <f t="shared" si="9"/>
        <v>1314171.3608125001</v>
      </c>
      <c r="E114" s="12"/>
      <c r="F114" s="294">
        <f t="shared" si="8"/>
        <v>4735753</v>
      </c>
      <c r="G114" s="13">
        <f t="shared" si="7"/>
        <v>170487095.10833335</v>
      </c>
    </row>
    <row r="115" spans="1:7" x14ac:dyDescent="0.25">
      <c r="A115" s="10">
        <v>47391</v>
      </c>
      <c r="B115" s="11" t="s">
        <v>3061</v>
      </c>
      <c r="C115" s="12">
        <v>4735753</v>
      </c>
      <c r="D115" s="294">
        <f t="shared" si="9"/>
        <v>1278653.2133125002</v>
      </c>
      <c r="E115" s="12"/>
      <c r="F115" s="294">
        <f t="shared" si="8"/>
        <v>4735753</v>
      </c>
      <c r="G115" s="13">
        <f t="shared" si="7"/>
        <v>165751342.10833335</v>
      </c>
    </row>
    <row r="116" spans="1:7" x14ac:dyDescent="0.25">
      <c r="A116" s="10">
        <v>47421</v>
      </c>
      <c r="B116" s="11" t="s">
        <v>3061</v>
      </c>
      <c r="C116" s="12">
        <v>4735753</v>
      </c>
      <c r="D116" s="294">
        <f t="shared" si="9"/>
        <v>1243135.0658125</v>
      </c>
      <c r="E116" s="12"/>
      <c r="F116" s="294">
        <f t="shared" si="8"/>
        <v>4735753</v>
      </c>
      <c r="G116" s="13">
        <f t="shared" si="7"/>
        <v>161015589.10833335</v>
      </c>
    </row>
    <row r="117" spans="1:7" x14ac:dyDescent="0.25">
      <c r="A117" s="10">
        <v>47452</v>
      </c>
      <c r="B117" s="11" t="s">
        <v>3061</v>
      </c>
      <c r="C117" s="12">
        <v>4735753</v>
      </c>
      <c r="D117" s="294">
        <f t="shared" si="9"/>
        <v>1207616.9183125</v>
      </c>
      <c r="E117" s="12"/>
      <c r="F117" s="294">
        <f t="shared" si="8"/>
        <v>4735753</v>
      </c>
      <c r="G117" s="13">
        <f t="shared" si="7"/>
        <v>156279836.10833335</v>
      </c>
    </row>
    <row r="118" spans="1:7" x14ac:dyDescent="0.25">
      <c r="A118" s="10">
        <v>47482</v>
      </c>
      <c r="B118" s="11" t="s">
        <v>3061</v>
      </c>
      <c r="C118" s="12">
        <v>4735753</v>
      </c>
      <c r="D118" s="294">
        <f t="shared" si="9"/>
        <v>1172098.7708125003</v>
      </c>
      <c r="E118" s="12"/>
      <c r="F118" s="294">
        <f t="shared" si="8"/>
        <v>4735753</v>
      </c>
      <c r="G118" s="13">
        <f t="shared" si="7"/>
        <v>151544083.10833335</v>
      </c>
    </row>
    <row r="119" spans="1:7" x14ac:dyDescent="0.25">
      <c r="A119" s="10">
        <v>47513</v>
      </c>
      <c r="B119" s="11" t="s">
        <v>3061</v>
      </c>
      <c r="C119" s="12">
        <v>4735753</v>
      </c>
      <c r="D119" s="294">
        <f t="shared" si="9"/>
        <v>1136580.6233125001</v>
      </c>
      <c r="E119" s="12"/>
      <c r="F119" s="294">
        <f t="shared" si="8"/>
        <v>4735753</v>
      </c>
      <c r="G119" s="13">
        <f t="shared" si="7"/>
        <v>146808330.10833335</v>
      </c>
    </row>
    <row r="120" spans="1:7" x14ac:dyDescent="0.25">
      <c r="A120" s="10">
        <v>47542</v>
      </c>
      <c r="B120" s="11" t="s">
        <v>3061</v>
      </c>
      <c r="C120" s="12">
        <v>4735753</v>
      </c>
      <c r="D120" s="294">
        <f t="shared" si="9"/>
        <v>1101062.4758125001</v>
      </c>
      <c r="E120" s="12"/>
      <c r="F120" s="294">
        <f t="shared" si="8"/>
        <v>4735753</v>
      </c>
      <c r="G120" s="13">
        <f t="shared" si="7"/>
        <v>142072577.10833335</v>
      </c>
    </row>
    <row r="121" spans="1:7" x14ac:dyDescent="0.25">
      <c r="A121" s="10">
        <v>47572</v>
      </c>
      <c r="B121" s="11" t="s">
        <v>3061</v>
      </c>
      <c r="C121" s="12">
        <v>4735753</v>
      </c>
      <c r="D121" s="294">
        <f t="shared" si="9"/>
        <v>1065544.3283124999</v>
      </c>
      <c r="E121" s="12"/>
      <c r="F121" s="294">
        <f t="shared" si="8"/>
        <v>4735753</v>
      </c>
      <c r="G121" s="13">
        <f t="shared" si="7"/>
        <v>137336824.10833335</v>
      </c>
    </row>
    <row r="122" spans="1:7" x14ac:dyDescent="0.25">
      <c r="A122" s="10">
        <v>47603</v>
      </c>
      <c r="B122" s="11" t="s">
        <v>3061</v>
      </c>
      <c r="C122" s="12">
        <v>4735753</v>
      </c>
      <c r="D122" s="294">
        <f t="shared" si="9"/>
        <v>1030026.1808125001</v>
      </c>
      <c r="E122" s="12"/>
      <c r="F122" s="294">
        <f t="shared" si="8"/>
        <v>4735753</v>
      </c>
      <c r="G122" s="13">
        <f t="shared" si="7"/>
        <v>132601071.10833335</v>
      </c>
    </row>
    <row r="123" spans="1:7" x14ac:dyDescent="0.25">
      <c r="A123" s="10">
        <v>47633</v>
      </c>
      <c r="B123" s="11" t="s">
        <v>3061</v>
      </c>
      <c r="C123" s="12">
        <v>4735753</v>
      </c>
      <c r="D123" s="294">
        <f t="shared" si="9"/>
        <v>994508.03331250022</v>
      </c>
      <c r="E123" s="12"/>
      <c r="F123" s="294">
        <f t="shared" si="8"/>
        <v>4735753</v>
      </c>
      <c r="G123" s="13">
        <f t="shared" si="7"/>
        <v>127865318.10833335</v>
      </c>
    </row>
    <row r="124" spans="1:7" x14ac:dyDescent="0.25">
      <c r="A124" s="10">
        <v>47664</v>
      </c>
      <c r="B124" s="11" t="s">
        <v>3061</v>
      </c>
      <c r="C124" s="12">
        <v>4735753</v>
      </c>
      <c r="D124" s="294">
        <f t="shared" si="9"/>
        <v>958989.88581249991</v>
      </c>
      <c r="E124" s="12"/>
      <c r="F124" s="294">
        <f t="shared" si="8"/>
        <v>4735753</v>
      </c>
      <c r="G124" s="13">
        <f t="shared" si="7"/>
        <v>123129565.10833335</v>
      </c>
    </row>
    <row r="125" spans="1:7" x14ac:dyDescent="0.25">
      <c r="A125" s="10">
        <v>47694</v>
      </c>
      <c r="B125" s="11" t="s">
        <v>3061</v>
      </c>
      <c r="C125" s="12">
        <v>4735753</v>
      </c>
      <c r="D125" s="294">
        <f t="shared" si="9"/>
        <v>923471.73831250006</v>
      </c>
      <c r="E125" s="12"/>
      <c r="F125" s="294">
        <f t="shared" si="8"/>
        <v>4735753</v>
      </c>
      <c r="G125" s="13">
        <f t="shared" si="7"/>
        <v>118393812.10833335</v>
      </c>
    </row>
    <row r="126" spans="1:7" x14ac:dyDescent="0.25">
      <c r="A126" s="10">
        <v>47725</v>
      </c>
      <c r="B126" s="11" t="s">
        <v>3061</v>
      </c>
      <c r="C126" s="12">
        <v>4735753</v>
      </c>
      <c r="D126" s="294">
        <f t="shared" si="9"/>
        <v>887953.5908125001</v>
      </c>
      <c r="E126" s="12"/>
      <c r="F126" s="294">
        <f t="shared" si="8"/>
        <v>4735753</v>
      </c>
      <c r="G126" s="13">
        <f t="shared" si="7"/>
        <v>113658059.10833335</v>
      </c>
    </row>
    <row r="127" spans="1:7" x14ac:dyDescent="0.25">
      <c r="A127" s="10">
        <v>47756</v>
      </c>
      <c r="B127" s="11" t="s">
        <v>3061</v>
      </c>
      <c r="C127" s="12">
        <v>4735753</v>
      </c>
      <c r="D127" s="294">
        <f t="shared" si="9"/>
        <v>852435.44331250014</v>
      </c>
      <c r="E127" s="12"/>
      <c r="F127" s="294">
        <f t="shared" si="8"/>
        <v>4735753</v>
      </c>
      <c r="G127" s="13">
        <f t="shared" si="7"/>
        <v>108922306.10833335</v>
      </c>
    </row>
    <row r="128" spans="1:7" x14ac:dyDescent="0.25">
      <c r="A128" s="10">
        <v>47786</v>
      </c>
      <c r="B128" s="11" t="s">
        <v>3061</v>
      </c>
      <c r="C128" s="12">
        <v>4735753</v>
      </c>
      <c r="D128" s="294">
        <f t="shared" si="9"/>
        <v>816917.29581250006</v>
      </c>
      <c r="E128" s="12"/>
      <c r="F128" s="294">
        <f t="shared" si="8"/>
        <v>4735753</v>
      </c>
      <c r="G128" s="13">
        <f t="shared" si="7"/>
        <v>104186553.10833335</v>
      </c>
    </row>
    <row r="129" spans="1:7" x14ac:dyDescent="0.25">
      <c r="A129" s="10">
        <v>47817</v>
      </c>
      <c r="B129" s="11" t="s">
        <v>3061</v>
      </c>
      <c r="C129" s="12">
        <v>4735753</v>
      </c>
      <c r="D129" s="294">
        <f t="shared" si="9"/>
        <v>781399.1483125001</v>
      </c>
      <c r="E129" s="12"/>
      <c r="F129" s="294">
        <f t="shared" si="8"/>
        <v>4735753</v>
      </c>
      <c r="G129" s="13">
        <f t="shared" si="7"/>
        <v>99450800.108333349</v>
      </c>
    </row>
    <row r="130" spans="1:7" x14ac:dyDescent="0.25">
      <c r="A130" s="10">
        <v>47847</v>
      </c>
      <c r="B130" s="11" t="s">
        <v>3061</v>
      </c>
      <c r="C130" s="12">
        <v>4735753</v>
      </c>
      <c r="D130" s="294">
        <f t="shared" si="9"/>
        <v>745881.00081250002</v>
      </c>
      <c r="E130" s="12"/>
      <c r="F130" s="294">
        <f t="shared" si="8"/>
        <v>4735753</v>
      </c>
      <c r="G130" s="13">
        <f t="shared" si="7"/>
        <v>94715047.108333349</v>
      </c>
    </row>
    <row r="131" spans="1:7" x14ac:dyDescent="0.25">
      <c r="A131" s="10">
        <v>47878</v>
      </c>
      <c r="B131" s="11" t="s">
        <v>3061</v>
      </c>
      <c r="C131" s="12">
        <v>4735753</v>
      </c>
      <c r="D131" s="294">
        <f t="shared" ref="D131:D150" si="10">G130*$I$160*I$159/360</f>
        <v>710362.85331250017</v>
      </c>
      <c r="E131" s="12"/>
      <c r="F131" s="294">
        <f t="shared" si="8"/>
        <v>4735753</v>
      </c>
      <c r="G131" s="13">
        <f t="shared" si="7"/>
        <v>89979294.108333349</v>
      </c>
    </row>
    <row r="132" spans="1:7" x14ac:dyDescent="0.25">
      <c r="A132" s="10">
        <v>47907</v>
      </c>
      <c r="B132" s="11" t="s">
        <v>3061</v>
      </c>
      <c r="C132" s="12">
        <v>4735753</v>
      </c>
      <c r="D132" s="294">
        <f t="shared" si="10"/>
        <v>674844.70581250009</v>
      </c>
      <c r="E132" s="12"/>
      <c r="F132" s="294">
        <f t="shared" si="8"/>
        <v>4735753</v>
      </c>
      <c r="G132" s="13">
        <f t="shared" ref="G132:G150" si="11">+G131-C132</f>
        <v>85243541.108333349</v>
      </c>
    </row>
    <row r="133" spans="1:7" x14ac:dyDescent="0.25">
      <c r="A133" s="10">
        <v>47937</v>
      </c>
      <c r="B133" s="11" t="s">
        <v>3061</v>
      </c>
      <c r="C133" s="12">
        <v>4735753</v>
      </c>
      <c r="D133" s="294">
        <f t="shared" si="10"/>
        <v>639326.55831250013</v>
      </c>
      <c r="E133" s="12"/>
      <c r="F133" s="294">
        <f t="shared" si="8"/>
        <v>4735753</v>
      </c>
      <c r="G133" s="13">
        <f t="shared" si="11"/>
        <v>80507788.108333349</v>
      </c>
    </row>
    <row r="134" spans="1:7" x14ac:dyDescent="0.25">
      <c r="A134" s="10">
        <v>47968</v>
      </c>
      <c r="B134" s="11" t="s">
        <v>3061</v>
      </c>
      <c r="C134" s="12">
        <v>4735753</v>
      </c>
      <c r="D134" s="294">
        <f t="shared" si="10"/>
        <v>603808.41081250017</v>
      </c>
      <c r="E134" s="12"/>
      <c r="F134" s="294">
        <f t="shared" si="8"/>
        <v>4735753</v>
      </c>
      <c r="G134" s="13">
        <f t="shared" si="11"/>
        <v>75772035.108333349</v>
      </c>
    </row>
    <row r="135" spans="1:7" x14ac:dyDescent="0.25">
      <c r="A135" s="10">
        <v>47998</v>
      </c>
      <c r="B135" s="11" t="s">
        <v>3061</v>
      </c>
      <c r="C135" s="12">
        <v>4735753</v>
      </c>
      <c r="D135" s="294">
        <f t="shared" si="10"/>
        <v>568290.26331250009</v>
      </c>
      <c r="E135" s="12"/>
      <c r="F135" s="294">
        <f t="shared" si="8"/>
        <v>4735753</v>
      </c>
      <c r="G135" s="13">
        <f t="shared" si="11"/>
        <v>71036282.108333349</v>
      </c>
    </row>
    <row r="136" spans="1:7" x14ac:dyDescent="0.25">
      <c r="A136" s="10">
        <v>48029</v>
      </c>
      <c r="B136" s="11" t="s">
        <v>3061</v>
      </c>
      <c r="C136" s="12">
        <v>4735753</v>
      </c>
      <c r="D136" s="294">
        <f t="shared" si="10"/>
        <v>532772.11581250012</v>
      </c>
      <c r="E136" s="12"/>
      <c r="F136" s="294">
        <f t="shared" ref="F136:F150" si="12">+C136+E136</f>
        <v>4735753</v>
      </c>
      <c r="G136" s="13">
        <f t="shared" si="11"/>
        <v>66300529.108333349</v>
      </c>
    </row>
    <row r="137" spans="1:7" x14ac:dyDescent="0.25">
      <c r="A137" s="10">
        <v>48059</v>
      </c>
      <c r="B137" s="11" t="s">
        <v>3061</v>
      </c>
      <c r="C137" s="12">
        <v>4735753</v>
      </c>
      <c r="D137" s="294">
        <f t="shared" si="10"/>
        <v>497253.9683125001</v>
      </c>
      <c r="E137" s="12"/>
      <c r="F137" s="294">
        <f t="shared" si="12"/>
        <v>4735753</v>
      </c>
      <c r="G137" s="13">
        <f t="shared" si="11"/>
        <v>61564776.108333349</v>
      </c>
    </row>
    <row r="138" spans="1:7" x14ac:dyDescent="0.25">
      <c r="A138" s="10">
        <v>48090</v>
      </c>
      <c r="B138" s="11" t="s">
        <v>3061</v>
      </c>
      <c r="C138" s="12">
        <v>4735753</v>
      </c>
      <c r="D138" s="294">
        <f t="shared" si="10"/>
        <v>461735.82081250008</v>
      </c>
      <c r="E138" s="12"/>
      <c r="F138" s="294">
        <f t="shared" si="12"/>
        <v>4735753</v>
      </c>
      <c r="G138" s="13">
        <f t="shared" si="11"/>
        <v>56829023.108333349</v>
      </c>
    </row>
    <row r="139" spans="1:7" x14ac:dyDescent="0.25">
      <c r="A139" s="10">
        <v>48121</v>
      </c>
      <c r="B139" s="11" t="s">
        <v>3061</v>
      </c>
      <c r="C139" s="12">
        <v>4735753</v>
      </c>
      <c r="D139" s="294">
        <f t="shared" si="10"/>
        <v>426217.67331250012</v>
      </c>
      <c r="E139" s="12"/>
      <c r="F139" s="294">
        <f t="shared" si="12"/>
        <v>4735753</v>
      </c>
      <c r="G139" s="13">
        <f t="shared" si="11"/>
        <v>52093270.108333349</v>
      </c>
    </row>
    <row r="140" spans="1:7" x14ac:dyDescent="0.25">
      <c r="A140" s="10">
        <v>48151</v>
      </c>
      <c r="B140" s="11" t="s">
        <v>3061</v>
      </c>
      <c r="C140" s="12">
        <v>4735753</v>
      </c>
      <c r="D140" s="294">
        <f t="shared" si="10"/>
        <v>390699.52581250004</v>
      </c>
      <c r="E140" s="12"/>
      <c r="F140" s="294">
        <f t="shared" si="12"/>
        <v>4735753</v>
      </c>
      <c r="G140" s="13">
        <f t="shared" si="11"/>
        <v>47357517.108333349</v>
      </c>
    </row>
    <row r="141" spans="1:7" x14ac:dyDescent="0.25">
      <c r="A141" s="10">
        <v>48182</v>
      </c>
      <c r="B141" s="11" t="s">
        <v>3061</v>
      </c>
      <c r="C141" s="12">
        <v>4735753</v>
      </c>
      <c r="D141" s="294">
        <f t="shared" si="10"/>
        <v>355181.37831250014</v>
      </c>
      <c r="E141" s="12"/>
      <c r="F141" s="294">
        <f t="shared" si="12"/>
        <v>4735753</v>
      </c>
      <c r="G141" s="13">
        <f t="shared" si="11"/>
        <v>42621764.108333349</v>
      </c>
    </row>
    <row r="142" spans="1:7" x14ac:dyDescent="0.25">
      <c r="A142" s="10">
        <v>48212</v>
      </c>
      <c r="B142" s="11" t="s">
        <v>3061</v>
      </c>
      <c r="C142" s="12">
        <v>4735753</v>
      </c>
      <c r="D142" s="294">
        <f t="shared" si="10"/>
        <v>319663.23081250011</v>
      </c>
      <c r="E142" s="12"/>
      <c r="F142" s="294">
        <f t="shared" si="12"/>
        <v>4735753</v>
      </c>
      <c r="G142" s="13">
        <f t="shared" si="11"/>
        <v>37886011.108333349</v>
      </c>
    </row>
    <row r="143" spans="1:7" x14ac:dyDescent="0.25">
      <c r="A143" s="10">
        <v>48243</v>
      </c>
      <c r="B143" s="11" t="s">
        <v>3061</v>
      </c>
      <c r="C143" s="12">
        <v>4735753</v>
      </c>
      <c r="D143" s="294">
        <f t="shared" si="10"/>
        <v>284145.08331250009</v>
      </c>
      <c r="E143" s="12"/>
      <c r="F143" s="294">
        <f t="shared" si="12"/>
        <v>4735753</v>
      </c>
      <c r="G143" s="13">
        <f t="shared" si="11"/>
        <v>33150258.108333349</v>
      </c>
    </row>
    <row r="144" spans="1:7" x14ac:dyDescent="0.25">
      <c r="A144" s="10">
        <v>48273</v>
      </c>
      <c r="B144" s="11" t="s">
        <v>3061</v>
      </c>
      <c r="C144" s="12">
        <v>4735753</v>
      </c>
      <c r="D144" s="294">
        <f t="shared" si="10"/>
        <v>248626.93581250013</v>
      </c>
      <c r="E144" s="12"/>
      <c r="F144" s="294">
        <f t="shared" si="12"/>
        <v>4735753</v>
      </c>
      <c r="G144" s="13">
        <f t="shared" si="11"/>
        <v>28414505.108333349</v>
      </c>
    </row>
    <row r="145" spans="1:17" x14ac:dyDescent="0.25">
      <c r="A145" s="10">
        <v>48303</v>
      </c>
      <c r="B145" s="11" t="s">
        <v>3061</v>
      </c>
      <c r="C145" s="12">
        <v>4735753</v>
      </c>
      <c r="D145" s="294">
        <f t="shared" si="10"/>
        <v>213108.78831250008</v>
      </c>
      <c r="E145" s="12"/>
      <c r="F145" s="294">
        <f t="shared" si="12"/>
        <v>4735753</v>
      </c>
      <c r="G145" s="13">
        <f t="shared" si="11"/>
        <v>23678752.108333349</v>
      </c>
    </row>
    <row r="146" spans="1:17" x14ac:dyDescent="0.25">
      <c r="A146" s="10">
        <v>48334</v>
      </c>
      <c r="B146" s="11" t="s">
        <v>3061</v>
      </c>
      <c r="C146" s="12">
        <v>4735753</v>
      </c>
      <c r="D146" s="294">
        <f t="shared" si="10"/>
        <v>177590.64081250012</v>
      </c>
      <c r="E146" s="12"/>
      <c r="F146" s="294">
        <f t="shared" si="12"/>
        <v>4735753</v>
      </c>
      <c r="G146" s="13">
        <f t="shared" si="11"/>
        <v>18942999.108333349</v>
      </c>
    </row>
    <row r="147" spans="1:17" x14ac:dyDescent="0.25">
      <c r="A147" s="10">
        <v>48364</v>
      </c>
      <c r="B147" s="11" t="s">
        <v>3061</v>
      </c>
      <c r="C147" s="12">
        <v>4735753</v>
      </c>
      <c r="D147" s="294">
        <f t="shared" si="10"/>
        <v>142072.4933125001</v>
      </c>
      <c r="E147" s="12"/>
      <c r="F147" s="294">
        <f t="shared" si="12"/>
        <v>4735753</v>
      </c>
      <c r="G147" s="13">
        <f t="shared" si="11"/>
        <v>14207246.108333349</v>
      </c>
    </row>
    <row r="148" spans="1:17" x14ac:dyDescent="0.25">
      <c r="A148" s="10">
        <v>48395</v>
      </c>
      <c r="B148" s="11" t="s">
        <v>3061</v>
      </c>
      <c r="C148" s="12">
        <v>4735753</v>
      </c>
      <c r="D148" s="294">
        <f t="shared" si="10"/>
        <v>106554.34581250012</v>
      </c>
      <c r="E148" s="12"/>
      <c r="F148" s="294">
        <f t="shared" si="12"/>
        <v>4735753</v>
      </c>
      <c r="G148" s="13">
        <f t="shared" si="11"/>
        <v>9471493.1083333492</v>
      </c>
    </row>
    <row r="149" spans="1:17" x14ac:dyDescent="0.25">
      <c r="A149" s="10">
        <v>48425</v>
      </c>
      <c r="B149" s="11" t="s">
        <v>3061</v>
      </c>
      <c r="C149" s="12">
        <v>4735753</v>
      </c>
      <c r="D149" s="294">
        <f t="shared" si="10"/>
        <v>71036.198312500113</v>
      </c>
      <c r="E149" s="12"/>
      <c r="F149" s="294">
        <f t="shared" si="12"/>
        <v>4735753</v>
      </c>
      <c r="G149" s="13">
        <f t="shared" si="11"/>
        <v>4735740.1083333492</v>
      </c>
    </row>
    <row r="150" spans="1:17" x14ac:dyDescent="0.25">
      <c r="A150" s="10">
        <v>48456</v>
      </c>
      <c r="B150" s="11" t="s">
        <v>3061</v>
      </c>
      <c r="C150" s="12">
        <v>4735740</v>
      </c>
      <c r="D150" s="294">
        <f t="shared" si="10"/>
        <v>35518.050812500114</v>
      </c>
      <c r="E150" s="12"/>
      <c r="F150" s="294">
        <f t="shared" si="12"/>
        <v>4735740</v>
      </c>
      <c r="G150" s="13">
        <f t="shared" si="11"/>
        <v>0.10833334922790527</v>
      </c>
    </row>
    <row r="151" spans="1:17" x14ac:dyDescent="0.25">
      <c r="A151" s="15"/>
      <c r="B151" s="16" t="s">
        <v>11</v>
      </c>
      <c r="C151" s="17">
        <f>SUM(C6:C150)</f>
        <v>568290346.89166665</v>
      </c>
      <c r="D151" s="17">
        <f t="shared" ref="D151:F151" si="13">SUM(D6:D150)</f>
        <v>318059788.55449623</v>
      </c>
      <c r="E151" s="17">
        <f t="shared" si="13"/>
        <v>8992720.6925991662</v>
      </c>
      <c r="F151" s="17">
        <f t="shared" si="13"/>
        <v>577283067.58426583</v>
      </c>
      <c r="G151" s="18"/>
    </row>
    <row r="152" spans="1:17" x14ac:dyDescent="0.25">
      <c r="A152" s="389"/>
      <c r="B152" s="390"/>
      <c r="C152" s="391"/>
      <c r="D152" s="391"/>
      <c r="E152" s="391"/>
      <c r="F152" s="391"/>
      <c r="G152" s="391"/>
      <c r="H152" s="392"/>
    </row>
    <row r="153" spans="1:17" x14ac:dyDescent="0.25">
      <c r="A153" s="389"/>
      <c r="B153" s="390"/>
      <c r="C153" s="391"/>
      <c r="D153" s="391"/>
      <c r="E153" s="391"/>
      <c r="F153" s="391"/>
      <c r="G153" s="391"/>
      <c r="H153" s="392"/>
    </row>
    <row r="154" spans="1:17" x14ac:dyDescent="0.25">
      <c r="A154" s="389"/>
      <c r="B154" s="390"/>
      <c r="C154" s="391"/>
      <c r="D154" s="391"/>
      <c r="E154" s="391"/>
      <c r="F154" s="391"/>
      <c r="G154" s="391"/>
      <c r="H154" s="392"/>
    </row>
    <row r="155" spans="1:17" x14ac:dyDescent="0.25">
      <c r="A155" s="313" t="s">
        <v>42</v>
      </c>
      <c r="B155" s="314"/>
      <c r="C155" s="20"/>
      <c r="D155" s="20"/>
      <c r="E155" s="20"/>
      <c r="F155" s="20"/>
      <c r="G155" s="20"/>
      <c r="H155" s="20"/>
    </row>
    <row r="156" spans="1:17" x14ac:dyDescent="0.25">
      <c r="A156" s="39" t="s">
        <v>3041</v>
      </c>
      <c r="B156" s="315" t="s">
        <v>3128</v>
      </c>
      <c r="C156" s="315" t="s">
        <v>3129</v>
      </c>
      <c r="D156" s="315" t="s">
        <v>3130</v>
      </c>
      <c r="E156" s="315" t="s">
        <v>3140</v>
      </c>
      <c r="F156" s="315" t="s">
        <v>3168</v>
      </c>
      <c r="G156" s="315" t="s">
        <v>3148</v>
      </c>
      <c r="H156" s="315" t="s">
        <v>3149</v>
      </c>
      <c r="I156" s="315" t="s">
        <v>3150</v>
      </c>
      <c r="J156" s="393"/>
      <c r="K156" s="394"/>
      <c r="L156" s="394"/>
      <c r="M156" s="394"/>
      <c r="N156" s="394"/>
      <c r="O156" s="80"/>
      <c r="P156" s="80"/>
      <c r="Q156" s="80"/>
    </row>
    <row r="157" spans="1:17" x14ac:dyDescent="0.25">
      <c r="A157" s="39" t="s">
        <v>3154</v>
      </c>
      <c r="B157" s="160">
        <v>2.0070000000000001E-2</v>
      </c>
      <c r="C157" s="88">
        <v>1.8380000000000001E-2</v>
      </c>
      <c r="D157" s="160">
        <v>1.7180000000000001E-2</v>
      </c>
      <c r="E157" s="88">
        <v>1.7139999999999999E-2</v>
      </c>
      <c r="F157" s="88">
        <v>1.712E-2</v>
      </c>
      <c r="G157" s="88">
        <v>0.04</v>
      </c>
      <c r="H157" s="88">
        <v>4.4999999999999998E-2</v>
      </c>
      <c r="I157" s="33">
        <v>0.05</v>
      </c>
      <c r="J157" s="395"/>
      <c r="K157" s="395"/>
      <c r="L157" s="395"/>
      <c r="M157" s="395"/>
      <c r="N157" s="395"/>
      <c r="O157" s="80"/>
      <c r="P157" s="80"/>
      <c r="Q157" s="80"/>
    </row>
    <row r="158" spans="1:17" x14ac:dyDescent="0.25">
      <c r="A158" s="39" t="s">
        <v>370</v>
      </c>
      <c r="B158" s="88">
        <v>0.02</v>
      </c>
      <c r="C158" s="88">
        <v>0.02</v>
      </c>
      <c r="D158" s="88">
        <v>0.02</v>
      </c>
      <c r="E158" s="88">
        <v>0.02</v>
      </c>
      <c r="F158" s="88">
        <v>0.02</v>
      </c>
      <c r="G158" s="88">
        <v>0.02</v>
      </c>
      <c r="H158" s="88">
        <v>0.02</v>
      </c>
      <c r="I158" s="88">
        <v>0.04</v>
      </c>
      <c r="J158" s="396"/>
      <c r="K158" s="396"/>
      <c r="L158" s="396"/>
      <c r="M158" s="396"/>
      <c r="N158" s="396"/>
      <c r="O158" s="80"/>
      <c r="P158" s="80"/>
      <c r="Q158" s="80"/>
    </row>
    <row r="159" spans="1:17" x14ac:dyDescent="0.25">
      <c r="A159" s="39" t="s">
        <v>377</v>
      </c>
      <c r="B159" s="296">
        <v>30</v>
      </c>
      <c r="C159" s="67">
        <v>30</v>
      </c>
      <c r="D159" s="67">
        <v>30</v>
      </c>
      <c r="E159" s="67">
        <v>30</v>
      </c>
      <c r="F159" s="67">
        <v>30</v>
      </c>
      <c r="G159" s="67">
        <v>30</v>
      </c>
      <c r="H159" s="67">
        <v>30</v>
      </c>
      <c r="I159" s="67">
        <v>30</v>
      </c>
      <c r="J159" s="397"/>
      <c r="K159" s="397"/>
      <c r="L159" s="397"/>
      <c r="M159" s="397"/>
      <c r="N159" s="397"/>
      <c r="O159" s="80"/>
      <c r="P159" s="80"/>
      <c r="Q159" s="80"/>
    </row>
    <row r="160" spans="1:17" x14ac:dyDescent="0.25">
      <c r="A160" s="39" t="s">
        <v>3152</v>
      </c>
      <c r="B160" s="398">
        <f>B157+B158</f>
        <v>4.0070000000000001E-2</v>
      </c>
      <c r="C160" s="400">
        <f>C157+C158</f>
        <v>3.8379999999999997E-2</v>
      </c>
      <c r="D160" s="399">
        <f t="shared" ref="D160:E160" si="14">D157+D158</f>
        <v>3.7180000000000005E-2</v>
      </c>
      <c r="E160" s="400">
        <f t="shared" si="14"/>
        <v>3.7139999999999999E-2</v>
      </c>
      <c r="F160" s="400">
        <f>F157+F158</f>
        <v>3.712E-2</v>
      </c>
      <c r="G160" s="400">
        <f>G157+G158</f>
        <v>0.06</v>
      </c>
      <c r="H160" s="400">
        <f>H157+H158</f>
        <v>6.5000000000000002E-2</v>
      </c>
      <c r="I160" s="400">
        <f>I157+I158</f>
        <v>0.09</v>
      </c>
      <c r="J160" s="401"/>
      <c r="K160" s="401"/>
      <c r="L160" s="401"/>
      <c r="M160" s="401"/>
      <c r="N160" s="401"/>
      <c r="O160" s="80"/>
      <c r="P160" s="80"/>
      <c r="Q160" s="80"/>
    </row>
    <row r="161" spans="1:18" x14ac:dyDescent="0.25">
      <c r="A161" s="39" t="s">
        <v>3010</v>
      </c>
      <c r="B161" s="398">
        <f>EFFECT(B157+B158,4)</f>
        <v>4.0676132944455379E-2</v>
      </c>
      <c r="C161" s="400">
        <f>EFFECT(C160,4)</f>
        <v>3.8935926043064173E-2</v>
      </c>
      <c r="D161" s="398">
        <f t="shared" ref="D161:E161" si="15">EFFECT(D157+D158,4)</f>
        <v>3.7701601855835598E-2</v>
      </c>
      <c r="E161" s="398">
        <f t="shared" si="15"/>
        <v>3.7660476667271681E-2</v>
      </c>
      <c r="F161" s="398">
        <f>EFFECT(F157+F158,4)</f>
        <v>3.763991453138682E-2</v>
      </c>
      <c r="G161" s="398">
        <f>EFFECT(G157+G158,4)</f>
        <v>6.136355062499943E-2</v>
      </c>
      <c r="H161" s="398">
        <f>EFFECT(H157+H158,4)</f>
        <v>6.6601608791504452E-2</v>
      </c>
      <c r="I161" s="398">
        <f>EFFECT(I157+I158,4)</f>
        <v>9.3083318789062286E-2</v>
      </c>
      <c r="J161" s="402"/>
      <c r="K161" s="402"/>
      <c r="L161" s="402"/>
      <c r="M161" s="402"/>
      <c r="N161" s="402"/>
      <c r="O161" s="80"/>
      <c r="P161" s="80"/>
      <c r="Q161" s="80"/>
    </row>
    <row r="162" spans="1:18" x14ac:dyDescent="0.25">
      <c r="A162" s="43" t="s">
        <v>39</v>
      </c>
      <c r="B162" s="44">
        <f>E7</f>
        <v>1897616.1836908334</v>
      </c>
      <c r="C162" s="44">
        <f>E$8</f>
        <v>1817581.9598216666</v>
      </c>
      <c r="D162" s="44">
        <f>E$9</f>
        <v>1760752.9251216671</v>
      </c>
      <c r="E162" s="44">
        <f>+E10</f>
        <v>1758858.623965</v>
      </c>
      <c r="F162" s="44">
        <f>+E11</f>
        <v>1757911</v>
      </c>
      <c r="G162" s="44"/>
      <c r="H162" s="44"/>
      <c r="I162" s="44"/>
      <c r="J162" s="403"/>
      <c r="K162" s="403"/>
      <c r="L162" s="403"/>
      <c r="M162" s="403"/>
      <c r="N162" s="403"/>
      <c r="O162" s="136"/>
      <c r="P162" s="404"/>
      <c r="Q162" s="80"/>
    </row>
    <row r="163" spans="1:18" x14ac:dyDescent="0.25">
      <c r="B163" s="232"/>
      <c r="J163" s="80"/>
      <c r="K163" s="80"/>
      <c r="L163" s="80"/>
      <c r="M163" s="80"/>
      <c r="N163" s="80"/>
      <c r="O163" s="80"/>
      <c r="P163" s="80"/>
      <c r="Q163" s="405"/>
      <c r="R163" s="80"/>
    </row>
    <row r="164" spans="1:18" x14ac:dyDescent="0.25">
      <c r="J164" s="80"/>
      <c r="K164" s="80"/>
      <c r="L164" s="80"/>
      <c r="M164" s="80"/>
      <c r="N164" s="80"/>
      <c r="O164" s="80"/>
      <c r="P164" s="80"/>
      <c r="Q164" s="80"/>
      <c r="R164" s="80"/>
    </row>
    <row r="165" spans="1:18" x14ac:dyDescent="0.25">
      <c r="J165" s="80"/>
      <c r="K165" s="80"/>
      <c r="L165" s="80"/>
      <c r="M165" s="80"/>
      <c r="N165" s="80"/>
      <c r="O165" s="80"/>
      <c r="P165" s="80"/>
      <c r="Q165" s="80"/>
      <c r="R165" s="80"/>
    </row>
    <row r="166" spans="1:18" x14ac:dyDescent="0.25">
      <c r="C166" s="76"/>
      <c r="J166" s="80"/>
      <c r="K166" s="80"/>
      <c r="L166" s="80"/>
      <c r="M166" s="80"/>
      <c r="N166" s="80"/>
      <c r="O166" s="80"/>
      <c r="P166" s="80"/>
      <c r="Q166" s="405"/>
      <c r="R166" s="80"/>
    </row>
    <row r="167" spans="1:18" x14ac:dyDescent="0.25">
      <c r="C167" s="146"/>
      <c r="J167" s="80"/>
      <c r="K167" s="80"/>
      <c r="L167" s="80"/>
      <c r="M167" s="80"/>
      <c r="N167" s="80"/>
      <c r="O167" s="80"/>
      <c r="P167" s="80"/>
      <c r="Q167" s="80"/>
      <c r="R167" s="80"/>
    </row>
    <row r="168" spans="1:18" x14ac:dyDescent="0.25">
      <c r="J168" s="80"/>
      <c r="K168" s="80"/>
      <c r="L168" s="80"/>
      <c r="M168" s="80"/>
      <c r="N168" s="80"/>
      <c r="O168" s="80"/>
      <c r="P168" s="80"/>
      <c r="Q168" s="80"/>
      <c r="R168" s="80"/>
    </row>
    <row r="169" spans="1:18" x14ac:dyDescent="0.25">
      <c r="B169" s="50"/>
      <c r="C169" s="50"/>
    </row>
  </sheetData>
  <mergeCells count="4">
    <mergeCell ref="A1:G1"/>
    <mergeCell ref="A2:G2"/>
    <mergeCell ref="A3:G3"/>
    <mergeCell ref="A4:G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7030A0"/>
  </sheetPr>
  <dimension ref="A1:R169"/>
  <sheetViews>
    <sheetView zoomScale="90" zoomScaleNormal="90" workbookViewId="0">
      <selection activeCell="E10" sqref="E10"/>
    </sheetView>
  </sheetViews>
  <sheetFormatPr baseColWidth="10" defaultColWidth="11.5703125" defaultRowHeight="15" x14ac:dyDescent="0.25"/>
  <cols>
    <col min="1" max="1" width="15" customWidth="1"/>
    <col min="2" max="2" width="19" customWidth="1"/>
    <col min="3" max="3" width="18.5703125" customWidth="1"/>
    <col min="4" max="4" width="16.28515625" customWidth="1"/>
    <col min="5" max="5" width="19" customWidth="1"/>
    <col min="6" max="6" width="14.140625" bestFit="1" customWidth="1"/>
    <col min="7" max="7" width="16.85546875" customWidth="1"/>
    <col min="8" max="8" width="17.7109375" customWidth="1"/>
    <col min="9" max="9" width="14.140625" bestFit="1" customWidth="1"/>
    <col min="10" max="11" width="15.5703125" bestFit="1" customWidth="1"/>
    <col min="12" max="13" width="13.5703125" bestFit="1" customWidth="1"/>
    <col min="14" max="14" width="12.7109375" bestFit="1" customWidth="1"/>
    <col min="15" max="15" width="13.7109375" bestFit="1" customWidth="1"/>
    <col min="16" max="16" width="12.7109375" bestFit="1" customWidth="1"/>
    <col min="17" max="17" width="13.7109375" bestFit="1" customWidth="1"/>
    <col min="259" max="259" width="15" customWidth="1"/>
    <col min="260" max="260" width="19" customWidth="1"/>
    <col min="261" max="261" width="18.5703125" customWidth="1"/>
    <col min="262" max="262" width="16.42578125" customWidth="1"/>
    <col min="263" max="263" width="16.85546875" customWidth="1"/>
    <col min="264" max="264" width="17.7109375" customWidth="1"/>
    <col min="265" max="269" width="13.5703125" bestFit="1" customWidth="1"/>
    <col min="270" max="272" width="12.7109375" bestFit="1" customWidth="1"/>
    <col min="273" max="273" width="13.7109375" bestFit="1" customWidth="1"/>
    <col min="515" max="515" width="15" customWidth="1"/>
    <col min="516" max="516" width="19" customWidth="1"/>
    <col min="517" max="517" width="18.5703125" customWidth="1"/>
    <col min="518" max="518" width="16.42578125" customWidth="1"/>
    <col min="519" max="519" width="16.85546875" customWidth="1"/>
    <col min="520" max="520" width="17.7109375" customWidth="1"/>
    <col min="521" max="525" width="13.5703125" bestFit="1" customWidth="1"/>
    <col min="526" max="528" width="12.7109375" bestFit="1" customWidth="1"/>
    <col min="529" max="529" width="13.7109375" bestFit="1" customWidth="1"/>
    <col min="771" max="771" width="15" customWidth="1"/>
    <col min="772" max="772" width="19" customWidth="1"/>
    <col min="773" max="773" width="18.5703125" customWidth="1"/>
    <col min="774" max="774" width="16.42578125" customWidth="1"/>
    <col min="775" max="775" width="16.85546875" customWidth="1"/>
    <col min="776" max="776" width="17.7109375" customWidth="1"/>
    <col min="777" max="781" width="13.5703125" bestFit="1" customWidth="1"/>
    <col min="782" max="784" width="12.7109375" bestFit="1" customWidth="1"/>
    <col min="785" max="785" width="13.7109375" bestFit="1" customWidth="1"/>
    <col min="1027" max="1027" width="15" customWidth="1"/>
    <col min="1028" max="1028" width="19" customWidth="1"/>
    <col min="1029" max="1029" width="18.5703125" customWidth="1"/>
    <col min="1030" max="1030" width="16.42578125" customWidth="1"/>
    <col min="1031" max="1031" width="16.85546875" customWidth="1"/>
    <col min="1032" max="1032" width="17.7109375" customWidth="1"/>
    <col min="1033" max="1037" width="13.5703125" bestFit="1" customWidth="1"/>
    <col min="1038" max="1040" width="12.7109375" bestFit="1" customWidth="1"/>
    <col min="1041" max="1041" width="13.7109375" bestFit="1" customWidth="1"/>
    <col min="1283" max="1283" width="15" customWidth="1"/>
    <col min="1284" max="1284" width="19" customWidth="1"/>
    <col min="1285" max="1285" width="18.5703125" customWidth="1"/>
    <col min="1286" max="1286" width="16.42578125" customWidth="1"/>
    <col min="1287" max="1287" width="16.85546875" customWidth="1"/>
    <col min="1288" max="1288" width="17.7109375" customWidth="1"/>
    <col min="1289" max="1293" width="13.5703125" bestFit="1" customWidth="1"/>
    <col min="1294" max="1296" width="12.7109375" bestFit="1" customWidth="1"/>
    <col min="1297" max="1297" width="13.7109375" bestFit="1" customWidth="1"/>
    <col min="1539" max="1539" width="15" customWidth="1"/>
    <col min="1540" max="1540" width="19" customWidth="1"/>
    <col min="1541" max="1541" width="18.5703125" customWidth="1"/>
    <col min="1542" max="1542" width="16.42578125" customWidth="1"/>
    <col min="1543" max="1543" width="16.85546875" customWidth="1"/>
    <col min="1544" max="1544" width="17.7109375" customWidth="1"/>
    <col min="1545" max="1549" width="13.5703125" bestFit="1" customWidth="1"/>
    <col min="1550" max="1552" width="12.7109375" bestFit="1" customWidth="1"/>
    <col min="1553" max="1553" width="13.7109375" bestFit="1" customWidth="1"/>
    <col min="1795" max="1795" width="15" customWidth="1"/>
    <col min="1796" max="1796" width="19" customWidth="1"/>
    <col min="1797" max="1797" width="18.5703125" customWidth="1"/>
    <col min="1798" max="1798" width="16.42578125" customWidth="1"/>
    <col min="1799" max="1799" width="16.85546875" customWidth="1"/>
    <col min="1800" max="1800" width="17.7109375" customWidth="1"/>
    <col min="1801" max="1805" width="13.5703125" bestFit="1" customWidth="1"/>
    <col min="1806" max="1808" width="12.7109375" bestFit="1" customWidth="1"/>
    <col min="1809" max="1809" width="13.7109375" bestFit="1" customWidth="1"/>
    <col min="2051" max="2051" width="15" customWidth="1"/>
    <col min="2052" max="2052" width="19" customWidth="1"/>
    <col min="2053" max="2053" width="18.5703125" customWidth="1"/>
    <col min="2054" max="2054" width="16.42578125" customWidth="1"/>
    <col min="2055" max="2055" width="16.85546875" customWidth="1"/>
    <col min="2056" max="2056" width="17.7109375" customWidth="1"/>
    <col min="2057" max="2061" width="13.5703125" bestFit="1" customWidth="1"/>
    <col min="2062" max="2064" width="12.7109375" bestFit="1" customWidth="1"/>
    <col min="2065" max="2065" width="13.7109375" bestFit="1" customWidth="1"/>
    <col min="2307" max="2307" width="15" customWidth="1"/>
    <col min="2308" max="2308" width="19" customWidth="1"/>
    <col min="2309" max="2309" width="18.5703125" customWidth="1"/>
    <col min="2310" max="2310" width="16.42578125" customWidth="1"/>
    <col min="2311" max="2311" width="16.85546875" customWidth="1"/>
    <col min="2312" max="2312" width="17.7109375" customWidth="1"/>
    <col min="2313" max="2317" width="13.5703125" bestFit="1" customWidth="1"/>
    <col min="2318" max="2320" width="12.7109375" bestFit="1" customWidth="1"/>
    <col min="2321" max="2321" width="13.7109375" bestFit="1" customWidth="1"/>
    <col min="2563" max="2563" width="15" customWidth="1"/>
    <col min="2564" max="2564" width="19" customWidth="1"/>
    <col min="2565" max="2565" width="18.5703125" customWidth="1"/>
    <col min="2566" max="2566" width="16.42578125" customWidth="1"/>
    <col min="2567" max="2567" width="16.85546875" customWidth="1"/>
    <col min="2568" max="2568" width="17.7109375" customWidth="1"/>
    <col min="2569" max="2573" width="13.5703125" bestFit="1" customWidth="1"/>
    <col min="2574" max="2576" width="12.7109375" bestFit="1" customWidth="1"/>
    <col min="2577" max="2577" width="13.7109375" bestFit="1" customWidth="1"/>
    <col min="2819" max="2819" width="15" customWidth="1"/>
    <col min="2820" max="2820" width="19" customWidth="1"/>
    <col min="2821" max="2821" width="18.5703125" customWidth="1"/>
    <col min="2822" max="2822" width="16.42578125" customWidth="1"/>
    <col min="2823" max="2823" width="16.85546875" customWidth="1"/>
    <col min="2824" max="2824" width="17.7109375" customWidth="1"/>
    <col min="2825" max="2829" width="13.5703125" bestFit="1" customWidth="1"/>
    <col min="2830" max="2832" width="12.7109375" bestFit="1" customWidth="1"/>
    <col min="2833" max="2833" width="13.7109375" bestFit="1" customWidth="1"/>
    <col min="3075" max="3075" width="15" customWidth="1"/>
    <col min="3076" max="3076" width="19" customWidth="1"/>
    <col min="3077" max="3077" width="18.5703125" customWidth="1"/>
    <col min="3078" max="3078" width="16.42578125" customWidth="1"/>
    <col min="3079" max="3079" width="16.85546875" customWidth="1"/>
    <col min="3080" max="3080" width="17.7109375" customWidth="1"/>
    <col min="3081" max="3085" width="13.5703125" bestFit="1" customWidth="1"/>
    <col min="3086" max="3088" width="12.7109375" bestFit="1" customWidth="1"/>
    <col min="3089" max="3089" width="13.7109375" bestFit="1" customWidth="1"/>
    <col min="3331" max="3331" width="15" customWidth="1"/>
    <col min="3332" max="3332" width="19" customWidth="1"/>
    <col min="3333" max="3333" width="18.5703125" customWidth="1"/>
    <col min="3334" max="3334" width="16.42578125" customWidth="1"/>
    <col min="3335" max="3335" width="16.85546875" customWidth="1"/>
    <col min="3336" max="3336" width="17.7109375" customWidth="1"/>
    <col min="3337" max="3341" width="13.5703125" bestFit="1" customWidth="1"/>
    <col min="3342" max="3344" width="12.7109375" bestFit="1" customWidth="1"/>
    <col min="3345" max="3345" width="13.7109375" bestFit="1" customWidth="1"/>
    <col min="3587" max="3587" width="15" customWidth="1"/>
    <col min="3588" max="3588" width="19" customWidth="1"/>
    <col min="3589" max="3589" width="18.5703125" customWidth="1"/>
    <col min="3590" max="3590" width="16.42578125" customWidth="1"/>
    <col min="3591" max="3591" width="16.85546875" customWidth="1"/>
    <col min="3592" max="3592" width="17.7109375" customWidth="1"/>
    <col min="3593" max="3597" width="13.5703125" bestFit="1" customWidth="1"/>
    <col min="3598" max="3600" width="12.7109375" bestFit="1" customWidth="1"/>
    <col min="3601" max="3601" width="13.7109375" bestFit="1" customWidth="1"/>
    <col min="3843" max="3843" width="15" customWidth="1"/>
    <col min="3844" max="3844" width="19" customWidth="1"/>
    <col min="3845" max="3845" width="18.5703125" customWidth="1"/>
    <col min="3846" max="3846" width="16.42578125" customWidth="1"/>
    <col min="3847" max="3847" width="16.85546875" customWidth="1"/>
    <col min="3848" max="3848" width="17.7109375" customWidth="1"/>
    <col min="3849" max="3853" width="13.5703125" bestFit="1" customWidth="1"/>
    <col min="3854" max="3856" width="12.7109375" bestFit="1" customWidth="1"/>
    <col min="3857" max="3857" width="13.7109375" bestFit="1" customWidth="1"/>
    <col min="4099" max="4099" width="15" customWidth="1"/>
    <col min="4100" max="4100" width="19" customWidth="1"/>
    <col min="4101" max="4101" width="18.5703125" customWidth="1"/>
    <col min="4102" max="4102" width="16.42578125" customWidth="1"/>
    <col min="4103" max="4103" width="16.85546875" customWidth="1"/>
    <col min="4104" max="4104" width="17.7109375" customWidth="1"/>
    <col min="4105" max="4109" width="13.5703125" bestFit="1" customWidth="1"/>
    <col min="4110" max="4112" width="12.7109375" bestFit="1" customWidth="1"/>
    <col min="4113" max="4113" width="13.7109375" bestFit="1" customWidth="1"/>
    <col min="4355" max="4355" width="15" customWidth="1"/>
    <col min="4356" max="4356" width="19" customWidth="1"/>
    <col min="4357" max="4357" width="18.5703125" customWidth="1"/>
    <col min="4358" max="4358" width="16.42578125" customWidth="1"/>
    <col min="4359" max="4359" width="16.85546875" customWidth="1"/>
    <col min="4360" max="4360" width="17.7109375" customWidth="1"/>
    <col min="4361" max="4365" width="13.5703125" bestFit="1" customWidth="1"/>
    <col min="4366" max="4368" width="12.7109375" bestFit="1" customWidth="1"/>
    <col min="4369" max="4369" width="13.7109375" bestFit="1" customWidth="1"/>
    <col min="4611" max="4611" width="15" customWidth="1"/>
    <col min="4612" max="4612" width="19" customWidth="1"/>
    <col min="4613" max="4613" width="18.5703125" customWidth="1"/>
    <col min="4614" max="4614" width="16.42578125" customWidth="1"/>
    <col min="4615" max="4615" width="16.85546875" customWidth="1"/>
    <col min="4616" max="4616" width="17.7109375" customWidth="1"/>
    <col min="4617" max="4621" width="13.5703125" bestFit="1" customWidth="1"/>
    <col min="4622" max="4624" width="12.7109375" bestFit="1" customWidth="1"/>
    <col min="4625" max="4625" width="13.7109375" bestFit="1" customWidth="1"/>
    <col min="4867" max="4867" width="15" customWidth="1"/>
    <col min="4868" max="4868" width="19" customWidth="1"/>
    <col min="4869" max="4869" width="18.5703125" customWidth="1"/>
    <col min="4870" max="4870" width="16.42578125" customWidth="1"/>
    <col min="4871" max="4871" width="16.85546875" customWidth="1"/>
    <col min="4872" max="4872" width="17.7109375" customWidth="1"/>
    <col min="4873" max="4877" width="13.5703125" bestFit="1" customWidth="1"/>
    <col min="4878" max="4880" width="12.7109375" bestFit="1" customWidth="1"/>
    <col min="4881" max="4881" width="13.7109375" bestFit="1" customWidth="1"/>
    <col min="5123" max="5123" width="15" customWidth="1"/>
    <col min="5124" max="5124" width="19" customWidth="1"/>
    <col min="5125" max="5125" width="18.5703125" customWidth="1"/>
    <col min="5126" max="5126" width="16.42578125" customWidth="1"/>
    <col min="5127" max="5127" width="16.85546875" customWidth="1"/>
    <col min="5128" max="5128" width="17.7109375" customWidth="1"/>
    <col min="5129" max="5133" width="13.5703125" bestFit="1" customWidth="1"/>
    <col min="5134" max="5136" width="12.7109375" bestFit="1" customWidth="1"/>
    <col min="5137" max="5137" width="13.7109375" bestFit="1" customWidth="1"/>
    <col min="5379" max="5379" width="15" customWidth="1"/>
    <col min="5380" max="5380" width="19" customWidth="1"/>
    <col min="5381" max="5381" width="18.5703125" customWidth="1"/>
    <col min="5382" max="5382" width="16.42578125" customWidth="1"/>
    <col min="5383" max="5383" width="16.85546875" customWidth="1"/>
    <col min="5384" max="5384" width="17.7109375" customWidth="1"/>
    <col min="5385" max="5389" width="13.5703125" bestFit="1" customWidth="1"/>
    <col min="5390" max="5392" width="12.7109375" bestFit="1" customWidth="1"/>
    <col min="5393" max="5393" width="13.7109375" bestFit="1" customWidth="1"/>
    <col min="5635" max="5635" width="15" customWidth="1"/>
    <col min="5636" max="5636" width="19" customWidth="1"/>
    <col min="5637" max="5637" width="18.5703125" customWidth="1"/>
    <col min="5638" max="5638" width="16.42578125" customWidth="1"/>
    <col min="5639" max="5639" width="16.85546875" customWidth="1"/>
    <col min="5640" max="5640" width="17.7109375" customWidth="1"/>
    <col min="5641" max="5645" width="13.5703125" bestFit="1" customWidth="1"/>
    <col min="5646" max="5648" width="12.7109375" bestFit="1" customWidth="1"/>
    <col min="5649" max="5649" width="13.7109375" bestFit="1" customWidth="1"/>
    <col min="5891" max="5891" width="15" customWidth="1"/>
    <col min="5892" max="5892" width="19" customWidth="1"/>
    <col min="5893" max="5893" width="18.5703125" customWidth="1"/>
    <col min="5894" max="5894" width="16.42578125" customWidth="1"/>
    <col min="5895" max="5895" width="16.85546875" customWidth="1"/>
    <col min="5896" max="5896" width="17.7109375" customWidth="1"/>
    <col min="5897" max="5901" width="13.5703125" bestFit="1" customWidth="1"/>
    <col min="5902" max="5904" width="12.7109375" bestFit="1" customWidth="1"/>
    <col min="5905" max="5905" width="13.7109375" bestFit="1" customWidth="1"/>
    <col min="6147" max="6147" width="15" customWidth="1"/>
    <col min="6148" max="6148" width="19" customWidth="1"/>
    <col min="6149" max="6149" width="18.5703125" customWidth="1"/>
    <col min="6150" max="6150" width="16.42578125" customWidth="1"/>
    <col min="6151" max="6151" width="16.85546875" customWidth="1"/>
    <col min="6152" max="6152" width="17.7109375" customWidth="1"/>
    <col min="6153" max="6157" width="13.5703125" bestFit="1" customWidth="1"/>
    <col min="6158" max="6160" width="12.7109375" bestFit="1" customWidth="1"/>
    <col min="6161" max="6161" width="13.7109375" bestFit="1" customWidth="1"/>
    <col min="6403" max="6403" width="15" customWidth="1"/>
    <col min="6404" max="6404" width="19" customWidth="1"/>
    <col min="6405" max="6405" width="18.5703125" customWidth="1"/>
    <col min="6406" max="6406" width="16.42578125" customWidth="1"/>
    <col min="6407" max="6407" width="16.85546875" customWidth="1"/>
    <col min="6408" max="6408" width="17.7109375" customWidth="1"/>
    <col min="6409" max="6413" width="13.5703125" bestFit="1" customWidth="1"/>
    <col min="6414" max="6416" width="12.7109375" bestFit="1" customWidth="1"/>
    <col min="6417" max="6417" width="13.7109375" bestFit="1" customWidth="1"/>
    <col min="6659" max="6659" width="15" customWidth="1"/>
    <col min="6660" max="6660" width="19" customWidth="1"/>
    <col min="6661" max="6661" width="18.5703125" customWidth="1"/>
    <col min="6662" max="6662" width="16.42578125" customWidth="1"/>
    <col min="6663" max="6663" width="16.85546875" customWidth="1"/>
    <col min="6664" max="6664" width="17.7109375" customWidth="1"/>
    <col min="6665" max="6669" width="13.5703125" bestFit="1" customWidth="1"/>
    <col min="6670" max="6672" width="12.7109375" bestFit="1" customWidth="1"/>
    <col min="6673" max="6673" width="13.7109375" bestFit="1" customWidth="1"/>
    <col min="6915" max="6915" width="15" customWidth="1"/>
    <col min="6916" max="6916" width="19" customWidth="1"/>
    <col min="6917" max="6917" width="18.5703125" customWidth="1"/>
    <col min="6918" max="6918" width="16.42578125" customWidth="1"/>
    <col min="6919" max="6919" width="16.85546875" customWidth="1"/>
    <col min="6920" max="6920" width="17.7109375" customWidth="1"/>
    <col min="6921" max="6925" width="13.5703125" bestFit="1" customWidth="1"/>
    <col min="6926" max="6928" width="12.7109375" bestFit="1" customWidth="1"/>
    <col min="6929" max="6929" width="13.7109375" bestFit="1" customWidth="1"/>
    <col min="7171" max="7171" width="15" customWidth="1"/>
    <col min="7172" max="7172" width="19" customWidth="1"/>
    <col min="7173" max="7173" width="18.5703125" customWidth="1"/>
    <col min="7174" max="7174" width="16.42578125" customWidth="1"/>
    <col min="7175" max="7175" width="16.85546875" customWidth="1"/>
    <col min="7176" max="7176" width="17.7109375" customWidth="1"/>
    <col min="7177" max="7181" width="13.5703125" bestFit="1" customWidth="1"/>
    <col min="7182" max="7184" width="12.7109375" bestFit="1" customWidth="1"/>
    <col min="7185" max="7185" width="13.7109375" bestFit="1" customWidth="1"/>
    <col min="7427" max="7427" width="15" customWidth="1"/>
    <col min="7428" max="7428" width="19" customWidth="1"/>
    <col min="7429" max="7429" width="18.5703125" customWidth="1"/>
    <col min="7430" max="7430" width="16.42578125" customWidth="1"/>
    <col min="7431" max="7431" width="16.85546875" customWidth="1"/>
    <col min="7432" max="7432" width="17.7109375" customWidth="1"/>
    <col min="7433" max="7437" width="13.5703125" bestFit="1" customWidth="1"/>
    <col min="7438" max="7440" width="12.7109375" bestFit="1" customWidth="1"/>
    <col min="7441" max="7441" width="13.7109375" bestFit="1" customWidth="1"/>
    <col min="7683" max="7683" width="15" customWidth="1"/>
    <col min="7684" max="7684" width="19" customWidth="1"/>
    <col min="7685" max="7685" width="18.5703125" customWidth="1"/>
    <col min="7686" max="7686" width="16.42578125" customWidth="1"/>
    <col min="7687" max="7687" width="16.85546875" customWidth="1"/>
    <col min="7688" max="7688" width="17.7109375" customWidth="1"/>
    <col min="7689" max="7693" width="13.5703125" bestFit="1" customWidth="1"/>
    <col min="7694" max="7696" width="12.7109375" bestFit="1" customWidth="1"/>
    <col min="7697" max="7697" width="13.7109375" bestFit="1" customWidth="1"/>
    <col min="7939" max="7939" width="15" customWidth="1"/>
    <col min="7940" max="7940" width="19" customWidth="1"/>
    <col min="7941" max="7941" width="18.5703125" customWidth="1"/>
    <col min="7942" max="7942" width="16.42578125" customWidth="1"/>
    <col min="7943" max="7943" width="16.85546875" customWidth="1"/>
    <col min="7944" max="7944" width="17.7109375" customWidth="1"/>
    <col min="7945" max="7949" width="13.5703125" bestFit="1" customWidth="1"/>
    <col min="7950" max="7952" width="12.7109375" bestFit="1" customWidth="1"/>
    <col min="7953" max="7953" width="13.7109375" bestFit="1" customWidth="1"/>
    <col min="8195" max="8195" width="15" customWidth="1"/>
    <col min="8196" max="8196" width="19" customWidth="1"/>
    <col min="8197" max="8197" width="18.5703125" customWidth="1"/>
    <col min="8198" max="8198" width="16.42578125" customWidth="1"/>
    <col min="8199" max="8199" width="16.85546875" customWidth="1"/>
    <col min="8200" max="8200" width="17.7109375" customWidth="1"/>
    <col min="8201" max="8205" width="13.5703125" bestFit="1" customWidth="1"/>
    <col min="8206" max="8208" width="12.7109375" bestFit="1" customWidth="1"/>
    <col min="8209" max="8209" width="13.7109375" bestFit="1" customWidth="1"/>
    <col min="8451" max="8451" width="15" customWidth="1"/>
    <col min="8452" max="8452" width="19" customWidth="1"/>
    <col min="8453" max="8453" width="18.5703125" customWidth="1"/>
    <col min="8454" max="8454" width="16.42578125" customWidth="1"/>
    <col min="8455" max="8455" width="16.85546875" customWidth="1"/>
    <col min="8456" max="8456" width="17.7109375" customWidth="1"/>
    <col min="8457" max="8461" width="13.5703125" bestFit="1" customWidth="1"/>
    <col min="8462" max="8464" width="12.7109375" bestFit="1" customWidth="1"/>
    <col min="8465" max="8465" width="13.7109375" bestFit="1" customWidth="1"/>
    <col min="8707" max="8707" width="15" customWidth="1"/>
    <col min="8708" max="8708" width="19" customWidth="1"/>
    <col min="8709" max="8709" width="18.5703125" customWidth="1"/>
    <col min="8710" max="8710" width="16.42578125" customWidth="1"/>
    <col min="8711" max="8711" width="16.85546875" customWidth="1"/>
    <col min="8712" max="8712" width="17.7109375" customWidth="1"/>
    <col min="8713" max="8717" width="13.5703125" bestFit="1" customWidth="1"/>
    <col min="8718" max="8720" width="12.7109375" bestFit="1" customWidth="1"/>
    <col min="8721" max="8721" width="13.7109375" bestFit="1" customWidth="1"/>
    <col min="8963" max="8963" width="15" customWidth="1"/>
    <col min="8964" max="8964" width="19" customWidth="1"/>
    <col min="8965" max="8965" width="18.5703125" customWidth="1"/>
    <col min="8966" max="8966" width="16.42578125" customWidth="1"/>
    <col min="8967" max="8967" width="16.85546875" customWidth="1"/>
    <col min="8968" max="8968" width="17.7109375" customWidth="1"/>
    <col min="8969" max="8973" width="13.5703125" bestFit="1" customWidth="1"/>
    <col min="8974" max="8976" width="12.7109375" bestFit="1" customWidth="1"/>
    <col min="8977" max="8977" width="13.7109375" bestFit="1" customWidth="1"/>
    <col min="9219" max="9219" width="15" customWidth="1"/>
    <col min="9220" max="9220" width="19" customWidth="1"/>
    <col min="9221" max="9221" width="18.5703125" customWidth="1"/>
    <col min="9222" max="9222" width="16.42578125" customWidth="1"/>
    <col min="9223" max="9223" width="16.85546875" customWidth="1"/>
    <col min="9224" max="9224" width="17.7109375" customWidth="1"/>
    <col min="9225" max="9229" width="13.5703125" bestFit="1" customWidth="1"/>
    <col min="9230" max="9232" width="12.7109375" bestFit="1" customWidth="1"/>
    <col min="9233" max="9233" width="13.7109375" bestFit="1" customWidth="1"/>
    <col min="9475" max="9475" width="15" customWidth="1"/>
    <col min="9476" max="9476" width="19" customWidth="1"/>
    <col min="9477" max="9477" width="18.5703125" customWidth="1"/>
    <col min="9478" max="9478" width="16.42578125" customWidth="1"/>
    <col min="9479" max="9479" width="16.85546875" customWidth="1"/>
    <col min="9480" max="9480" width="17.7109375" customWidth="1"/>
    <col min="9481" max="9485" width="13.5703125" bestFit="1" customWidth="1"/>
    <col min="9486" max="9488" width="12.7109375" bestFit="1" customWidth="1"/>
    <col min="9489" max="9489" width="13.7109375" bestFit="1" customWidth="1"/>
    <col min="9731" max="9731" width="15" customWidth="1"/>
    <col min="9732" max="9732" width="19" customWidth="1"/>
    <col min="9733" max="9733" width="18.5703125" customWidth="1"/>
    <col min="9734" max="9734" width="16.42578125" customWidth="1"/>
    <col min="9735" max="9735" width="16.85546875" customWidth="1"/>
    <col min="9736" max="9736" width="17.7109375" customWidth="1"/>
    <col min="9737" max="9741" width="13.5703125" bestFit="1" customWidth="1"/>
    <col min="9742" max="9744" width="12.7109375" bestFit="1" customWidth="1"/>
    <col min="9745" max="9745" width="13.7109375" bestFit="1" customWidth="1"/>
    <col min="9987" max="9987" width="15" customWidth="1"/>
    <col min="9988" max="9988" width="19" customWidth="1"/>
    <col min="9989" max="9989" width="18.5703125" customWidth="1"/>
    <col min="9990" max="9990" width="16.42578125" customWidth="1"/>
    <col min="9991" max="9991" width="16.85546875" customWidth="1"/>
    <col min="9992" max="9992" width="17.7109375" customWidth="1"/>
    <col min="9993" max="9997" width="13.5703125" bestFit="1" customWidth="1"/>
    <col min="9998" max="10000" width="12.7109375" bestFit="1" customWidth="1"/>
    <col min="10001" max="10001" width="13.7109375" bestFit="1" customWidth="1"/>
    <col min="10243" max="10243" width="15" customWidth="1"/>
    <col min="10244" max="10244" width="19" customWidth="1"/>
    <col min="10245" max="10245" width="18.5703125" customWidth="1"/>
    <col min="10246" max="10246" width="16.42578125" customWidth="1"/>
    <col min="10247" max="10247" width="16.85546875" customWidth="1"/>
    <col min="10248" max="10248" width="17.7109375" customWidth="1"/>
    <col min="10249" max="10253" width="13.5703125" bestFit="1" customWidth="1"/>
    <col min="10254" max="10256" width="12.7109375" bestFit="1" customWidth="1"/>
    <col min="10257" max="10257" width="13.7109375" bestFit="1" customWidth="1"/>
    <col min="10499" max="10499" width="15" customWidth="1"/>
    <col min="10500" max="10500" width="19" customWidth="1"/>
    <col min="10501" max="10501" width="18.5703125" customWidth="1"/>
    <col min="10502" max="10502" width="16.42578125" customWidth="1"/>
    <col min="10503" max="10503" width="16.85546875" customWidth="1"/>
    <col min="10504" max="10504" width="17.7109375" customWidth="1"/>
    <col min="10505" max="10509" width="13.5703125" bestFit="1" customWidth="1"/>
    <col min="10510" max="10512" width="12.7109375" bestFit="1" customWidth="1"/>
    <col min="10513" max="10513" width="13.7109375" bestFit="1" customWidth="1"/>
    <col min="10755" max="10755" width="15" customWidth="1"/>
    <col min="10756" max="10756" width="19" customWidth="1"/>
    <col min="10757" max="10757" width="18.5703125" customWidth="1"/>
    <col min="10758" max="10758" width="16.42578125" customWidth="1"/>
    <col min="10759" max="10759" width="16.85546875" customWidth="1"/>
    <col min="10760" max="10760" width="17.7109375" customWidth="1"/>
    <col min="10761" max="10765" width="13.5703125" bestFit="1" customWidth="1"/>
    <col min="10766" max="10768" width="12.7109375" bestFit="1" customWidth="1"/>
    <col min="10769" max="10769" width="13.7109375" bestFit="1" customWidth="1"/>
    <col min="11011" max="11011" width="15" customWidth="1"/>
    <col min="11012" max="11012" width="19" customWidth="1"/>
    <col min="11013" max="11013" width="18.5703125" customWidth="1"/>
    <col min="11014" max="11014" width="16.42578125" customWidth="1"/>
    <col min="11015" max="11015" width="16.85546875" customWidth="1"/>
    <col min="11016" max="11016" width="17.7109375" customWidth="1"/>
    <col min="11017" max="11021" width="13.5703125" bestFit="1" customWidth="1"/>
    <col min="11022" max="11024" width="12.7109375" bestFit="1" customWidth="1"/>
    <col min="11025" max="11025" width="13.7109375" bestFit="1" customWidth="1"/>
    <col min="11267" max="11267" width="15" customWidth="1"/>
    <col min="11268" max="11268" width="19" customWidth="1"/>
    <col min="11269" max="11269" width="18.5703125" customWidth="1"/>
    <col min="11270" max="11270" width="16.42578125" customWidth="1"/>
    <col min="11271" max="11271" width="16.85546875" customWidth="1"/>
    <col min="11272" max="11272" width="17.7109375" customWidth="1"/>
    <col min="11273" max="11277" width="13.5703125" bestFit="1" customWidth="1"/>
    <col min="11278" max="11280" width="12.7109375" bestFit="1" customWidth="1"/>
    <col min="11281" max="11281" width="13.7109375" bestFit="1" customWidth="1"/>
    <col min="11523" max="11523" width="15" customWidth="1"/>
    <col min="11524" max="11524" width="19" customWidth="1"/>
    <col min="11525" max="11525" width="18.5703125" customWidth="1"/>
    <col min="11526" max="11526" width="16.42578125" customWidth="1"/>
    <col min="11527" max="11527" width="16.85546875" customWidth="1"/>
    <col min="11528" max="11528" width="17.7109375" customWidth="1"/>
    <col min="11529" max="11533" width="13.5703125" bestFit="1" customWidth="1"/>
    <col min="11534" max="11536" width="12.7109375" bestFit="1" customWidth="1"/>
    <col min="11537" max="11537" width="13.7109375" bestFit="1" customWidth="1"/>
    <col min="11779" max="11779" width="15" customWidth="1"/>
    <col min="11780" max="11780" width="19" customWidth="1"/>
    <col min="11781" max="11781" width="18.5703125" customWidth="1"/>
    <col min="11782" max="11782" width="16.42578125" customWidth="1"/>
    <col min="11783" max="11783" width="16.85546875" customWidth="1"/>
    <col min="11784" max="11784" width="17.7109375" customWidth="1"/>
    <col min="11785" max="11789" width="13.5703125" bestFit="1" customWidth="1"/>
    <col min="11790" max="11792" width="12.7109375" bestFit="1" customWidth="1"/>
    <col min="11793" max="11793" width="13.7109375" bestFit="1" customWidth="1"/>
    <col min="12035" max="12035" width="15" customWidth="1"/>
    <col min="12036" max="12036" width="19" customWidth="1"/>
    <col min="12037" max="12037" width="18.5703125" customWidth="1"/>
    <col min="12038" max="12038" width="16.42578125" customWidth="1"/>
    <col min="12039" max="12039" width="16.85546875" customWidth="1"/>
    <col min="12040" max="12040" width="17.7109375" customWidth="1"/>
    <col min="12041" max="12045" width="13.5703125" bestFit="1" customWidth="1"/>
    <col min="12046" max="12048" width="12.7109375" bestFit="1" customWidth="1"/>
    <col min="12049" max="12049" width="13.7109375" bestFit="1" customWidth="1"/>
    <col min="12291" max="12291" width="15" customWidth="1"/>
    <col min="12292" max="12292" width="19" customWidth="1"/>
    <col min="12293" max="12293" width="18.5703125" customWidth="1"/>
    <col min="12294" max="12294" width="16.42578125" customWidth="1"/>
    <col min="12295" max="12295" width="16.85546875" customWidth="1"/>
    <col min="12296" max="12296" width="17.7109375" customWidth="1"/>
    <col min="12297" max="12301" width="13.5703125" bestFit="1" customWidth="1"/>
    <col min="12302" max="12304" width="12.7109375" bestFit="1" customWidth="1"/>
    <col min="12305" max="12305" width="13.7109375" bestFit="1" customWidth="1"/>
    <col min="12547" max="12547" width="15" customWidth="1"/>
    <col min="12548" max="12548" width="19" customWidth="1"/>
    <col min="12549" max="12549" width="18.5703125" customWidth="1"/>
    <col min="12550" max="12550" width="16.42578125" customWidth="1"/>
    <col min="12551" max="12551" width="16.85546875" customWidth="1"/>
    <col min="12552" max="12552" width="17.7109375" customWidth="1"/>
    <col min="12553" max="12557" width="13.5703125" bestFit="1" customWidth="1"/>
    <col min="12558" max="12560" width="12.7109375" bestFit="1" customWidth="1"/>
    <col min="12561" max="12561" width="13.7109375" bestFit="1" customWidth="1"/>
    <col min="12803" max="12803" width="15" customWidth="1"/>
    <col min="12804" max="12804" width="19" customWidth="1"/>
    <col min="12805" max="12805" width="18.5703125" customWidth="1"/>
    <col min="12806" max="12806" width="16.42578125" customWidth="1"/>
    <col min="12807" max="12807" width="16.85546875" customWidth="1"/>
    <col min="12808" max="12808" width="17.7109375" customWidth="1"/>
    <col min="12809" max="12813" width="13.5703125" bestFit="1" customWidth="1"/>
    <col min="12814" max="12816" width="12.7109375" bestFit="1" customWidth="1"/>
    <col min="12817" max="12817" width="13.7109375" bestFit="1" customWidth="1"/>
    <col min="13059" max="13059" width="15" customWidth="1"/>
    <col min="13060" max="13060" width="19" customWidth="1"/>
    <col min="13061" max="13061" width="18.5703125" customWidth="1"/>
    <col min="13062" max="13062" width="16.42578125" customWidth="1"/>
    <col min="13063" max="13063" width="16.85546875" customWidth="1"/>
    <col min="13064" max="13064" width="17.7109375" customWidth="1"/>
    <col min="13065" max="13069" width="13.5703125" bestFit="1" customWidth="1"/>
    <col min="13070" max="13072" width="12.7109375" bestFit="1" customWidth="1"/>
    <col min="13073" max="13073" width="13.7109375" bestFit="1" customWidth="1"/>
    <col min="13315" max="13315" width="15" customWidth="1"/>
    <col min="13316" max="13316" width="19" customWidth="1"/>
    <col min="13317" max="13317" width="18.5703125" customWidth="1"/>
    <col min="13318" max="13318" width="16.42578125" customWidth="1"/>
    <col min="13319" max="13319" width="16.85546875" customWidth="1"/>
    <col min="13320" max="13320" width="17.7109375" customWidth="1"/>
    <col min="13321" max="13325" width="13.5703125" bestFit="1" customWidth="1"/>
    <col min="13326" max="13328" width="12.7109375" bestFit="1" customWidth="1"/>
    <col min="13329" max="13329" width="13.7109375" bestFit="1" customWidth="1"/>
    <col min="13571" max="13571" width="15" customWidth="1"/>
    <col min="13572" max="13572" width="19" customWidth="1"/>
    <col min="13573" max="13573" width="18.5703125" customWidth="1"/>
    <col min="13574" max="13574" width="16.42578125" customWidth="1"/>
    <col min="13575" max="13575" width="16.85546875" customWidth="1"/>
    <col min="13576" max="13576" width="17.7109375" customWidth="1"/>
    <col min="13577" max="13581" width="13.5703125" bestFit="1" customWidth="1"/>
    <col min="13582" max="13584" width="12.7109375" bestFit="1" customWidth="1"/>
    <col min="13585" max="13585" width="13.7109375" bestFit="1" customWidth="1"/>
    <col min="13827" max="13827" width="15" customWidth="1"/>
    <col min="13828" max="13828" width="19" customWidth="1"/>
    <col min="13829" max="13829" width="18.5703125" customWidth="1"/>
    <col min="13830" max="13830" width="16.42578125" customWidth="1"/>
    <col min="13831" max="13831" width="16.85546875" customWidth="1"/>
    <col min="13832" max="13832" width="17.7109375" customWidth="1"/>
    <col min="13833" max="13837" width="13.5703125" bestFit="1" customWidth="1"/>
    <col min="13838" max="13840" width="12.7109375" bestFit="1" customWidth="1"/>
    <col min="13841" max="13841" width="13.7109375" bestFit="1" customWidth="1"/>
    <col min="14083" max="14083" width="15" customWidth="1"/>
    <col min="14084" max="14084" width="19" customWidth="1"/>
    <col min="14085" max="14085" width="18.5703125" customWidth="1"/>
    <col min="14086" max="14086" width="16.42578125" customWidth="1"/>
    <col min="14087" max="14087" width="16.85546875" customWidth="1"/>
    <col min="14088" max="14088" width="17.7109375" customWidth="1"/>
    <col min="14089" max="14093" width="13.5703125" bestFit="1" customWidth="1"/>
    <col min="14094" max="14096" width="12.7109375" bestFit="1" customWidth="1"/>
    <col min="14097" max="14097" width="13.7109375" bestFit="1" customWidth="1"/>
    <col min="14339" max="14339" width="15" customWidth="1"/>
    <col min="14340" max="14340" width="19" customWidth="1"/>
    <col min="14341" max="14341" width="18.5703125" customWidth="1"/>
    <col min="14342" max="14342" width="16.42578125" customWidth="1"/>
    <col min="14343" max="14343" width="16.85546875" customWidth="1"/>
    <col min="14344" max="14344" width="17.7109375" customWidth="1"/>
    <col min="14345" max="14349" width="13.5703125" bestFit="1" customWidth="1"/>
    <col min="14350" max="14352" width="12.7109375" bestFit="1" customWidth="1"/>
    <col min="14353" max="14353" width="13.7109375" bestFit="1" customWidth="1"/>
    <col min="14595" max="14595" width="15" customWidth="1"/>
    <col min="14596" max="14596" width="19" customWidth="1"/>
    <col min="14597" max="14597" width="18.5703125" customWidth="1"/>
    <col min="14598" max="14598" width="16.42578125" customWidth="1"/>
    <col min="14599" max="14599" width="16.85546875" customWidth="1"/>
    <col min="14600" max="14600" width="17.7109375" customWidth="1"/>
    <col min="14601" max="14605" width="13.5703125" bestFit="1" customWidth="1"/>
    <col min="14606" max="14608" width="12.7109375" bestFit="1" customWidth="1"/>
    <col min="14609" max="14609" width="13.7109375" bestFit="1" customWidth="1"/>
    <col min="14851" max="14851" width="15" customWidth="1"/>
    <col min="14852" max="14852" width="19" customWidth="1"/>
    <col min="14853" max="14853" width="18.5703125" customWidth="1"/>
    <col min="14854" max="14854" width="16.42578125" customWidth="1"/>
    <col min="14855" max="14855" width="16.85546875" customWidth="1"/>
    <col min="14856" max="14856" width="17.7109375" customWidth="1"/>
    <col min="14857" max="14861" width="13.5703125" bestFit="1" customWidth="1"/>
    <col min="14862" max="14864" width="12.7109375" bestFit="1" customWidth="1"/>
    <col min="14865" max="14865" width="13.7109375" bestFit="1" customWidth="1"/>
    <col min="15107" max="15107" width="15" customWidth="1"/>
    <col min="15108" max="15108" width="19" customWidth="1"/>
    <col min="15109" max="15109" width="18.5703125" customWidth="1"/>
    <col min="15110" max="15110" width="16.42578125" customWidth="1"/>
    <col min="15111" max="15111" width="16.85546875" customWidth="1"/>
    <col min="15112" max="15112" width="17.7109375" customWidth="1"/>
    <col min="15113" max="15117" width="13.5703125" bestFit="1" customWidth="1"/>
    <col min="15118" max="15120" width="12.7109375" bestFit="1" customWidth="1"/>
    <col min="15121" max="15121" width="13.7109375" bestFit="1" customWidth="1"/>
    <col min="15363" max="15363" width="15" customWidth="1"/>
    <col min="15364" max="15364" width="19" customWidth="1"/>
    <col min="15365" max="15365" width="18.5703125" customWidth="1"/>
    <col min="15366" max="15366" width="16.42578125" customWidth="1"/>
    <col min="15367" max="15367" width="16.85546875" customWidth="1"/>
    <col min="15368" max="15368" width="17.7109375" customWidth="1"/>
    <col min="15369" max="15373" width="13.5703125" bestFit="1" customWidth="1"/>
    <col min="15374" max="15376" width="12.7109375" bestFit="1" customWidth="1"/>
    <col min="15377" max="15377" width="13.7109375" bestFit="1" customWidth="1"/>
    <col min="15619" max="15619" width="15" customWidth="1"/>
    <col min="15620" max="15620" width="19" customWidth="1"/>
    <col min="15621" max="15621" width="18.5703125" customWidth="1"/>
    <col min="15622" max="15622" width="16.42578125" customWidth="1"/>
    <col min="15623" max="15623" width="16.85546875" customWidth="1"/>
    <col min="15624" max="15624" width="17.7109375" customWidth="1"/>
    <col min="15625" max="15629" width="13.5703125" bestFit="1" customWidth="1"/>
    <col min="15630" max="15632" width="12.7109375" bestFit="1" customWidth="1"/>
    <col min="15633" max="15633" width="13.7109375" bestFit="1" customWidth="1"/>
    <col min="15875" max="15875" width="15" customWidth="1"/>
    <col min="15876" max="15876" width="19" customWidth="1"/>
    <col min="15877" max="15877" width="18.5703125" customWidth="1"/>
    <col min="15878" max="15878" width="16.42578125" customWidth="1"/>
    <col min="15879" max="15879" width="16.85546875" customWidth="1"/>
    <col min="15880" max="15880" width="17.7109375" customWidth="1"/>
    <col min="15881" max="15885" width="13.5703125" bestFit="1" customWidth="1"/>
    <col min="15886" max="15888" width="12.7109375" bestFit="1" customWidth="1"/>
    <col min="15889" max="15889" width="13.7109375" bestFit="1" customWidth="1"/>
    <col min="16131" max="16131" width="15" customWidth="1"/>
    <col min="16132" max="16132" width="19" customWidth="1"/>
    <col min="16133" max="16133" width="18.5703125" customWidth="1"/>
    <col min="16134" max="16134" width="16.42578125" customWidth="1"/>
    <col min="16135" max="16135" width="16.85546875" customWidth="1"/>
    <col min="16136" max="16136" width="17.7109375" customWidth="1"/>
    <col min="16137" max="16141" width="13.5703125" bestFit="1" customWidth="1"/>
    <col min="16142" max="16144" width="12.7109375" bestFit="1" customWidth="1"/>
    <col min="16145" max="16145" width="13.7109375" bestFit="1" customWidth="1"/>
  </cols>
  <sheetData>
    <row r="1" spans="1:14" x14ac:dyDescent="0.25">
      <c r="A1" s="511" t="s">
        <v>2</v>
      </c>
      <c r="B1" s="512"/>
      <c r="C1" s="512"/>
      <c r="D1" s="512"/>
      <c r="E1" s="512"/>
      <c r="F1" s="512"/>
      <c r="G1" s="512"/>
    </row>
    <row r="2" spans="1:14" x14ac:dyDescent="0.25">
      <c r="A2" s="511" t="s">
        <v>3126</v>
      </c>
      <c r="B2" s="512"/>
      <c r="C2" s="512"/>
      <c r="D2" s="512"/>
      <c r="E2" s="512"/>
      <c r="F2" s="512"/>
      <c r="G2" s="512"/>
    </row>
    <row r="3" spans="1:14" x14ac:dyDescent="0.25">
      <c r="A3" s="511" t="s">
        <v>3107</v>
      </c>
      <c r="B3" s="512"/>
      <c r="C3" s="512"/>
      <c r="D3" s="512"/>
      <c r="E3" s="512"/>
      <c r="F3" s="512"/>
      <c r="G3" s="512"/>
    </row>
    <row r="4" spans="1:14" ht="15.75" thickBot="1" x14ac:dyDescent="0.3">
      <c r="A4" s="515" t="s">
        <v>3127</v>
      </c>
      <c r="B4" s="516"/>
      <c r="C4" s="516"/>
      <c r="D4" s="516"/>
      <c r="E4" s="516"/>
      <c r="F4" s="516"/>
      <c r="G4" s="516"/>
    </row>
    <row r="5" spans="1:14" ht="60.75" thickBot="1" x14ac:dyDescent="0.3">
      <c r="A5" s="103" t="s">
        <v>5</v>
      </c>
      <c r="B5" s="2" t="s">
        <v>6</v>
      </c>
      <c r="C5" s="3" t="s">
        <v>7</v>
      </c>
      <c r="D5" s="3" t="s">
        <v>40</v>
      </c>
      <c r="E5" s="3" t="s">
        <v>41</v>
      </c>
      <c r="F5" s="4" t="s">
        <v>3058</v>
      </c>
      <c r="G5" s="5" t="s">
        <v>8</v>
      </c>
    </row>
    <row r="6" spans="1:14" x14ac:dyDescent="0.25">
      <c r="A6" s="6">
        <v>44071</v>
      </c>
      <c r="B6" s="7" t="s">
        <v>359</v>
      </c>
      <c r="C6" s="8">
        <v>0</v>
      </c>
      <c r="D6" s="8">
        <v>0</v>
      </c>
      <c r="E6" s="8"/>
      <c r="F6" s="8"/>
      <c r="G6" s="9">
        <v>12835803</v>
      </c>
      <c r="H6" s="54"/>
    </row>
    <row r="7" spans="1:14" s="106" customFormat="1" x14ac:dyDescent="0.25">
      <c r="A7" s="329">
        <f>+A6+30</f>
        <v>44101</v>
      </c>
      <c r="B7" s="297" t="s">
        <v>9</v>
      </c>
      <c r="C7" s="294">
        <v>0</v>
      </c>
      <c r="D7" s="294">
        <f>G6*$B$160*B$159/360</f>
        <v>42860.885517499999</v>
      </c>
      <c r="E7" s="294">
        <v>42860.885517499999</v>
      </c>
      <c r="F7" s="294">
        <f>+C7+E7</f>
        <v>42860.885517499999</v>
      </c>
      <c r="G7" s="298">
        <f t="shared" ref="G7:G38" si="0">+G6-C7</f>
        <v>12835803</v>
      </c>
      <c r="I7" s="408"/>
    </row>
    <row r="8" spans="1:14" x14ac:dyDescent="0.25">
      <c r="A8" s="10">
        <f>+A7+31</f>
        <v>44132</v>
      </c>
      <c r="B8" s="11" t="s">
        <v>9</v>
      </c>
      <c r="C8" s="12">
        <v>0</v>
      </c>
      <c r="D8" s="294">
        <f>G7*$C$160*C$159/360</f>
        <v>41053.176594999997</v>
      </c>
      <c r="E8" s="294">
        <v>41053.176594999997</v>
      </c>
      <c r="F8" s="294">
        <f t="shared" ref="F8:F71" si="1">+C8+E8</f>
        <v>41053.176594999997</v>
      </c>
      <c r="G8" s="13">
        <f t="shared" si="0"/>
        <v>12835803</v>
      </c>
      <c r="H8" s="54"/>
      <c r="I8" s="76"/>
      <c r="J8" s="76"/>
    </row>
    <row r="9" spans="1:14" x14ac:dyDescent="0.25">
      <c r="A9" s="10">
        <f>+A8+31</f>
        <v>44163</v>
      </c>
      <c r="B9" s="11" t="s">
        <v>9</v>
      </c>
      <c r="C9" s="12">
        <v>0</v>
      </c>
      <c r="D9" s="294">
        <f>G8*$D$160*D$159/360</f>
        <v>39769.59629500001</v>
      </c>
      <c r="E9" s="294">
        <v>39769.59629500001</v>
      </c>
      <c r="F9" s="294">
        <f t="shared" si="1"/>
        <v>39769.59629500001</v>
      </c>
      <c r="G9" s="13">
        <f t="shared" si="0"/>
        <v>12835803</v>
      </c>
    </row>
    <row r="10" spans="1:14" x14ac:dyDescent="0.25">
      <c r="A10" s="10">
        <f>+A9+29</f>
        <v>44192</v>
      </c>
      <c r="B10" s="11" t="s">
        <v>9</v>
      </c>
      <c r="C10" s="12">
        <v>0</v>
      </c>
      <c r="D10" s="294">
        <f>G9*$E$160*E$159/360</f>
        <v>39726.810285</v>
      </c>
      <c r="E10" s="294">
        <v>39726.810285</v>
      </c>
      <c r="F10" s="294">
        <f t="shared" si="1"/>
        <v>39726.810285</v>
      </c>
      <c r="G10" s="13">
        <f t="shared" si="0"/>
        <v>12835803</v>
      </c>
    </row>
    <row r="11" spans="1:14" x14ac:dyDescent="0.25">
      <c r="A11" s="10">
        <f>+A10+31</f>
        <v>44223</v>
      </c>
      <c r="B11" s="11" t="s">
        <v>9</v>
      </c>
      <c r="C11" s="12">
        <v>0</v>
      </c>
      <c r="D11" s="294">
        <f>G10*$F$160*F$159/360</f>
        <v>39705.417280000001</v>
      </c>
      <c r="E11" s="294">
        <v>39705</v>
      </c>
      <c r="F11" s="294">
        <f t="shared" si="1"/>
        <v>39705</v>
      </c>
      <c r="G11" s="13">
        <f t="shared" si="0"/>
        <v>12835803</v>
      </c>
    </row>
    <row r="12" spans="1:14" x14ac:dyDescent="0.25">
      <c r="A12" s="10">
        <f>+A11+30</f>
        <v>44253</v>
      </c>
      <c r="B12" s="11" t="s">
        <v>9</v>
      </c>
      <c r="C12" s="12">
        <v>0</v>
      </c>
      <c r="D12" s="294">
        <f t="shared" ref="D12:D22" si="2">G11*$G$160*G$159/360</f>
        <v>64179.014999999999</v>
      </c>
      <c r="E12" s="294"/>
      <c r="F12" s="294">
        <f t="shared" si="1"/>
        <v>0</v>
      </c>
      <c r="G12" s="13">
        <f t="shared" si="0"/>
        <v>12835803</v>
      </c>
    </row>
    <row r="13" spans="1:14" x14ac:dyDescent="0.25">
      <c r="A13" s="10">
        <f>+A12+31</f>
        <v>44284</v>
      </c>
      <c r="B13" s="11" t="s">
        <v>9</v>
      </c>
      <c r="C13" s="12">
        <v>0</v>
      </c>
      <c r="D13" s="294">
        <f t="shared" si="2"/>
        <v>64179.014999999999</v>
      </c>
      <c r="E13" s="12"/>
      <c r="F13" s="294">
        <f t="shared" si="1"/>
        <v>0</v>
      </c>
      <c r="G13" s="13">
        <f t="shared" si="0"/>
        <v>12835803</v>
      </c>
    </row>
    <row r="14" spans="1:14" x14ac:dyDescent="0.25">
      <c r="A14" s="10">
        <f>+A13+30</f>
        <v>44314</v>
      </c>
      <c r="B14" s="11" t="s">
        <v>9</v>
      </c>
      <c r="C14" s="12">
        <v>0</v>
      </c>
      <c r="D14" s="294">
        <f t="shared" si="2"/>
        <v>64179.014999999999</v>
      </c>
      <c r="E14" s="12"/>
      <c r="F14" s="294">
        <f t="shared" si="1"/>
        <v>0</v>
      </c>
      <c r="G14" s="13">
        <f t="shared" si="0"/>
        <v>12835803</v>
      </c>
      <c r="M14" s="54"/>
      <c r="N14" s="54"/>
    </row>
    <row r="15" spans="1:14" x14ac:dyDescent="0.25">
      <c r="A15" s="10">
        <f>+A14+31</f>
        <v>44345</v>
      </c>
      <c r="B15" s="11" t="s">
        <v>9</v>
      </c>
      <c r="C15" s="12">
        <v>0</v>
      </c>
      <c r="D15" s="294">
        <f t="shared" si="2"/>
        <v>64179.014999999999</v>
      </c>
      <c r="E15" s="12"/>
      <c r="F15" s="294">
        <f t="shared" si="1"/>
        <v>0</v>
      </c>
      <c r="G15" s="13">
        <f t="shared" si="0"/>
        <v>12835803</v>
      </c>
    </row>
    <row r="16" spans="1:14" x14ac:dyDescent="0.25">
      <c r="A16" s="10">
        <f>+A15+31</f>
        <v>44376</v>
      </c>
      <c r="B16" s="11" t="s">
        <v>9</v>
      </c>
      <c r="C16" s="12">
        <v>0</v>
      </c>
      <c r="D16" s="294">
        <f t="shared" si="2"/>
        <v>64179.014999999999</v>
      </c>
      <c r="E16" s="12"/>
      <c r="F16" s="294">
        <f t="shared" si="1"/>
        <v>0</v>
      </c>
      <c r="G16" s="13">
        <f t="shared" si="0"/>
        <v>12835803</v>
      </c>
    </row>
    <row r="17" spans="1:7" x14ac:dyDescent="0.25">
      <c r="A17" s="10">
        <f>+A16+30</f>
        <v>44406</v>
      </c>
      <c r="B17" s="11" t="s">
        <v>9</v>
      </c>
      <c r="C17" s="12">
        <v>0</v>
      </c>
      <c r="D17" s="294">
        <f t="shared" si="2"/>
        <v>64179.014999999999</v>
      </c>
      <c r="E17" s="12"/>
      <c r="F17" s="294">
        <f t="shared" si="1"/>
        <v>0</v>
      </c>
      <c r="G17" s="13">
        <f t="shared" si="0"/>
        <v>12835803</v>
      </c>
    </row>
    <row r="18" spans="1:7" x14ac:dyDescent="0.25">
      <c r="A18" s="10">
        <f>+A17+31</f>
        <v>44437</v>
      </c>
      <c r="B18" s="11" t="s">
        <v>9</v>
      </c>
      <c r="C18" s="12">
        <v>0</v>
      </c>
      <c r="D18" s="294">
        <f t="shared" si="2"/>
        <v>64179.014999999999</v>
      </c>
      <c r="E18" s="12"/>
      <c r="F18" s="294">
        <f t="shared" si="1"/>
        <v>0</v>
      </c>
      <c r="G18" s="13">
        <f t="shared" si="0"/>
        <v>12835803</v>
      </c>
    </row>
    <row r="19" spans="1:7" x14ac:dyDescent="0.25">
      <c r="A19" s="10">
        <f>+A18+30</f>
        <v>44467</v>
      </c>
      <c r="B19" s="11" t="s">
        <v>9</v>
      </c>
      <c r="C19" s="12">
        <v>0</v>
      </c>
      <c r="D19" s="294">
        <f t="shared" si="2"/>
        <v>64179.014999999999</v>
      </c>
      <c r="E19" s="12"/>
      <c r="F19" s="294">
        <f t="shared" si="1"/>
        <v>0</v>
      </c>
      <c r="G19" s="13">
        <f t="shared" si="0"/>
        <v>12835803</v>
      </c>
    </row>
    <row r="20" spans="1:7" x14ac:dyDescent="0.25">
      <c r="A20" s="10">
        <f>+A19+31</f>
        <v>44498</v>
      </c>
      <c r="B20" s="11" t="s">
        <v>9</v>
      </c>
      <c r="C20" s="12">
        <v>0</v>
      </c>
      <c r="D20" s="294">
        <f t="shared" si="2"/>
        <v>64179.014999999999</v>
      </c>
      <c r="E20" s="12"/>
      <c r="F20" s="294">
        <f t="shared" si="1"/>
        <v>0</v>
      </c>
      <c r="G20" s="13">
        <f t="shared" si="0"/>
        <v>12835803</v>
      </c>
    </row>
    <row r="21" spans="1:7" x14ac:dyDescent="0.25">
      <c r="A21" s="10">
        <f>+A20+31</f>
        <v>44529</v>
      </c>
      <c r="B21" s="11" t="s">
        <v>9</v>
      </c>
      <c r="C21" s="12">
        <v>0</v>
      </c>
      <c r="D21" s="294">
        <f t="shared" si="2"/>
        <v>64179.014999999999</v>
      </c>
      <c r="E21" s="12"/>
      <c r="F21" s="294">
        <f t="shared" si="1"/>
        <v>0</v>
      </c>
      <c r="G21" s="13">
        <f t="shared" si="0"/>
        <v>12835803</v>
      </c>
    </row>
    <row r="22" spans="1:7" x14ac:dyDescent="0.25">
      <c r="A22" s="10">
        <f>+A21+28</f>
        <v>44557</v>
      </c>
      <c r="B22" s="11" t="s">
        <v>9</v>
      </c>
      <c r="C22" s="12">
        <v>0</v>
      </c>
      <c r="D22" s="294">
        <f t="shared" si="2"/>
        <v>64179.014999999999</v>
      </c>
      <c r="E22" s="12"/>
      <c r="F22" s="294">
        <f t="shared" si="1"/>
        <v>0</v>
      </c>
      <c r="G22" s="13">
        <f t="shared" si="0"/>
        <v>12835803</v>
      </c>
    </row>
    <row r="23" spans="1:7" x14ac:dyDescent="0.25">
      <c r="A23" s="10">
        <f>+A22+31</f>
        <v>44588</v>
      </c>
      <c r="B23" s="11" t="s">
        <v>9</v>
      </c>
      <c r="C23" s="12">
        <v>0</v>
      </c>
      <c r="D23" s="294">
        <f t="shared" ref="D23:D34" si="3">G22*$H$160*H$159/360</f>
        <v>69527.266250000001</v>
      </c>
      <c r="E23" s="12"/>
      <c r="F23" s="294">
        <f t="shared" si="1"/>
        <v>0</v>
      </c>
      <c r="G23" s="13">
        <f t="shared" si="0"/>
        <v>12835803</v>
      </c>
    </row>
    <row r="24" spans="1:7" x14ac:dyDescent="0.25">
      <c r="A24" s="10">
        <f>+A23+30</f>
        <v>44618</v>
      </c>
      <c r="B24" s="11" t="s">
        <v>9</v>
      </c>
      <c r="C24" s="12">
        <v>0</v>
      </c>
      <c r="D24" s="294">
        <f t="shared" si="3"/>
        <v>69527.266250000001</v>
      </c>
      <c r="E24" s="12"/>
      <c r="F24" s="294">
        <f t="shared" si="1"/>
        <v>0</v>
      </c>
      <c r="G24" s="13">
        <f t="shared" si="0"/>
        <v>12835803</v>
      </c>
    </row>
    <row r="25" spans="1:7" x14ac:dyDescent="0.25">
      <c r="A25" s="10">
        <f>+A24+31</f>
        <v>44649</v>
      </c>
      <c r="B25" s="11" t="s">
        <v>9</v>
      </c>
      <c r="C25" s="12">
        <v>0</v>
      </c>
      <c r="D25" s="294">
        <f t="shared" si="3"/>
        <v>69527.266250000001</v>
      </c>
      <c r="E25" s="12"/>
      <c r="F25" s="294">
        <f t="shared" si="1"/>
        <v>0</v>
      </c>
      <c r="G25" s="13">
        <f t="shared" si="0"/>
        <v>12835803</v>
      </c>
    </row>
    <row r="26" spans="1:7" x14ac:dyDescent="0.25">
      <c r="A26" s="10">
        <f>+A25+30</f>
        <v>44679</v>
      </c>
      <c r="B26" s="11" t="s">
        <v>9</v>
      </c>
      <c r="C26" s="12">
        <v>0</v>
      </c>
      <c r="D26" s="294">
        <f t="shared" si="3"/>
        <v>69527.266250000001</v>
      </c>
      <c r="E26" s="12"/>
      <c r="F26" s="294">
        <f t="shared" si="1"/>
        <v>0</v>
      </c>
      <c r="G26" s="13">
        <f t="shared" si="0"/>
        <v>12835803</v>
      </c>
    </row>
    <row r="27" spans="1:7" x14ac:dyDescent="0.25">
      <c r="A27" s="10">
        <f>+A26+31</f>
        <v>44710</v>
      </c>
      <c r="B27" s="11" t="s">
        <v>9</v>
      </c>
      <c r="C27" s="12">
        <v>0</v>
      </c>
      <c r="D27" s="294">
        <f t="shared" si="3"/>
        <v>69527.266250000001</v>
      </c>
      <c r="E27" s="12"/>
      <c r="F27" s="294">
        <f t="shared" si="1"/>
        <v>0</v>
      </c>
      <c r="G27" s="13">
        <f t="shared" si="0"/>
        <v>12835803</v>
      </c>
    </row>
    <row r="28" spans="1:7" x14ac:dyDescent="0.25">
      <c r="A28" s="10">
        <f>+A27+31</f>
        <v>44741</v>
      </c>
      <c r="B28" s="11" t="s">
        <v>9</v>
      </c>
      <c r="C28" s="12">
        <v>0</v>
      </c>
      <c r="D28" s="294">
        <f t="shared" si="3"/>
        <v>69527.266250000001</v>
      </c>
      <c r="E28" s="12"/>
      <c r="F28" s="294">
        <f t="shared" si="1"/>
        <v>0</v>
      </c>
      <c r="G28" s="13">
        <f t="shared" si="0"/>
        <v>12835803</v>
      </c>
    </row>
    <row r="29" spans="1:7" x14ac:dyDescent="0.25">
      <c r="A29" s="10">
        <f>+A28+30</f>
        <v>44771</v>
      </c>
      <c r="B29" s="11" t="s">
        <v>9</v>
      </c>
      <c r="C29" s="12">
        <v>0</v>
      </c>
      <c r="D29" s="294">
        <f t="shared" si="3"/>
        <v>69527.266250000001</v>
      </c>
      <c r="E29" s="12"/>
      <c r="F29" s="294">
        <f t="shared" si="1"/>
        <v>0</v>
      </c>
      <c r="G29" s="13">
        <f t="shared" si="0"/>
        <v>12835803</v>
      </c>
    </row>
    <row r="30" spans="1:7" x14ac:dyDescent="0.25">
      <c r="A30" s="10">
        <f>+A29+31</f>
        <v>44802</v>
      </c>
      <c r="B30" s="11" t="s">
        <v>9</v>
      </c>
      <c r="C30" s="12">
        <v>0</v>
      </c>
      <c r="D30" s="294">
        <f t="shared" si="3"/>
        <v>69527.266250000001</v>
      </c>
      <c r="E30" s="12"/>
      <c r="F30" s="294">
        <f t="shared" si="1"/>
        <v>0</v>
      </c>
      <c r="G30" s="13">
        <f t="shared" si="0"/>
        <v>12835803</v>
      </c>
    </row>
    <row r="31" spans="1:7" x14ac:dyDescent="0.25">
      <c r="A31" s="10">
        <f t="shared" ref="A31:A40" si="4">+A30+30</f>
        <v>44832</v>
      </c>
      <c r="B31" s="11" t="s">
        <v>3061</v>
      </c>
      <c r="C31" s="12">
        <v>106965</v>
      </c>
      <c r="D31" s="294">
        <f t="shared" si="3"/>
        <v>69527.266250000001</v>
      </c>
      <c r="E31" s="12"/>
      <c r="F31" s="294">
        <f t="shared" si="1"/>
        <v>106965</v>
      </c>
      <c r="G31" s="13">
        <f t="shared" si="0"/>
        <v>12728838</v>
      </c>
    </row>
    <row r="32" spans="1:7" x14ac:dyDescent="0.25">
      <c r="A32" s="10">
        <f t="shared" si="4"/>
        <v>44862</v>
      </c>
      <c r="B32" s="11" t="s">
        <v>3061</v>
      </c>
      <c r="C32" s="12">
        <v>106965</v>
      </c>
      <c r="D32" s="294">
        <f t="shared" si="3"/>
        <v>68947.872499999998</v>
      </c>
      <c r="E32" s="12"/>
      <c r="F32" s="294">
        <f t="shared" si="1"/>
        <v>106965</v>
      </c>
      <c r="G32" s="13">
        <f t="shared" si="0"/>
        <v>12621873</v>
      </c>
    </row>
    <row r="33" spans="1:7" x14ac:dyDescent="0.25">
      <c r="A33" s="10">
        <f t="shared" si="4"/>
        <v>44892</v>
      </c>
      <c r="B33" s="11" t="s">
        <v>3061</v>
      </c>
      <c r="C33" s="12">
        <v>106965</v>
      </c>
      <c r="D33" s="294">
        <f t="shared" si="3"/>
        <v>68368.478750000009</v>
      </c>
      <c r="E33" s="12"/>
      <c r="F33" s="294">
        <f t="shared" si="1"/>
        <v>106965</v>
      </c>
      <c r="G33" s="13">
        <f t="shared" si="0"/>
        <v>12514908</v>
      </c>
    </row>
    <row r="34" spans="1:7" x14ac:dyDescent="0.25">
      <c r="A34" s="10">
        <f t="shared" si="4"/>
        <v>44922</v>
      </c>
      <c r="B34" s="11" t="s">
        <v>3061</v>
      </c>
      <c r="C34" s="12">
        <v>106965</v>
      </c>
      <c r="D34" s="294">
        <f t="shared" si="3"/>
        <v>67789.085000000006</v>
      </c>
      <c r="E34" s="12"/>
      <c r="F34" s="294">
        <f t="shared" si="1"/>
        <v>106965</v>
      </c>
      <c r="G34" s="13">
        <f t="shared" si="0"/>
        <v>12407943</v>
      </c>
    </row>
    <row r="35" spans="1:7" x14ac:dyDescent="0.25">
      <c r="A35" s="10">
        <f t="shared" si="4"/>
        <v>44952</v>
      </c>
      <c r="B35" s="11" t="s">
        <v>3061</v>
      </c>
      <c r="C35" s="12">
        <v>106965</v>
      </c>
      <c r="D35" s="294">
        <f t="shared" ref="D35:D66" si="5">G34*$I$160*I$159/360</f>
        <v>93059.572499999995</v>
      </c>
      <c r="E35" s="12"/>
      <c r="F35" s="294">
        <f t="shared" si="1"/>
        <v>106965</v>
      </c>
      <c r="G35" s="13">
        <f t="shared" si="0"/>
        <v>12300978</v>
      </c>
    </row>
    <row r="36" spans="1:7" x14ac:dyDescent="0.25">
      <c r="A36" s="10">
        <f t="shared" si="4"/>
        <v>44982</v>
      </c>
      <c r="B36" s="11" t="s">
        <v>3061</v>
      </c>
      <c r="C36" s="12">
        <v>106965</v>
      </c>
      <c r="D36" s="294">
        <f t="shared" si="5"/>
        <v>92257.335000000006</v>
      </c>
      <c r="E36" s="12"/>
      <c r="F36" s="294">
        <f t="shared" si="1"/>
        <v>106965</v>
      </c>
      <c r="G36" s="13">
        <f t="shared" si="0"/>
        <v>12194013</v>
      </c>
    </row>
    <row r="37" spans="1:7" x14ac:dyDescent="0.25">
      <c r="A37" s="10">
        <f t="shared" si="4"/>
        <v>45012</v>
      </c>
      <c r="B37" s="11" t="s">
        <v>3061</v>
      </c>
      <c r="C37" s="12">
        <v>106965</v>
      </c>
      <c r="D37" s="294">
        <f t="shared" si="5"/>
        <v>91455.097499999989</v>
      </c>
      <c r="E37" s="12"/>
      <c r="F37" s="294">
        <f t="shared" si="1"/>
        <v>106965</v>
      </c>
      <c r="G37" s="13">
        <f t="shared" si="0"/>
        <v>12087048</v>
      </c>
    </row>
    <row r="38" spans="1:7" x14ac:dyDescent="0.25">
      <c r="A38" s="10">
        <f t="shared" si="4"/>
        <v>45042</v>
      </c>
      <c r="B38" s="11" t="s">
        <v>3061</v>
      </c>
      <c r="C38" s="12">
        <v>106965</v>
      </c>
      <c r="D38" s="294">
        <f t="shared" si="5"/>
        <v>90652.86</v>
      </c>
      <c r="E38" s="12"/>
      <c r="F38" s="294">
        <f t="shared" si="1"/>
        <v>106965</v>
      </c>
      <c r="G38" s="13">
        <f t="shared" si="0"/>
        <v>11980083</v>
      </c>
    </row>
    <row r="39" spans="1:7" x14ac:dyDescent="0.25">
      <c r="A39" s="10">
        <f t="shared" si="4"/>
        <v>45072</v>
      </c>
      <c r="B39" s="11" t="s">
        <v>3061</v>
      </c>
      <c r="C39" s="12">
        <v>106965</v>
      </c>
      <c r="D39" s="294">
        <f t="shared" si="5"/>
        <v>89850.622499999998</v>
      </c>
      <c r="E39" s="12"/>
      <c r="F39" s="294">
        <f t="shared" si="1"/>
        <v>106965</v>
      </c>
      <c r="G39" s="13">
        <f t="shared" ref="G39:G67" si="6">+G38-C39</f>
        <v>11873118</v>
      </c>
    </row>
    <row r="40" spans="1:7" x14ac:dyDescent="0.25">
      <c r="A40" s="10">
        <f t="shared" si="4"/>
        <v>45102</v>
      </c>
      <c r="B40" s="11" t="s">
        <v>3061</v>
      </c>
      <c r="C40" s="12">
        <v>106965</v>
      </c>
      <c r="D40" s="294">
        <f t="shared" si="5"/>
        <v>89048.384999999995</v>
      </c>
      <c r="E40" s="12"/>
      <c r="F40" s="294">
        <f t="shared" si="1"/>
        <v>106965</v>
      </c>
      <c r="G40" s="13">
        <f t="shared" si="6"/>
        <v>11766153</v>
      </c>
    </row>
    <row r="41" spans="1:7" x14ac:dyDescent="0.25">
      <c r="A41" s="10">
        <v>45132</v>
      </c>
      <c r="B41" s="11" t="s">
        <v>3061</v>
      </c>
      <c r="C41" s="12">
        <v>106965</v>
      </c>
      <c r="D41" s="294">
        <f t="shared" si="5"/>
        <v>88246.147500000006</v>
      </c>
      <c r="E41" s="12"/>
      <c r="F41" s="294">
        <f t="shared" si="1"/>
        <v>106965</v>
      </c>
      <c r="G41" s="13">
        <f t="shared" si="6"/>
        <v>11659188</v>
      </c>
    </row>
    <row r="42" spans="1:7" x14ac:dyDescent="0.25">
      <c r="A42" s="10">
        <v>45163</v>
      </c>
      <c r="B42" s="11" t="s">
        <v>3061</v>
      </c>
      <c r="C42" s="12">
        <v>106965</v>
      </c>
      <c r="D42" s="294">
        <f t="shared" si="5"/>
        <v>87443.909999999989</v>
      </c>
      <c r="E42" s="12"/>
      <c r="F42" s="294">
        <f t="shared" si="1"/>
        <v>106965</v>
      </c>
      <c r="G42" s="13">
        <f t="shared" si="6"/>
        <v>11552223</v>
      </c>
    </row>
    <row r="43" spans="1:7" x14ac:dyDescent="0.25">
      <c r="A43" s="10">
        <v>45194</v>
      </c>
      <c r="B43" s="11" t="s">
        <v>3061</v>
      </c>
      <c r="C43" s="12">
        <v>106965</v>
      </c>
      <c r="D43" s="294">
        <f t="shared" si="5"/>
        <v>86641.672500000001</v>
      </c>
      <c r="E43" s="12"/>
      <c r="F43" s="294">
        <f t="shared" si="1"/>
        <v>106965</v>
      </c>
      <c r="G43" s="13">
        <f t="shared" si="6"/>
        <v>11445258</v>
      </c>
    </row>
    <row r="44" spans="1:7" x14ac:dyDescent="0.25">
      <c r="A44" s="10">
        <v>45224</v>
      </c>
      <c r="B44" s="11" t="s">
        <v>3061</v>
      </c>
      <c r="C44" s="12">
        <v>106965</v>
      </c>
      <c r="D44" s="294">
        <f t="shared" si="5"/>
        <v>85839.434999999998</v>
      </c>
      <c r="E44" s="12"/>
      <c r="F44" s="294">
        <f t="shared" si="1"/>
        <v>106965</v>
      </c>
      <c r="G44" s="13">
        <f t="shared" si="6"/>
        <v>11338293</v>
      </c>
    </row>
    <row r="45" spans="1:7" x14ac:dyDescent="0.25">
      <c r="A45" s="10">
        <v>45255</v>
      </c>
      <c r="B45" s="11" t="s">
        <v>3061</v>
      </c>
      <c r="C45" s="12">
        <v>106965</v>
      </c>
      <c r="D45" s="294">
        <f t="shared" si="5"/>
        <v>85037.197500000009</v>
      </c>
      <c r="E45" s="12"/>
      <c r="F45" s="294">
        <f t="shared" si="1"/>
        <v>106965</v>
      </c>
      <c r="G45" s="13">
        <f t="shared" si="6"/>
        <v>11231328</v>
      </c>
    </row>
    <row r="46" spans="1:7" x14ac:dyDescent="0.25">
      <c r="A46" s="10">
        <v>45285</v>
      </c>
      <c r="B46" s="11" t="s">
        <v>3061</v>
      </c>
      <c r="C46" s="12">
        <v>106965</v>
      </c>
      <c r="D46" s="294">
        <f t="shared" si="5"/>
        <v>84234.96</v>
      </c>
      <c r="E46" s="12"/>
      <c r="F46" s="294">
        <f t="shared" si="1"/>
        <v>106965</v>
      </c>
      <c r="G46" s="13">
        <f t="shared" si="6"/>
        <v>11124363</v>
      </c>
    </row>
    <row r="47" spans="1:7" x14ac:dyDescent="0.25">
      <c r="A47" s="10">
        <v>45316</v>
      </c>
      <c r="B47" s="11" t="s">
        <v>3061</v>
      </c>
      <c r="C47" s="12">
        <v>106965</v>
      </c>
      <c r="D47" s="294">
        <f t="shared" si="5"/>
        <v>83432.722499999989</v>
      </c>
      <c r="E47" s="12"/>
      <c r="F47" s="294">
        <f t="shared" si="1"/>
        <v>106965</v>
      </c>
      <c r="G47" s="13">
        <f t="shared" si="6"/>
        <v>11017398</v>
      </c>
    </row>
    <row r="48" spans="1:7" x14ac:dyDescent="0.25">
      <c r="A48" s="10">
        <v>45347</v>
      </c>
      <c r="B48" s="11" t="s">
        <v>3061</v>
      </c>
      <c r="C48" s="12">
        <v>106965</v>
      </c>
      <c r="D48" s="294">
        <f t="shared" si="5"/>
        <v>82630.485000000001</v>
      </c>
      <c r="E48" s="12"/>
      <c r="F48" s="294">
        <f t="shared" si="1"/>
        <v>106965</v>
      </c>
      <c r="G48" s="13">
        <f t="shared" si="6"/>
        <v>10910433</v>
      </c>
    </row>
    <row r="49" spans="1:7" x14ac:dyDescent="0.25">
      <c r="A49" s="10">
        <v>45376</v>
      </c>
      <c r="B49" s="11" t="s">
        <v>3061</v>
      </c>
      <c r="C49" s="12">
        <v>106965</v>
      </c>
      <c r="D49" s="294">
        <f t="shared" si="5"/>
        <v>81828.247499999998</v>
      </c>
      <c r="E49" s="12"/>
      <c r="F49" s="294">
        <f t="shared" si="1"/>
        <v>106965</v>
      </c>
      <c r="G49" s="13">
        <f t="shared" si="6"/>
        <v>10803468</v>
      </c>
    </row>
    <row r="50" spans="1:7" x14ac:dyDescent="0.25">
      <c r="A50" s="10">
        <v>45407</v>
      </c>
      <c r="B50" s="11" t="s">
        <v>3061</v>
      </c>
      <c r="C50" s="12">
        <v>106965</v>
      </c>
      <c r="D50" s="294">
        <f t="shared" si="5"/>
        <v>81026.010000000009</v>
      </c>
      <c r="E50" s="12"/>
      <c r="F50" s="294">
        <f t="shared" si="1"/>
        <v>106965</v>
      </c>
      <c r="G50" s="13">
        <f t="shared" si="6"/>
        <v>10696503</v>
      </c>
    </row>
    <row r="51" spans="1:7" x14ac:dyDescent="0.25">
      <c r="A51" s="10">
        <v>45437</v>
      </c>
      <c r="B51" s="11" t="s">
        <v>3061</v>
      </c>
      <c r="C51" s="12">
        <v>106965</v>
      </c>
      <c r="D51" s="294">
        <f t="shared" si="5"/>
        <v>80223.772500000006</v>
      </c>
      <c r="E51" s="12"/>
      <c r="F51" s="294">
        <f t="shared" si="1"/>
        <v>106965</v>
      </c>
      <c r="G51" s="13">
        <f t="shared" si="6"/>
        <v>10589538</v>
      </c>
    </row>
    <row r="52" spans="1:7" x14ac:dyDescent="0.25">
      <c r="A52" s="10">
        <v>45468</v>
      </c>
      <c r="B52" s="11" t="s">
        <v>3061</v>
      </c>
      <c r="C52" s="12">
        <v>106965</v>
      </c>
      <c r="D52" s="294">
        <f t="shared" si="5"/>
        <v>79421.534999999989</v>
      </c>
      <c r="E52" s="12"/>
      <c r="F52" s="294">
        <f t="shared" si="1"/>
        <v>106965</v>
      </c>
      <c r="G52" s="13">
        <f t="shared" si="6"/>
        <v>10482573</v>
      </c>
    </row>
    <row r="53" spans="1:7" x14ac:dyDescent="0.25">
      <c r="A53" s="10">
        <v>45498</v>
      </c>
      <c r="B53" s="11" t="s">
        <v>3061</v>
      </c>
      <c r="C53" s="12">
        <v>106965</v>
      </c>
      <c r="D53" s="294">
        <f t="shared" si="5"/>
        <v>78619.297500000001</v>
      </c>
      <c r="E53" s="12"/>
      <c r="F53" s="294">
        <f t="shared" si="1"/>
        <v>106965</v>
      </c>
      <c r="G53" s="13">
        <f t="shared" si="6"/>
        <v>10375608</v>
      </c>
    </row>
    <row r="54" spans="1:7" x14ac:dyDescent="0.25">
      <c r="A54" s="10">
        <v>45529</v>
      </c>
      <c r="B54" s="11" t="s">
        <v>3061</v>
      </c>
      <c r="C54" s="12">
        <v>106965</v>
      </c>
      <c r="D54" s="294">
        <f t="shared" si="5"/>
        <v>77817.06</v>
      </c>
      <c r="E54" s="12"/>
      <c r="F54" s="294">
        <f t="shared" si="1"/>
        <v>106965</v>
      </c>
      <c r="G54" s="13">
        <f t="shared" si="6"/>
        <v>10268643</v>
      </c>
    </row>
    <row r="55" spans="1:7" x14ac:dyDescent="0.25">
      <c r="A55" s="10">
        <v>45560</v>
      </c>
      <c r="B55" s="11" t="s">
        <v>3061</v>
      </c>
      <c r="C55" s="12">
        <v>106965</v>
      </c>
      <c r="D55" s="294">
        <f t="shared" si="5"/>
        <v>77014.822500000009</v>
      </c>
      <c r="E55" s="12"/>
      <c r="F55" s="294">
        <f t="shared" si="1"/>
        <v>106965</v>
      </c>
      <c r="G55" s="13">
        <f t="shared" si="6"/>
        <v>10161678</v>
      </c>
    </row>
    <row r="56" spans="1:7" x14ac:dyDescent="0.25">
      <c r="A56" s="10">
        <v>45590</v>
      </c>
      <c r="B56" s="11" t="s">
        <v>3061</v>
      </c>
      <c r="C56" s="12">
        <v>106965</v>
      </c>
      <c r="D56" s="294">
        <f t="shared" si="5"/>
        <v>76212.585000000006</v>
      </c>
      <c r="E56" s="12"/>
      <c r="F56" s="294">
        <f t="shared" si="1"/>
        <v>106965</v>
      </c>
      <c r="G56" s="13">
        <f t="shared" si="6"/>
        <v>10054713</v>
      </c>
    </row>
    <row r="57" spans="1:7" x14ac:dyDescent="0.25">
      <c r="A57" s="10">
        <v>45621</v>
      </c>
      <c r="B57" s="11" t="s">
        <v>3061</v>
      </c>
      <c r="C57" s="12">
        <v>106965</v>
      </c>
      <c r="D57" s="294">
        <f t="shared" si="5"/>
        <v>75410.347499999989</v>
      </c>
      <c r="E57" s="12"/>
      <c r="F57" s="294">
        <f t="shared" si="1"/>
        <v>106965</v>
      </c>
      <c r="G57" s="13">
        <f t="shared" si="6"/>
        <v>9947748</v>
      </c>
    </row>
    <row r="58" spans="1:7" x14ac:dyDescent="0.25">
      <c r="A58" s="10">
        <v>45651</v>
      </c>
      <c r="B58" s="11" t="s">
        <v>3061</v>
      </c>
      <c r="C58" s="12">
        <v>106965</v>
      </c>
      <c r="D58" s="294">
        <f t="shared" si="5"/>
        <v>74608.11</v>
      </c>
      <c r="E58" s="12"/>
      <c r="F58" s="294">
        <f t="shared" si="1"/>
        <v>106965</v>
      </c>
      <c r="G58" s="13">
        <f t="shared" si="6"/>
        <v>9840783</v>
      </c>
    </row>
    <row r="59" spans="1:7" x14ac:dyDescent="0.25">
      <c r="A59" s="10">
        <v>45682</v>
      </c>
      <c r="B59" s="11" t="s">
        <v>3061</v>
      </c>
      <c r="C59" s="12">
        <v>106965</v>
      </c>
      <c r="D59" s="294">
        <f t="shared" si="5"/>
        <v>73805.872499999998</v>
      </c>
      <c r="E59" s="12"/>
      <c r="F59" s="294">
        <f t="shared" si="1"/>
        <v>106965</v>
      </c>
      <c r="G59" s="13">
        <f t="shared" si="6"/>
        <v>9733818</v>
      </c>
    </row>
    <row r="60" spans="1:7" x14ac:dyDescent="0.25">
      <c r="A60" s="10">
        <v>45713</v>
      </c>
      <c r="B60" s="11" t="s">
        <v>3061</v>
      </c>
      <c r="C60" s="12">
        <v>106965</v>
      </c>
      <c r="D60" s="294">
        <f t="shared" si="5"/>
        <v>73003.635000000009</v>
      </c>
      <c r="E60" s="12"/>
      <c r="F60" s="294">
        <f t="shared" si="1"/>
        <v>106965</v>
      </c>
      <c r="G60" s="13">
        <f t="shared" si="6"/>
        <v>9626853</v>
      </c>
    </row>
    <row r="61" spans="1:7" x14ac:dyDescent="0.25">
      <c r="A61" s="10">
        <v>45741</v>
      </c>
      <c r="B61" s="11" t="s">
        <v>3061</v>
      </c>
      <c r="C61" s="12">
        <v>106965</v>
      </c>
      <c r="D61" s="294">
        <f t="shared" si="5"/>
        <v>72201.397500000006</v>
      </c>
      <c r="E61" s="12"/>
      <c r="F61" s="294">
        <f t="shared" si="1"/>
        <v>106965</v>
      </c>
      <c r="G61" s="13">
        <f t="shared" si="6"/>
        <v>9519888</v>
      </c>
    </row>
    <row r="62" spans="1:7" x14ac:dyDescent="0.25">
      <c r="A62" s="10">
        <v>45772</v>
      </c>
      <c r="B62" s="11" t="s">
        <v>3061</v>
      </c>
      <c r="C62" s="12">
        <v>106965</v>
      </c>
      <c r="D62" s="294">
        <f t="shared" si="5"/>
        <v>71399.159999999989</v>
      </c>
      <c r="E62" s="12"/>
      <c r="F62" s="294">
        <f t="shared" si="1"/>
        <v>106965</v>
      </c>
      <c r="G62" s="13">
        <f t="shared" si="6"/>
        <v>9412923</v>
      </c>
    </row>
    <row r="63" spans="1:7" x14ac:dyDescent="0.25">
      <c r="A63" s="10">
        <v>45802</v>
      </c>
      <c r="B63" s="11" t="s">
        <v>3061</v>
      </c>
      <c r="C63" s="12">
        <v>106965</v>
      </c>
      <c r="D63" s="294">
        <f t="shared" si="5"/>
        <v>70596.922500000001</v>
      </c>
      <c r="E63" s="12"/>
      <c r="F63" s="294">
        <f t="shared" si="1"/>
        <v>106965</v>
      </c>
      <c r="G63" s="13">
        <f t="shared" si="6"/>
        <v>9305958</v>
      </c>
    </row>
    <row r="64" spans="1:7" x14ac:dyDescent="0.25">
      <c r="A64" s="10">
        <v>45833</v>
      </c>
      <c r="B64" s="11" t="s">
        <v>3061</v>
      </c>
      <c r="C64" s="12">
        <v>106965</v>
      </c>
      <c r="D64" s="294">
        <f t="shared" si="5"/>
        <v>69794.684999999998</v>
      </c>
      <c r="E64" s="12"/>
      <c r="F64" s="294">
        <f t="shared" si="1"/>
        <v>106965</v>
      </c>
      <c r="G64" s="13">
        <f t="shared" si="6"/>
        <v>9198993</v>
      </c>
    </row>
    <row r="65" spans="1:7" x14ac:dyDescent="0.25">
      <c r="A65" s="10">
        <v>45863</v>
      </c>
      <c r="B65" s="11" t="s">
        <v>3061</v>
      </c>
      <c r="C65" s="12">
        <v>106965</v>
      </c>
      <c r="D65" s="294">
        <f t="shared" si="5"/>
        <v>68992.447500000009</v>
      </c>
      <c r="E65" s="12"/>
      <c r="F65" s="294">
        <f t="shared" si="1"/>
        <v>106965</v>
      </c>
      <c r="G65" s="13">
        <f t="shared" si="6"/>
        <v>9092028</v>
      </c>
    </row>
    <row r="66" spans="1:7" x14ac:dyDescent="0.25">
      <c r="A66" s="10">
        <v>45894</v>
      </c>
      <c r="B66" s="11" t="s">
        <v>3061</v>
      </c>
      <c r="C66" s="12">
        <v>106965</v>
      </c>
      <c r="D66" s="294">
        <f t="shared" si="5"/>
        <v>68190.210000000006</v>
      </c>
      <c r="E66" s="12"/>
      <c r="F66" s="294">
        <f t="shared" si="1"/>
        <v>106965</v>
      </c>
      <c r="G66" s="13">
        <f t="shared" si="6"/>
        <v>8985063</v>
      </c>
    </row>
    <row r="67" spans="1:7" x14ac:dyDescent="0.25">
      <c r="A67" s="10">
        <v>45925</v>
      </c>
      <c r="B67" s="11" t="s">
        <v>3061</v>
      </c>
      <c r="C67" s="12">
        <v>106965</v>
      </c>
      <c r="D67" s="294">
        <f t="shared" ref="D67:D98" si="7">G66*$I$160*I$159/360</f>
        <v>67387.972499999989</v>
      </c>
      <c r="E67" s="12"/>
      <c r="F67" s="294">
        <f t="shared" si="1"/>
        <v>106965</v>
      </c>
      <c r="G67" s="13">
        <f t="shared" si="6"/>
        <v>8878098</v>
      </c>
    </row>
    <row r="68" spans="1:7" x14ac:dyDescent="0.25">
      <c r="A68" s="10">
        <v>45955</v>
      </c>
      <c r="B68" s="11" t="s">
        <v>3061</v>
      </c>
      <c r="C68" s="12">
        <v>106965</v>
      </c>
      <c r="D68" s="294">
        <f t="shared" si="7"/>
        <v>66585.735000000001</v>
      </c>
      <c r="E68" s="12"/>
      <c r="F68" s="294">
        <f t="shared" si="1"/>
        <v>106965</v>
      </c>
      <c r="G68" s="13">
        <f t="shared" ref="G68:G131" si="8">+G67-C68</f>
        <v>8771133</v>
      </c>
    </row>
    <row r="69" spans="1:7" x14ac:dyDescent="0.25">
      <c r="A69" s="10">
        <v>45986</v>
      </c>
      <c r="B69" s="11" t="s">
        <v>3061</v>
      </c>
      <c r="C69" s="12">
        <v>106965</v>
      </c>
      <c r="D69" s="294">
        <f t="shared" si="7"/>
        <v>65783.497499999998</v>
      </c>
      <c r="E69" s="12"/>
      <c r="F69" s="294">
        <f t="shared" si="1"/>
        <v>106965</v>
      </c>
      <c r="G69" s="13">
        <f t="shared" si="8"/>
        <v>8664168</v>
      </c>
    </row>
    <row r="70" spans="1:7" x14ac:dyDescent="0.25">
      <c r="A70" s="10">
        <v>46016</v>
      </c>
      <c r="B70" s="11" t="s">
        <v>3061</v>
      </c>
      <c r="C70" s="12">
        <v>106965</v>
      </c>
      <c r="D70" s="294">
        <f t="shared" si="7"/>
        <v>64981.26</v>
      </c>
      <c r="E70" s="12"/>
      <c r="F70" s="294">
        <f t="shared" si="1"/>
        <v>106965</v>
      </c>
      <c r="G70" s="13">
        <f t="shared" si="8"/>
        <v>8557203</v>
      </c>
    </row>
    <row r="71" spans="1:7" x14ac:dyDescent="0.25">
      <c r="A71" s="10">
        <v>46047</v>
      </c>
      <c r="B71" s="11" t="s">
        <v>3061</v>
      </c>
      <c r="C71" s="12">
        <v>106965</v>
      </c>
      <c r="D71" s="294">
        <f t="shared" si="7"/>
        <v>64179.022500000006</v>
      </c>
      <c r="E71" s="12"/>
      <c r="F71" s="294">
        <f t="shared" si="1"/>
        <v>106965</v>
      </c>
      <c r="G71" s="13">
        <f t="shared" si="8"/>
        <v>8450238</v>
      </c>
    </row>
    <row r="72" spans="1:7" x14ac:dyDescent="0.25">
      <c r="A72" s="10">
        <v>46078</v>
      </c>
      <c r="B72" s="11" t="s">
        <v>3061</v>
      </c>
      <c r="C72" s="12">
        <v>106965</v>
      </c>
      <c r="D72" s="294">
        <f t="shared" si="7"/>
        <v>63376.784999999996</v>
      </c>
      <c r="E72" s="12"/>
      <c r="F72" s="294">
        <f t="shared" ref="F72:F135" si="9">+C72+E72</f>
        <v>106965</v>
      </c>
      <c r="G72" s="13">
        <f t="shared" si="8"/>
        <v>8343273</v>
      </c>
    </row>
    <row r="73" spans="1:7" x14ac:dyDescent="0.25">
      <c r="A73" s="10">
        <v>46106</v>
      </c>
      <c r="B73" s="11" t="s">
        <v>3061</v>
      </c>
      <c r="C73" s="12">
        <v>106965</v>
      </c>
      <c r="D73" s="294">
        <f t="shared" si="7"/>
        <v>62574.547499999993</v>
      </c>
      <c r="E73" s="12"/>
      <c r="F73" s="294">
        <f t="shared" si="9"/>
        <v>106965</v>
      </c>
      <c r="G73" s="13">
        <f t="shared" si="8"/>
        <v>8236308</v>
      </c>
    </row>
    <row r="74" spans="1:7" x14ac:dyDescent="0.25">
      <c r="A74" s="10">
        <v>46137</v>
      </c>
      <c r="B74" s="11" t="s">
        <v>3061</v>
      </c>
      <c r="C74" s="12">
        <v>106965</v>
      </c>
      <c r="D74" s="294">
        <f t="shared" si="7"/>
        <v>61772.30999999999</v>
      </c>
      <c r="E74" s="12"/>
      <c r="F74" s="294">
        <f t="shared" si="9"/>
        <v>106965</v>
      </c>
      <c r="G74" s="13">
        <f t="shared" si="8"/>
        <v>8129343</v>
      </c>
    </row>
    <row r="75" spans="1:7" x14ac:dyDescent="0.25">
      <c r="A75" s="10">
        <v>46167</v>
      </c>
      <c r="B75" s="11" t="s">
        <v>3061</v>
      </c>
      <c r="C75" s="12">
        <v>106965</v>
      </c>
      <c r="D75" s="294">
        <f t="shared" si="7"/>
        <v>60970.072500000002</v>
      </c>
      <c r="E75" s="12"/>
      <c r="F75" s="294">
        <f t="shared" si="9"/>
        <v>106965</v>
      </c>
      <c r="G75" s="13">
        <f t="shared" si="8"/>
        <v>8022378</v>
      </c>
    </row>
    <row r="76" spans="1:7" x14ac:dyDescent="0.25">
      <c r="A76" s="10">
        <v>46198</v>
      </c>
      <c r="B76" s="11" t="s">
        <v>3061</v>
      </c>
      <c r="C76" s="12">
        <v>106965</v>
      </c>
      <c r="D76" s="294">
        <f t="shared" si="7"/>
        <v>60167.835000000006</v>
      </c>
      <c r="E76" s="12"/>
      <c r="F76" s="294">
        <f t="shared" si="9"/>
        <v>106965</v>
      </c>
      <c r="G76" s="13">
        <f t="shared" si="8"/>
        <v>7915413</v>
      </c>
    </row>
    <row r="77" spans="1:7" x14ac:dyDescent="0.25">
      <c r="A77" s="10">
        <v>46228</v>
      </c>
      <c r="B77" s="11" t="s">
        <v>3061</v>
      </c>
      <c r="C77" s="12">
        <v>106965</v>
      </c>
      <c r="D77" s="294">
        <f t="shared" si="7"/>
        <v>59365.597499999996</v>
      </c>
      <c r="E77" s="12"/>
      <c r="F77" s="294">
        <f t="shared" si="9"/>
        <v>106965</v>
      </c>
      <c r="G77" s="13">
        <f t="shared" si="8"/>
        <v>7808448</v>
      </c>
    </row>
    <row r="78" spans="1:7" x14ac:dyDescent="0.25">
      <c r="A78" s="10">
        <v>46259</v>
      </c>
      <c r="B78" s="11" t="s">
        <v>3061</v>
      </c>
      <c r="C78" s="12">
        <v>106965</v>
      </c>
      <c r="D78" s="294">
        <f t="shared" si="7"/>
        <v>58563.359999999993</v>
      </c>
      <c r="E78" s="12"/>
      <c r="F78" s="294">
        <f t="shared" si="9"/>
        <v>106965</v>
      </c>
      <c r="G78" s="13">
        <f t="shared" si="8"/>
        <v>7701483</v>
      </c>
    </row>
    <row r="79" spans="1:7" x14ac:dyDescent="0.25">
      <c r="A79" s="10">
        <v>46290</v>
      </c>
      <c r="B79" s="11" t="s">
        <v>3061</v>
      </c>
      <c r="C79" s="12">
        <v>106965</v>
      </c>
      <c r="D79" s="294">
        <f t="shared" si="7"/>
        <v>57761.12249999999</v>
      </c>
      <c r="E79" s="12"/>
      <c r="F79" s="294">
        <f t="shared" si="9"/>
        <v>106965</v>
      </c>
      <c r="G79" s="13">
        <f t="shared" si="8"/>
        <v>7594518</v>
      </c>
    </row>
    <row r="80" spans="1:7" x14ac:dyDescent="0.25">
      <c r="A80" s="10">
        <v>46320</v>
      </c>
      <c r="B80" s="11" t="s">
        <v>3061</v>
      </c>
      <c r="C80" s="12">
        <v>106965</v>
      </c>
      <c r="D80" s="294">
        <f t="shared" si="7"/>
        <v>56958.885000000002</v>
      </c>
      <c r="E80" s="12"/>
      <c r="F80" s="294">
        <f t="shared" si="9"/>
        <v>106965</v>
      </c>
      <c r="G80" s="13">
        <f t="shared" si="8"/>
        <v>7487553</v>
      </c>
    </row>
    <row r="81" spans="1:7" x14ac:dyDescent="0.25">
      <c r="A81" s="10">
        <v>46351</v>
      </c>
      <c r="B81" s="11" t="s">
        <v>3061</v>
      </c>
      <c r="C81" s="12">
        <v>106965</v>
      </c>
      <c r="D81" s="294">
        <f t="shared" si="7"/>
        <v>56156.647500000006</v>
      </c>
      <c r="E81" s="12"/>
      <c r="F81" s="294">
        <f t="shared" si="9"/>
        <v>106965</v>
      </c>
      <c r="G81" s="13">
        <f t="shared" si="8"/>
        <v>7380588</v>
      </c>
    </row>
    <row r="82" spans="1:7" x14ac:dyDescent="0.25">
      <c r="A82" s="10">
        <v>46381</v>
      </c>
      <c r="B82" s="11" t="s">
        <v>3061</v>
      </c>
      <c r="C82" s="12">
        <v>106965</v>
      </c>
      <c r="D82" s="294">
        <f t="shared" si="7"/>
        <v>55354.409999999996</v>
      </c>
      <c r="E82" s="12"/>
      <c r="F82" s="294">
        <f t="shared" si="9"/>
        <v>106965</v>
      </c>
      <c r="G82" s="13">
        <f t="shared" si="8"/>
        <v>7273623</v>
      </c>
    </row>
    <row r="83" spans="1:7" x14ac:dyDescent="0.25">
      <c r="A83" s="10">
        <v>46412</v>
      </c>
      <c r="B83" s="11" t="s">
        <v>3061</v>
      </c>
      <c r="C83" s="12">
        <v>106965</v>
      </c>
      <c r="D83" s="294">
        <f t="shared" si="7"/>
        <v>54552.172499999993</v>
      </c>
      <c r="E83" s="12"/>
      <c r="F83" s="294">
        <f t="shared" si="9"/>
        <v>106965</v>
      </c>
      <c r="G83" s="13">
        <f t="shared" si="8"/>
        <v>7166658</v>
      </c>
    </row>
    <row r="84" spans="1:7" x14ac:dyDescent="0.25">
      <c r="A84" s="10">
        <v>46443</v>
      </c>
      <c r="B84" s="11" t="s">
        <v>3061</v>
      </c>
      <c r="C84" s="12">
        <v>106965</v>
      </c>
      <c r="D84" s="294">
        <f t="shared" si="7"/>
        <v>53749.93499999999</v>
      </c>
      <c r="E84" s="12"/>
      <c r="F84" s="294">
        <f t="shared" si="9"/>
        <v>106965</v>
      </c>
      <c r="G84" s="13">
        <f t="shared" si="8"/>
        <v>7059693</v>
      </c>
    </row>
    <row r="85" spans="1:7" x14ac:dyDescent="0.25">
      <c r="A85" s="10">
        <v>46471</v>
      </c>
      <c r="B85" s="11" t="s">
        <v>3061</v>
      </c>
      <c r="C85" s="12">
        <v>106965</v>
      </c>
      <c r="D85" s="294">
        <f t="shared" si="7"/>
        <v>52947.697500000002</v>
      </c>
      <c r="E85" s="12"/>
      <c r="F85" s="294">
        <f t="shared" si="9"/>
        <v>106965</v>
      </c>
      <c r="G85" s="13">
        <f t="shared" si="8"/>
        <v>6952728</v>
      </c>
    </row>
    <row r="86" spans="1:7" x14ac:dyDescent="0.25">
      <c r="A86" s="10">
        <v>46502</v>
      </c>
      <c r="B86" s="11" t="s">
        <v>3061</v>
      </c>
      <c r="C86" s="12">
        <v>106965</v>
      </c>
      <c r="D86" s="294">
        <f t="shared" si="7"/>
        <v>52145.460000000006</v>
      </c>
      <c r="E86" s="12"/>
      <c r="F86" s="294">
        <f t="shared" si="9"/>
        <v>106965</v>
      </c>
      <c r="G86" s="13">
        <f t="shared" si="8"/>
        <v>6845763</v>
      </c>
    </row>
    <row r="87" spans="1:7" x14ac:dyDescent="0.25">
      <c r="A87" s="10">
        <v>46532</v>
      </c>
      <c r="B87" s="11" t="s">
        <v>3061</v>
      </c>
      <c r="C87" s="12">
        <v>106965</v>
      </c>
      <c r="D87" s="294">
        <f t="shared" si="7"/>
        <v>51343.222499999996</v>
      </c>
      <c r="E87" s="12"/>
      <c r="F87" s="294">
        <f t="shared" si="9"/>
        <v>106965</v>
      </c>
      <c r="G87" s="13">
        <f t="shared" si="8"/>
        <v>6738798</v>
      </c>
    </row>
    <row r="88" spans="1:7" x14ac:dyDescent="0.25">
      <c r="A88" s="10">
        <v>46563</v>
      </c>
      <c r="B88" s="11" t="s">
        <v>3061</v>
      </c>
      <c r="C88" s="12">
        <v>106965</v>
      </c>
      <c r="D88" s="294">
        <f t="shared" si="7"/>
        <v>50540.984999999993</v>
      </c>
      <c r="E88" s="12"/>
      <c r="F88" s="294">
        <f t="shared" si="9"/>
        <v>106965</v>
      </c>
      <c r="G88" s="13">
        <f t="shared" si="8"/>
        <v>6631833</v>
      </c>
    </row>
    <row r="89" spans="1:7" x14ac:dyDescent="0.25">
      <c r="A89" s="10">
        <v>46593</v>
      </c>
      <c r="B89" s="11" t="s">
        <v>3061</v>
      </c>
      <c r="C89" s="12">
        <v>106965</v>
      </c>
      <c r="D89" s="294">
        <f t="shared" si="7"/>
        <v>49738.74749999999</v>
      </c>
      <c r="E89" s="12"/>
      <c r="F89" s="294">
        <f t="shared" si="9"/>
        <v>106965</v>
      </c>
      <c r="G89" s="13">
        <f t="shared" si="8"/>
        <v>6524868</v>
      </c>
    </row>
    <row r="90" spans="1:7" x14ac:dyDescent="0.25">
      <c r="A90" s="10">
        <v>46624</v>
      </c>
      <c r="B90" s="11" t="s">
        <v>3061</v>
      </c>
      <c r="C90" s="12">
        <v>106965</v>
      </c>
      <c r="D90" s="294">
        <f t="shared" si="7"/>
        <v>48936.51</v>
      </c>
      <c r="E90" s="12"/>
      <c r="F90" s="294">
        <f t="shared" si="9"/>
        <v>106965</v>
      </c>
      <c r="G90" s="13">
        <f t="shared" si="8"/>
        <v>6417903</v>
      </c>
    </row>
    <row r="91" spans="1:7" x14ac:dyDescent="0.25">
      <c r="A91" s="10">
        <v>46655</v>
      </c>
      <c r="B91" s="11" t="s">
        <v>3061</v>
      </c>
      <c r="C91" s="12">
        <v>106965</v>
      </c>
      <c r="D91" s="294">
        <f t="shared" si="7"/>
        <v>48134.272500000006</v>
      </c>
      <c r="E91" s="12"/>
      <c r="F91" s="294">
        <f t="shared" si="9"/>
        <v>106965</v>
      </c>
      <c r="G91" s="13">
        <f t="shared" si="8"/>
        <v>6310938</v>
      </c>
    </row>
    <row r="92" spans="1:7" x14ac:dyDescent="0.25">
      <c r="A92" s="10">
        <v>46685</v>
      </c>
      <c r="B92" s="11" t="s">
        <v>3061</v>
      </c>
      <c r="C92" s="12">
        <v>106965</v>
      </c>
      <c r="D92" s="294">
        <f t="shared" si="7"/>
        <v>47332.034999999996</v>
      </c>
      <c r="E92" s="12"/>
      <c r="F92" s="294">
        <f t="shared" si="9"/>
        <v>106965</v>
      </c>
      <c r="G92" s="13">
        <f t="shared" si="8"/>
        <v>6203973</v>
      </c>
    </row>
    <row r="93" spans="1:7" x14ac:dyDescent="0.25">
      <c r="A93" s="10">
        <v>46716</v>
      </c>
      <c r="B93" s="11" t="s">
        <v>3061</v>
      </c>
      <c r="C93" s="12">
        <v>106965</v>
      </c>
      <c r="D93" s="294">
        <f t="shared" si="7"/>
        <v>46529.797499999993</v>
      </c>
      <c r="E93" s="12"/>
      <c r="F93" s="294">
        <f t="shared" si="9"/>
        <v>106965</v>
      </c>
      <c r="G93" s="13">
        <f t="shared" si="8"/>
        <v>6097008</v>
      </c>
    </row>
    <row r="94" spans="1:7" x14ac:dyDescent="0.25">
      <c r="A94" s="10">
        <v>46746</v>
      </c>
      <c r="B94" s="11" t="s">
        <v>3061</v>
      </c>
      <c r="C94" s="12">
        <v>106965</v>
      </c>
      <c r="D94" s="294">
        <f t="shared" si="7"/>
        <v>45727.56</v>
      </c>
      <c r="E94" s="12"/>
      <c r="F94" s="294">
        <f t="shared" si="9"/>
        <v>106965</v>
      </c>
      <c r="G94" s="13">
        <f t="shared" si="8"/>
        <v>5990043</v>
      </c>
    </row>
    <row r="95" spans="1:7" x14ac:dyDescent="0.25">
      <c r="A95" s="10">
        <v>46777</v>
      </c>
      <c r="B95" s="11" t="s">
        <v>3061</v>
      </c>
      <c r="C95" s="12">
        <v>106965</v>
      </c>
      <c r="D95" s="294">
        <f t="shared" si="7"/>
        <v>44925.322500000002</v>
      </c>
      <c r="E95" s="12"/>
      <c r="F95" s="294">
        <f t="shared" si="9"/>
        <v>106965</v>
      </c>
      <c r="G95" s="13">
        <f t="shared" si="8"/>
        <v>5883078</v>
      </c>
    </row>
    <row r="96" spans="1:7" x14ac:dyDescent="0.25">
      <c r="A96" s="10">
        <v>46808</v>
      </c>
      <c r="B96" s="11" t="s">
        <v>3061</v>
      </c>
      <c r="C96" s="12">
        <v>106965</v>
      </c>
      <c r="D96" s="294">
        <f t="shared" si="7"/>
        <v>44123.085000000006</v>
      </c>
      <c r="E96" s="12"/>
      <c r="F96" s="294">
        <f t="shared" si="9"/>
        <v>106965</v>
      </c>
      <c r="G96" s="13">
        <f t="shared" si="8"/>
        <v>5776113</v>
      </c>
    </row>
    <row r="97" spans="1:7" x14ac:dyDescent="0.25">
      <c r="A97" s="10">
        <v>46837</v>
      </c>
      <c r="B97" s="11" t="s">
        <v>3061</v>
      </c>
      <c r="C97" s="12">
        <v>106965</v>
      </c>
      <c r="D97" s="294">
        <f t="shared" si="7"/>
        <v>43320.847499999996</v>
      </c>
      <c r="E97" s="12"/>
      <c r="F97" s="294">
        <f t="shared" si="9"/>
        <v>106965</v>
      </c>
      <c r="G97" s="13">
        <f t="shared" si="8"/>
        <v>5669148</v>
      </c>
    </row>
    <row r="98" spans="1:7" x14ac:dyDescent="0.25">
      <c r="A98" s="10">
        <v>46868</v>
      </c>
      <c r="B98" s="11" t="s">
        <v>3061</v>
      </c>
      <c r="C98" s="12">
        <v>106965</v>
      </c>
      <c r="D98" s="294">
        <f t="shared" si="7"/>
        <v>42518.61</v>
      </c>
      <c r="E98" s="12"/>
      <c r="F98" s="294">
        <f t="shared" si="9"/>
        <v>106965</v>
      </c>
      <c r="G98" s="13">
        <f t="shared" si="8"/>
        <v>5562183</v>
      </c>
    </row>
    <row r="99" spans="1:7" x14ac:dyDescent="0.25">
      <c r="A99" s="10">
        <v>46898</v>
      </c>
      <c r="B99" s="11" t="s">
        <v>3061</v>
      </c>
      <c r="C99" s="12">
        <v>106965</v>
      </c>
      <c r="D99" s="294">
        <f t="shared" ref="D99:D130" si="10">G98*$I$160*I$159/360</f>
        <v>41716.372499999998</v>
      </c>
      <c r="E99" s="12"/>
      <c r="F99" s="294">
        <f t="shared" si="9"/>
        <v>106965</v>
      </c>
      <c r="G99" s="13">
        <f t="shared" si="8"/>
        <v>5455218</v>
      </c>
    </row>
    <row r="100" spans="1:7" x14ac:dyDescent="0.25">
      <c r="A100" s="10">
        <v>46929</v>
      </c>
      <c r="B100" s="11" t="s">
        <v>3061</v>
      </c>
      <c r="C100" s="12">
        <v>106965</v>
      </c>
      <c r="D100" s="294">
        <f t="shared" si="10"/>
        <v>40914.135000000002</v>
      </c>
      <c r="E100" s="12"/>
      <c r="F100" s="294">
        <f t="shared" si="9"/>
        <v>106965</v>
      </c>
      <c r="G100" s="13">
        <f t="shared" si="8"/>
        <v>5348253</v>
      </c>
    </row>
    <row r="101" spans="1:7" x14ac:dyDescent="0.25">
      <c r="A101" s="10">
        <v>46959</v>
      </c>
      <c r="B101" s="11" t="s">
        <v>3061</v>
      </c>
      <c r="C101" s="12">
        <v>106965</v>
      </c>
      <c r="D101" s="294">
        <f t="shared" si="10"/>
        <v>40111.897499999999</v>
      </c>
      <c r="E101" s="12"/>
      <c r="F101" s="294">
        <f t="shared" si="9"/>
        <v>106965</v>
      </c>
      <c r="G101" s="13">
        <f t="shared" si="8"/>
        <v>5241288</v>
      </c>
    </row>
    <row r="102" spans="1:7" x14ac:dyDescent="0.25">
      <c r="A102" s="10">
        <v>46990</v>
      </c>
      <c r="B102" s="11" t="s">
        <v>3061</v>
      </c>
      <c r="C102" s="12">
        <v>106965</v>
      </c>
      <c r="D102" s="294">
        <f t="shared" si="10"/>
        <v>39309.659999999996</v>
      </c>
      <c r="E102" s="12"/>
      <c r="F102" s="294">
        <f t="shared" si="9"/>
        <v>106965</v>
      </c>
      <c r="G102" s="13">
        <f t="shared" si="8"/>
        <v>5134323</v>
      </c>
    </row>
    <row r="103" spans="1:7" x14ac:dyDescent="0.25">
      <c r="A103" s="10">
        <v>47021</v>
      </c>
      <c r="B103" s="11" t="s">
        <v>3061</v>
      </c>
      <c r="C103" s="12">
        <v>106965</v>
      </c>
      <c r="D103" s="294">
        <f t="shared" si="10"/>
        <v>38507.422500000001</v>
      </c>
      <c r="E103" s="12"/>
      <c r="F103" s="294">
        <f t="shared" si="9"/>
        <v>106965</v>
      </c>
      <c r="G103" s="13">
        <f t="shared" si="8"/>
        <v>5027358</v>
      </c>
    </row>
    <row r="104" spans="1:7" x14ac:dyDescent="0.25">
      <c r="A104" s="10">
        <v>47051</v>
      </c>
      <c r="B104" s="11" t="s">
        <v>3061</v>
      </c>
      <c r="C104" s="12">
        <v>106965</v>
      </c>
      <c r="D104" s="294">
        <f t="shared" si="10"/>
        <v>37705.184999999998</v>
      </c>
      <c r="E104" s="12"/>
      <c r="F104" s="294">
        <f t="shared" si="9"/>
        <v>106965</v>
      </c>
      <c r="G104" s="13">
        <f t="shared" si="8"/>
        <v>4920393</v>
      </c>
    </row>
    <row r="105" spans="1:7" x14ac:dyDescent="0.25">
      <c r="A105" s="10">
        <v>47082</v>
      </c>
      <c r="B105" s="11" t="s">
        <v>3061</v>
      </c>
      <c r="C105" s="12">
        <v>106965</v>
      </c>
      <c r="D105" s="294">
        <f t="shared" si="10"/>
        <v>36902.947500000002</v>
      </c>
      <c r="E105" s="12"/>
      <c r="F105" s="294">
        <f t="shared" si="9"/>
        <v>106965</v>
      </c>
      <c r="G105" s="13">
        <f t="shared" si="8"/>
        <v>4813428</v>
      </c>
    </row>
    <row r="106" spans="1:7" x14ac:dyDescent="0.25">
      <c r="A106" s="10">
        <v>47112</v>
      </c>
      <c r="B106" s="11" t="s">
        <v>3061</v>
      </c>
      <c r="C106" s="12">
        <v>106965</v>
      </c>
      <c r="D106" s="294">
        <f t="shared" si="10"/>
        <v>36100.71</v>
      </c>
      <c r="E106" s="12"/>
      <c r="F106" s="294">
        <f t="shared" si="9"/>
        <v>106965</v>
      </c>
      <c r="G106" s="13">
        <f t="shared" si="8"/>
        <v>4706463</v>
      </c>
    </row>
    <row r="107" spans="1:7" x14ac:dyDescent="0.25">
      <c r="A107" s="10">
        <v>47143</v>
      </c>
      <c r="B107" s="11" t="s">
        <v>3061</v>
      </c>
      <c r="C107" s="12">
        <v>106965</v>
      </c>
      <c r="D107" s="294">
        <f t="shared" si="10"/>
        <v>35298.472499999996</v>
      </c>
      <c r="E107" s="12"/>
      <c r="F107" s="294">
        <f t="shared" si="9"/>
        <v>106965</v>
      </c>
      <c r="G107" s="13">
        <f t="shared" si="8"/>
        <v>4599498</v>
      </c>
    </row>
    <row r="108" spans="1:7" x14ac:dyDescent="0.25">
      <c r="A108" s="10">
        <v>47174</v>
      </c>
      <c r="B108" s="11" t="s">
        <v>3061</v>
      </c>
      <c r="C108" s="12">
        <v>106965</v>
      </c>
      <c r="D108" s="294">
        <f t="shared" si="10"/>
        <v>34496.235000000001</v>
      </c>
      <c r="E108" s="12"/>
      <c r="F108" s="294">
        <f t="shared" si="9"/>
        <v>106965</v>
      </c>
      <c r="G108" s="13">
        <f t="shared" si="8"/>
        <v>4492533</v>
      </c>
    </row>
    <row r="109" spans="1:7" x14ac:dyDescent="0.25">
      <c r="A109" s="10">
        <v>47202</v>
      </c>
      <c r="B109" s="11" t="s">
        <v>3061</v>
      </c>
      <c r="C109" s="12">
        <v>106965</v>
      </c>
      <c r="D109" s="294">
        <f t="shared" si="10"/>
        <v>33693.997499999998</v>
      </c>
      <c r="E109" s="12"/>
      <c r="F109" s="294">
        <f t="shared" si="9"/>
        <v>106965</v>
      </c>
      <c r="G109" s="13">
        <f t="shared" si="8"/>
        <v>4385568</v>
      </c>
    </row>
    <row r="110" spans="1:7" x14ac:dyDescent="0.25">
      <c r="A110" s="10">
        <v>47233</v>
      </c>
      <c r="B110" s="11" t="s">
        <v>3061</v>
      </c>
      <c r="C110" s="12">
        <v>106965</v>
      </c>
      <c r="D110" s="294">
        <f t="shared" si="10"/>
        <v>32891.760000000002</v>
      </c>
      <c r="E110" s="12"/>
      <c r="F110" s="294">
        <f t="shared" si="9"/>
        <v>106965</v>
      </c>
      <c r="G110" s="13">
        <f t="shared" si="8"/>
        <v>4278603</v>
      </c>
    </row>
    <row r="111" spans="1:7" x14ac:dyDescent="0.25">
      <c r="A111" s="10">
        <v>47263</v>
      </c>
      <c r="B111" s="11" t="s">
        <v>3061</v>
      </c>
      <c r="C111" s="12">
        <v>106965</v>
      </c>
      <c r="D111" s="294">
        <f t="shared" si="10"/>
        <v>32089.522499999999</v>
      </c>
      <c r="E111" s="12"/>
      <c r="F111" s="294">
        <f t="shared" si="9"/>
        <v>106965</v>
      </c>
      <c r="G111" s="13">
        <f t="shared" si="8"/>
        <v>4171638</v>
      </c>
    </row>
    <row r="112" spans="1:7" x14ac:dyDescent="0.25">
      <c r="A112" s="10">
        <v>47294</v>
      </c>
      <c r="B112" s="11" t="s">
        <v>3061</v>
      </c>
      <c r="C112" s="12">
        <v>106965</v>
      </c>
      <c r="D112" s="294">
        <f t="shared" si="10"/>
        <v>31287.285</v>
      </c>
      <c r="E112" s="12"/>
      <c r="F112" s="294">
        <f t="shared" si="9"/>
        <v>106965</v>
      </c>
      <c r="G112" s="13">
        <f t="shared" si="8"/>
        <v>4064673</v>
      </c>
    </row>
    <row r="113" spans="1:7" x14ac:dyDescent="0.25">
      <c r="A113" s="10">
        <v>47324</v>
      </c>
      <c r="B113" s="11" t="s">
        <v>3061</v>
      </c>
      <c r="C113" s="12">
        <v>106965</v>
      </c>
      <c r="D113" s="294">
        <f t="shared" si="10"/>
        <v>30485.047500000001</v>
      </c>
      <c r="E113" s="12"/>
      <c r="F113" s="294">
        <f t="shared" si="9"/>
        <v>106965</v>
      </c>
      <c r="G113" s="13">
        <f t="shared" si="8"/>
        <v>3957708</v>
      </c>
    </row>
    <row r="114" spans="1:7" x14ac:dyDescent="0.25">
      <c r="A114" s="10">
        <v>47355</v>
      </c>
      <c r="B114" s="11" t="s">
        <v>3061</v>
      </c>
      <c r="C114" s="12">
        <v>106965</v>
      </c>
      <c r="D114" s="294">
        <f t="shared" si="10"/>
        <v>29682.809999999998</v>
      </c>
      <c r="E114" s="12"/>
      <c r="F114" s="294">
        <f t="shared" si="9"/>
        <v>106965</v>
      </c>
      <c r="G114" s="13">
        <f t="shared" si="8"/>
        <v>3850743</v>
      </c>
    </row>
    <row r="115" spans="1:7" x14ac:dyDescent="0.25">
      <c r="A115" s="10">
        <v>47386</v>
      </c>
      <c r="B115" s="11" t="s">
        <v>3061</v>
      </c>
      <c r="C115" s="12">
        <v>106965</v>
      </c>
      <c r="D115" s="294">
        <f t="shared" si="10"/>
        <v>28880.572499999998</v>
      </c>
      <c r="E115" s="12"/>
      <c r="F115" s="294">
        <f t="shared" si="9"/>
        <v>106965</v>
      </c>
      <c r="G115" s="13">
        <f t="shared" si="8"/>
        <v>3743778</v>
      </c>
    </row>
    <row r="116" spans="1:7" x14ac:dyDescent="0.25">
      <c r="A116" s="10">
        <v>47416</v>
      </c>
      <c r="B116" s="11" t="s">
        <v>3061</v>
      </c>
      <c r="C116" s="12">
        <v>106965</v>
      </c>
      <c r="D116" s="294">
        <f t="shared" si="10"/>
        <v>28078.334999999999</v>
      </c>
      <c r="E116" s="12"/>
      <c r="F116" s="294">
        <f t="shared" si="9"/>
        <v>106965</v>
      </c>
      <c r="G116" s="13">
        <f t="shared" si="8"/>
        <v>3636813</v>
      </c>
    </row>
    <row r="117" spans="1:7" x14ac:dyDescent="0.25">
      <c r="A117" s="10">
        <v>47447</v>
      </c>
      <c r="B117" s="11" t="s">
        <v>3061</v>
      </c>
      <c r="C117" s="12">
        <v>106965</v>
      </c>
      <c r="D117" s="294">
        <f t="shared" si="10"/>
        <v>27276.0975</v>
      </c>
      <c r="E117" s="12"/>
      <c r="F117" s="294">
        <f t="shared" si="9"/>
        <v>106965</v>
      </c>
      <c r="G117" s="13">
        <f t="shared" si="8"/>
        <v>3529848</v>
      </c>
    </row>
    <row r="118" spans="1:7" x14ac:dyDescent="0.25">
      <c r="A118" s="10">
        <v>47477</v>
      </c>
      <c r="B118" s="11" t="s">
        <v>3061</v>
      </c>
      <c r="C118" s="12">
        <v>106965</v>
      </c>
      <c r="D118" s="294">
        <f t="shared" si="10"/>
        <v>26473.86</v>
      </c>
      <c r="E118" s="12"/>
      <c r="F118" s="294">
        <f t="shared" si="9"/>
        <v>106965</v>
      </c>
      <c r="G118" s="13">
        <f t="shared" si="8"/>
        <v>3422883</v>
      </c>
    </row>
    <row r="119" spans="1:7" x14ac:dyDescent="0.25">
      <c r="A119" s="10">
        <v>47508</v>
      </c>
      <c r="B119" s="11" t="s">
        <v>3061</v>
      </c>
      <c r="C119" s="12">
        <v>106965</v>
      </c>
      <c r="D119" s="294">
        <f t="shared" si="10"/>
        <v>25671.622499999998</v>
      </c>
      <c r="E119" s="12"/>
      <c r="F119" s="294">
        <f t="shared" si="9"/>
        <v>106965</v>
      </c>
      <c r="G119" s="13">
        <f t="shared" si="8"/>
        <v>3315918</v>
      </c>
    </row>
    <row r="120" spans="1:7" x14ac:dyDescent="0.25">
      <c r="A120" s="10">
        <v>47539</v>
      </c>
      <c r="B120" s="11" t="s">
        <v>3061</v>
      </c>
      <c r="C120" s="12">
        <v>106965</v>
      </c>
      <c r="D120" s="294">
        <f t="shared" si="10"/>
        <v>24869.384999999998</v>
      </c>
      <c r="E120" s="12"/>
      <c r="F120" s="294">
        <f t="shared" si="9"/>
        <v>106965</v>
      </c>
      <c r="G120" s="13">
        <f t="shared" si="8"/>
        <v>3208953</v>
      </c>
    </row>
    <row r="121" spans="1:7" x14ac:dyDescent="0.25">
      <c r="A121" s="10">
        <v>47567</v>
      </c>
      <c r="B121" s="11" t="s">
        <v>3061</v>
      </c>
      <c r="C121" s="12">
        <v>106965</v>
      </c>
      <c r="D121" s="294">
        <f t="shared" si="10"/>
        <v>24067.147499999999</v>
      </c>
      <c r="E121" s="12"/>
      <c r="F121" s="294">
        <f t="shared" si="9"/>
        <v>106965</v>
      </c>
      <c r="G121" s="13">
        <f t="shared" si="8"/>
        <v>3101988</v>
      </c>
    </row>
    <row r="122" spans="1:7" x14ac:dyDescent="0.25">
      <c r="A122" s="10">
        <v>47598</v>
      </c>
      <c r="B122" s="11" t="s">
        <v>3061</v>
      </c>
      <c r="C122" s="12">
        <v>106965</v>
      </c>
      <c r="D122" s="294">
        <f t="shared" si="10"/>
        <v>23264.91</v>
      </c>
      <c r="E122" s="12"/>
      <c r="F122" s="294">
        <f t="shared" si="9"/>
        <v>106965</v>
      </c>
      <c r="G122" s="13">
        <f t="shared" si="8"/>
        <v>2995023</v>
      </c>
    </row>
    <row r="123" spans="1:7" x14ac:dyDescent="0.25">
      <c r="A123" s="10">
        <v>47628</v>
      </c>
      <c r="B123" s="11" t="s">
        <v>3061</v>
      </c>
      <c r="C123" s="12">
        <v>106965</v>
      </c>
      <c r="D123" s="294">
        <f t="shared" si="10"/>
        <v>22462.672500000001</v>
      </c>
      <c r="E123" s="12"/>
      <c r="F123" s="294">
        <f t="shared" si="9"/>
        <v>106965</v>
      </c>
      <c r="G123" s="13">
        <f t="shared" si="8"/>
        <v>2888058</v>
      </c>
    </row>
    <row r="124" spans="1:7" x14ac:dyDescent="0.25">
      <c r="A124" s="10">
        <v>47659</v>
      </c>
      <c r="B124" s="11" t="s">
        <v>3061</v>
      </c>
      <c r="C124" s="12">
        <v>106965</v>
      </c>
      <c r="D124" s="294">
        <f t="shared" si="10"/>
        <v>21660.434999999998</v>
      </c>
      <c r="E124" s="12"/>
      <c r="F124" s="294">
        <f t="shared" si="9"/>
        <v>106965</v>
      </c>
      <c r="G124" s="13">
        <f t="shared" si="8"/>
        <v>2781093</v>
      </c>
    </row>
    <row r="125" spans="1:7" x14ac:dyDescent="0.25">
      <c r="A125" s="10">
        <v>47689</v>
      </c>
      <c r="B125" s="11" t="s">
        <v>3061</v>
      </c>
      <c r="C125" s="12">
        <v>106965</v>
      </c>
      <c r="D125" s="294">
        <f t="shared" si="10"/>
        <v>20858.197499999998</v>
      </c>
      <c r="E125" s="12"/>
      <c r="F125" s="294">
        <f t="shared" si="9"/>
        <v>106965</v>
      </c>
      <c r="G125" s="13">
        <f t="shared" si="8"/>
        <v>2674128</v>
      </c>
    </row>
    <row r="126" spans="1:7" x14ac:dyDescent="0.25">
      <c r="A126" s="10">
        <v>47720</v>
      </c>
      <c r="B126" s="11" t="s">
        <v>3061</v>
      </c>
      <c r="C126" s="12">
        <v>106965</v>
      </c>
      <c r="D126" s="294">
        <f t="shared" si="10"/>
        <v>20055.96</v>
      </c>
      <c r="E126" s="12"/>
      <c r="F126" s="294">
        <f t="shared" si="9"/>
        <v>106965</v>
      </c>
      <c r="G126" s="13">
        <f t="shared" si="8"/>
        <v>2567163</v>
      </c>
    </row>
    <row r="127" spans="1:7" x14ac:dyDescent="0.25">
      <c r="A127" s="10">
        <v>47751</v>
      </c>
      <c r="B127" s="11" t="s">
        <v>3061</v>
      </c>
      <c r="C127" s="12">
        <v>106965</v>
      </c>
      <c r="D127" s="294">
        <f t="shared" si="10"/>
        <v>19253.7225</v>
      </c>
      <c r="E127" s="12"/>
      <c r="F127" s="294">
        <f t="shared" si="9"/>
        <v>106965</v>
      </c>
      <c r="G127" s="13">
        <f t="shared" si="8"/>
        <v>2460198</v>
      </c>
    </row>
    <row r="128" spans="1:7" x14ac:dyDescent="0.25">
      <c r="A128" s="10">
        <v>47781</v>
      </c>
      <c r="B128" s="11" t="s">
        <v>3061</v>
      </c>
      <c r="C128" s="12">
        <v>106965</v>
      </c>
      <c r="D128" s="294">
        <f t="shared" si="10"/>
        <v>18451.485000000001</v>
      </c>
      <c r="E128" s="12"/>
      <c r="F128" s="294">
        <f t="shared" si="9"/>
        <v>106965</v>
      </c>
      <c r="G128" s="13">
        <f t="shared" si="8"/>
        <v>2353233</v>
      </c>
    </row>
    <row r="129" spans="1:7" x14ac:dyDescent="0.25">
      <c r="A129" s="10">
        <v>47812</v>
      </c>
      <c r="B129" s="11" t="s">
        <v>3061</v>
      </c>
      <c r="C129" s="12">
        <v>106965</v>
      </c>
      <c r="D129" s="294">
        <f t="shared" si="10"/>
        <v>17649.247499999998</v>
      </c>
      <c r="E129" s="12"/>
      <c r="F129" s="294">
        <f t="shared" si="9"/>
        <v>106965</v>
      </c>
      <c r="G129" s="13">
        <f t="shared" si="8"/>
        <v>2246268</v>
      </c>
    </row>
    <row r="130" spans="1:7" x14ac:dyDescent="0.25">
      <c r="A130" s="10">
        <v>47842</v>
      </c>
      <c r="B130" s="11" t="s">
        <v>3061</v>
      </c>
      <c r="C130" s="12">
        <v>106965</v>
      </c>
      <c r="D130" s="294">
        <f t="shared" si="10"/>
        <v>16847.009999999998</v>
      </c>
      <c r="E130" s="12"/>
      <c r="F130" s="294">
        <f t="shared" si="9"/>
        <v>106965</v>
      </c>
      <c r="G130" s="13">
        <f t="shared" si="8"/>
        <v>2139303</v>
      </c>
    </row>
    <row r="131" spans="1:7" x14ac:dyDescent="0.25">
      <c r="A131" s="10">
        <v>47873</v>
      </c>
      <c r="B131" s="11" t="s">
        <v>3061</v>
      </c>
      <c r="C131" s="12">
        <v>106965</v>
      </c>
      <c r="D131" s="294">
        <f t="shared" ref="D131:D150" si="11">G130*$I$160*I$159/360</f>
        <v>16044.772499999999</v>
      </c>
      <c r="E131" s="12"/>
      <c r="F131" s="294">
        <f t="shared" si="9"/>
        <v>106965</v>
      </c>
      <c r="G131" s="13">
        <f t="shared" si="8"/>
        <v>2032338</v>
      </c>
    </row>
    <row r="132" spans="1:7" x14ac:dyDescent="0.25">
      <c r="A132" s="10">
        <v>47904</v>
      </c>
      <c r="B132" s="11" t="s">
        <v>3061</v>
      </c>
      <c r="C132" s="12">
        <v>106965</v>
      </c>
      <c r="D132" s="294">
        <f t="shared" si="11"/>
        <v>15242.535</v>
      </c>
      <c r="E132" s="12"/>
      <c r="F132" s="294">
        <f t="shared" si="9"/>
        <v>106965</v>
      </c>
      <c r="G132" s="13">
        <f t="shared" ref="G132:G150" si="12">+G131-C132</f>
        <v>1925373</v>
      </c>
    </row>
    <row r="133" spans="1:7" x14ac:dyDescent="0.25">
      <c r="A133" s="10">
        <v>47932</v>
      </c>
      <c r="B133" s="11" t="s">
        <v>3061</v>
      </c>
      <c r="C133" s="12">
        <v>106965</v>
      </c>
      <c r="D133" s="294">
        <f t="shared" si="11"/>
        <v>14440.297500000002</v>
      </c>
      <c r="E133" s="12"/>
      <c r="F133" s="294">
        <f t="shared" si="9"/>
        <v>106965</v>
      </c>
      <c r="G133" s="13">
        <f t="shared" si="12"/>
        <v>1818408</v>
      </c>
    </row>
    <row r="134" spans="1:7" x14ac:dyDescent="0.25">
      <c r="A134" s="10">
        <v>47963</v>
      </c>
      <c r="B134" s="11" t="s">
        <v>3061</v>
      </c>
      <c r="C134" s="12">
        <v>106965</v>
      </c>
      <c r="D134" s="294">
        <f t="shared" si="11"/>
        <v>13638.06</v>
      </c>
      <c r="E134" s="12"/>
      <c r="F134" s="294">
        <f t="shared" si="9"/>
        <v>106965</v>
      </c>
      <c r="G134" s="13">
        <f t="shared" si="12"/>
        <v>1711443</v>
      </c>
    </row>
    <row r="135" spans="1:7" x14ac:dyDescent="0.25">
      <c r="A135" s="10">
        <v>47993</v>
      </c>
      <c r="B135" s="11" t="s">
        <v>3061</v>
      </c>
      <c r="C135" s="12">
        <v>106965</v>
      </c>
      <c r="D135" s="294">
        <f t="shared" si="11"/>
        <v>12835.822499999998</v>
      </c>
      <c r="E135" s="12"/>
      <c r="F135" s="294">
        <f t="shared" si="9"/>
        <v>106965</v>
      </c>
      <c r="G135" s="13">
        <f t="shared" si="12"/>
        <v>1604478</v>
      </c>
    </row>
    <row r="136" spans="1:7" x14ac:dyDescent="0.25">
      <c r="A136" s="10">
        <v>48024</v>
      </c>
      <c r="B136" s="11" t="s">
        <v>3061</v>
      </c>
      <c r="C136" s="12">
        <v>106965</v>
      </c>
      <c r="D136" s="294">
        <f t="shared" si="11"/>
        <v>12033.584999999999</v>
      </c>
      <c r="E136" s="12"/>
      <c r="F136" s="294">
        <f t="shared" ref="F136:F150" si="13">+C136+E136</f>
        <v>106965</v>
      </c>
      <c r="G136" s="13">
        <f t="shared" si="12"/>
        <v>1497513</v>
      </c>
    </row>
    <row r="137" spans="1:7" x14ac:dyDescent="0.25">
      <c r="A137" s="10">
        <v>48054</v>
      </c>
      <c r="B137" s="11" t="s">
        <v>3061</v>
      </c>
      <c r="C137" s="12">
        <v>106965</v>
      </c>
      <c r="D137" s="294">
        <f t="shared" si="11"/>
        <v>11231.3475</v>
      </c>
      <c r="E137" s="12"/>
      <c r="F137" s="294">
        <f t="shared" si="13"/>
        <v>106965</v>
      </c>
      <c r="G137" s="13">
        <f t="shared" si="12"/>
        <v>1390548</v>
      </c>
    </row>
    <row r="138" spans="1:7" x14ac:dyDescent="0.25">
      <c r="A138" s="10">
        <v>48085</v>
      </c>
      <c r="B138" s="11" t="s">
        <v>3061</v>
      </c>
      <c r="C138" s="12">
        <v>106965</v>
      </c>
      <c r="D138" s="294">
        <f t="shared" si="11"/>
        <v>10429.109999999999</v>
      </c>
      <c r="E138" s="12"/>
      <c r="F138" s="294">
        <f t="shared" si="13"/>
        <v>106965</v>
      </c>
      <c r="G138" s="13">
        <f t="shared" si="12"/>
        <v>1283583</v>
      </c>
    </row>
    <row r="139" spans="1:7" x14ac:dyDescent="0.25">
      <c r="A139" s="10">
        <v>48116</v>
      </c>
      <c r="B139" s="11" t="s">
        <v>3061</v>
      </c>
      <c r="C139" s="12">
        <v>106965</v>
      </c>
      <c r="D139" s="294">
        <f t="shared" si="11"/>
        <v>9626.8724999999995</v>
      </c>
      <c r="E139" s="12"/>
      <c r="F139" s="294">
        <f t="shared" si="13"/>
        <v>106965</v>
      </c>
      <c r="G139" s="13">
        <f t="shared" si="12"/>
        <v>1176618</v>
      </c>
    </row>
    <row r="140" spans="1:7" x14ac:dyDescent="0.25">
      <c r="A140" s="10">
        <v>48146</v>
      </c>
      <c r="B140" s="11" t="s">
        <v>3061</v>
      </c>
      <c r="C140" s="12">
        <v>106965</v>
      </c>
      <c r="D140" s="294">
        <f t="shared" si="11"/>
        <v>8824.6349999999984</v>
      </c>
      <c r="E140" s="12"/>
      <c r="F140" s="294">
        <f t="shared" si="13"/>
        <v>106965</v>
      </c>
      <c r="G140" s="13">
        <f t="shared" si="12"/>
        <v>1069653</v>
      </c>
    </row>
    <row r="141" spans="1:7" x14ac:dyDescent="0.25">
      <c r="A141" s="10">
        <v>48177</v>
      </c>
      <c r="B141" s="11" t="s">
        <v>3061</v>
      </c>
      <c r="C141" s="12">
        <v>106965</v>
      </c>
      <c r="D141" s="294">
        <f t="shared" si="11"/>
        <v>8022.3974999999991</v>
      </c>
      <c r="E141" s="12"/>
      <c r="F141" s="294">
        <f t="shared" si="13"/>
        <v>106965</v>
      </c>
      <c r="G141" s="13">
        <f t="shared" si="12"/>
        <v>962688</v>
      </c>
    </row>
    <row r="142" spans="1:7" x14ac:dyDescent="0.25">
      <c r="A142" s="10">
        <v>48207</v>
      </c>
      <c r="B142" s="11" t="s">
        <v>3061</v>
      </c>
      <c r="C142" s="12">
        <v>106965</v>
      </c>
      <c r="D142" s="294">
        <f t="shared" si="11"/>
        <v>7220.16</v>
      </c>
      <c r="E142" s="12"/>
      <c r="F142" s="294">
        <f t="shared" si="13"/>
        <v>106965</v>
      </c>
      <c r="G142" s="13">
        <f t="shared" si="12"/>
        <v>855723</v>
      </c>
    </row>
    <row r="143" spans="1:7" x14ac:dyDescent="0.25">
      <c r="A143" s="10">
        <v>48238</v>
      </c>
      <c r="B143" s="11" t="s">
        <v>3061</v>
      </c>
      <c r="C143" s="12">
        <v>106965</v>
      </c>
      <c r="D143" s="294">
        <f t="shared" si="11"/>
        <v>6417.9224999999988</v>
      </c>
      <c r="E143" s="12"/>
      <c r="F143" s="294">
        <f t="shared" si="13"/>
        <v>106965</v>
      </c>
      <c r="G143" s="13">
        <f t="shared" si="12"/>
        <v>748758</v>
      </c>
    </row>
    <row r="144" spans="1:7" x14ac:dyDescent="0.25">
      <c r="A144" s="10">
        <v>48269</v>
      </c>
      <c r="B144" s="11" t="s">
        <v>3061</v>
      </c>
      <c r="C144" s="12">
        <v>106965</v>
      </c>
      <c r="D144" s="294">
        <f t="shared" si="11"/>
        <v>5615.6850000000004</v>
      </c>
      <c r="E144" s="12"/>
      <c r="F144" s="294">
        <f t="shared" si="13"/>
        <v>106965</v>
      </c>
      <c r="G144" s="13">
        <f t="shared" si="12"/>
        <v>641793</v>
      </c>
    </row>
    <row r="145" spans="1:17" x14ac:dyDescent="0.25">
      <c r="A145" s="10">
        <v>48298</v>
      </c>
      <c r="B145" s="11" t="s">
        <v>3061</v>
      </c>
      <c r="C145" s="12">
        <v>106965</v>
      </c>
      <c r="D145" s="294">
        <f t="shared" si="11"/>
        <v>4813.4474999999993</v>
      </c>
      <c r="E145" s="12"/>
      <c r="F145" s="294">
        <f t="shared" si="13"/>
        <v>106965</v>
      </c>
      <c r="G145" s="13">
        <f t="shared" si="12"/>
        <v>534828</v>
      </c>
    </row>
    <row r="146" spans="1:17" x14ac:dyDescent="0.25">
      <c r="A146" s="10">
        <v>48329</v>
      </c>
      <c r="B146" s="11" t="s">
        <v>3061</v>
      </c>
      <c r="C146" s="12">
        <v>106965</v>
      </c>
      <c r="D146" s="294">
        <f t="shared" si="11"/>
        <v>4011.2099999999996</v>
      </c>
      <c r="E146" s="12"/>
      <c r="F146" s="294">
        <f t="shared" si="13"/>
        <v>106965</v>
      </c>
      <c r="G146" s="13">
        <f t="shared" si="12"/>
        <v>427863</v>
      </c>
    </row>
    <row r="147" spans="1:17" x14ac:dyDescent="0.25">
      <c r="A147" s="10">
        <v>48359</v>
      </c>
      <c r="B147" s="11" t="s">
        <v>3061</v>
      </c>
      <c r="C147" s="12">
        <v>106965</v>
      </c>
      <c r="D147" s="294">
        <f t="shared" si="11"/>
        <v>3208.9724999999994</v>
      </c>
      <c r="E147" s="12"/>
      <c r="F147" s="294">
        <f t="shared" si="13"/>
        <v>106965</v>
      </c>
      <c r="G147" s="13">
        <f t="shared" si="12"/>
        <v>320898</v>
      </c>
    </row>
    <row r="148" spans="1:17" x14ac:dyDescent="0.25">
      <c r="A148" s="10">
        <v>48390</v>
      </c>
      <c r="B148" s="11" t="s">
        <v>3061</v>
      </c>
      <c r="C148" s="12">
        <v>106965</v>
      </c>
      <c r="D148" s="294">
        <f t="shared" si="11"/>
        <v>2406.7350000000001</v>
      </c>
      <c r="E148" s="12"/>
      <c r="F148" s="294">
        <f t="shared" si="13"/>
        <v>106965</v>
      </c>
      <c r="G148" s="13">
        <f t="shared" si="12"/>
        <v>213933</v>
      </c>
    </row>
    <row r="149" spans="1:17" x14ac:dyDescent="0.25">
      <c r="A149" s="10">
        <v>48420</v>
      </c>
      <c r="B149" s="11" t="s">
        <v>3061</v>
      </c>
      <c r="C149" s="12">
        <v>106965</v>
      </c>
      <c r="D149" s="294">
        <f t="shared" si="11"/>
        <v>1604.4974999999999</v>
      </c>
      <c r="E149" s="12"/>
      <c r="F149" s="294">
        <f t="shared" si="13"/>
        <v>106965</v>
      </c>
      <c r="G149" s="13">
        <f t="shared" si="12"/>
        <v>106968</v>
      </c>
    </row>
    <row r="150" spans="1:17" x14ac:dyDescent="0.25">
      <c r="A150" s="10">
        <v>48451</v>
      </c>
      <c r="B150" s="11" t="s">
        <v>3061</v>
      </c>
      <c r="C150" s="12">
        <v>106968</v>
      </c>
      <c r="D150" s="294">
        <f t="shared" si="11"/>
        <v>802.26</v>
      </c>
      <c r="E150" s="12"/>
      <c r="F150" s="294">
        <f t="shared" si="13"/>
        <v>106968</v>
      </c>
      <c r="G150" s="13">
        <f t="shared" si="12"/>
        <v>0</v>
      </c>
    </row>
    <row r="151" spans="1:17" x14ac:dyDescent="0.25">
      <c r="A151" s="15"/>
      <c r="B151" s="16" t="s">
        <v>11</v>
      </c>
      <c r="C151" s="17">
        <f>SUM(C6:C150)</f>
        <v>12835803</v>
      </c>
      <c r="D151" s="17">
        <f t="shared" ref="D151:F151" si="14">SUM(D6:D150)</f>
        <v>7183922.1684724968</v>
      </c>
      <c r="E151" s="17">
        <f t="shared" si="14"/>
        <v>203115.4686925</v>
      </c>
      <c r="F151" s="17">
        <f t="shared" si="14"/>
        <v>13038918.4686925</v>
      </c>
      <c r="G151" s="18"/>
    </row>
    <row r="152" spans="1:17" x14ac:dyDescent="0.25">
      <c r="A152" s="389"/>
      <c r="B152" s="390"/>
      <c r="C152" s="391"/>
      <c r="D152" s="391"/>
      <c r="E152" s="391"/>
      <c r="F152" s="391"/>
      <c r="G152" s="391"/>
      <c r="H152" s="392"/>
    </row>
    <row r="153" spans="1:17" x14ac:dyDescent="0.25">
      <c r="A153" s="389"/>
      <c r="B153" s="390"/>
      <c r="C153" s="391"/>
      <c r="D153" s="391"/>
      <c r="E153" s="391"/>
      <c r="F153" s="391"/>
      <c r="G153" s="391"/>
      <c r="H153" s="392"/>
    </row>
    <row r="154" spans="1:17" x14ac:dyDescent="0.25">
      <c r="A154" s="389"/>
      <c r="B154" s="390"/>
      <c r="C154" s="391"/>
      <c r="D154" s="391"/>
      <c r="E154" s="391"/>
      <c r="F154" s="391"/>
      <c r="G154" s="391"/>
      <c r="H154" s="392"/>
    </row>
    <row r="155" spans="1:17" x14ac:dyDescent="0.25">
      <c r="A155" s="313" t="s">
        <v>42</v>
      </c>
      <c r="B155" s="314"/>
      <c r="C155" s="20"/>
      <c r="D155" s="20"/>
      <c r="E155" s="20"/>
      <c r="F155" s="20"/>
      <c r="G155" s="20"/>
      <c r="H155" s="20"/>
    </row>
    <row r="156" spans="1:17" x14ac:dyDescent="0.25">
      <c r="A156" s="39" t="s">
        <v>3041</v>
      </c>
      <c r="B156" s="315" t="s">
        <v>3128</v>
      </c>
      <c r="C156" s="315" t="s">
        <v>3129</v>
      </c>
      <c r="D156" s="315" t="s">
        <v>3130</v>
      </c>
      <c r="E156" s="315" t="s">
        <v>3140</v>
      </c>
      <c r="F156" s="315" t="s">
        <v>3168</v>
      </c>
      <c r="G156" s="315" t="s">
        <v>3148</v>
      </c>
      <c r="H156" s="315" t="s">
        <v>3149</v>
      </c>
      <c r="I156" s="315" t="s">
        <v>3150</v>
      </c>
      <c r="J156" s="393"/>
      <c r="K156" s="394"/>
      <c r="L156" s="394"/>
      <c r="M156" s="394"/>
      <c r="N156" s="394"/>
      <c r="O156" s="80"/>
      <c r="P156" s="80"/>
      <c r="Q156" s="80"/>
    </row>
    <row r="157" spans="1:17" x14ac:dyDescent="0.25">
      <c r="A157" s="39" t="s">
        <v>3154</v>
      </c>
      <c r="B157" s="160">
        <v>2.0070000000000001E-2</v>
      </c>
      <c r="C157" s="88">
        <v>1.8380000000000001E-2</v>
      </c>
      <c r="D157" s="160">
        <v>1.7180000000000001E-2</v>
      </c>
      <c r="E157" s="88">
        <v>1.7139999999999999E-2</v>
      </c>
      <c r="F157" s="88">
        <v>1.712E-2</v>
      </c>
      <c r="G157" s="88">
        <v>0.04</v>
      </c>
      <c r="H157" s="88">
        <v>4.4999999999999998E-2</v>
      </c>
      <c r="I157" s="33">
        <v>0.05</v>
      </c>
      <c r="J157" s="395"/>
      <c r="K157" s="395"/>
      <c r="L157" s="395"/>
      <c r="M157" s="395"/>
      <c r="N157" s="395"/>
      <c r="O157" s="80"/>
      <c r="P157" s="80"/>
      <c r="Q157" s="80"/>
    </row>
    <row r="158" spans="1:17" x14ac:dyDescent="0.25">
      <c r="A158" s="39" t="s">
        <v>370</v>
      </c>
      <c r="B158" s="88">
        <v>0.02</v>
      </c>
      <c r="C158" s="88">
        <v>0.02</v>
      </c>
      <c r="D158" s="88">
        <v>0.02</v>
      </c>
      <c r="E158" s="88">
        <v>0.02</v>
      </c>
      <c r="F158" s="88">
        <v>0.02</v>
      </c>
      <c r="G158" s="88">
        <v>0.02</v>
      </c>
      <c r="H158" s="88">
        <v>0.02</v>
      </c>
      <c r="I158" s="88">
        <v>0.04</v>
      </c>
      <c r="J158" s="396"/>
      <c r="K158" s="396"/>
      <c r="L158" s="396"/>
      <c r="M158" s="396"/>
      <c r="N158" s="396"/>
      <c r="O158" s="80"/>
      <c r="P158" s="80"/>
      <c r="Q158" s="80"/>
    </row>
    <row r="159" spans="1:17" x14ac:dyDescent="0.25">
      <c r="A159" s="39" t="s">
        <v>377</v>
      </c>
      <c r="B159" s="296">
        <v>30</v>
      </c>
      <c r="C159" s="67">
        <v>30</v>
      </c>
      <c r="D159" s="67">
        <v>30</v>
      </c>
      <c r="E159" s="67">
        <v>30</v>
      </c>
      <c r="F159" s="67">
        <v>30</v>
      </c>
      <c r="G159" s="67">
        <v>30</v>
      </c>
      <c r="H159" s="67">
        <v>30</v>
      </c>
      <c r="I159" s="67">
        <v>30</v>
      </c>
      <c r="J159" s="397"/>
      <c r="K159" s="397"/>
      <c r="L159" s="397"/>
      <c r="M159" s="397"/>
      <c r="N159" s="397"/>
      <c r="O159" s="80"/>
      <c r="P159" s="80"/>
      <c r="Q159" s="80"/>
    </row>
    <row r="160" spans="1:17" x14ac:dyDescent="0.25">
      <c r="A160" s="39" t="s">
        <v>3152</v>
      </c>
      <c r="B160" s="398">
        <f>B157+B158</f>
        <v>4.0070000000000001E-2</v>
      </c>
      <c r="C160" s="400">
        <f>C157+C158</f>
        <v>3.8379999999999997E-2</v>
      </c>
      <c r="D160" s="399">
        <f t="shared" ref="D160:E160" si="15">D157+D158</f>
        <v>3.7180000000000005E-2</v>
      </c>
      <c r="E160" s="400">
        <f t="shared" si="15"/>
        <v>3.7139999999999999E-2</v>
      </c>
      <c r="F160" s="400">
        <f>F157+F158</f>
        <v>3.712E-2</v>
      </c>
      <c r="G160" s="400">
        <f>G157+G158</f>
        <v>0.06</v>
      </c>
      <c r="H160" s="400">
        <f>H157+H158</f>
        <v>6.5000000000000002E-2</v>
      </c>
      <c r="I160" s="400">
        <f>I157+I158</f>
        <v>0.09</v>
      </c>
      <c r="J160" s="401"/>
      <c r="K160" s="401"/>
      <c r="L160" s="401"/>
      <c r="M160" s="401"/>
      <c r="N160" s="401"/>
      <c r="O160" s="80"/>
      <c r="P160" s="80"/>
      <c r="Q160" s="80"/>
    </row>
    <row r="161" spans="1:18" x14ac:dyDescent="0.25">
      <c r="A161" s="39" t="s">
        <v>3010</v>
      </c>
      <c r="B161" s="398">
        <f>EFFECT(B157+B158,4)</f>
        <v>4.0676132944455379E-2</v>
      </c>
      <c r="C161" s="400">
        <f>EFFECT(C160,4)</f>
        <v>3.8935926043064173E-2</v>
      </c>
      <c r="D161" s="398">
        <f t="shared" ref="D161:E161" si="16">EFFECT(D157+D158,4)</f>
        <v>3.7701601855835598E-2</v>
      </c>
      <c r="E161" s="398">
        <f t="shared" si="16"/>
        <v>3.7660476667271681E-2</v>
      </c>
      <c r="F161" s="398">
        <f>EFFECT(F157+F158,4)</f>
        <v>3.763991453138682E-2</v>
      </c>
      <c r="G161" s="398">
        <f>EFFECT(G157+G158,4)</f>
        <v>6.136355062499943E-2</v>
      </c>
      <c r="H161" s="398">
        <f>EFFECT(H157+H158,4)</f>
        <v>6.6601608791504452E-2</v>
      </c>
      <c r="I161" s="398">
        <f>EFFECT(I157+I158,4)</f>
        <v>9.3083318789062286E-2</v>
      </c>
      <c r="J161" s="402"/>
      <c r="K161" s="402"/>
      <c r="L161" s="402"/>
      <c r="M161" s="402"/>
      <c r="N161" s="402"/>
      <c r="O161" s="80"/>
      <c r="P161" s="80"/>
      <c r="Q161" s="80"/>
    </row>
    <row r="162" spans="1:18" x14ac:dyDescent="0.25">
      <c r="A162" s="43" t="s">
        <v>39</v>
      </c>
      <c r="B162" s="44">
        <f>E7</f>
        <v>42860.885517499999</v>
      </c>
      <c r="C162" s="44">
        <f>E$8</f>
        <v>41053.176594999997</v>
      </c>
      <c r="D162" s="44">
        <f>E$9</f>
        <v>39769.59629500001</v>
      </c>
      <c r="E162" s="44">
        <f>+E10</f>
        <v>39726.810285</v>
      </c>
      <c r="F162" s="44">
        <f>+E11</f>
        <v>39705</v>
      </c>
      <c r="G162" s="44"/>
      <c r="H162" s="44"/>
      <c r="I162" s="44"/>
      <c r="J162" s="403"/>
      <c r="K162" s="403"/>
      <c r="L162" s="403"/>
      <c r="M162" s="403"/>
      <c r="N162" s="403"/>
      <c r="O162" s="136"/>
      <c r="P162" s="404"/>
      <c r="Q162" s="80"/>
    </row>
    <row r="163" spans="1:18" x14ac:dyDescent="0.25">
      <c r="B163" s="232"/>
      <c r="J163" s="80"/>
      <c r="K163" s="80"/>
      <c r="L163" s="80"/>
      <c r="M163" s="80"/>
      <c r="N163" s="80"/>
      <c r="O163" s="80"/>
      <c r="P163" s="80"/>
      <c r="Q163" s="405"/>
      <c r="R163" s="80"/>
    </row>
    <row r="164" spans="1:18" x14ac:dyDescent="0.25">
      <c r="J164" s="80"/>
      <c r="K164" s="80"/>
      <c r="L164" s="80"/>
      <c r="M164" s="80"/>
      <c r="N164" s="80"/>
      <c r="O164" s="80"/>
      <c r="P164" s="80"/>
      <c r="Q164" s="80"/>
      <c r="R164" s="80"/>
    </row>
    <row r="165" spans="1:18" x14ac:dyDescent="0.25">
      <c r="J165" s="80"/>
      <c r="K165" s="80"/>
      <c r="L165" s="80"/>
      <c r="M165" s="80"/>
      <c r="N165" s="80"/>
      <c r="O165" s="80"/>
      <c r="P165" s="80"/>
      <c r="Q165" s="80"/>
      <c r="R165" s="80"/>
    </row>
    <row r="166" spans="1:18" x14ac:dyDescent="0.25">
      <c r="C166" s="76"/>
      <c r="J166" s="80"/>
      <c r="K166" s="80"/>
      <c r="L166" s="80"/>
      <c r="M166" s="80"/>
      <c r="N166" s="80"/>
      <c r="O166" s="80"/>
      <c r="P166" s="80"/>
      <c r="Q166" s="405"/>
      <c r="R166" s="80"/>
    </row>
    <row r="167" spans="1:18" x14ac:dyDescent="0.25">
      <c r="C167" s="146"/>
      <c r="J167" s="80"/>
      <c r="K167" s="80"/>
      <c r="L167" s="80"/>
      <c r="M167" s="80"/>
      <c r="N167" s="80"/>
      <c r="O167" s="80"/>
      <c r="P167" s="80"/>
      <c r="Q167" s="80"/>
      <c r="R167" s="80"/>
    </row>
    <row r="168" spans="1:18" x14ac:dyDescent="0.25">
      <c r="J168" s="80"/>
      <c r="K168" s="80"/>
      <c r="L168" s="80"/>
      <c r="M168" s="80"/>
      <c r="N168" s="80"/>
      <c r="O168" s="80"/>
      <c r="P168" s="80"/>
      <c r="Q168" s="80"/>
      <c r="R168" s="80"/>
    </row>
    <row r="169" spans="1:18" x14ac:dyDescent="0.25">
      <c r="B169" s="50"/>
      <c r="C169" s="50"/>
    </row>
  </sheetData>
  <mergeCells count="4">
    <mergeCell ref="A1:G1"/>
    <mergeCell ref="A2:G2"/>
    <mergeCell ref="A3:G3"/>
    <mergeCell ref="A4:G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B6F8-7FD1-446E-A459-EC637C07A1CB}">
  <dimension ref="A1:AA22"/>
  <sheetViews>
    <sheetView zoomScale="90" zoomScaleNormal="90" workbookViewId="0">
      <pane xSplit="1" topLeftCell="B1" activePane="topRight" state="frozen"/>
      <selection pane="topRight" activeCell="T3" sqref="T3"/>
    </sheetView>
  </sheetViews>
  <sheetFormatPr baseColWidth="10" defaultRowHeight="15" x14ac:dyDescent="0.25"/>
  <cols>
    <col min="2" max="3" width="14.7109375" bestFit="1" customWidth="1"/>
    <col min="4" max="5" width="14.7109375" customWidth="1"/>
    <col min="6" max="9" width="14.7109375" bestFit="1" customWidth="1"/>
    <col min="10" max="11" width="14.7109375" customWidth="1"/>
    <col min="12" max="15" width="14.7109375" bestFit="1" customWidth="1"/>
    <col min="16" max="17" width="14.7109375" customWidth="1"/>
    <col min="18" max="20" width="14.7109375" bestFit="1" customWidth="1"/>
    <col min="21" max="21" width="13.5703125" bestFit="1" customWidth="1"/>
    <col min="22" max="23" width="13.5703125" customWidth="1"/>
    <col min="24" max="25" width="14.7109375" bestFit="1" customWidth="1"/>
    <col min="27" max="27" width="14.7109375" bestFit="1" customWidth="1"/>
  </cols>
  <sheetData>
    <row r="1" spans="1:27" x14ac:dyDescent="0.25">
      <c r="B1" s="616" t="s">
        <v>2901</v>
      </c>
      <c r="C1" s="617"/>
      <c r="D1" s="617"/>
      <c r="E1" s="617"/>
      <c r="F1" s="617"/>
      <c r="G1" s="618"/>
      <c r="H1" s="619" t="s">
        <v>2905</v>
      </c>
      <c r="I1" s="619"/>
      <c r="J1" s="619"/>
      <c r="K1" s="619"/>
      <c r="L1" s="619"/>
      <c r="M1" s="620"/>
      <c r="N1" s="617" t="s">
        <v>2975</v>
      </c>
      <c r="O1" s="617"/>
      <c r="P1" s="617"/>
      <c r="Q1" s="617"/>
      <c r="R1" s="617"/>
      <c r="S1" s="618"/>
      <c r="T1" s="621" t="s">
        <v>3161</v>
      </c>
      <c r="U1" s="622"/>
      <c r="V1" s="622"/>
      <c r="W1" s="622"/>
      <c r="X1" s="622"/>
      <c r="Y1" s="623"/>
    </row>
    <row r="2" spans="1:27" ht="30" x14ac:dyDescent="0.25">
      <c r="A2" s="476" t="s">
        <v>3160</v>
      </c>
      <c r="B2" s="476" t="s">
        <v>3159</v>
      </c>
      <c r="C2" s="479" t="s">
        <v>3162</v>
      </c>
      <c r="D2" s="479" t="s">
        <v>3165</v>
      </c>
      <c r="E2" s="483" t="s">
        <v>3166</v>
      </c>
      <c r="F2" s="479" t="s">
        <v>3163</v>
      </c>
      <c r="G2" s="490" t="s">
        <v>3164</v>
      </c>
      <c r="H2" s="486" t="s">
        <v>3159</v>
      </c>
      <c r="I2" s="479" t="s">
        <v>3162</v>
      </c>
      <c r="J2" s="479" t="s">
        <v>3165</v>
      </c>
      <c r="K2" s="483" t="s">
        <v>3166</v>
      </c>
      <c r="L2" s="479" t="s">
        <v>3163</v>
      </c>
      <c r="M2" s="490" t="s">
        <v>3164</v>
      </c>
      <c r="N2" s="486" t="s">
        <v>3159</v>
      </c>
      <c r="O2" s="479" t="s">
        <v>3162</v>
      </c>
      <c r="P2" s="479" t="s">
        <v>3165</v>
      </c>
      <c r="Q2" s="483" t="s">
        <v>3166</v>
      </c>
      <c r="R2" s="479" t="s">
        <v>3163</v>
      </c>
      <c r="S2" s="490" t="s">
        <v>3164</v>
      </c>
      <c r="T2" s="494" t="s">
        <v>3159</v>
      </c>
      <c r="U2" s="482" t="s">
        <v>3162</v>
      </c>
      <c r="V2" s="482" t="s">
        <v>3165</v>
      </c>
      <c r="W2" s="483" t="s">
        <v>3166</v>
      </c>
      <c r="X2" s="482" t="s">
        <v>3163</v>
      </c>
      <c r="Y2" s="495" t="s">
        <v>3164</v>
      </c>
    </row>
    <row r="3" spans="1:27" x14ac:dyDescent="0.25">
      <c r="A3" s="477">
        <v>2017</v>
      </c>
      <c r="B3" s="478">
        <f>+SUM('Banco de Occidente I'!C7:C9)</f>
        <v>0</v>
      </c>
      <c r="C3" s="478">
        <f>+SUM('Banco de Occidente I'!D7:D9)</f>
        <v>1963728991.01594</v>
      </c>
      <c r="D3" s="478">
        <f>+SUM('Banco de Occidente I'!E7:E9)</f>
        <v>1963729000.01594</v>
      </c>
      <c r="E3" s="484">
        <v>0</v>
      </c>
      <c r="F3" s="478">
        <f>+B3+C3</f>
        <v>1963728991.01594</v>
      </c>
      <c r="G3" s="491">
        <f>+B3+D3</f>
        <v>1963729000.01594</v>
      </c>
      <c r="H3" s="487">
        <v>0</v>
      </c>
      <c r="I3" s="487">
        <v>0</v>
      </c>
      <c r="J3" s="487">
        <v>0</v>
      </c>
      <c r="K3" s="484">
        <v>0</v>
      </c>
      <c r="L3" s="475">
        <f>+H3+I3</f>
        <v>0</v>
      </c>
      <c r="M3" s="492">
        <f>+H3+J3</f>
        <v>0</v>
      </c>
      <c r="N3" s="487">
        <v>0</v>
      </c>
      <c r="O3" s="487">
        <v>0</v>
      </c>
      <c r="P3" s="487">
        <v>0</v>
      </c>
      <c r="Q3" s="484">
        <v>0</v>
      </c>
      <c r="R3" s="475">
        <f>+N3+O3</f>
        <v>0</v>
      </c>
      <c r="S3" s="492">
        <v>0</v>
      </c>
      <c r="T3" s="487">
        <v>0</v>
      </c>
      <c r="U3" s="475">
        <v>0</v>
      </c>
      <c r="V3" s="475">
        <v>0</v>
      </c>
      <c r="W3" s="484">
        <v>0</v>
      </c>
      <c r="X3" s="475">
        <f>+T3+U3</f>
        <v>0</v>
      </c>
      <c r="Y3" s="492">
        <f>+T3+V3</f>
        <v>0</v>
      </c>
    </row>
    <row r="4" spans="1:27" x14ac:dyDescent="0.25">
      <c r="A4" s="477">
        <v>2018</v>
      </c>
      <c r="B4" s="478">
        <f>+SUM('Banco de Occidente I'!C10:C14)</f>
        <v>1022108894</v>
      </c>
      <c r="C4" s="478">
        <f>+SUM('Banco de Occidente I'!D10:D14)</f>
        <v>2580978767.5563273</v>
      </c>
      <c r="D4" s="478">
        <f>+SUM('Banco de Occidente I'!E10:E14)</f>
        <v>2532991336.5527816</v>
      </c>
      <c r="E4" s="484">
        <v>0</v>
      </c>
      <c r="F4" s="478">
        <f t="shared" ref="F4:F19" si="0">+B4+C4</f>
        <v>3603087661.5563273</v>
      </c>
      <c r="G4" s="491">
        <f t="shared" ref="G4:G19" si="1">+B4+D4</f>
        <v>3555100230.5527816</v>
      </c>
      <c r="H4" s="488">
        <f>+SUM('Banco de Occidente II D 1'!C7:C9)+SUM('Banco de Occidente II D 2'!C7:C8)+SUM('Banco de Occidente II D 3'!C7:C8)</f>
        <v>0</v>
      </c>
      <c r="I4" s="488">
        <f>+SUM('Banco de Occidente II D 1'!D7:D9)+SUM('Banco de Occidente II D 2'!D7:D8)+SUM('Banco de Occidente II D 3'!D7:D8)</f>
        <v>988220473.17911005</v>
      </c>
      <c r="J4" s="488">
        <f>+SUM('Banco de Occidente II D 1'!E7:E9)+SUM('Banco de Occidente II D 2'!E7:E8)+SUM('Banco de Occidente II D 3'!E7:E8)</f>
        <v>988220473.17910945</v>
      </c>
      <c r="K4" s="484">
        <v>0</v>
      </c>
      <c r="L4" s="478">
        <f>+H4+I4</f>
        <v>988220473.17911005</v>
      </c>
      <c r="M4" s="491">
        <f>+H4+J4</f>
        <v>988220473.17910945</v>
      </c>
      <c r="N4" s="487">
        <v>0</v>
      </c>
      <c r="O4" s="487">
        <v>0</v>
      </c>
      <c r="P4" s="487">
        <v>0</v>
      </c>
      <c r="Q4" s="484">
        <v>0</v>
      </c>
      <c r="R4" s="475">
        <f>+N4+O4</f>
        <v>0</v>
      </c>
      <c r="S4" s="492">
        <v>0</v>
      </c>
      <c r="T4" s="487">
        <v>0</v>
      </c>
      <c r="U4" s="475">
        <v>0</v>
      </c>
      <c r="V4" s="475">
        <v>0</v>
      </c>
      <c r="W4" s="484">
        <v>0</v>
      </c>
      <c r="X4" s="475">
        <f>+T4+U4</f>
        <v>0</v>
      </c>
      <c r="Y4" s="492">
        <f>+T4+V4</f>
        <v>0</v>
      </c>
    </row>
    <row r="5" spans="1:27" x14ac:dyDescent="0.25">
      <c r="A5" s="477">
        <v>2019</v>
      </c>
      <c r="B5" s="478">
        <f>+SUM('Banco de Occidente I'!C15:C18)</f>
        <v>2923341819.2250004</v>
      </c>
      <c r="C5" s="478">
        <f>+SUM('Banco de Occidente I'!D15:D18)</f>
        <v>1810180435.6033649</v>
      </c>
      <c r="D5" s="478">
        <f>+SUM('Banco de Occidente I'!E15:E18)</f>
        <v>1379420636.3852699</v>
      </c>
      <c r="E5" s="484">
        <v>0</v>
      </c>
      <c r="F5" s="478">
        <f t="shared" si="0"/>
        <v>4733522254.8283653</v>
      </c>
      <c r="G5" s="491">
        <f t="shared" si="1"/>
        <v>4302762455.6102705</v>
      </c>
      <c r="H5" s="488">
        <f>+SUM('Banco de Occidente II D 1'!C10:C13)+SUM('Banco de Occidente II D 2'!C9:C12)+SUM('Banco de Occidente II D 3'!C9:C12)+SUM('Banco de Occidente II D 4'!C7:C10)+SUM('Banco de Occidente II D 5 REAC'!C7:C8)</f>
        <v>0</v>
      </c>
      <c r="I5" s="488">
        <f>+SUM('Banco de Occidente II D 1'!D10:D13)+SUM('Banco de Occidente II D 2'!D9:D12)+SUM('Banco de Occidente II D 3'!D9:D12)+SUM('Banco de Occidente II D 4'!D7:D10)+SUM('Banco de Occidente II D 5 REAC'!D7:D8)</f>
        <v>2325531145.0886602</v>
      </c>
      <c r="J5" s="488">
        <f>+SUM('Banco de Occidente II D 1'!E10:E13)+SUM('Banco de Occidente II D 2'!E9:E12)+SUM('Banco de Occidente II D 3'!E9:E12)+SUM('Banco de Occidente II D 4'!E7:E10)+SUM('Banco de Occidente II D 5 REAC'!E7:E8)</f>
        <v>2325552144.6312866</v>
      </c>
      <c r="K5" s="484">
        <v>0</v>
      </c>
      <c r="L5" s="478">
        <f t="shared" ref="L5:L19" si="2">+H5+I5</f>
        <v>2325531145.0886602</v>
      </c>
      <c r="M5" s="491">
        <f>+H5+J5</f>
        <v>2325552144.6312866</v>
      </c>
      <c r="N5" s="488">
        <f>+SUM('BANCO DE OCCIDENTE III D1'!C7:C10)+SUM('BANCO DE OCCIDENTE III D2'!C7:C10)+SUM('BANCO DE OCCIDENTE III D3'!C7:C10)+SUM('BANCO DE OCCIDENTE III D4'!C7)</f>
        <v>0</v>
      </c>
      <c r="O5" s="488">
        <f>+SUM('BANCO DE OCCIDENTE III D1'!D7:D10)+SUM('BANCO DE OCCIDENTE III D2'!D7:D10)+SUM('BANCO DE OCCIDENTE III D3'!D7:D10)+SUM('BANCO DE OCCIDENTE III D4'!D7)</f>
        <v>1227502367.0526075</v>
      </c>
      <c r="P5" s="488">
        <f>+SUM('BANCO DE OCCIDENTE III D1'!E7:E10)+SUM('BANCO DE OCCIDENTE III D2'!E7:E10)+SUM('BANCO DE OCCIDENTE III D3'!E7:E10)+SUM('BANCO DE OCCIDENTE III D4'!E7)</f>
        <v>1227502367.0526075</v>
      </c>
      <c r="Q5" s="484">
        <v>0</v>
      </c>
      <c r="R5" s="478">
        <f>+N5+O5</f>
        <v>1227502367.0526075</v>
      </c>
      <c r="S5" s="491">
        <f>+N5+P5</f>
        <v>1227502367.0526075</v>
      </c>
      <c r="T5" s="488">
        <f>+SUM('BANCO DE OCCIDENTE IV D1 REACT '!C7:C11)+SUM('BANCO DE OCCIDENTE IV D2 REACT'!C7:C9)+SUM('BANCO DE OCCIDENTE IV D3 REACT '!C7)</f>
        <v>0</v>
      </c>
      <c r="U5" s="478">
        <f>+SUM('BANCO DE OCCIDENTE IV D1 REACT '!D7:D11)+SUM('BANCO DE OCCIDENTE IV D2 REACT'!D7:D9)+SUM('BANCO DE OCCIDENTE IV D3 REACT '!D7)</f>
        <v>257821497.19966668</v>
      </c>
      <c r="V5" s="478">
        <f>+SUM('BANCO DE OCCIDENTE IV D1 REACT '!E7:E11)+SUM('BANCO DE OCCIDENTE IV D2 REACT'!E7:E9)+SUM('BANCO DE OCCIDENTE IV D3 REACT '!E7)</f>
        <v>257821497.19966668</v>
      </c>
      <c r="W5" s="484">
        <v>0</v>
      </c>
      <c r="X5" s="478">
        <f>+T5+U5</f>
        <v>257821497.19966668</v>
      </c>
      <c r="Y5" s="491">
        <f>+T5+V5</f>
        <v>257821497.19966668</v>
      </c>
    </row>
    <row r="6" spans="1:27" x14ac:dyDescent="0.25">
      <c r="A6" s="477">
        <v>2020</v>
      </c>
      <c r="B6" s="478">
        <f>+SUM('Banco de Occidente I'!C19:C22)</f>
        <v>1948894546.1500001</v>
      </c>
      <c r="C6" s="478">
        <f>+SUM('Banco de Occidente I'!D19:D22)</f>
        <v>1549088842.8367748</v>
      </c>
      <c r="D6" s="478">
        <f>+SUM('Banco de Occidente I'!E19:E20)</f>
        <v>832153269.27578521</v>
      </c>
      <c r="E6" s="484">
        <v>0</v>
      </c>
      <c r="F6" s="478">
        <f t="shared" si="0"/>
        <v>3497983388.9867749</v>
      </c>
      <c r="G6" s="491">
        <f t="shared" si="1"/>
        <v>2781047815.4257851</v>
      </c>
      <c r="H6" s="488">
        <f>+SUM('Banco de Occidente II D 1'!C14:C17)+SUM('Banco de Occidente II D 2'!C13:C16)+SUM('Banco de Occidente II D 3'!C13:C16)+SUM('Banco de Occidente II D 4'!C11:C14)+SUM('Banco de Occidente II D 5 REAC'!C9:C20)+SUM('Banco de Occidente II D 6 REAC'!C7:C10)+SUM('Banco de Occidente II D 7 REAC'!C7:C10)</f>
        <v>454917481</v>
      </c>
      <c r="I6" s="488">
        <f>+SUM('Banco de Occidente II D 1'!D14:D17)+SUM('Banco de Occidente II D 2'!D13:D16)+SUM('Banco de Occidente II D 3'!D13:D16)+SUM('Banco de Occidente II D 4'!D11:D14)+SUM('Banco de Occidente II D 5 REAC'!D9:D20)+SUM('Banco de Occidente II D 6 REAC'!D7:D10)+SUM('Banco de Occidente II D 7 REAC'!D7:D10)</f>
        <v>2372374009.0811982</v>
      </c>
      <c r="J6" s="488">
        <f>+'Banco de Occidente II D 1'!E14+'Banco de Occidente II D 1'!E17+'Banco de Occidente II D 2'!E13+'Banco de Occidente II D 2'!E16+'Banco de Occidente II D 3'!E13+'Banco de Occidente II D 3'!E16+'Banco de Occidente II D 4'!E11+'Banco de Occidente II D 4'!E14+SUM('Banco de Occidente II D 5 REAC'!E9:E11)+SUM('Banco de Occidente II D 5 REAC'!E18:E20)</f>
        <v>1107293191.6909103</v>
      </c>
      <c r="K6" s="484">
        <f>+'Banco de Occidente II D 1'!F17+'Banco de Occidente II D 2'!F16+'Banco de Occidente II D 3'!F16+'Banco de Occidente II D 4'!F14+'Banco de Occidente II D 5 REAC'!F18+'Banco de Occidente II D 5 REAC'!F19+'Banco de Occidente II D 5 REAC'!F20</f>
        <v>189302921.54058251</v>
      </c>
      <c r="L6" s="478">
        <f>+H6+I6+K6</f>
        <v>3016594411.6217809</v>
      </c>
      <c r="M6" s="491">
        <f>+H6+J6+K6</f>
        <v>1751513594.2314928</v>
      </c>
      <c r="N6" s="488">
        <f>+SUM('BANCO DE OCCIDENTE III D1'!C11:C14)+SUM('BANCO DE OCCIDENTE III D2'!C11:C14)+SUM('BANCO DE OCCIDENTE III D3'!C11:C14)+SUM('BANCO DE OCCIDENTE III D4'!C8:C11)+SUM('BANCO DE OCCIDENTE III D5'!C7:C10)+SUM('BANCO DE OCCIDENTE III D6'!C7:C10)</f>
        <v>0</v>
      </c>
      <c r="O6" s="488">
        <f>+SUM('BANCO DE OCCIDENTE III D1'!D11:D14)+SUM('BANCO DE OCCIDENTE III D2'!D11:D14)+SUM('BANCO DE OCCIDENTE III D3'!D11:D14)+SUM('BANCO DE OCCIDENTE III D4'!D8:D11)+SUM('BANCO DE OCCIDENTE III D5'!D7:D10)+SUM('BANCO DE OCCIDENTE III D6'!D7:D10)</f>
        <v>2316934292.5363603</v>
      </c>
      <c r="P6" s="488">
        <f>+'BANCO DE OCCIDENTE III D1'!E11+'BANCO DE OCCIDENTE III D1'!E14+'BANCO DE OCCIDENTE III D2'!E11+'BANCO DE OCCIDENTE III D2'!E14+'BANCO DE OCCIDENTE III D3'!E11+'BANCO DE OCCIDENTE III D3'!E14+'BANCO DE OCCIDENTE III D4'!E8+'BANCO DE OCCIDENTE III D4'!E11+'BANCO DE OCCIDENTE III D5'!E7+'BANCO DE OCCIDENTE III D5'!E10+'BANCO DE OCCIDENTE III D6'!E7+'BANCO DE OCCIDENTE III D6'!E10</f>
        <v>1147791304.7543402</v>
      </c>
      <c r="Q6" s="484">
        <f>+'BANCO DE OCCIDENTE III D1'!F14+'BANCO DE OCCIDENTE III D2'!F14+'BANCO DE OCCIDENTE III D3'!F14+'BANCO DE OCCIDENTE III D4'!F11+'BANCO DE OCCIDENTE III D5'!F10+'BANCO DE OCCIDENTE III D6'!F10</f>
        <v>161400887.92704982</v>
      </c>
      <c r="R6" s="478">
        <f>+N6+O6+Q6</f>
        <v>2478335180.4634099</v>
      </c>
      <c r="S6" s="491">
        <f>+N6+P6+Q6</f>
        <v>1309192192.68139</v>
      </c>
      <c r="T6" s="488">
        <f>+SUM('BANCO DE OCCIDENTE IV D1 REACT '!C12:C23)+SUM('BANCO DE OCCIDENTE IV D2 REACT'!C10:C21)+SUM('BANCO DE OCCIDENTE IV D3 REACT '!C8:C19)+SUM('BANCO DE OCCIDENTE IV D4 REAC'!C7:C10)+SUM('BANCO DE OCCIDENTE IV D5 REAC'!C7:C10)</f>
        <v>0</v>
      </c>
      <c r="U6" s="478">
        <f>+SUM('BANCO DE OCCIDENTE IV D1 REACT '!D12:D23)+SUM('BANCO DE OCCIDENTE IV D2 REACT'!D10:D21)+SUM('BANCO DE OCCIDENTE IV D3 REACT '!D8:D19)+SUM('BANCO DE OCCIDENTE IV D4 REAC'!D7:D10)+SUM('BANCO DE OCCIDENTE IV D5 REAC'!D7:D10)</f>
        <v>753621479.69220841</v>
      </c>
      <c r="V6" s="478">
        <f>+'BANCO DE OCCIDENTE IV D1 REACT '!E12+'BANCO DE OCCIDENTE IV D1 REACT '!E13+'BANCO DE OCCIDENTE IV D1 REACT '!E14+'BANCO DE OCCIDENTE IV D1 REACT '!E21+'BANCO DE OCCIDENTE IV D1 REACT '!E22+'BANCO DE OCCIDENTE IV D1 REACT '!E23+'BANCO DE OCCIDENTE IV D2 REACT'!E10+'BANCO DE OCCIDENTE IV D2 REACT'!E11+'BANCO DE OCCIDENTE IV D2 REACT'!E12+'BANCO DE OCCIDENTE IV D2 REACT'!E19+'BANCO DE OCCIDENTE IV D2 REACT'!E20+'BANCO DE OCCIDENTE IV D2 REACT'!E21+'BANCO DE OCCIDENTE IV D3 REACT '!E8+'BANCO DE OCCIDENTE IV D3 REACT '!E9+'BANCO DE OCCIDENTE IV D3 REACT '!E10+'BANCO DE OCCIDENTE IV D3 REACT '!E11+'BANCO DE OCCIDENTE IV D3 REACT '!E18+'BANCO DE OCCIDENTE IV D3 REACT '!E19+'BANCO DE OCCIDENTE IV D4 REAC'!E7+'BANCO DE OCCIDENTE IV D4 REAC'!E8+'BANCO DE OCCIDENTE IV D4 REAC'!E9+'BANCO DE OCCIDENTE IV D4 REAC'!E10+'BANCO DE OCCIDENTE IV D5 REAC'!E7+'BANCO DE OCCIDENTE IV D5 REAC'!E8+'BANCO DE OCCIDENTE IV D5 REAC'!E9+'BANCO DE OCCIDENTE IV D5 REAC'!E10</f>
        <v>396139993.81724989</v>
      </c>
      <c r="W6" s="484">
        <f>+SUM('BANCO DE OCCIDENTE IV D1 REACT '!F21:F23)+SUM('BANCO DE OCCIDENTE IV D2 REACT'!F18:F21)+SUM('BANCO DE OCCIDENTE IV D3 REACT '!F18:F19)</f>
        <v>161414181.5</v>
      </c>
      <c r="X6" s="478">
        <f>+T6+U6+W6</f>
        <v>915035661.19220841</v>
      </c>
      <c r="Y6" s="491">
        <f>+T6+V6+W6</f>
        <v>557554175.31724989</v>
      </c>
    </row>
    <row r="7" spans="1:27" x14ac:dyDescent="0.25">
      <c r="A7" s="477">
        <v>2021</v>
      </c>
      <c r="B7" s="478">
        <f>+SUM('Banco de Occidente I'!C23:C26)</f>
        <v>4134018734.2575769</v>
      </c>
      <c r="C7" s="478">
        <f>+SUM('Banco de Occidente I'!D23:D26)</f>
        <v>760807405.15877032</v>
      </c>
      <c r="D7" s="478">
        <f>+SUM('Banco de Occidente I'!E23:E26)</f>
        <v>202417912</v>
      </c>
      <c r="E7" s="484">
        <f>+SUM('Banco de Occidente I'!F23:F26)</f>
        <v>408800607.75</v>
      </c>
      <c r="F7" s="478">
        <f>+B7+C7+E7</f>
        <v>5303626747.1663475</v>
      </c>
      <c r="G7" s="491">
        <f>+B7+D7</f>
        <v>4336436646.2575769</v>
      </c>
      <c r="H7" s="488">
        <f>+SUM('Banco de Occidente II D 1'!C18:C21)+SUM('Banco de Occidente II D 2'!C17:C20)+SUM('Banco de Occidente II D 3'!C17:C20)+SUM('Banco de Occidente II D 4'!C15:C18)+SUM('Banco de Occidente II D 5 REAC'!C21:C32)+SUM('Banco de Occidente II D 6 REAC'!C11:C22)+SUM('Banco de Occidente II D 7 REAC'!C11:C22)</f>
        <v>2651584812.4666667</v>
      </c>
      <c r="I7" s="488">
        <f>+SUM('Banco de Occidente II D 1'!D18:D21)+SUM('Banco de Occidente II D 2'!D17:D20)+SUM('Banco de Occidente II D 3'!D17:D20)+SUM('Banco de Occidente II D 4'!D15:D18)+SUM('Banco de Occidente II D 5 REAC'!D21:D32)+SUM('Banco de Occidente II D 6 REAC'!D11:D22)+SUM('Banco de Occidente II D 7 REAC'!D11:D22)</f>
        <v>2985601045.2299623</v>
      </c>
      <c r="J7" s="488">
        <f>+SUM('Banco de Occidente II D 1'!E18:E21)+SUM('Banco de Occidente II D 2'!E17:E20)+SUM('Banco de Occidente II D 3'!E17:E20)+SUM('Banco de Occidente II D 4'!E15:E18)+SUM('Banco de Occidente II D 5 REAC'!E21:E32)+SUM('Banco de Occidente II D 6 REAC'!E11:E22)+SUM('Banco de Occidente II D 7 REAC'!E11:E22)</f>
        <v>45984526</v>
      </c>
      <c r="K7" s="484">
        <f>+SUM('Banco de Occidente II D 1'!F18:F21)+SUM('Banco de Occidente II D 2'!F17:F20)+SUM('Banco de Occidente II D 3'!F17:F20)+SUM('Banco de Occidente II D 4'!F15:F18)+SUM('Banco de Occidente II D 5 REAC'!F21:F32)</f>
        <v>644781626.90918994</v>
      </c>
      <c r="L7" s="478">
        <f t="shared" ref="L7:L8" si="3">+H7+I7+K7</f>
        <v>6281967484.6058187</v>
      </c>
      <c r="M7" s="491">
        <f t="shared" ref="M7:M19" si="4">+H7+J7</f>
        <v>2697569338.4666667</v>
      </c>
      <c r="N7" s="488">
        <f>+SUM('BANCO DE OCCIDENTE III D1'!C15:C18)+SUM('BANCO DE OCCIDENTE III D2'!C15:C18)+SUM('BANCO DE OCCIDENTE III D3'!C15:C18)+SUM('BANCO DE OCCIDENTE III D4'!C12:C15)+SUM('BANCO DE OCCIDENTE III D5'!C11:C14)+SUM('BANCO DE OCCIDENTE III D6'!C11:C14)+SUM('BANCO DE OCCIDENTE III D7'!C7:C10)</f>
        <v>1889361572.78125</v>
      </c>
      <c r="O7" s="488">
        <f>+SUM('BANCO DE OCCIDENTE III D1'!D15:D18)+SUM('BANCO DE OCCIDENTE III D2'!D15:D18)+SUM('BANCO DE OCCIDENTE III D3'!D15:D18)+SUM('BANCO DE OCCIDENTE III D4'!D12:D15)+SUM('BANCO DE OCCIDENTE III D5'!D11:D14)+SUM('BANCO DE OCCIDENTE III D6'!D11:D14)+SUM('BANCO DE OCCIDENTE III D7'!D7:D10)</f>
        <v>2671094824.2683582</v>
      </c>
      <c r="P7" s="488">
        <f>+SUM('BANCO DE OCCIDENTE III D1'!E15:E18)+SUM('BANCO DE OCCIDENTE III D2'!E15:E18)+SUM('BANCO DE OCCIDENTE III D3'!E15:E18)+SUM('BANCO DE OCCIDENTE III D4'!E12:E15)+SUM('BANCO DE OCCIDENTE III D5'!E11:E14)+SUM('BANCO DE OCCIDENTE III D6'!E11:E14)+SUM('BANCO DE OCCIDENTE III D7'!E7:E10)</f>
        <v>103541379</v>
      </c>
      <c r="Q7" s="484">
        <f>+SUM('BANCO DE OCCIDENTE III D1'!F15:F18)+SUM('BANCO DE OCCIDENTE III D2'!F15:F18)+SUM('BANCO DE OCCIDENTE III D3'!F15:F18)+SUM('BANCO DE OCCIDENTE III D4'!F12:F15)+SUM('BANCO DE OCCIDENTE III D5'!F11:F14)+SUM('BANCO DE OCCIDENTE III D6'!F11:F14)</f>
        <v>645603551.70819926</v>
      </c>
      <c r="R7" s="478">
        <f t="shared" ref="R7:R8" si="5">+N7+O7+Q7</f>
        <v>5206059948.7578077</v>
      </c>
      <c r="S7" s="491">
        <f>+N7+P7</f>
        <v>1992902951.78125</v>
      </c>
      <c r="T7" s="488">
        <f>+SUM('BANCO DE OCCIDENTE IV D1 REACT '!C24:C35)+SUM('BANCO DE OCCIDENTE IV D2 REACT'!C22:C33)+SUM('BANCO DE OCCIDENTE IV D3 REACT '!C20:C31)+SUM('BANCO DE OCCIDENTE IV D4 REAC'!C11:C22)+SUM('BANCO DE OCCIDENTE IV D5 REAC'!C11:C22)</f>
        <v>421555020.41666669</v>
      </c>
      <c r="U7" s="478">
        <f>+SUM('BANCO DE OCCIDENTE IV D1 REACT '!D24:D35)+SUM('BANCO DE OCCIDENTE IV D2 REACT'!D22:D33)+SUM('BANCO DE OCCIDENTE IV D3 REACT '!D20:D31)+SUM('BANCO DE OCCIDENTE IV D4 REAC'!D11:D22)+SUM('BANCO DE OCCIDENTE IV D5 REAC'!D11:D22)</f>
        <v>926152878.3761667</v>
      </c>
      <c r="V7" s="478">
        <f>+SUM('BANCO DE OCCIDENTE IV D1 REACT '!E24:E35)+SUM('BANCO DE OCCIDENTE IV D2 REACT'!E22:E33)+SUM('BANCO DE OCCIDENTE IV D3 REACT '!E20:E31)+SUM('BANCO DE OCCIDENTE IV D4 REAC'!E11:E22)+SUM('BANCO DE OCCIDENTE IV D5 REAC'!E11:E22)</f>
        <v>49501228</v>
      </c>
      <c r="W7" s="484">
        <f>+SUM('BANCO DE OCCIDENTE IV D1 REACT '!F24:F28)+SUM('BANCO DE OCCIDENTE IV D2 REACT'!F22:F26)+SUM('BANCO DE OCCIDENTE IV D3 REACT '!F20:F25)</f>
        <v>289525769.5</v>
      </c>
      <c r="X7" s="478">
        <f>+T7+U7+W7</f>
        <v>1637233668.2928333</v>
      </c>
      <c r="Y7" s="491">
        <f t="shared" ref="Y7:Y19" si="6">+T7+V7</f>
        <v>471056248.41666669</v>
      </c>
      <c r="AA7" s="54"/>
    </row>
    <row r="8" spans="1:27" x14ac:dyDescent="0.25">
      <c r="A8" s="477">
        <v>2022</v>
      </c>
      <c r="B8" s="478">
        <f>+SUM('Banco de Occidente I'!C27:C30)</f>
        <v>4134018734.2575769</v>
      </c>
      <c r="C8" s="478">
        <f>+SUM('Banco de Occidente I'!D27:D30)</f>
        <v>660460691.12207747</v>
      </c>
      <c r="D8" s="478">
        <f>+SUM('Banco de Occidente I'!E27:E30)</f>
        <v>0</v>
      </c>
      <c r="E8" s="484">
        <f>+SUM('Banco de Occidente I'!F27:F30)</f>
        <v>408800608</v>
      </c>
      <c r="F8" s="478">
        <f>+B8+C8+E8</f>
        <v>5203280033.3796539</v>
      </c>
      <c r="G8" s="491">
        <f t="shared" si="1"/>
        <v>4134018734.2575769</v>
      </c>
      <c r="H8" s="488">
        <f>+SUM('Banco de Occidente II D 1'!C22:C25)+SUM('Banco de Occidente II D 2'!C21:C24)+SUM('Banco de Occidente II D 3'!C21:C24)+SUM('Banco de Occidente II D 4'!C19:C22)+SUM('Banco de Occidente II D 5 REAC'!C33:C44)+SUM('Banco de Occidente II D 6 REAC'!C23:C34)+SUM('Banco de Occidente II D 7 REAC'!C23:C34)</f>
        <v>3358777334.1333337</v>
      </c>
      <c r="I8" s="488">
        <f>+SUM('Banco de Occidente II D 1'!D22:D25)+SUM('Banco de Occidente II D 2'!D21:D24)+SUM('Banco de Occidente II D 3'!D21:D24)+SUM('Banco de Occidente II D 4'!D19:D22)+SUM('Banco de Occidente II D 5 REAC'!D33:D44)+SUM('Banco de Occidente II D 6 REAC'!D23:D34)+SUM('Banco de Occidente II D 7 REAC'!D23:D34)</f>
        <v>2943022423.8847795</v>
      </c>
      <c r="J8" s="488">
        <f>+SUM('Banco de Occidente II D 1'!E22:E25)+SUM('Banco de Occidente II D 2'!E21:E24)+SUM('Banco de Occidente II D 3'!E21:E24)+SUM('Banco de Occidente II D 4'!E19:E22)+SUM('Banco de Occidente II D 5 REAC'!E33:E44)+SUM('Banco de Occidente II D 6 REAC'!E23:E34)+SUM('Banco de Occidente II D 7 REAC'!E23:E34)</f>
        <v>0</v>
      </c>
      <c r="K8" s="484">
        <f>+SUM('Banco de Occidente II D 1'!F22:F25)+SUM('Banco de Occidente II D 2'!F21:F23)+SUM('Banco de Occidente II D 3'!F21:F23)+SUM('Banco de Occidente II D 4'!F19:F21)</f>
        <v>423355830.96314251</v>
      </c>
      <c r="L8" s="478">
        <f t="shared" si="3"/>
        <v>6725155588.9812555</v>
      </c>
      <c r="M8" s="491">
        <f t="shared" si="4"/>
        <v>3358777334.1333337</v>
      </c>
      <c r="N8" s="488">
        <f>+SUM('BANCO DE OCCIDENTE III D1'!C19:C22)+SUM('BANCO DE OCCIDENTE III D2'!C19:C22)+SUM('BANCO DE OCCIDENTE III D3'!C19:C22)+SUM('BANCO DE OCCIDENTE III D4'!C16:C19)+SUM('BANCO DE OCCIDENTE III D5'!C15:C18)+SUM('BANCO DE OCCIDENTE III D6'!C15:C18)+SUM('BANCO DE OCCIDENTE III D7'!C11:C14)</f>
        <v>4092990014.25</v>
      </c>
      <c r="O8" s="488">
        <f>+SUM('BANCO DE OCCIDENTE III D1'!D19:D22)+SUM('BANCO DE OCCIDENTE III D2'!D19:D22)+SUM('BANCO DE OCCIDENTE III D3'!D19:D22)+SUM('BANCO DE OCCIDENTE III D4'!D16:D19)+SUM('BANCO DE OCCIDENTE III D5'!D15:D18)+SUM('BANCO DE OCCIDENTE III D6'!D15:D18)+SUM('BANCO DE OCCIDENTE III D7'!D11:D14)</f>
        <v>2649605049.5846124</v>
      </c>
      <c r="P8" s="488">
        <f>+SUM('BANCO DE OCCIDENTE III D1'!E19:E22)+SUM('BANCO DE OCCIDENTE III D2'!E19:E22)+SUM('BANCO DE OCCIDENTE III D3'!E19:E22)+SUM('BANCO DE OCCIDENTE III D4'!E16:E19)+SUM('BANCO DE OCCIDENTE III D5'!E15:E18)+SUM('BANCO DE OCCIDENTE III D6'!E15:E18)+SUM('BANCO DE OCCIDENTE III D7'!E11:E14)</f>
        <v>0</v>
      </c>
      <c r="Q8" s="484">
        <f>+SUM('BANCO DE OCCIDENTE III D1'!F19:F21)+SUM('BANCO DE OCCIDENTE III D2'!F19:F21)+SUM('BANCO DE OCCIDENTE III D3'!F19:F21)+SUM('BANCO DE OCCIDENTE III D4'!F16:F18)+SUM('BANCO DE OCCIDENTE III D5'!F15:F17)+SUM('BANCO DE OCCIDENTE III D6'!F15:F17)</f>
        <v>484202671.78114939</v>
      </c>
      <c r="R8" s="478">
        <f t="shared" si="5"/>
        <v>7226797735.6157608</v>
      </c>
      <c r="S8" s="491">
        <f t="shared" ref="S8:S19" si="7">+N8+P8</f>
        <v>4092990014.25</v>
      </c>
      <c r="T8" s="488">
        <f>+SUM('BANCO DE OCCIDENTE IV D1 REACT '!C36:C47)+SUM('BANCO DE OCCIDENTE IV D2 REACT'!C34:C45)+SUM('BANCO DE OCCIDENTE IV D3 REACT '!C32:C43)+SUM('BANCO DE OCCIDENTE IV D4 REAC'!C23:C34)+SUM('BANCO DE OCCIDENTE IV D5 REAC'!C23:C34)</f>
        <v>1561258256.8916667</v>
      </c>
      <c r="U8" s="478">
        <f>+SUM('BANCO DE OCCIDENTE IV D1 REACT '!D36:D47)+SUM('BANCO DE OCCIDENTE IV D2 REACT'!D34:D45)+SUM('BANCO DE OCCIDENTE IV D3 REACT '!D32:D43)+SUM('BANCO DE OCCIDENTE IV D4 REAC'!D23:D34)+SUM('BANCO DE OCCIDENTE IV D5 REAC'!D23:D34)</f>
        <v>966506140.32821846</v>
      </c>
      <c r="V8" s="478">
        <f>+SUM('BANCO DE OCCIDENTE IV D1 REACT '!E36:E47)+SUM('BANCO DE OCCIDENTE IV D2 REACT'!E34:E45)+SUM('BANCO DE OCCIDENTE IV D3 REACT '!E32:E43)+SUM('BANCO DE OCCIDENTE IV D4 REAC'!E23:E34)+SUM('BANCO DE OCCIDENTE IV D5 REAC'!E23:E34)</f>
        <v>0</v>
      </c>
      <c r="W8" s="484">
        <v>0</v>
      </c>
      <c r="X8" s="478">
        <f t="shared" ref="X8:X19" si="8">+T8+U8</f>
        <v>2527764397.2198849</v>
      </c>
      <c r="Y8" s="491">
        <f t="shared" si="6"/>
        <v>1561258256.8916667</v>
      </c>
    </row>
    <row r="9" spans="1:27" x14ac:dyDescent="0.25">
      <c r="A9" s="477">
        <v>2023</v>
      </c>
      <c r="B9" s="478">
        <f>+SUM('Banco de Occidente I'!C31:C34)</f>
        <v>4134018734.2575769</v>
      </c>
      <c r="C9" s="478">
        <f>+SUM('Banco de Occidente I'!D31:D34)</f>
        <v>564393681.5043205</v>
      </c>
      <c r="D9" s="478">
        <f>+SUM('Banco de Occidente I'!E31:E34)</f>
        <v>0</v>
      </c>
      <c r="E9" s="484">
        <v>0</v>
      </c>
      <c r="F9" s="478">
        <f t="shared" si="0"/>
        <v>4698412415.7618971</v>
      </c>
      <c r="G9" s="491">
        <f t="shared" si="1"/>
        <v>4134018734.2575769</v>
      </c>
      <c r="H9" s="488">
        <f>+SUM('Banco de Occidente II D 1'!C26:C29)+SUM('Banco de Occidente II D 2'!C25:C28)+SUM('Banco de Occidente II D 3'!C25:C28)+SUM('Banco de Occidente II D 4'!C23:C26)+SUM('Banco de Occidente II D 5 REAC'!C45:C56)+SUM('Banco de Occidente II D 6 REAC'!C35:C46)+SUM('Banco de Occidente II D 7 REAC'!C35:C46)</f>
        <v>4067597010.8000007</v>
      </c>
      <c r="I9" s="488">
        <f>+SUM('Banco de Occidente II D 1'!D26:D29)+SUM('Banco de Occidente II D 2'!D25:D28)+SUM('Banco de Occidente II D 3'!D25:D28)+SUM('Banco de Occidente II D 4'!D23:D26)+SUM('Banco de Occidente II D 5 REAC'!D45:D56)+SUM('Banco de Occidente II D 6 REAC'!D35:D46)+SUM('Banco de Occidente II D 7 REAC'!D35:D46)</f>
        <v>2779193217.4925966</v>
      </c>
      <c r="J9" s="488">
        <f>+SUM('Banco de Occidente II D 1'!E26:E29)+SUM('Banco de Occidente II D 2'!E25:E28)+SUM('Banco de Occidente II D 3'!E25:E28)+SUM('Banco de Occidente II D 4'!E23:E26)+SUM('Banco de Occidente II D 5 REAC'!E45:E56)+SUM('Banco de Occidente II D 6 REAC'!E35:E46)+SUM('Banco de Occidente II D 7 REAC'!E35:E46)</f>
        <v>0</v>
      </c>
      <c r="K9" s="484">
        <v>0</v>
      </c>
      <c r="L9" s="478">
        <f t="shared" si="2"/>
        <v>6846790228.2925968</v>
      </c>
      <c r="M9" s="491">
        <f t="shared" si="4"/>
        <v>4067597010.8000007</v>
      </c>
      <c r="N9" s="488">
        <f>+SUM('BANCO DE OCCIDENTE III D1'!C23:C26)+SUM('BANCO DE OCCIDENTE III D2'!C23:C26)+SUM('BANCO DE OCCIDENTE III D3'!C23:C26)+SUM('BANCO DE OCCIDENTE III D4'!C20:C23)+SUM('BANCO DE OCCIDENTE III D5'!C19:C22)+SUM('BANCO DE OCCIDENTE III D6'!C19:C22)+SUM('BANCO DE OCCIDENTE III D7'!C15:C18)</f>
        <v>4250000000</v>
      </c>
      <c r="O9" s="488">
        <f>+SUM('BANCO DE OCCIDENTE III D1'!D23:D26)+SUM('BANCO DE OCCIDENTE III D2'!D23:D26)+SUM('BANCO DE OCCIDENTE III D3'!D23:D26)+SUM('BANCO DE OCCIDENTE III D4'!D20:D23)+SUM('BANCO DE OCCIDENTE III D5'!D19:D22)+SUM('BANCO DE OCCIDENTE III D6'!D19:D22)+SUM('BANCO DE OCCIDENTE III D7'!D15:D18)</f>
        <v>2427583907.4660902</v>
      </c>
      <c r="P9" s="488">
        <f>+SUM('BANCO DE OCCIDENTE III D1'!E23:E26)+SUM('BANCO DE OCCIDENTE III D2'!E23:E26)+SUM('BANCO DE OCCIDENTE III D3'!E23:E26)+SUM('BANCO DE OCCIDENTE III D4'!E20:E23)+SUM('BANCO DE OCCIDENTE III D5'!E19:E22)+SUM('BANCO DE OCCIDENTE III D6'!E19:E22)+SUM('BANCO DE OCCIDENTE III D7'!E15:E18)</f>
        <v>0</v>
      </c>
      <c r="Q9" s="484">
        <v>0</v>
      </c>
      <c r="R9" s="478">
        <f t="shared" ref="R9:R19" si="9">+N9+O9</f>
        <v>6677583907.4660902</v>
      </c>
      <c r="S9" s="491">
        <f t="shared" si="7"/>
        <v>4250000000</v>
      </c>
      <c r="T9" s="488">
        <f>+SUM('BANCO DE OCCIDENTE IV D1 REACT '!C48:C59)+SUM('BANCO DE OCCIDENTE IV D2 REACT'!C46:C57)+SUM('BANCO DE OCCIDENTE IV D3 REACT '!C44:C55)+SUM('BANCO DE OCCIDENTE IV D4 REAC'!C35:C46)+SUM('BANCO DE OCCIDENTE IV D5 REAC'!C35:C46)</f>
        <v>1600000001</v>
      </c>
      <c r="U9" s="478">
        <f>+SUM('BANCO DE OCCIDENTE IV D1 REACT '!D48:D59)+SUM('BANCO DE OCCIDENTE IV D2 REACT'!D46:D57)+SUM('BANCO DE OCCIDENTE IV D3 REACT '!D44:D55)+SUM('BANCO DE OCCIDENTE IV D4 REAC'!D35:D46)+SUM('BANCO DE OCCIDENTE IV D5 REAC'!D35:D46)</f>
        <v>940572143.80516648</v>
      </c>
      <c r="V9" s="478">
        <f>+SUM('BANCO DE OCCIDENTE IV D1 REACT '!E48:E59)+SUM('BANCO DE OCCIDENTE IV D2 REACT'!E46:E57)+SUM('BANCO DE OCCIDENTE IV D3 REACT '!E44:E55)+SUM('BANCO DE OCCIDENTE IV D4 REAC'!E35:E46)+SUM('BANCO DE OCCIDENTE IV D5 REAC'!E35:E46)</f>
        <v>0</v>
      </c>
      <c r="W9" s="484">
        <v>0</v>
      </c>
      <c r="X9" s="478">
        <f t="shared" si="8"/>
        <v>2540572144.8051662</v>
      </c>
      <c r="Y9" s="491">
        <f t="shared" si="6"/>
        <v>1600000001</v>
      </c>
    </row>
    <row r="10" spans="1:27" x14ac:dyDescent="0.25">
      <c r="A10" s="477">
        <v>2024</v>
      </c>
      <c r="B10" s="478">
        <f>+SUM('Banco de Occidente I'!C35:C38)</f>
        <v>4134018734.2575769</v>
      </c>
      <c r="C10" s="478">
        <f>+SUM('Banco de Occidente I'!D35:D38)</f>
        <v>468326671.88656366</v>
      </c>
      <c r="D10" s="478">
        <f>+SUM('Banco de Occidente I'!E35:E38)</f>
        <v>0</v>
      </c>
      <c r="E10" s="484">
        <v>0</v>
      </c>
      <c r="F10" s="478">
        <f t="shared" si="0"/>
        <v>4602345406.1441402</v>
      </c>
      <c r="G10" s="491">
        <f t="shared" si="1"/>
        <v>4134018734.2575769</v>
      </c>
      <c r="H10" s="488">
        <f>+SUM('Banco de Occidente II D 1'!C30:C33)+SUM('Banco de Occidente II D 2'!C29:C32)+SUM('Banco de Occidente II D 3'!C29:C32)+SUM('Banco de Occidente II D 4'!C27:C30)+SUM('Banco de Occidente II D 5 REAC'!C57:C68)+SUM('Banco de Occidente II D 6 REAC'!C47:C58)+SUM('Banco de Occidente II D 7 REAC'!C47:C58)</f>
        <v>4067597010.8000007</v>
      </c>
      <c r="I10" s="488">
        <f>+SUM('Banco de Occidente II D 1'!D30:D33)+SUM('Banco de Occidente II D 2'!D29:D32)+SUM('Banco de Occidente II D 3'!D29:D32)+SUM('Banco de Occidente II D 4'!D27:D30)+SUM('Banco de Occidente II D 5 REAC'!D57:D68)+SUM('Banco de Occidente II D 6 REAC'!D47:D58)+SUM('Banco de Occidente II D 7 REAC'!D47:D58)</f>
        <v>2418321092.6004958</v>
      </c>
      <c r="J10" s="488">
        <f>+SUM('Banco de Occidente II D 1'!E30:E33)+SUM('Banco de Occidente II D 2'!E29:E32)+SUM('Banco de Occidente II D 3'!E29:E32)+SUM('Banco de Occidente II D 4'!E27:E30)+SUM('Banco de Occidente II D 5 REAC'!E57:E68)+SUM('Banco de Occidente II D 6 REAC'!E47:E58)+SUM('Banco de Occidente II D 7 REAC'!E47:E58)</f>
        <v>0</v>
      </c>
      <c r="K10" s="484">
        <v>0</v>
      </c>
      <c r="L10" s="478">
        <f t="shared" si="2"/>
        <v>6485918103.4004965</v>
      </c>
      <c r="M10" s="491">
        <f t="shared" si="4"/>
        <v>4067597010.8000007</v>
      </c>
      <c r="N10" s="488">
        <f>+SUM('BANCO DE OCCIDENTE III D1'!C27:C30)+SUM('BANCO DE OCCIDENTE III D2'!C27:C30)+SUM('BANCO DE OCCIDENTE III D3'!C27:C30)+SUM('BANCO DE OCCIDENTE III D4'!C24:C27)+SUM('BANCO DE OCCIDENTE III D5'!C23:C26)+SUM('BANCO DE OCCIDENTE III D6'!C23:C26)+SUM('BANCO DE OCCIDENTE III D7'!C19:C22)</f>
        <v>4250000000</v>
      </c>
      <c r="O10" s="488">
        <f>+SUM('BANCO DE OCCIDENTE III D1'!D27:D30)+SUM('BANCO DE OCCIDENTE III D2'!D27:D30)+SUM('BANCO DE OCCIDENTE III D3'!D27:D30)+SUM('BANCO DE OCCIDENTE III D4'!D24:D27)+SUM('BANCO DE OCCIDENTE III D5'!D23:D26)+SUM('BANCO DE OCCIDENTE III D6'!D23:D26)+SUM('BANCO DE OCCIDENTE III D7'!D19:D22)</f>
        <v>2037622314.9681425</v>
      </c>
      <c r="P10" s="488">
        <f>+SUM('BANCO DE OCCIDENTE III D1'!E27:E30)+SUM('BANCO DE OCCIDENTE III D2'!E27:E30)+SUM('BANCO DE OCCIDENTE III D3'!E27:E30)+SUM('BANCO DE OCCIDENTE III D4'!E24:E27)+SUM('BANCO DE OCCIDENTE III D5'!E23:E26)+SUM('BANCO DE OCCIDENTE III D6'!E23:E26)+SUM('BANCO DE OCCIDENTE III D7'!E19:E22)</f>
        <v>0</v>
      </c>
      <c r="Q10" s="484">
        <v>0</v>
      </c>
      <c r="R10" s="478">
        <f t="shared" si="9"/>
        <v>6287622314.9681425</v>
      </c>
      <c r="S10" s="491">
        <f t="shared" si="7"/>
        <v>4250000000</v>
      </c>
      <c r="T10" s="488">
        <f>+SUM('BANCO DE OCCIDENTE IV D1 REACT '!C60:C71)+SUM('BANCO DE OCCIDENTE IV D2 REACT'!C58:C69)+SUM('BANCO DE OCCIDENTE IV D3 REACT '!C56:C67)+SUM('BANCO DE OCCIDENTE IV D4 REAC'!C47:C58)+SUM('BANCO DE OCCIDENTE IV D5 REAC'!C47:C58)</f>
        <v>1600000001</v>
      </c>
      <c r="U10" s="478">
        <f>+SUM('BANCO DE OCCIDENTE IV D1 REACT '!D60:D71)+SUM('BANCO DE OCCIDENTE IV D2 REACT'!D58:D69)+SUM('BANCO DE OCCIDENTE IV D3 REACT '!D56:D67)+SUM('BANCO DE OCCIDENTE IV D4 REAC'!D47:D58)+SUM('BANCO DE OCCIDENTE IV D5 REAC'!D47:D58)</f>
        <v>827409891.41516662</v>
      </c>
      <c r="V10" s="478">
        <f>+SUM('BANCO DE OCCIDENTE IV D1 REACT '!E60:E71)+SUM('BANCO DE OCCIDENTE IV D2 REACT'!E58:E69)+SUM('BANCO DE OCCIDENTE IV D3 REACT '!E56:E67)+SUM('BANCO DE OCCIDENTE IV D4 REAC'!E47:E58)+SUM('BANCO DE OCCIDENTE IV D5 REAC'!E47:E58)</f>
        <v>0</v>
      </c>
      <c r="W10" s="484">
        <v>0</v>
      </c>
      <c r="X10" s="478">
        <f t="shared" si="8"/>
        <v>2427409892.4151669</v>
      </c>
      <c r="Y10" s="491">
        <f t="shared" si="6"/>
        <v>1600000001</v>
      </c>
    </row>
    <row r="11" spans="1:27" x14ac:dyDescent="0.25">
      <c r="A11" s="477">
        <v>2025</v>
      </c>
      <c r="B11" s="478">
        <f>+SUM('Banco de Occidente I'!C39:C42)</f>
        <v>4134018734.2575769</v>
      </c>
      <c r="C11" s="478">
        <f>+SUM('Banco de Occidente I'!D39:D42)</f>
        <v>372259662.26880682</v>
      </c>
      <c r="D11" s="478">
        <f>+SUM('Banco de Occidente I'!E39:E42)</f>
        <v>0</v>
      </c>
      <c r="E11" s="484">
        <v>0</v>
      </c>
      <c r="F11" s="478">
        <f t="shared" si="0"/>
        <v>4506278396.5263834</v>
      </c>
      <c r="G11" s="491">
        <f t="shared" si="1"/>
        <v>4134018734.2575769</v>
      </c>
      <c r="H11" s="488">
        <f>+SUM('Banco de Occidente II D 1'!C34:C37)+SUM('Banco de Occidente II D 2'!C33:C36)+SUM('Banco de Occidente II D 3'!C33:C36)+SUM('Banco de Occidente II D 4'!C31:C34)+SUM('Banco de Occidente II D 5 REAC'!C69:C80)+SUM('Banco de Occidente II D 6 REAC'!C59:C70)+SUM('Banco de Occidente II D 7 REAC'!C59:C70)</f>
        <v>4067597010.8000007</v>
      </c>
      <c r="I11" s="488">
        <f>+SUM('Banco de Occidente II D 1'!D34:D37)+SUM('Banco de Occidente II D 2'!D33:D36)+SUM('Banco de Occidente II D 3'!D33:D36)+SUM('Banco de Occidente II D 4'!D31:D34)+SUM('Banco de Occidente II D 5 REAC'!D69:D80)+SUM('Banco de Occidente II D 6 REAC'!D59:D70)+SUM('Banco de Occidente II D 7 REAC'!D59:D70)</f>
        <v>2057448967.7083964</v>
      </c>
      <c r="J11" s="488">
        <f>+SUM('Banco de Occidente II D 1'!E34:E37)+SUM('Banco de Occidente II D 2'!E33:E36)+SUM('Banco de Occidente II D 3'!E33:E36)+SUM('Banco de Occidente II D 4'!E31:E34)+SUM('Banco de Occidente II D 5 REAC'!E69:E80)+SUM('Banco de Occidente II D 6 REAC'!E59:E70)+SUM('Banco de Occidente II D 7 REAC'!E59:E70)</f>
        <v>0</v>
      </c>
      <c r="K11" s="484">
        <v>0</v>
      </c>
      <c r="L11" s="478">
        <f t="shared" si="2"/>
        <v>6125045978.5083971</v>
      </c>
      <c r="M11" s="491">
        <f t="shared" si="4"/>
        <v>4067597010.8000007</v>
      </c>
      <c r="N11" s="488">
        <f>+SUM('BANCO DE OCCIDENTE III D1'!C31:C34)+SUM('BANCO DE OCCIDENTE III D2'!C31:C34)+SUM('BANCO DE OCCIDENTE III D3'!C31:C34)+SUM('BANCO DE OCCIDENTE III D4'!C28:C31)+SUM('BANCO DE OCCIDENTE III D5'!C27:C30)+SUM('BANCO DE OCCIDENTE III D6'!C27:C30)+SUM('BANCO DE OCCIDENTE III D7'!C23:C26)</f>
        <v>4250000000</v>
      </c>
      <c r="O11" s="488">
        <f>+SUM('BANCO DE OCCIDENTE III D1'!D31:D34)+SUM('BANCO DE OCCIDENTE III D2'!D31:D34)+SUM('BANCO DE OCCIDENTE III D3'!D31:D34)+SUM('BANCO DE OCCIDENTE III D4'!D28:D31)+SUM('BANCO DE OCCIDENTE III D5'!D27:D30)+SUM('BANCO DE OCCIDENTE III D6'!D27:D30)+SUM('BANCO DE OCCIDENTE III D7'!D23:D26)</f>
        <v>1647660722.4701951</v>
      </c>
      <c r="P11" s="488">
        <f>+SUM('BANCO DE OCCIDENTE III D1'!E31:E34)+SUM('BANCO DE OCCIDENTE III D2'!E31:E34)+SUM('BANCO DE OCCIDENTE III D3'!E31:E34)+SUM('BANCO DE OCCIDENTE III D4'!E28:E31)+SUM('BANCO DE OCCIDENTE III D5'!E27:E30)+SUM('BANCO DE OCCIDENTE III D6'!E27:E30)+SUM('BANCO DE OCCIDENTE III D7'!E23:E26)</f>
        <v>0</v>
      </c>
      <c r="Q11" s="484">
        <v>0</v>
      </c>
      <c r="R11" s="478">
        <f t="shared" si="9"/>
        <v>5897660722.4701948</v>
      </c>
      <c r="S11" s="491">
        <f t="shared" si="7"/>
        <v>4250000000</v>
      </c>
      <c r="T11" s="488">
        <f>+SUM('BANCO DE OCCIDENTE IV D1 REACT '!C72:C83)+SUM('BANCO DE OCCIDENTE IV D2 REACT'!C70:C81)+SUM('BANCO DE OCCIDENTE IV D3 REACT '!C68:C79)+SUM('BANCO DE OCCIDENTE IV D4 REAC'!C59:C70)+SUM('BANCO DE OCCIDENTE IV D5 REAC'!C59:C70)</f>
        <v>1600000001</v>
      </c>
      <c r="U11" s="478">
        <f>+SUM('BANCO DE OCCIDENTE IV D1 REACT '!D72:D83)+SUM('BANCO DE OCCIDENTE IV D2 REACT'!D70:D81)+SUM('BANCO DE OCCIDENTE IV D3 REACT '!D68:D79)+SUM('BANCO DE OCCIDENTE IV D4 REAC'!D59:D70)+SUM('BANCO DE OCCIDENTE IV D5 REAC'!D59:D70)</f>
        <v>714247639.02516675</v>
      </c>
      <c r="V11" s="478">
        <f>+SUM('BANCO DE OCCIDENTE IV D1 REACT '!E72:E83)+SUM('BANCO DE OCCIDENTE IV D2 REACT'!E70:E81)+SUM('BANCO DE OCCIDENTE IV D3 REACT '!E68:E79)+SUM('BANCO DE OCCIDENTE IV D4 REAC'!E59:E70)+SUM('BANCO DE OCCIDENTE IV D5 REAC'!E59:E70)</f>
        <v>0</v>
      </c>
      <c r="W11" s="484">
        <v>0</v>
      </c>
      <c r="X11" s="478">
        <f t="shared" si="8"/>
        <v>2314247640.0251665</v>
      </c>
      <c r="Y11" s="491">
        <f t="shared" si="6"/>
        <v>1600000001</v>
      </c>
    </row>
    <row r="12" spans="1:27" x14ac:dyDescent="0.25">
      <c r="A12" s="477">
        <v>2026</v>
      </c>
      <c r="B12" s="478">
        <f>+SUM('Banco de Occidente I'!C43:C46)</f>
        <v>4134018734.2575769</v>
      </c>
      <c r="C12" s="478">
        <f>+SUM('Banco de Occidente I'!D43:D46)</f>
        <v>276192652.65105009</v>
      </c>
      <c r="D12" s="478">
        <f>+SUM('Banco de Occidente I'!E43:E46)</f>
        <v>0</v>
      </c>
      <c r="E12" s="484">
        <v>0</v>
      </c>
      <c r="F12" s="478">
        <f t="shared" si="0"/>
        <v>4410211386.9086266</v>
      </c>
      <c r="G12" s="491">
        <f t="shared" si="1"/>
        <v>4134018734.2575769</v>
      </c>
      <c r="H12" s="488">
        <f>+SUM('Banco de Occidente II D 1'!C38:C41)+SUM('Banco de Occidente II D 2'!C37:C40)+SUM('Banco de Occidente II D 3'!C37:C40)+SUM('Banco de Occidente II D 4'!C35:C38)+SUM('Banco de Occidente II D 5 REAC'!C81:C92)+SUM('Banco de Occidente II D 6 REAC'!C71:C82)+SUM('Banco de Occidente II D 7 REAC'!C71:C82)</f>
        <v>4067597010.8000007</v>
      </c>
      <c r="I12" s="488">
        <f>+SUM('Banco de Occidente II D 1'!D38:D41)+SUM('Banco de Occidente II D 2'!D37:D40)+SUM('Banco de Occidente II D 3'!D37:D40)+SUM('Banco de Occidente II D 4'!D35:D38)+SUM('Banco de Occidente II D 5 REAC'!D81:D92)+SUM('Banco de Occidente II D 6 REAC'!D71:D82)+SUM('Banco de Occidente II D 7 REAC'!D71:D82)</f>
        <v>1696576842.8162971</v>
      </c>
      <c r="J12" s="488">
        <f>+SUM('Banco de Occidente II D 1'!E38:E41)+SUM('Banco de Occidente II D 2'!E37:E40)+SUM('Banco de Occidente II D 3'!E37:E40)+SUM('Banco de Occidente II D 4'!E35:E38)+SUM('Banco de Occidente II D 5 REAC'!E81:E92)+SUM('Banco de Occidente II D 6 REAC'!E71:E82)+SUM('Banco de Occidente II D 7 REAC'!E71:E82)</f>
        <v>0</v>
      </c>
      <c r="K12" s="484">
        <v>0</v>
      </c>
      <c r="L12" s="478">
        <f t="shared" si="2"/>
        <v>5764173853.6162977</v>
      </c>
      <c r="M12" s="491">
        <f t="shared" si="4"/>
        <v>4067597010.8000007</v>
      </c>
      <c r="N12" s="488">
        <f>+SUM('BANCO DE OCCIDENTE III D1'!C35:C38)+SUM('BANCO DE OCCIDENTE III D2'!C35:C38)+SUM('BANCO DE OCCIDENTE III D3'!C35:C38)+SUM('BANCO DE OCCIDENTE III D4'!C32:C35)+SUM('BANCO DE OCCIDENTE III D5'!C31:C34)+SUM('BANCO DE OCCIDENTE III D6'!C31:C34)+SUM('BANCO DE OCCIDENTE III D7'!C27:C30)</f>
        <v>4250000000</v>
      </c>
      <c r="O12" s="488">
        <f>+SUM('BANCO DE OCCIDENTE III D1'!D35:D38)+SUM('BANCO DE OCCIDENTE III D2'!D35:D38)+SUM('BANCO DE OCCIDENTE III D3'!D35:D38)+SUM('BANCO DE OCCIDENTE III D4'!D32:D35)+SUM('BANCO DE OCCIDENTE III D5'!D31:D34)+SUM('BANCO DE OCCIDENTE III D6'!D31:D34)+SUM('BANCO DE OCCIDENTE III D7'!D27:D30)</f>
        <v>1257699129.9722476</v>
      </c>
      <c r="P12" s="488">
        <f>+SUM('BANCO DE OCCIDENTE III D1'!E35:E38)+SUM('BANCO DE OCCIDENTE III D2'!E35:E38)+SUM('BANCO DE OCCIDENTE III D3'!E35:E38)+SUM('BANCO DE OCCIDENTE III D4'!E32:E35)+SUM('BANCO DE OCCIDENTE III D5'!E31:E34)+SUM('BANCO DE OCCIDENTE III D6'!E31:E34)+SUM('BANCO DE OCCIDENTE III D7'!E27:E30)</f>
        <v>0</v>
      </c>
      <c r="Q12" s="484">
        <v>0</v>
      </c>
      <c r="R12" s="478">
        <f t="shared" si="9"/>
        <v>5507699129.9722481</v>
      </c>
      <c r="S12" s="491">
        <f t="shared" si="7"/>
        <v>4250000000</v>
      </c>
      <c r="T12" s="488">
        <f>+SUM('BANCO DE OCCIDENTE IV D1 REACT '!C84:C95)+SUM('BANCO DE OCCIDENTE IV D2 REACT'!C82:C93)+SUM('BANCO DE OCCIDENTE IV D3 REACT '!C80:C91)+SUM('BANCO DE OCCIDENTE IV D4 REAC'!C71:C82)+SUM('BANCO DE OCCIDENTE IV D5 REAC'!C71:C82)</f>
        <v>1600000001</v>
      </c>
      <c r="U12" s="478">
        <f>+SUM('BANCO DE OCCIDENTE IV D1 REACT '!D84:D95)+SUM('BANCO DE OCCIDENTE IV D2 REACT'!D82:D93)+SUM('BANCO DE OCCIDENTE IV D3 REACT '!D80:D91)+SUM('BANCO DE OCCIDENTE IV D4 REAC'!D71:D82)+SUM('BANCO DE OCCIDENTE IV D5 REAC'!D71:D82)</f>
        <v>601085386.63516712</v>
      </c>
      <c r="V12" s="478">
        <f>+SUM('BANCO DE OCCIDENTE IV D1 REACT '!E84:E95)+SUM('BANCO DE OCCIDENTE IV D2 REACT'!E82:E93)+SUM('BANCO DE OCCIDENTE IV D3 REACT '!E80:E91)+SUM('BANCO DE OCCIDENTE IV D4 REAC'!E71:E82)+SUM('BANCO DE OCCIDENTE IV D5 REAC'!E71:E82)</f>
        <v>0</v>
      </c>
      <c r="W12" s="484">
        <v>0</v>
      </c>
      <c r="X12" s="478">
        <f t="shared" si="8"/>
        <v>2201085387.6351671</v>
      </c>
      <c r="Y12" s="491">
        <f t="shared" si="6"/>
        <v>1600000001</v>
      </c>
    </row>
    <row r="13" spans="1:27" x14ac:dyDescent="0.25">
      <c r="A13" s="477">
        <v>2027</v>
      </c>
      <c r="B13" s="478">
        <f>+SUM('Banco de Occidente I'!C47:C50)</f>
        <v>4134018734.2575769</v>
      </c>
      <c r="C13" s="478">
        <f>+SUM('Banco de Occidente I'!D47:D50)</f>
        <v>180125643.03329334</v>
      </c>
      <c r="D13" s="478">
        <f>+SUM('Banco de Occidente I'!E47:E50)</f>
        <v>0</v>
      </c>
      <c r="E13" s="484">
        <v>0</v>
      </c>
      <c r="F13" s="478">
        <f t="shared" si="0"/>
        <v>4314144377.2908707</v>
      </c>
      <c r="G13" s="491">
        <f t="shared" si="1"/>
        <v>4134018734.2575769</v>
      </c>
      <c r="H13" s="488">
        <f>+SUM('Banco de Occidente II D 1'!C42:C45)+SUM('Banco de Occidente II D 2'!C41:C44)+SUM('Banco de Occidente II D 3'!C41:C44)+SUM('Banco de Occidente II D 4'!C39:C42)+SUM('Banco de Occidente II D 5 REAC'!C93:C104)+SUM('Banco de Occidente II D 6 REAC'!C83:C94)+SUM('Banco de Occidente II D 7 REAC'!C83:C94)</f>
        <v>4067597010.8000007</v>
      </c>
      <c r="I13" s="488">
        <f>+SUM('Banco de Occidente II D 1'!D42:D45)+SUM('Banco de Occidente II D 2'!D41:D44)+SUM('Banco de Occidente II D 3'!D41:D44)+SUM('Banco de Occidente II D 4'!D39:D42)+SUM('Banco de Occidente II D 5 REAC'!D93:D104)+SUM('Banco de Occidente II D 6 REAC'!D83:D94)+SUM('Banco de Occidente II D 7 REAC'!D83:D94)</f>
        <v>1335704717.9241974</v>
      </c>
      <c r="J13" s="488">
        <f>+SUM('Banco de Occidente II D 1'!E42:E45)+SUM('Banco de Occidente II D 2'!E41:E44)+SUM('Banco de Occidente II D 3'!E41:E44)+SUM('Banco de Occidente II D 4'!E39:E42)+SUM('Banco de Occidente II D 5 REAC'!E93:E104)+SUM('Banco de Occidente II D 6 REAC'!E83:E94)+SUM('Banco de Occidente II D 7 REAC'!E83:E94)</f>
        <v>0</v>
      </c>
      <c r="K13" s="484">
        <v>0</v>
      </c>
      <c r="L13" s="478">
        <f t="shared" si="2"/>
        <v>5403301728.7241983</v>
      </c>
      <c r="M13" s="491">
        <f t="shared" si="4"/>
        <v>4067597010.8000007</v>
      </c>
      <c r="N13" s="488">
        <f>+SUM('BANCO DE OCCIDENTE III D1'!C39:C42)+SUM('BANCO DE OCCIDENTE III D2'!C39:C42)+SUM('BANCO DE OCCIDENTE III D3'!C39:C42)+SUM('BANCO DE OCCIDENTE III D4'!C36:C39)+SUM('BANCO DE OCCIDENTE III D5'!C35:C38)+SUM('BANCO DE OCCIDENTE III D6'!C35:C38)+SUM('BANCO DE OCCIDENTE III D7'!C31:C34)</f>
        <v>4250000000</v>
      </c>
      <c r="O13" s="488">
        <f>+SUM('BANCO DE OCCIDENTE III D1'!D39:D42)+SUM('BANCO DE OCCIDENTE III D2'!D39:D42)+SUM('BANCO DE OCCIDENTE III D3'!D39:D42)+SUM('BANCO DE OCCIDENTE III D4'!D36:D39)+SUM('BANCO DE OCCIDENTE III D5'!D35:D38)+SUM('BANCO DE OCCIDENTE III D6'!D35:D38)+SUM('BANCO DE OCCIDENTE III D7'!D31:D34)</f>
        <v>867737537.47429979</v>
      </c>
      <c r="P13" s="488">
        <f>+SUM('BANCO DE OCCIDENTE III D1'!E39:E42)+SUM('BANCO DE OCCIDENTE III D2'!E39:E42)+SUM('BANCO DE OCCIDENTE III D3'!E39:E42)+SUM('BANCO DE OCCIDENTE III D4'!E36:E39)+SUM('BANCO DE OCCIDENTE III D5'!E35:E38)+SUM('BANCO DE OCCIDENTE III D6'!E35:E38)+SUM('BANCO DE OCCIDENTE III D7'!E31:E34)</f>
        <v>0</v>
      </c>
      <c r="Q13" s="484">
        <v>0</v>
      </c>
      <c r="R13" s="478">
        <f t="shared" si="9"/>
        <v>5117737537.4742994</v>
      </c>
      <c r="S13" s="491">
        <f t="shared" si="7"/>
        <v>4250000000</v>
      </c>
      <c r="T13" s="488">
        <f>+SUM('BANCO DE OCCIDENTE IV D1 REACT '!C96:C107)+SUM('BANCO DE OCCIDENTE IV D2 REACT'!C94:C105)+SUM('BANCO DE OCCIDENTE IV D3 REACT '!C92:C103)+SUM('BANCO DE OCCIDENTE IV D4 REAC'!C83:C94)+SUM('BANCO DE OCCIDENTE IV D5 REAC'!C83:C94)</f>
        <v>1600000001</v>
      </c>
      <c r="U13" s="478">
        <f>+SUM('BANCO DE OCCIDENTE IV D1 REACT '!D96:D107)+SUM('BANCO DE OCCIDENTE IV D2 REACT'!D94:D105)+SUM('BANCO DE OCCIDENTE IV D3 REACT '!D92:D103)+SUM('BANCO DE OCCIDENTE IV D4 REAC'!D83:D94)+SUM('BANCO DE OCCIDENTE IV D5 REAC'!D83:D94)</f>
        <v>487923134.24516702</v>
      </c>
      <c r="V13" s="478">
        <f>+SUM('BANCO DE OCCIDENTE IV D1 REACT '!E96:E107)+SUM('BANCO DE OCCIDENTE IV D2 REACT'!E94:E105)+SUM('BANCO DE OCCIDENTE IV D3 REACT '!E92:E103)+SUM('BANCO DE OCCIDENTE IV D4 REAC'!E83:E94)+SUM('BANCO DE OCCIDENTE IV D5 REAC'!E83:E94)</f>
        <v>0</v>
      </c>
      <c r="W13" s="484">
        <v>0</v>
      </c>
      <c r="X13" s="478">
        <f t="shared" si="8"/>
        <v>2087923135.245167</v>
      </c>
      <c r="Y13" s="491">
        <f t="shared" si="6"/>
        <v>1600000001</v>
      </c>
    </row>
    <row r="14" spans="1:27" x14ac:dyDescent="0.25">
      <c r="A14" s="477">
        <v>2028</v>
      </c>
      <c r="B14" s="478">
        <f>+SUM('Banco de Occidente I'!C51:C54)</f>
        <v>4134018734.2575769</v>
      </c>
      <c r="C14" s="478">
        <f>+SUM('Banco de Occidente I'!D51:D54)</f>
        <v>84058633.415536642</v>
      </c>
      <c r="D14" s="478">
        <f>+SUM('Banco de Occidente I'!E51:E54)</f>
        <v>0</v>
      </c>
      <c r="E14" s="484">
        <v>0</v>
      </c>
      <c r="F14" s="478">
        <f t="shared" si="0"/>
        <v>4218077367.6731138</v>
      </c>
      <c r="G14" s="491">
        <f t="shared" si="1"/>
        <v>4134018734.2575769</v>
      </c>
      <c r="H14" s="488">
        <f>+SUM('Banco de Occidente II D 1'!C46:C49)+SUM('Banco de Occidente II D 2'!C45:C48)+SUM('Banco de Occidente II D 3'!C45:C48)+SUM('Banco de Occidente II D 4'!C43:C46)+SUM('Banco de Occidente II D 5 REAC'!C105:C116)+SUM('Banco de Occidente II D 6 REAC'!C95:C106)+SUM('Banco de Occidente II D 7 REAC'!C95:C106)</f>
        <v>4067597010.8000007</v>
      </c>
      <c r="I14" s="488">
        <f>+SUM('Banco de Occidente II D 1'!D46:D49)+SUM('Banco de Occidente II D 2'!D45:D48)+SUM('Banco de Occidente II D 3'!D45:D48)+SUM('Banco de Occidente II D 4'!D43:D46)+SUM('Banco de Occidente II D 5 REAC'!D105:D116)+SUM('Banco de Occidente II D 6 REAC'!D95:D106)+SUM('Banco de Occidente II D 7 REAC'!D95:D106)</f>
        <v>974832593.0320977</v>
      </c>
      <c r="J14" s="488">
        <f>+SUM('Banco de Occidente II D 1'!E46:E49)+SUM('Banco de Occidente II D 2'!E45:E48)+SUM('Banco de Occidente II D 3'!E45:E48)+SUM('Banco de Occidente II D 4'!E43:E46)+SUM('Banco de Occidente II D 5 REAC'!E105:E116)+SUM('Banco de Occidente II D 6 REAC'!E95:E106)+SUM('Banco de Occidente II D 7 REAC'!E95:E106)</f>
        <v>0</v>
      </c>
      <c r="K14" s="484">
        <v>0</v>
      </c>
      <c r="L14" s="478">
        <f t="shared" si="2"/>
        <v>5042429603.832098</v>
      </c>
      <c r="M14" s="491">
        <f t="shared" si="4"/>
        <v>4067597010.8000007</v>
      </c>
      <c r="N14" s="488">
        <f>+SUM('BANCO DE OCCIDENTE III D1'!C43:C46)+SUM('BANCO DE OCCIDENTE III D2'!C43:C46)+SUM('BANCO DE OCCIDENTE III D3'!C43:C46)+SUM('BANCO DE OCCIDENTE III D4'!C40:C43)+SUM('BANCO DE OCCIDENTE III D5'!C39:C42)+SUM('BANCO DE OCCIDENTE III D6'!C39:C42)+SUM('BANCO DE OCCIDENTE III D7'!C35:C38)</f>
        <v>4250000000</v>
      </c>
      <c r="O14" s="488">
        <f>+SUM('BANCO DE OCCIDENTE III D1'!D43:D46)+SUM('BANCO DE OCCIDENTE III D2'!D43:D46)+SUM('BANCO DE OCCIDENTE III D3'!D43:D46)+SUM('BANCO DE OCCIDENTE III D4'!D40:D43)+SUM('BANCO DE OCCIDENTE III D5'!D39:D42)+SUM('BANCO DE OCCIDENTE III D6'!D39:D42)+SUM('BANCO DE OCCIDENTE III D7'!D35:D38)</f>
        <v>477775944.97635227</v>
      </c>
      <c r="P14" s="488">
        <f>+SUM('BANCO DE OCCIDENTE III D1'!E43:E46)+SUM('BANCO DE OCCIDENTE III D2'!E43:E46)+SUM('BANCO DE OCCIDENTE III D3'!E43:E46)+SUM('BANCO DE OCCIDENTE III D4'!E40:E43)+SUM('BANCO DE OCCIDENTE III D5'!E39:E42)+SUM('BANCO DE OCCIDENTE III D6'!E39:E42)+SUM('BANCO DE OCCIDENTE III D7'!E35:E38)</f>
        <v>0</v>
      </c>
      <c r="Q14" s="484">
        <v>0</v>
      </c>
      <c r="R14" s="478">
        <f t="shared" si="9"/>
        <v>4727775944.9763527</v>
      </c>
      <c r="S14" s="491">
        <f t="shared" si="7"/>
        <v>4250000000</v>
      </c>
      <c r="T14" s="488">
        <f>+SUM('BANCO DE OCCIDENTE IV D1 REACT '!C108:C119)+SUM('BANCO DE OCCIDENTE IV D2 REACT'!C106:C117)+SUM('BANCO DE OCCIDENTE IV D3 REACT '!C104:C115)+SUM('BANCO DE OCCIDENTE IV D4 REAC'!C95:C106)+SUM('BANCO DE OCCIDENTE IV D5 REAC'!C95:C106)</f>
        <v>1600000001</v>
      </c>
      <c r="U14" s="478">
        <f>+SUM('BANCO DE OCCIDENTE IV D1 REACT '!D108:D119)+SUM('BANCO DE OCCIDENTE IV D2 REACT'!D106:D117)+SUM('BANCO DE OCCIDENTE IV D3 REACT '!D104:D115)+SUM('BANCO DE OCCIDENTE IV D4 REAC'!D95:D106)+SUM('BANCO DE OCCIDENTE IV D5 REAC'!D95:D106)</f>
        <v>374760881.85516691</v>
      </c>
      <c r="V14" s="478">
        <f>+SUM('BANCO DE OCCIDENTE IV D1 REACT '!E108:E119)+SUM('BANCO DE OCCIDENTE IV D2 REACT'!E106:E117)+SUM('BANCO DE OCCIDENTE IV D3 REACT '!E104:E115)+SUM('BANCO DE OCCIDENTE IV D4 REAC'!E95:E106)+SUM('BANCO DE OCCIDENTE IV D5 REAC'!E95:E106)</f>
        <v>0</v>
      </c>
      <c r="W14" s="484">
        <v>0</v>
      </c>
      <c r="X14" s="478">
        <f t="shared" si="8"/>
        <v>1974760882.8551669</v>
      </c>
      <c r="Y14" s="491">
        <f t="shared" si="6"/>
        <v>1600000001</v>
      </c>
    </row>
    <row r="15" spans="1:27" x14ac:dyDescent="0.25">
      <c r="A15" s="477">
        <v>2029</v>
      </c>
      <c r="B15" s="478">
        <f>+SUM('Banco de Occidente I'!C55)</f>
        <v>1033504683.5643942</v>
      </c>
      <c r="C15" s="478">
        <f>+SUM('Banco de Occidente I'!D55)</f>
        <v>6004188.1011096705</v>
      </c>
      <c r="D15" s="478">
        <f>+SUM('Banco de Occidente I'!E55)</f>
        <v>0</v>
      </c>
      <c r="E15" s="484">
        <v>0</v>
      </c>
      <c r="F15" s="478">
        <f t="shared" si="0"/>
        <v>1039508871.6655039</v>
      </c>
      <c r="G15" s="491">
        <f t="shared" si="1"/>
        <v>1033504683.5643942</v>
      </c>
      <c r="H15" s="488">
        <f>+SUM('Banco de Occidente II D 1'!C50:C53)+SUM('Banco de Occidente II D 2'!C49:C52)+SUM('Banco de Occidente II D 3'!C49:C52)+SUM('Banco de Occidente II D 4'!C47:C50)+SUM('Banco de Occidente II D 5 REAC'!C117:C128)+SUM('Banco de Occidente II D 6 REAC'!C107:C118)+SUM('Banco de Occidente II D 7 REAC'!C107:C118)</f>
        <v>4067597010.8000007</v>
      </c>
      <c r="I15" s="488">
        <f>+SUM('Banco de Occidente II D 1'!D50:D53)+SUM('Banco de Occidente II D 2'!D49:D52)+SUM('Banco de Occidente II D 3'!D49:D52)+SUM('Banco de Occidente II D 4'!D47:D50)+SUM('Banco de Occidente II D 5 REAC'!D117:D128)+SUM('Banco de Occidente II D 6 REAC'!D107:D118)+SUM('Banco de Occidente II D 7 REAC'!D107:D118)</f>
        <v>613960468.13999772</v>
      </c>
      <c r="J15" s="488">
        <f>+SUM('Banco de Occidente II D 1'!E50:E53)+SUM('Banco de Occidente II D 2'!E49:E52)+SUM('Banco de Occidente II D 3'!E49:E52)+SUM('Banco de Occidente II D 4'!E47:E50)+SUM('Banco de Occidente II D 5 REAC'!E117:E128)+SUM('Banco de Occidente II D 6 REAC'!E107:E118)+SUM('Banco de Occidente II D 7 REAC'!E107:E118)</f>
        <v>0</v>
      </c>
      <c r="K15" s="484">
        <v>0</v>
      </c>
      <c r="L15" s="478">
        <f t="shared" si="2"/>
        <v>4681557478.9399986</v>
      </c>
      <c r="M15" s="491">
        <f t="shared" si="4"/>
        <v>4067597010.8000007</v>
      </c>
      <c r="N15" s="488">
        <f>+SUM('BANCO DE OCCIDENTE III D4'!C44:C46)+SUM('BANCO DE OCCIDENTE III D5'!C43:C46)+SUM('BANCO DE OCCIDENTE III D6'!C43:C46)+SUM('BANCO DE OCCIDENTE III D7'!C39:C42)</f>
        <v>2360638427.21875</v>
      </c>
      <c r="O15" s="488">
        <f>+SUM('BANCO DE OCCIDENTE III D4'!D44:D46)+SUM('BANCO DE OCCIDENTE III D5'!D43:D46)+SUM('BANCO DE OCCIDENTE III D6'!D43:D46)+SUM('BANCO DE OCCIDENTE III D7'!D39:D42)</f>
        <v>148185929.55293596</v>
      </c>
      <c r="P15" s="488">
        <f>+SUM('BANCO DE OCCIDENTE III D4'!E44:E46)+SUM('BANCO DE OCCIDENTE III D5'!E43:E46)+SUM('BANCO DE OCCIDENTE III D6'!E43:E46)+SUM('BANCO DE OCCIDENTE III D7'!E39:E42)</f>
        <v>0</v>
      </c>
      <c r="Q15" s="484">
        <v>0</v>
      </c>
      <c r="R15" s="478">
        <f t="shared" si="9"/>
        <v>2508824356.7716861</v>
      </c>
      <c r="S15" s="491">
        <f t="shared" si="7"/>
        <v>2360638427.21875</v>
      </c>
      <c r="T15" s="488">
        <f>+SUM('BANCO DE OCCIDENTE IV D1 REACT '!C120:C131)+SUM('BANCO DE OCCIDENTE IV D2 REACT'!C118:C129)+SUM('BANCO DE OCCIDENTE IV D3 REACT '!C116:C127)+SUM('BANCO DE OCCIDENTE IV D4 REAC'!C107:C118)+SUM('BANCO DE OCCIDENTE IV D5 REAC'!C107:C118)</f>
        <v>1600000001</v>
      </c>
      <c r="U15" s="478">
        <f>+SUM('BANCO DE OCCIDENTE IV D1 REACT '!D120:D131)+SUM('BANCO DE OCCIDENTE IV D2 REACT'!D118:D129)+SUM('BANCO DE OCCIDENTE IV D3 REACT '!D116:D127)+SUM('BANCO DE OCCIDENTE IV D4 REAC'!D107:D118)+SUM('BANCO DE OCCIDENTE IV D5 REAC'!D107:D118)</f>
        <v>261598629.4651669</v>
      </c>
      <c r="V15" s="478">
        <f>+SUM('BANCO DE OCCIDENTE IV D1 REACT '!E120:E131)+SUM('BANCO DE OCCIDENTE IV D2 REACT'!E118:E129)+SUM('BANCO DE OCCIDENTE IV D3 REACT '!E116:E127)+SUM('BANCO DE OCCIDENTE IV D4 REAC'!E107:E118)+SUM('BANCO DE OCCIDENTE IV D5 REAC'!E107:E118)</f>
        <v>0</v>
      </c>
      <c r="W15" s="484">
        <v>0</v>
      </c>
      <c r="X15" s="478">
        <f t="shared" si="8"/>
        <v>1861598630.4651668</v>
      </c>
      <c r="Y15" s="491">
        <f t="shared" si="6"/>
        <v>1600000001</v>
      </c>
    </row>
    <row r="16" spans="1:27" x14ac:dyDescent="0.25">
      <c r="A16" s="477">
        <v>2030</v>
      </c>
      <c r="B16" s="475">
        <v>0</v>
      </c>
      <c r="C16" s="475">
        <v>0</v>
      </c>
      <c r="D16" s="475">
        <v>0</v>
      </c>
      <c r="E16" s="485">
        <v>0</v>
      </c>
      <c r="F16" s="478">
        <f t="shared" si="0"/>
        <v>0</v>
      </c>
      <c r="G16" s="491">
        <f t="shared" si="1"/>
        <v>0</v>
      </c>
      <c r="H16" s="488">
        <f>+'Banco de Occidente II D 1'!C54+SUM('Banco de Occidente II D 2'!C53:C54)+SUM('Banco de Occidente II D 3'!C53:C54)+SUM('Banco de Occidente II D 4'!C51:C54)+SUM('Banco de Occidente II D 5 REAC'!C129:C140)+SUM('Banco de Occidente II D 6 REAC'!C119:C130)+SUM('Banco de Occidente II D 7 REAC'!C119:C130)</f>
        <v>2936709421.8000002</v>
      </c>
      <c r="I16" s="488">
        <f>+'Banco de Occidente II D 1'!D54+SUM('Banco de Occidente II D 2'!D53:D54)+SUM('Banco de Occidente II D 3'!D53:D54)+SUM('Banco de Occidente II D 4'!D51:D54)+SUM('Banco de Occidente II D 5 REAC'!D129:D140)+SUM('Banco de Occidente II D 6 REAC'!D119:D130)+SUM('Banco de Occidente II D 7 REAC'!D119:D130)</f>
        <v>275401784.17902255</v>
      </c>
      <c r="J16" s="488">
        <f>+'Banco de Occidente II D 1'!E54+SUM('Banco de Occidente II D 2'!E53:E54)+SUM('Banco de Occidente II D 3'!E53:E54)+SUM('Banco de Occidente II D 4'!E51:E54)+SUM('Banco de Occidente II D 5 REAC'!E129:E140)+SUM('Banco de Occidente II D 6 REAC'!E119:E130)+SUM('Banco de Occidente II D 7 REAC'!E119:E130)</f>
        <v>0</v>
      </c>
      <c r="K16" s="485">
        <v>0</v>
      </c>
      <c r="L16" s="478">
        <f t="shared" si="2"/>
        <v>3212111205.979023</v>
      </c>
      <c r="M16" s="491">
        <f t="shared" si="4"/>
        <v>2936709421.8000002</v>
      </c>
      <c r="N16" s="488">
        <f>+SUM('BANCO DE OCCIDENTE III D7'!C43:C46)</f>
        <v>157009985.75</v>
      </c>
      <c r="O16" s="488">
        <f>+SUM('BANCO DE OCCIDENTE III D7'!D43:D46)</f>
        <v>8831811.6984375007</v>
      </c>
      <c r="P16" s="488">
        <f>+SUM('BANCO DE OCCIDENTE III D7'!E43:E46)</f>
        <v>0</v>
      </c>
      <c r="Q16" s="485">
        <v>0</v>
      </c>
      <c r="R16" s="478">
        <f t="shared" si="9"/>
        <v>165841797.44843751</v>
      </c>
      <c r="S16" s="491">
        <f t="shared" si="7"/>
        <v>157009985.75</v>
      </c>
      <c r="T16" s="488">
        <f>+SUM('BANCO DE OCCIDENTE IV D1 REACT '!C132:C143)+SUM('BANCO DE OCCIDENTE IV D2 REACT'!C130:C141)+SUM('BANCO DE OCCIDENTE IV D3 REACT '!C128:C139)+SUM('BANCO DE OCCIDENTE IV D4 REAC'!C119:C130)+SUM('BANCO DE OCCIDENTE IV D5 REAC'!C119:C130)</f>
        <v>1600000001</v>
      </c>
      <c r="U16" s="478">
        <f>+SUM('BANCO DE OCCIDENTE IV D1 REACT '!D132:D143)+SUM('BANCO DE OCCIDENTE IV D2 REACT'!D130:D141)+SUM('BANCO DE OCCIDENTE IV D3 REACT '!D128:D139)+SUM('BANCO DE OCCIDENTE IV D4 REAC'!D119:D130)+SUM('BANCO DE OCCIDENTE IV D5 REAC'!D119:D130)</f>
        <v>148436377.07516688</v>
      </c>
      <c r="V16" s="478">
        <f>+SUM('BANCO DE OCCIDENTE IV D1 REACT '!E132:E143)+SUM('BANCO DE OCCIDENTE IV D2 REACT'!E130:E141)+SUM('BANCO DE OCCIDENTE IV D3 REACT '!E128:E139)+SUM('BANCO DE OCCIDENTE IV D4 REAC'!E119:E130)+SUM('BANCO DE OCCIDENTE IV D5 REAC'!E119:E130)</f>
        <v>0</v>
      </c>
      <c r="W16" s="485">
        <v>0</v>
      </c>
      <c r="X16" s="478">
        <f t="shared" si="8"/>
        <v>1748436378.0751669</v>
      </c>
      <c r="Y16" s="491">
        <f t="shared" si="6"/>
        <v>1600000001</v>
      </c>
    </row>
    <row r="17" spans="1:26" x14ac:dyDescent="0.25">
      <c r="A17" s="477">
        <v>2031</v>
      </c>
      <c r="B17" s="475">
        <v>0</v>
      </c>
      <c r="C17" s="475">
        <v>0</v>
      </c>
      <c r="D17" s="475">
        <v>0</v>
      </c>
      <c r="E17" s="485">
        <v>0</v>
      </c>
      <c r="F17" s="478">
        <f t="shared" si="0"/>
        <v>0</v>
      </c>
      <c r="G17" s="491">
        <f t="shared" si="1"/>
        <v>0</v>
      </c>
      <c r="H17" s="488">
        <f>+SUM('Banco de Occidente II D 5 REAC'!C141:C150)+SUM('Banco de Occidente II D 6 REAC'!C131:C142)+SUM('Banco de Occidente II D 7 REAC'!C131:C142)</f>
        <v>1416012198.3333337</v>
      </c>
      <c r="I17" s="488">
        <f>+SUM('Banco de Occidente II D 5 REAC'!D141:D150)+SUM('Banco de Occidente II D 6 REAC'!D131:D142)+SUM('Banco de Occidente II D 7 REAC'!D131:D142)</f>
        <v>101249940.90069576</v>
      </c>
      <c r="J17" s="488">
        <f>+SUM('Banco de Occidente II D 5 REAC'!E141:E150)+SUM('Banco de Occidente II D 6 REAC'!E131:E142)+SUM('Banco de Occidente II D 7 REAC'!E131:E142)</f>
        <v>0</v>
      </c>
      <c r="K17" s="485">
        <v>0</v>
      </c>
      <c r="L17" s="478">
        <f t="shared" si="2"/>
        <v>1517262139.2340295</v>
      </c>
      <c r="M17" s="491">
        <f t="shared" si="4"/>
        <v>1416012198.3333337</v>
      </c>
      <c r="N17" s="487">
        <v>0</v>
      </c>
      <c r="O17" s="487">
        <v>0</v>
      </c>
      <c r="P17" s="487">
        <v>0</v>
      </c>
      <c r="Q17" s="485">
        <v>0</v>
      </c>
      <c r="R17" s="478">
        <f t="shared" si="9"/>
        <v>0</v>
      </c>
      <c r="S17" s="491">
        <f t="shared" si="7"/>
        <v>0</v>
      </c>
      <c r="T17" s="488">
        <f>+SUM('BANCO DE OCCIDENTE IV D1 REACT '!C144:C150)+SUM('BANCO DE OCCIDENTE IV D2 REACT'!C142:C150)+SUM('BANCO DE OCCIDENTE IV D3 REACT '!C140:C150)+SUM('BANCO DE OCCIDENTE IV D4 REAC'!C131:C142)+SUM('BANCO DE OCCIDENTE IV D5 REAC'!C131:C142)</f>
        <v>1178444980.5833335</v>
      </c>
      <c r="U17" s="478">
        <f>+SUM('BANCO DE OCCIDENTE IV D1 REACT '!D144:D150)+SUM('BANCO DE OCCIDENTE IV D2 REACT'!D142:D150)+SUM('BANCO DE OCCIDENTE IV D3 REACT '!D140:D150)+SUM('BANCO DE OCCIDENTE IV D4 REAC'!D131:D142)+SUM('BANCO DE OCCIDENTE IV D5 REAC'!D131:D142)</f>
        <v>39180533.383083552</v>
      </c>
      <c r="V17" s="478">
        <f>+SUM('BANCO DE OCCIDENTE IV D1 REACT '!E144:E150)+SUM('BANCO DE OCCIDENTE IV D2 REACT'!E142:E150)+SUM('BANCO DE OCCIDENTE IV D3 REACT '!E140:E150)+SUM('BANCO DE OCCIDENTE IV D4 REAC'!E131:E142)+SUM('BANCO DE OCCIDENTE IV D5 REAC'!E131:E142)</f>
        <v>0</v>
      </c>
      <c r="W17" s="485">
        <v>0</v>
      </c>
      <c r="X17" s="478">
        <f t="shared" si="8"/>
        <v>1217625513.9664171</v>
      </c>
      <c r="Y17" s="491">
        <f t="shared" si="6"/>
        <v>1178444980.5833335</v>
      </c>
    </row>
    <row r="18" spans="1:26" x14ac:dyDescent="0.25">
      <c r="A18" s="477">
        <v>2032</v>
      </c>
      <c r="B18" s="475">
        <v>0</v>
      </c>
      <c r="C18" s="475">
        <v>0</v>
      </c>
      <c r="D18" s="475">
        <v>0</v>
      </c>
      <c r="E18" s="485">
        <v>0</v>
      </c>
      <c r="F18" s="478">
        <f t="shared" si="0"/>
        <v>0</v>
      </c>
      <c r="G18" s="491">
        <f t="shared" si="1"/>
        <v>0</v>
      </c>
      <c r="H18" s="488">
        <f>+SUM('Banco de Occidente II D 6 REAC'!C143:C150)+SUM('Banco de Occidente II D 7 REAC'!C143:C150)</f>
        <v>708819676.66666687</v>
      </c>
      <c r="I18" s="488">
        <f>+SUM('Banco de Occidente II D 6 REAC'!D143:D150)+SUM('Banco de Occidente II D 7 REAC'!D143:D150)</f>
        <v>18606516.512501143</v>
      </c>
      <c r="J18" s="488">
        <f>+SUM('Banco de Occidente II D 6 REAC'!E143:E150)+SUM('Banco de Occidente II D 7 REAC'!E143:E150)</f>
        <v>0</v>
      </c>
      <c r="K18" s="485">
        <v>0</v>
      </c>
      <c r="L18" s="478">
        <f t="shared" si="2"/>
        <v>727426193.17916799</v>
      </c>
      <c r="M18" s="491">
        <f t="shared" si="4"/>
        <v>708819676.66666687</v>
      </c>
      <c r="N18" s="487">
        <v>0</v>
      </c>
      <c r="O18" s="487">
        <v>0</v>
      </c>
      <c r="P18" s="487">
        <v>0</v>
      </c>
      <c r="Q18" s="485">
        <v>0</v>
      </c>
      <c r="R18" s="478">
        <f t="shared" si="9"/>
        <v>0</v>
      </c>
      <c r="S18" s="491">
        <f t="shared" si="7"/>
        <v>0</v>
      </c>
      <c r="T18" s="488">
        <f>+SUM('BANCO DE OCCIDENTE IV D4 REAC'!C143:C150)+SUM('BANCO DE OCCIDENTE IV D5 REAC'!C143:C150)</f>
        <v>38741734</v>
      </c>
      <c r="U18" s="478">
        <f>+SUM('BANCO DE OCCIDENTE IV D4 REAC'!D143:D150)+SUM('BANCO DE OCCIDENTE IV D5 REAC'!D143:D150)</f>
        <v>1307533.2665000008</v>
      </c>
      <c r="V18" s="478">
        <f>+SUM('BANCO DE OCCIDENTE IV D4 REAC'!E143:E150)+SUM('BANCO DE OCCIDENTE IV D5 REAC'!E143:E150)</f>
        <v>0</v>
      </c>
      <c r="W18" s="485">
        <v>0</v>
      </c>
      <c r="X18" s="478">
        <f t="shared" si="8"/>
        <v>40049267.266500004</v>
      </c>
      <c r="Y18" s="491">
        <f t="shared" si="6"/>
        <v>38741734</v>
      </c>
    </row>
    <row r="19" spans="1:26" x14ac:dyDescent="0.25">
      <c r="A19" s="477">
        <v>2033</v>
      </c>
      <c r="B19" s="475">
        <v>0</v>
      </c>
      <c r="C19" s="475">
        <v>0</v>
      </c>
      <c r="D19" s="475">
        <v>0</v>
      </c>
      <c r="E19" s="485">
        <v>0</v>
      </c>
      <c r="F19" s="478">
        <f t="shared" si="0"/>
        <v>0</v>
      </c>
      <c r="G19" s="491">
        <f t="shared" si="1"/>
        <v>0</v>
      </c>
      <c r="H19" s="487">
        <v>0</v>
      </c>
      <c r="I19" s="487">
        <v>0</v>
      </c>
      <c r="J19" s="487">
        <v>0</v>
      </c>
      <c r="K19" s="485">
        <v>0</v>
      </c>
      <c r="L19" s="478">
        <f t="shared" si="2"/>
        <v>0</v>
      </c>
      <c r="M19" s="491">
        <f t="shared" si="4"/>
        <v>0</v>
      </c>
      <c r="N19" s="487">
        <v>0</v>
      </c>
      <c r="O19" s="487">
        <v>0</v>
      </c>
      <c r="P19" s="487">
        <v>0</v>
      </c>
      <c r="Q19" s="485">
        <v>0</v>
      </c>
      <c r="R19" s="478">
        <f t="shared" si="9"/>
        <v>0</v>
      </c>
      <c r="S19" s="491">
        <f t="shared" si="7"/>
        <v>0</v>
      </c>
      <c r="T19" s="487">
        <v>0</v>
      </c>
      <c r="U19" s="475">
        <v>0</v>
      </c>
      <c r="V19" s="475">
        <v>0</v>
      </c>
      <c r="W19" s="485">
        <v>0</v>
      </c>
      <c r="X19" s="478">
        <f t="shared" si="8"/>
        <v>0</v>
      </c>
      <c r="Y19" s="491">
        <f t="shared" si="6"/>
        <v>0</v>
      </c>
    </row>
    <row r="20" spans="1:26" x14ac:dyDescent="0.25">
      <c r="A20" s="480" t="s">
        <v>11</v>
      </c>
      <c r="B20" s="481">
        <f>SUM(B3:B19)</f>
        <v>39999999817</v>
      </c>
      <c r="C20" s="481">
        <f t="shared" ref="C20:T20" si="10">SUM(C3:C19)</f>
        <v>11276606266.153936</v>
      </c>
      <c r="D20" s="481">
        <f t="shared" ref="D20" si="11">SUM(D3:D19)</f>
        <v>6910712154.2297773</v>
      </c>
      <c r="E20" s="481">
        <f t="shared" ref="E20" si="12">SUM(E3:E19)</f>
        <v>817601215.75</v>
      </c>
      <c r="F20" s="481">
        <f t="shared" ref="F20" si="13">SUM(F3:F19)</f>
        <v>52094207298.903946</v>
      </c>
      <c r="G20" s="493">
        <f t="shared" ref="G20" si="14">SUM(G3:G19)</f>
        <v>46910711971.229782</v>
      </c>
      <c r="H20" s="489">
        <f>SUM(H3:H19)</f>
        <v>40000000000.000008</v>
      </c>
      <c r="I20" s="489">
        <f t="shared" ref="I20" si="15">SUM(I3:I19)</f>
        <v>23886045237.770008</v>
      </c>
      <c r="J20" s="489">
        <f t="shared" ref="J20" si="16">SUM(J3:J19)</f>
        <v>4467050335.5013065</v>
      </c>
      <c r="K20" s="489">
        <f t="shared" ref="K20" si="17">SUM(K3:K19)</f>
        <v>1257440379.412915</v>
      </c>
      <c r="L20" s="489">
        <f t="shared" ref="L20" si="18">SUM(L3:L19)</f>
        <v>65143485617.18293</v>
      </c>
      <c r="M20" s="496">
        <f t="shared" ref="M20" si="19">SUM(M3:M19)</f>
        <v>44656353257.041893</v>
      </c>
      <c r="N20" s="498">
        <f>SUM(N3:N19)</f>
        <v>34000000000</v>
      </c>
      <c r="O20" s="489">
        <f t="shared" ref="O20" si="20">SUM(O3:O19)</f>
        <v>17738233832.020641</v>
      </c>
      <c r="P20" s="489">
        <f t="shared" ref="P20" si="21">SUM(P3:P19)</f>
        <v>2478835050.8069477</v>
      </c>
      <c r="Q20" s="489">
        <f t="shared" ref="Q20" si="22">SUM(Q3:Q19)</f>
        <v>1291207111.4163985</v>
      </c>
      <c r="R20" s="489">
        <f t="shared" ref="R20" si="23">SUM(R3:R19)</f>
        <v>53029440943.437042</v>
      </c>
      <c r="S20" s="496">
        <f>SUM(S3:S19)</f>
        <v>36640235938.733994</v>
      </c>
      <c r="T20" s="498">
        <f t="shared" si="10"/>
        <v>15999999999.891668</v>
      </c>
      <c r="U20" s="489">
        <f t="shared" ref="U20" si="24">SUM(U3:U19)</f>
        <v>7300624145.7671785</v>
      </c>
      <c r="V20" s="489">
        <f t="shared" ref="V20" si="25">SUM(V3:V19)</f>
        <v>703462719.01691651</v>
      </c>
      <c r="W20" s="489">
        <f>SUM(W3:W19)</f>
        <v>450939951</v>
      </c>
      <c r="X20" s="489">
        <f t="shared" ref="X20" si="26">SUM(X3:X19)</f>
        <v>23751564096.658844</v>
      </c>
      <c r="Y20" s="496">
        <f t="shared" ref="Y20" si="27">SUM(Y3:Y19)</f>
        <v>16864876900.408583</v>
      </c>
      <c r="Z20" s="497"/>
    </row>
    <row r="22" spans="1:26" x14ac:dyDescent="0.25">
      <c r="A22" s="499" t="s">
        <v>3167</v>
      </c>
      <c r="K22" s="54"/>
    </row>
  </sheetData>
  <mergeCells count="4">
    <mergeCell ref="B1:G1"/>
    <mergeCell ref="H1:M1"/>
    <mergeCell ref="N1:S1"/>
    <mergeCell ref="T1:Y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8EEFC"/>
  </sheetPr>
  <dimension ref="A1:S72"/>
  <sheetViews>
    <sheetView topLeftCell="A4" zoomScale="90" zoomScaleNormal="90" workbookViewId="0">
      <selection activeCell="A18" sqref="A18:XFD18"/>
    </sheetView>
  </sheetViews>
  <sheetFormatPr baseColWidth="10" defaultColWidth="11.5703125" defaultRowHeight="15" x14ac:dyDescent="0.25"/>
  <cols>
    <col min="1" max="1" width="15" customWidth="1"/>
    <col min="2" max="2" width="19.7109375" customWidth="1"/>
    <col min="3" max="3" width="18.5703125" customWidth="1"/>
    <col min="4" max="5" width="15.7109375" customWidth="1"/>
    <col min="6" max="7" width="19" customWidth="1"/>
    <col min="8" max="8" width="15.140625" customWidth="1"/>
    <col min="9" max="9" width="16.85546875" customWidth="1"/>
    <col min="10" max="10" width="17.7109375" customWidth="1"/>
    <col min="11" max="11" width="14.140625" bestFit="1" customWidth="1"/>
    <col min="12" max="12" width="13.5703125"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3" x14ac:dyDescent="0.25">
      <c r="A1" s="511" t="s">
        <v>2</v>
      </c>
      <c r="B1" s="512"/>
      <c r="C1" s="512"/>
      <c r="D1" s="512"/>
      <c r="E1" s="512"/>
      <c r="F1" s="512"/>
      <c r="G1" s="512"/>
      <c r="H1" s="512"/>
    </row>
    <row r="2" spans="1:13" ht="15.75" customHeight="1" x14ac:dyDescent="0.25">
      <c r="A2" s="511" t="s">
        <v>3068</v>
      </c>
      <c r="B2" s="512"/>
      <c r="C2" s="512"/>
      <c r="D2" s="512"/>
      <c r="E2" s="512"/>
      <c r="F2" s="512"/>
      <c r="G2" s="512"/>
      <c r="H2" s="512"/>
    </row>
    <row r="3" spans="1:13" ht="15.75" customHeight="1" x14ac:dyDescent="0.25">
      <c r="A3" s="511" t="s">
        <v>3069</v>
      </c>
      <c r="B3" s="512"/>
      <c r="C3" s="512"/>
      <c r="D3" s="512"/>
      <c r="E3" s="512"/>
      <c r="F3" s="512"/>
      <c r="G3" s="512"/>
      <c r="H3" s="512"/>
    </row>
    <row r="4" spans="1:13" ht="15.75" thickBot="1" x14ac:dyDescent="0.3">
      <c r="A4" s="513" t="s">
        <v>3089</v>
      </c>
      <c r="B4" s="514"/>
      <c r="C4" s="514"/>
      <c r="D4" s="514"/>
      <c r="E4" s="514"/>
      <c r="F4" s="514"/>
      <c r="G4" s="514"/>
      <c r="H4" s="514"/>
    </row>
    <row r="5" spans="1:13" ht="45.75" thickBot="1" x14ac:dyDescent="0.3">
      <c r="A5" s="1">
        <v>43088</v>
      </c>
      <c r="B5" s="2" t="s">
        <v>6</v>
      </c>
      <c r="C5" s="3" t="s">
        <v>7</v>
      </c>
      <c r="D5" s="3" t="s">
        <v>40</v>
      </c>
      <c r="E5" s="3" t="s">
        <v>41</v>
      </c>
      <c r="F5" s="3" t="s">
        <v>3137</v>
      </c>
      <c r="G5" s="4" t="s">
        <v>3078</v>
      </c>
      <c r="H5" s="5" t="s">
        <v>8</v>
      </c>
    </row>
    <row r="6" spans="1:13" x14ac:dyDescent="0.25">
      <c r="A6" s="6">
        <f>'Banco de Occidente II  Cupo'!A5</f>
        <v>43132</v>
      </c>
      <c r="B6" s="104" t="s">
        <v>359</v>
      </c>
      <c r="C6" s="8">
        <v>0</v>
      </c>
      <c r="D6" s="8">
        <v>0</v>
      </c>
      <c r="E6" s="8"/>
      <c r="F6" s="8"/>
      <c r="G6" s="8"/>
      <c r="H6" s="9">
        <v>8400000000</v>
      </c>
    </row>
    <row r="7" spans="1:13" x14ac:dyDescent="0.25">
      <c r="A7" s="6">
        <f>'Banco de Occidente II  Cupo'!A6</f>
        <v>43221</v>
      </c>
      <c r="B7" s="11" t="s">
        <v>9</v>
      </c>
      <c r="C7" s="294">
        <v>0</v>
      </c>
      <c r="D7" s="294">
        <f>H6*$B$61*B$60/360</f>
        <v>195153000.00000003</v>
      </c>
      <c r="E7" s="294">
        <v>195152999.99999991</v>
      </c>
      <c r="F7" s="294"/>
      <c r="G7" s="294">
        <f>E7+C7+F7</f>
        <v>195152999.99999991</v>
      </c>
      <c r="H7" s="298">
        <f t="shared" ref="H7:H54" si="0">+H6-C7</f>
        <v>8400000000</v>
      </c>
      <c r="I7" s="105"/>
    </row>
    <row r="8" spans="1:13" x14ac:dyDescent="0.25">
      <c r="A8" s="6">
        <f>'Banco de Occidente II  Cupo'!A7</f>
        <v>43313</v>
      </c>
      <c r="B8" s="11" t="s">
        <v>9</v>
      </c>
      <c r="C8" s="294">
        <v>0</v>
      </c>
      <c r="D8" s="294">
        <f>H7*$C$61*C$60/360</f>
        <v>189378000.00000003</v>
      </c>
      <c r="E8" s="294">
        <v>189378000.0000003</v>
      </c>
      <c r="F8" s="294"/>
      <c r="G8" s="294">
        <f t="shared" ref="G8:G53" si="1">E8+C8+F8</f>
        <v>189378000.0000003</v>
      </c>
      <c r="H8" s="298">
        <f t="shared" si="0"/>
        <v>8400000000</v>
      </c>
      <c r="I8" s="105"/>
    </row>
    <row r="9" spans="1:13" x14ac:dyDescent="0.25">
      <c r="A9" s="6">
        <f>'Banco de Occidente II  Cupo'!A8</f>
        <v>43405</v>
      </c>
      <c r="B9" s="11" t="s">
        <v>9</v>
      </c>
      <c r="C9" s="294">
        <v>0</v>
      </c>
      <c r="D9" s="294">
        <f>H8*$D$61*D$60/360</f>
        <v>190533000</v>
      </c>
      <c r="E9" s="294">
        <v>190532999.99999949</v>
      </c>
      <c r="F9" s="294"/>
      <c r="G9" s="294">
        <f t="shared" si="1"/>
        <v>190532999.99999949</v>
      </c>
      <c r="H9" s="298">
        <f t="shared" si="0"/>
        <v>8400000000</v>
      </c>
      <c r="I9" s="105"/>
    </row>
    <row r="10" spans="1:13" x14ac:dyDescent="0.25">
      <c r="A10" s="299">
        <f>'Banco de Occidente II  Cupo'!A9</f>
        <v>43497</v>
      </c>
      <c r="B10" s="11" t="s">
        <v>9</v>
      </c>
      <c r="C10" s="294">
        <v>0</v>
      </c>
      <c r="D10" s="294">
        <f>H9*$E$61*$E$60/360</f>
        <v>191247000.00000003</v>
      </c>
      <c r="E10" s="294">
        <v>191267999.5426271</v>
      </c>
      <c r="F10" s="294"/>
      <c r="G10" s="294">
        <f t="shared" si="1"/>
        <v>191267999.5426271</v>
      </c>
      <c r="H10" s="298">
        <f t="shared" si="0"/>
        <v>8400000000</v>
      </c>
      <c r="I10" s="105"/>
    </row>
    <row r="11" spans="1:13" x14ac:dyDescent="0.25">
      <c r="A11" s="6">
        <f>'Banco de Occidente II  Cupo'!A10</f>
        <v>43586</v>
      </c>
      <c r="B11" s="11" t="s">
        <v>9</v>
      </c>
      <c r="C11" s="294">
        <v>0</v>
      </c>
      <c r="D11" s="294">
        <f>H10*$F$61*$F$60/360</f>
        <v>190722000.00000003</v>
      </c>
      <c r="E11" s="294">
        <v>190721999.99999979</v>
      </c>
      <c r="F11" s="294"/>
      <c r="G11" s="294">
        <f t="shared" si="1"/>
        <v>190721999.99999979</v>
      </c>
      <c r="H11" s="298">
        <f t="shared" si="0"/>
        <v>8400000000</v>
      </c>
      <c r="I11" s="105"/>
    </row>
    <row r="12" spans="1:13" x14ac:dyDescent="0.25">
      <c r="A12" s="6">
        <f>'Banco de Occidente II  Cupo'!A11</f>
        <v>43678</v>
      </c>
      <c r="B12" s="11" t="s">
        <v>9</v>
      </c>
      <c r="C12" s="294">
        <v>0</v>
      </c>
      <c r="D12" s="294">
        <f>H11*G61*G60/360</f>
        <v>190785000</v>
      </c>
      <c r="E12" s="294">
        <v>190785000</v>
      </c>
      <c r="F12" s="294"/>
      <c r="G12" s="294">
        <f t="shared" si="1"/>
        <v>190785000</v>
      </c>
      <c r="H12" s="298">
        <f t="shared" si="0"/>
        <v>8400000000</v>
      </c>
      <c r="I12" s="105"/>
    </row>
    <row r="13" spans="1:13" x14ac:dyDescent="0.25">
      <c r="A13" s="6">
        <f>'Banco de Occidente II  Cupo'!A12</f>
        <v>43770</v>
      </c>
      <c r="B13" s="11" t="s">
        <v>9</v>
      </c>
      <c r="C13" s="294">
        <v>0</v>
      </c>
      <c r="D13" s="294">
        <f>H12*H61*H60/360</f>
        <v>190323000</v>
      </c>
      <c r="E13" s="294">
        <v>190323000</v>
      </c>
      <c r="F13" s="294"/>
      <c r="G13" s="294">
        <f t="shared" si="1"/>
        <v>190323000</v>
      </c>
      <c r="H13" s="298">
        <f t="shared" si="0"/>
        <v>8400000000</v>
      </c>
      <c r="I13" s="105"/>
    </row>
    <row r="14" spans="1:13" x14ac:dyDescent="0.25">
      <c r="A14" s="6">
        <f>'Banco de Occidente II  Cupo'!A13</f>
        <v>43862</v>
      </c>
      <c r="B14" s="11" t="s">
        <v>9</v>
      </c>
      <c r="C14" s="294">
        <v>0</v>
      </c>
      <c r="D14" s="294">
        <f>H13*$I$61*$I$60/360</f>
        <v>190869000</v>
      </c>
      <c r="E14" s="294">
        <v>190868999.99999982</v>
      </c>
      <c r="F14" s="294"/>
      <c r="G14" s="294">
        <f t="shared" si="1"/>
        <v>190868999.99999982</v>
      </c>
      <c r="H14" s="298">
        <f t="shared" si="0"/>
        <v>8400000000</v>
      </c>
      <c r="I14" s="105"/>
      <c r="L14" s="54"/>
      <c r="M14" s="54"/>
    </row>
    <row r="15" spans="1:13" x14ac:dyDescent="0.25">
      <c r="A15" s="6">
        <f>'Banco de Occidente II  Cupo'!A14</f>
        <v>43952</v>
      </c>
      <c r="B15" s="11" t="s">
        <v>10</v>
      </c>
      <c r="C15" s="294">
        <v>0</v>
      </c>
      <c r="D15" s="441">
        <f>H14*$J$61*$J$60/360</f>
        <v>190806000</v>
      </c>
      <c r="E15" s="441">
        <v>190806000.00000033</v>
      </c>
      <c r="F15" s="294">
        <f>SUM(D15:D16)</f>
        <v>354669000</v>
      </c>
      <c r="G15" s="294">
        <f>C15</f>
        <v>0</v>
      </c>
      <c r="H15" s="298">
        <f t="shared" si="0"/>
        <v>8400000000</v>
      </c>
      <c r="I15" s="105" t="s">
        <v>3155</v>
      </c>
    </row>
    <row r="16" spans="1:13" x14ac:dyDescent="0.25">
      <c r="A16" s="6">
        <f>'Banco de Occidente II  Cupo'!A15</f>
        <v>44044</v>
      </c>
      <c r="B16" s="11" t="s">
        <v>10</v>
      </c>
      <c r="C16" s="294">
        <v>0</v>
      </c>
      <c r="D16" s="441">
        <f>H15*$K$61*$K$60/360</f>
        <v>163863000</v>
      </c>
      <c r="E16" s="441">
        <v>163863000.00000009</v>
      </c>
      <c r="F16" s="453">
        <v>385945980</v>
      </c>
      <c r="G16" s="294">
        <f>C16</f>
        <v>0</v>
      </c>
      <c r="H16" s="298">
        <f t="shared" si="0"/>
        <v>8400000000</v>
      </c>
      <c r="I16" t="s">
        <v>3156</v>
      </c>
    </row>
    <row r="17" spans="1:9" x14ac:dyDescent="0.25">
      <c r="A17" s="6">
        <f>'Banco de Occidente II  Cupo'!A16</f>
        <v>44136</v>
      </c>
      <c r="B17" s="11" t="s">
        <v>10</v>
      </c>
      <c r="C17" s="294">
        <v>221052632</v>
      </c>
      <c r="D17" s="294">
        <f>H16*B70*B69/360</f>
        <v>148092000</v>
      </c>
      <c r="E17" s="294">
        <v>148092000</v>
      </c>
      <c r="F17" s="294">
        <f>+F16/8</f>
        <v>48243247.5</v>
      </c>
      <c r="G17" s="294">
        <f>E17+C17+F17</f>
        <v>417387879.5</v>
      </c>
      <c r="H17" s="298">
        <f t="shared" si="0"/>
        <v>8178947368</v>
      </c>
    </row>
    <row r="18" spans="1:9" x14ac:dyDescent="0.25">
      <c r="A18" s="6">
        <f>'Banco de Occidente II  Cupo'!A17</f>
        <v>44228</v>
      </c>
      <c r="B18" s="11" t="s">
        <v>10</v>
      </c>
      <c r="C18" s="294">
        <v>221052632</v>
      </c>
      <c r="D18" s="294">
        <f>H17*$C$70*$C$69/360</f>
        <v>183003947.359</v>
      </c>
      <c r="E18" s="294"/>
      <c r="F18" s="294">
        <v>48243247.5</v>
      </c>
      <c r="G18" s="294">
        <f t="shared" si="1"/>
        <v>269295879.5</v>
      </c>
      <c r="H18" s="298">
        <f t="shared" si="0"/>
        <v>7957894736</v>
      </c>
    </row>
    <row r="19" spans="1:9" x14ac:dyDescent="0.25">
      <c r="A19" s="6">
        <f>'Banco de Occidente II  Cupo'!A18</f>
        <v>44317</v>
      </c>
      <c r="B19" s="11" t="s">
        <v>10</v>
      </c>
      <c r="C19" s="12">
        <v>221052632</v>
      </c>
      <c r="D19" s="294">
        <f t="shared" ref="D19:D20" si="2">H18*$C$70*$C$69/360</f>
        <v>178057894.71799999</v>
      </c>
      <c r="E19" s="12"/>
      <c r="F19" s="12">
        <v>48243247.5</v>
      </c>
      <c r="G19" s="294">
        <f t="shared" si="1"/>
        <v>269295879.5</v>
      </c>
      <c r="H19" s="13">
        <f t="shared" si="0"/>
        <v>7736842104</v>
      </c>
    </row>
    <row r="20" spans="1:9" x14ac:dyDescent="0.25">
      <c r="A20" s="6">
        <f>'Banco de Occidente II  Cupo'!A19</f>
        <v>44409</v>
      </c>
      <c r="B20" s="11" t="s">
        <v>10</v>
      </c>
      <c r="C20" s="12">
        <v>221052632</v>
      </c>
      <c r="D20" s="294">
        <f t="shared" si="2"/>
        <v>173111842.07699999</v>
      </c>
      <c r="E20" s="12"/>
      <c r="F20" s="12">
        <v>48243247.5</v>
      </c>
      <c r="G20" s="294">
        <f t="shared" si="1"/>
        <v>269295879.5</v>
      </c>
      <c r="H20" s="13">
        <f t="shared" si="0"/>
        <v>7515789472</v>
      </c>
    </row>
    <row r="21" spans="1:9" x14ac:dyDescent="0.25">
      <c r="A21" s="6">
        <f>'Banco de Occidente II  Cupo'!A20</f>
        <v>44501</v>
      </c>
      <c r="B21" s="11" t="s">
        <v>10</v>
      </c>
      <c r="C21" s="12">
        <v>221052632</v>
      </c>
      <c r="D21" s="294">
        <f>H20*$C$70*$C$69/360</f>
        <v>168165789.43599999</v>
      </c>
      <c r="E21" s="12"/>
      <c r="F21" s="12">
        <v>48243247.5</v>
      </c>
      <c r="G21" s="294">
        <f t="shared" si="1"/>
        <v>269295879.5</v>
      </c>
      <c r="H21" s="13">
        <f t="shared" si="0"/>
        <v>7294736840</v>
      </c>
    </row>
    <row r="22" spans="1:9" x14ac:dyDescent="0.25">
      <c r="A22" s="6">
        <f>'Banco de Occidente II  Cupo'!A21</f>
        <v>44593</v>
      </c>
      <c r="B22" s="11" t="s">
        <v>10</v>
      </c>
      <c r="C22" s="12">
        <v>221052632</v>
      </c>
      <c r="D22" s="294">
        <f>H21*$D$70*$D$69/360</f>
        <v>172338157.845</v>
      </c>
      <c r="E22" s="12"/>
      <c r="F22" s="12">
        <v>48243247.5</v>
      </c>
      <c r="G22" s="294">
        <f t="shared" si="1"/>
        <v>269295879.5</v>
      </c>
      <c r="H22" s="13">
        <f t="shared" si="0"/>
        <v>7073684208</v>
      </c>
    </row>
    <row r="23" spans="1:9" x14ac:dyDescent="0.25">
      <c r="A23" s="6">
        <f>'Banco de Occidente II  Cupo'!A22</f>
        <v>44683</v>
      </c>
      <c r="B23" s="11" t="s">
        <v>10</v>
      </c>
      <c r="C23" s="12">
        <v>221052632</v>
      </c>
      <c r="D23" s="294">
        <f t="shared" ref="D23:D25" si="3">H22*$D$70*$D$69/360</f>
        <v>167115789.414</v>
      </c>
      <c r="E23" s="12"/>
      <c r="F23" s="12">
        <v>48243247.5</v>
      </c>
      <c r="G23" s="294">
        <f t="shared" si="1"/>
        <v>269295879.5</v>
      </c>
      <c r="H23" s="13">
        <f t="shared" si="0"/>
        <v>6852631576</v>
      </c>
    </row>
    <row r="24" spans="1:9" x14ac:dyDescent="0.25">
      <c r="A24" s="6">
        <f>'Banco de Occidente II  Cupo'!A23</f>
        <v>44774</v>
      </c>
      <c r="B24" s="11" t="s">
        <v>10</v>
      </c>
      <c r="C24" s="12">
        <v>221052632</v>
      </c>
      <c r="D24" s="294">
        <f t="shared" si="3"/>
        <v>161893420.98300001</v>
      </c>
      <c r="E24" s="12"/>
      <c r="F24" s="12">
        <v>48243247.5</v>
      </c>
      <c r="G24" s="294">
        <f t="shared" si="1"/>
        <v>269295879.5</v>
      </c>
      <c r="H24" s="13">
        <f t="shared" si="0"/>
        <v>6631578944</v>
      </c>
    </row>
    <row r="25" spans="1:9" x14ac:dyDescent="0.25">
      <c r="A25" s="6">
        <f>'Banco de Occidente II  Cupo'!A24</f>
        <v>44866</v>
      </c>
      <c r="B25" s="11" t="s">
        <v>10</v>
      </c>
      <c r="C25" s="12">
        <v>221052632</v>
      </c>
      <c r="D25" s="294">
        <f t="shared" si="3"/>
        <v>156671052.55200002</v>
      </c>
      <c r="E25" s="12"/>
      <c r="F25" s="12"/>
      <c r="G25" s="294">
        <f t="shared" si="1"/>
        <v>221052632</v>
      </c>
      <c r="H25" s="13">
        <f t="shared" si="0"/>
        <v>6410526312</v>
      </c>
    </row>
    <row r="26" spans="1:9" x14ac:dyDescent="0.25">
      <c r="A26" s="6">
        <f>'Banco de Occidente II  Cupo'!A25</f>
        <v>44958</v>
      </c>
      <c r="B26" s="11" t="s">
        <v>10</v>
      </c>
      <c r="C26" s="12">
        <v>221052632</v>
      </c>
      <c r="D26" s="294">
        <f>H25*$E$70*$E$69/360</f>
        <v>159461842.01100001</v>
      </c>
      <c r="E26" s="12"/>
      <c r="F26" s="12"/>
      <c r="G26" s="294">
        <f t="shared" si="1"/>
        <v>221052632</v>
      </c>
      <c r="H26" s="13">
        <f t="shared" si="0"/>
        <v>6189473680</v>
      </c>
    </row>
    <row r="27" spans="1:9" x14ac:dyDescent="0.25">
      <c r="A27" s="6">
        <f>'Banco de Occidente II  Cupo'!A26</f>
        <v>45047</v>
      </c>
      <c r="B27" s="11" t="s">
        <v>10</v>
      </c>
      <c r="C27" s="12">
        <v>221052632</v>
      </c>
      <c r="D27" s="294">
        <f t="shared" ref="D27:D54" si="4">H26*$E$70*$E$69/360</f>
        <v>153963157.79000002</v>
      </c>
      <c r="E27" s="12"/>
      <c r="F27" s="12"/>
      <c r="G27" s="294">
        <f t="shared" si="1"/>
        <v>221052632</v>
      </c>
      <c r="H27" s="13">
        <f t="shared" si="0"/>
        <v>5968421048</v>
      </c>
      <c r="I27" t="s">
        <v>42</v>
      </c>
    </row>
    <row r="28" spans="1:9" x14ac:dyDescent="0.25">
      <c r="A28" s="6">
        <f>'Banco de Occidente II  Cupo'!A27</f>
        <v>45139</v>
      </c>
      <c r="B28" s="11" t="s">
        <v>10</v>
      </c>
      <c r="C28" s="12">
        <v>221052632</v>
      </c>
      <c r="D28" s="294">
        <f t="shared" si="4"/>
        <v>148464473.56900001</v>
      </c>
      <c r="E28" s="12"/>
      <c r="F28" s="12"/>
      <c r="G28" s="294">
        <f t="shared" si="1"/>
        <v>221052632</v>
      </c>
      <c r="H28" s="13">
        <f t="shared" si="0"/>
        <v>5747368416</v>
      </c>
    </row>
    <row r="29" spans="1:9" x14ac:dyDescent="0.25">
      <c r="A29" s="6">
        <f>'Banco de Occidente II  Cupo'!A28</f>
        <v>45231</v>
      </c>
      <c r="B29" s="11" t="s">
        <v>10</v>
      </c>
      <c r="C29" s="12">
        <v>221052632</v>
      </c>
      <c r="D29" s="294">
        <f t="shared" si="4"/>
        <v>142965789.34800002</v>
      </c>
      <c r="E29" s="12"/>
      <c r="F29" s="12"/>
      <c r="G29" s="294">
        <f t="shared" si="1"/>
        <v>221052632</v>
      </c>
      <c r="H29" s="13">
        <f t="shared" si="0"/>
        <v>5526315784</v>
      </c>
    </row>
    <row r="30" spans="1:9" x14ac:dyDescent="0.25">
      <c r="A30" s="6">
        <f>'Banco de Occidente II  Cupo'!A29</f>
        <v>45323</v>
      </c>
      <c r="B30" s="11" t="s">
        <v>10</v>
      </c>
      <c r="C30" s="12">
        <v>221052632</v>
      </c>
      <c r="D30" s="294">
        <f t="shared" si="4"/>
        <v>137467105.127</v>
      </c>
      <c r="E30" s="12"/>
      <c r="F30" s="12"/>
      <c r="G30" s="294">
        <f t="shared" si="1"/>
        <v>221052632</v>
      </c>
      <c r="H30" s="13">
        <f t="shared" si="0"/>
        <v>5305263152</v>
      </c>
    </row>
    <row r="31" spans="1:9" x14ac:dyDescent="0.25">
      <c r="A31" s="6">
        <f>'Banco de Occidente II  Cupo'!A30</f>
        <v>45413</v>
      </c>
      <c r="B31" s="11" t="s">
        <v>10</v>
      </c>
      <c r="C31" s="12">
        <v>221052632</v>
      </c>
      <c r="D31" s="294">
        <f t="shared" si="4"/>
        <v>131968420.906</v>
      </c>
      <c r="E31" s="12"/>
      <c r="F31" s="12"/>
      <c r="G31" s="294">
        <f t="shared" si="1"/>
        <v>221052632</v>
      </c>
      <c r="H31" s="13">
        <f t="shared" si="0"/>
        <v>5084210520</v>
      </c>
    </row>
    <row r="32" spans="1:9" x14ac:dyDescent="0.25">
      <c r="A32" s="6">
        <f>'Banco de Occidente II  Cupo'!A31</f>
        <v>45505</v>
      </c>
      <c r="B32" s="11" t="s">
        <v>10</v>
      </c>
      <c r="C32" s="12">
        <v>221052632</v>
      </c>
      <c r="D32" s="294">
        <f t="shared" si="4"/>
        <v>126469736.685</v>
      </c>
      <c r="E32" s="12"/>
      <c r="F32" s="12"/>
      <c r="G32" s="294">
        <f t="shared" si="1"/>
        <v>221052632</v>
      </c>
      <c r="H32" s="13">
        <f t="shared" si="0"/>
        <v>4863157888</v>
      </c>
    </row>
    <row r="33" spans="1:8" x14ac:dyDescent="0.25">
      <c r="A33" s="6">
        <f>'Banco de Occidente II  Cupo'!A32</f>
        <v>45597</v>
      </c>
      <c r="B33" s="11" t="s">
        <v>10</v>
      </c>
      <c r="C33" s="12">
        <v>221052632</v>
      </c>
      <c r="D33" s="294">
        <f t="shared" si="4"/>
        <v>120971052.464</v>
      </c>
      <c r="E33" s="12"/>
      <c r="F33" s="12"/>
      <c r="G33" s="294">
        <f t="shared" si="1"/>
        <v>221052632</v>
      </c>
      <c r="H33" s="13">
        <f t="shared" si="0"/>
        <v>4642105256</v>
      </c>
    </row>
    <row r="34" spans="1:8" x14ac:dyDescent="0.25">
      <c r="A34" s="6">
        <f>'Banco de Occidente II  Cupo'!A33</f>
        <v>45689</v>
      </c>
      <c r="B34" s="11" t="s">
        <v>10</v>
      </c>
      <c r="C34" s="12">
        <v>221052632</v>
      </c>
      <c r="D34" s="294">
        <f t="shared" si="4"/>
        <v>115472368.24300002</v>
      </c>
      <c r="E34" s="12"/>
      <c r="F34" s="12"/>
      <c r="G34" s="294">
        <f t="shared" si="1"/>
        <v>221052632</v>
      </c>
      <c r="H34" s="13">
        <f t="shared" si="0"/>
        <v>4421052624</v>
      </c>
    </row>
    <row r="35" spans="1:8" x14ac:dyDescent="0.25">
      <c r="A35" s="6">
        <f>'Banco de Occidente II  Cupo'!A34</f>
        <v>45778</v>
      </c>
      <c r="B35" s="11" t="s">
        <v>10</v>
      </c>
      <c r="C35" s="12">
        <v>221052632</v>
      </c>
      <c r="D35" s="294">
        <f t="shared" si="4"/>
        <v>109973684.022</v>
      </c>
      <c r="E35" s="12"/>
      <c r="F35" s="12"/>
      <c r="G35" s="294">
        <f t="shared" si="1"/>
        <v>221052632</v>
      </c>
      <c r="H35" s="13">
        <f t="shared" si="0"/>
        <v>4199999992</v>
      </c>
    </row>
    <row r="36" spans="1:8" x14ac:dyDescent="0.25">
      <c r="A36" s="6">
        <f>'Banco de Occidente II  Cupo'!A35</f>
        <v>45870</v>
      </c>
      <c r="B36" s="11" t="s">
        <v>10</v>
      </c>
      <c r="C36" s="12">
        <v>221052632</v>
      </c>
      <c r="D36" s="294">
        <f t="shared" si="4"/>
        <v>104474999.801</v>
      </c>
      <c r="E36" s="12"/>
      <c r="F36" s="12"/>
      <c r="G36" s="294">
        <f t="shared" si="1"/>
        <v>221052632</v>
      </c>
      <c r="H36" s="13">
        <f t="shared" si="0"/>
        <v>3978947360</v>
      </c>
    </row>
    <row r="37" spans="1:8" x14ac:dyDescent="0.25">
      <c r="A37" s="6">
        <f>'Banco de Occidente II  Cupo'!A36</f>
        <v>45962</v>
      </c>
      <c r="B37" s="11" t="s">
        <v>10</v>
      </c>
      <c r="C37" s="12">
        <v>221052632</v>
      </c>
      <c r="D37" s="294">
        <f t="shared" si="4"/>
        <v>98976315.580000013</v>
      </c>
      <c r="E37" s="12"/>
      <c r="F37" s="12"/>
      <c r="G37" s="294">
        <f t="shared" si="1"/>
        <v>221052632</v>
      </c>
      <c r="H37" s="13">
        <f t="shared" si="0"/>
        <v>3757894728</v>
      </c>
    </row>
    <row r="38" spans="1:8" x14ac:dyDescent="0.25">
      <c r="A38" s="6">
        <f>'Banco de Occidente II  Cupo'!A37</f>
        <v>46054</v>
      </c>
      <c r="B38" s="11" t="s">
        <v>10</v>
      </c>
      <c r="C38" s="12">
        <v>221052632</v>
      </c>
      <c r="D38" s="294">
        <f t="shared" si="4"/>
        <v>93477631.358999997</v>
      </c>
      <c r="E38" s="12"/>
      <c r="F38" s="12"/>
      <c r="G38" s="294">
        <f t="shared" si="1"/>
        <v>221052632</v>
      </c>
      <c r="H38" s="13">
        <f t="shared" si="0"/>
        <v>3536842096</v>
      </c>
    </row>
    <row r="39" spans="1:8" x14ac:dyDescent="0.25">
      <c r="A39" s="6">
        <f>'Banco de Occidente II  Cupo'!A38</f>
        <v>46143</v>
      </c>
      <c r="B39" s="11" t="s">
        <v>10</v>
      </c>
      <c r="C39" s="12">
        <v>221052632</v>
      </c>
      <c r="D39" s="294">
        <f t="shared" si="4"/>
        <v>87978947.138000011</v>
      </c>
      <c r="E39" s="12"/>
      <c r="F39" s="12"/>
      <c r="G39" s="294">
        <f t="shared" si="1"/>
        <v>221052632</v>
      </c>
      <c r="H39" s="13">
        <f t="shared" si="0"/>
        <v>3315789464</v>
      </c>
    </row>
    <row r="40" spans="1:8" x14ac:dyDescent="0.25">
      <c r="A40" s="6">
        <f>'Banco de Occidente II  Cupo'!A39</f>
        <v>46235</v>
      </c>
      <c r="B40" s="11" t="s">
        <v>10</v>
      </c>
      <c r="C40" s="12">
        <v>221052632</v>
      </c>
      <c r="D40" s="294">
        <f t="shared" si="4"/>
        <v>82480262.917000011</v>
      </c>
      <c r="E40" s="12"/>
      <c r="F40" s="12"/>
      <c r="G40" s="294">
        <f t="shared" si="1"/>
        <v>221052632</v>
      </c>
      <c r="H40" s="13">
        <f t="shared" si="0"/>
        <v>3094736832</v>
      </c>
    </row>
    <row r="41" spans="1:8" x14ac:dyDescent="0.25">
      <c r="A41" s="6">
        <f>'Banco de Occidente II  Cupo'!A40</f>
        <v>46327</v>
      </c>
      <c r="B41" s="11" t="s">
        <v>10</v>
      </c>
      <c r="C41" s="12">
        <v>221052632</v>
      </c>
      <c r="D41" s="294">
        <f t="shared" si="4"/>
        <v>76981578.69600001</v>
      </c>
      <c r="E41" s="12"/>
      <c r="F41" s="12"/>
      <c r="G41" s="294">
        <f t="shared" si="1"/>
        <v>221052632</v>
      </c>
      <c r="H41" s="13">
        <f t="shared" si="0"/>
        <v>2873684200</v>
      </c>
    </row>
    <row r="42" spans="1:8" x14ac:dyDescent="0.25">
      <c r="A42" s="6">
        <f>'Banco de Occidente II  Cupo'!A41</f>
        <v>46419</v>
      </c>
      <c r="B42" s="11" t="s">
        <v>10</v>
      </c>
      <c r="C42" s="12">
        <v>221052632</v>
      </c>
      <c r="D42" s="294">
        <f t="shared" si="4"/>
        <v>71482894.475000009</v>
      </c>
      <c r="E42" s="12"/>
      <c r="F42" s="12"/>
      <c r="G42" s="294">
        <f t="shared" si="1"/>
        <v>221052632</v>
      </c>
      <c r="H42" s="13">
        <f t="shared" si="0"/>
        <v>2652631568</v>
      </c>
    </row>
    <row r="43" spans="1:8" x14ac:dyDescent="0.25">
      <c r="A43" s="6">
        <f>'Banco de Occidente II  Cupo'!A42</f>
        <v>46508</v>
      </c>
      <c r="B43" s="11" t="s">
        <v>10</v>
      </c>
      <c r="C43" s="12">
        <v>221052632</v>
      </c>
      <c r="D43" s="294">
        <f t="shared" si="4"/>
        <v>65984210.253999993</v>
      </c>
      <c r="E43" s="12"/>
      <c r="F43" s="12"/>
      <c r="G43" s="294">
        <f t="shared" si="1"/>
        <v>221052632</v>
      </c>
      <c r="H43" s="13">
        <f t="shared" si="0"/>
        <v>2431578936</v>
      </c>
    </row>
    <row r="44" spans="1:8" x14ac:dyDescent="0.25">
      <c r="A44" s="6">
        <f>'Banco de Occidente II  Cupo'!A43</f>
        <v>46600</v>
      </c>
      <c r="B44" s="11" t="s">
        <v>10</v>
      </c>
      <c r="C44" s="12">
        <v>221052632</v>
      </c>
      <c r="D44" s="294">
        <f t="shared" si="4"/>
        <v>60485526.033</v>
      </c>
      <c r="E44" s="12"/>
      <c r="F44" s="12"/>
      <c r="G44" s="294">
        <f t="shared" si="1"/>
        <v>221052632</v>
      </c>
      <c r="H44" s="13">
        <f t="shared" si="0"/>
        <v>2210526304</v>
      </c>
    </row>
    <row r="45" spans="1:8" x14ac:dyDescent="0.25">
      <c r="A45" s="6">
        <f>'Banco de Occidente II  Cupo'!A44</f>
        <v>46692</v>
      </c>
      <c r="B45" s="11" t="s">
        <v>10</v>
      </c>
      <c r="C45" s="12">
        <v>221052632</v>
      </c>
      <c r="D45" s="294">
        <f t="shared" si="4"/>
        <v>54986841.812000006</v>
      </c>
      <c r="E45" s="12"/>
      <c r="F45" s="12"/>
      <c r="G45" s="294">
        <f t="shared" si="1"/>
        <v>221052632</v>
      </c>
      <c r="H45" s="13">
        <f t="shared" si="0"/>
        <v>1989473672</v>
      </c>
    </row>
    <row r="46" spans="1:8" x14ac:dyDescent="0.25">
      <c r="A46" s="6">
        <f>'Banco de Occidente II  Cupo'!A45</f>
        <v>46784</v>
      </c>
      <c r="B46" s="11" t="s">
        <v>10</v>
      </c>
      <c r="C46" s="12">
        <v>221052632</v>
      </c>
      <c r="D46" s="294">
        <f t="shared" si="4"/>
        <v>49488157.591000006</v>
      </c>
      <c r="E46" s="12"/>
      <c r="F46" s="12"/>
      <c r="G46" s="294">
        <f t="shared" si="1"/>
        <v>221052632</v>
      </c>
      <c r="H46" s="13">
        <f t="shared" si="0"/>
        <v>1768421040</v>
      </c>
    </row>
    <row r="47" spans="1:8" x14ac:dyDescent="0.25">
      <c r="A47" s="6">
        <f>'Banco de Occidente II  Cupo'!A46</f>
        <v>46874</v>
      </c>
      <c r="B47" s="11" t="s">
        <v>10</v>
      </c>
      <c r="C47" s="12">
        <v>221052632</v>
      </c>
      <c r="D47" s="294">
        <f t="shared" si="4"/>
        <v>43989473.370000005</v>
      </c>
      <c r="E47" s="12"/>
      <c r="F47" s="12"/>
      <c r="G47" s="294">
        <f t="shared" si="1"/>
        <v>221052632</v>
      </c>
      <c r="H47" s="13">
        <f t="shared" si="0"/>
        <v>1547368408</v>
      </c>
    </row>
    <row r="48" spans="1:8" x14ac:dyDescent="0.25">
      <c r="A48" s="6">
        <f>'Banco de Occidente II  Cupo'!A47</f>
        <v>46966</v>
      </c>
      <c r="B48" s="11" t="s">
        <v>10</v>
      </c>
      <c r="C48" s="12">
        <v>221052632</v>
      </c>
      <c r="D48" s="294">
        <f t="shared" si="4"/>
        <v>38490789.149000004</v>
      </c>
      <c r="E48" s="12"/>
      <c r="F48" s="12"/>
      <c r="G48" s="294">
        <f t="shared" si="1"/>
        <v>221052632</v>
      </c>
      <c r="H48" s="13">
        <f t="shared" si="0"/>
        <v>1326315776</v>
      </c>
    </row>
    <row r="49" spans="1:11" x14ac:dyDescent="0.25">
      <c r="A49" s="6">
        <f>'Banco de Occidente II  Cupo'!A48</f>
        <v>47058</v>
      </c>
      <c r="B49" s="11" t="s">
        <v>10</v>
      </c>
      <c r="C49" s="12">
        <v>221052632</v>
      </c>
      <c r="D49" s="294">
        <f t="shared" si="4"/>
        <v>32992104.928000007</v>
      </c>
      <c r="E49" s="12"/>
      <c r="F49" s="12"/>
      <c r="G49" s="294">
        <f t="shared" si="1"/>
        <v>221052632</v>
      </c>
      <c r="H49" s="13">
        <f t="shared" si="0"/>
        <v>1105263144</v>
      </c>
    </row>
    <row r="50" spans="1:11" x14ac:dyDescent="0.25">
      <c r="A50" s="6">
        <f>'Banco de Occidente II  Cupo'!A49</f>
        <v>47150</v>
      </c>
      <c r="B50" s="11" t="s">
        <v>10</v>
      </c>
      <c r="C50" s="12">
        <v>221052632</v>
      </c>
      <c r="D50" s="294">
        <f t="shared" si="4"/>
        <v>27493420.707000002</v>
      </c>
      <c r="E50" s="12"/>
      <c r="F50" s="12"/>
      <c r="G50" s="294">
        <f t="shared" si="1"/>
        <v>221052632</v>
      </c>
      <c r="H50" s="13">
        <f t="shared" si="0"/>
        <v>884210512</v>
      </c>
    </row>
    <row r="51" spans="1:11" x14ac:dyDescent="0.25">
      <c r="A51" s="6">
        <f>'Banco de Occidente II  Cupo'!A50</f>
        <v>47239</v>
      </c>
      <c r="B51" s="11" t="s">
        <v>10</v>
      </c>
      <c r="C51" s="12">
        <v>221052632</v>
      </c>
      <c r="D51" s="294">
        <f t="shared" si="4"/>
        <v>21994736.486000001</v>
      </c>
      <c r="E51" s="12"/>
      <c r="F51" s="12"/>
      <c r="G51" s="294">
        <f t="shared" si="1"/>
        <v>221052632</v>
      </c>
      <c r="H51" s="13">
        <f t="shared" si="0"/>
        <v>663157880</v>
      </c>
    </row>
    <row r="52" spans="1:11" x14ac:dyDescent="0.25">
      <c r="A52" s="6">
        <f>'Banco de Occidente II  Cupo'!A51</f>
        <v>47331</v>
      </c>
      <c r="B52" s="11" t="s">
        <v>10</v>
      </c>
      <c r="C52" s="12">
        <v>221052632</v>
      </c>
      <c r="D52" s="294">
        <f t="shared" si="4"/>
        <v>16496052.265000002</v>
      </c>
      <c r="E52" s="12"/>
      <c r="F52" s="12"/>
      <c r="G52" s="294">
        <f t="shared" si="1"/>
        <v>221052632</v>
      </c>
      <c r="H52" s="13">
        <f t="shared" si="0"/>
        <v>442105248</v>
      </c>
    </row>
    <row r="53" spans="1:11" x14ac:dyDescent="0.25">
      <c r="A53" s="6">
        <f>'Banco de Occidente II  Cupo'!A52</f>
        <v>47423</v>
      </c>
      <c r="B53" s="11" t="s">
        <v>10</v>
      </c>
      <c r="C53" s="12">
        <v>221052632</v>
      </c>
      <c r="D53" s="294">
        <f t="shared" si="4"/>
        <v>10997368.044</v>
      </c>
      <c r="E53" s="12"/>
      <c r="F53" s="12"/>
      <c r="G53" s="294">
        <f t="shared" si="1"/>
        <v>221052632</v>
      </c>
      <c r="H53" s="13">
        <f t="shared" si="0"/>
        <v>221052616</v>
      </c>
      <c r="I53" t="s">
        <v>42</v>
      </c>
      <c r="J53" t="s">
        <v>42</v>
      </c>
    </row>
    <row r="54" spans="1:11" x14ac:dyDescent="0.25">
      <c r="A54" s="6">
        <f>'Banco de Occidente II  Cupo'!A53</f>
        <v>47515</v>
      </c>
      <c r="B54" s="11" t="s">
        <v>10</v>
      </c>
      <c r="C54" s="12">
        <v>221052616</v>
      </c>
      <c r="D54" s="294">
        <f t="shared" si="4"/>
        <v>5498683.8229999999</v>
      </c>
      <c r="E54" s="12"/>
      <c r="F54" s="12"/>
      <c r="G54" s="294">
        <f>E54+C54+F54</f>
        <v>221052616</v>
      </c>
      <c r="H54" s="14">
        <f t="shared" si="0"/>
        <v>0</v>
      </c>
      <c r="I54" t="s">
        <v>42</v>
      </c>
    </row>
    <row r="55" spans="1:11" x14ac:dyDescent="0.25">
      <c r="A55" s="15"/>
      <c r="B55" s="16" t="s">
        <v>11</v>
      </c>
      <c r="C55" s="17">
        <f>SUM(C6:C54)</f>
        <v>8400000000</v>
      </c>
      <c r="D55" s="17">
        <f>SUM(D6:D54)</f>
        <v>5784056518.9770002</v>
      </c>
      <c r="E55" s="17">
        <f>+SUM(E7:E14)+SUM(E17:E54)</f>
        <v>1677122999.5426264</v>
      </c>
      <c r="F55" s="17">
        <f>+SUM(F17:F54)</f>
        <v>385945980</v>
      </c>
      <c r="G55" s="17">
        <f>SUM(G7:G54)</f>
        <v>10463068979.542625</v>
      </c>
      <c r="H55" s="18"/>
    </row>
    <row r="56" spans="1:11" x14ac:dyDescent="0.25">
      <c r="A56" s="19" t="s">
        <v>42</v>
      </c>
      <c r="B56" s="20"/>
      <c r="C56" s="20"/>
      <c r="D56" s="20"/>
      <c r="E56" s="20"/>
      <c r="F56" s="20"/>
      <c r="G56" s="20"/>
      <c r="H56" s="20"/>
      <c r="I56" s="20"/>
      <c r="J56" s="20"/>
    </row>
    <row r="57" spans="1:11" x14ac:dyDescent="0.25">
      <c r="A57" s="39"/>
      <c r="B57" s="315" t="s">
        <v>3046</v>
      </c>
      <c r="C57" s="315" t="s">
        <v>3042</v>
      </c>
      <c r="D57" s="315" t="s">
        <v>3043</v>
      </c>
      <c r="E57" s="315" t="s">
        <v>3033</v>
      </c>
      <c r="F57" s="315" t="s">
        <v>3034</v>
      </c>
      <c r="G57" s="315" t="s">
        <v>3035</v>
      </c>
      <c r="H57" s="315" t="s">
        <v>3036</v>
      </c>
      <c r="I57" s="315" t="s">
        <v>3037</v>
      </c>
      <c r="J57" s="315" t="s">
        <v>3038</v>
      </c>
      <c r="K57" s="315" t="s">
        <v>3039</v>
      </c>
    </row>
    <row r="58" spans="1:11" ht="25.5" x14ac:dyDescent="0.25">
      <c r="A58" s="39" t="s">
        <v>2781</v>
      </c>
      <c r="B58" s="88">
        <v>4.3430000000000003E-2</v>
      </c>
      <c r="C58" s="88">
        <v>4.0680000000000001E-2</v>
      </c>
      <c r="D58" s="88">
        <v>4.1230000000000003E-2</v>
      </c>
      <c r="E58" s="88">
        <v>4.1570000000000003E-2</v>
      </c>
      <c r="F58" s="88">
        <v>4.1320000000000003E-2</v>
      </c>
      <c r="G58" s="88">
        <v>4.1349999999999998E-2</v>
      </c>
      <c r="H58" s="88">
        <v>4.113E-2</v>
      </c>
      <c r="I58" s="88">
        <v>4.1390000000000003E-2</v>
      </c>
      <c r="J58" s="88">
        <v>4.1360000000000001E-2</v>
      </c>
      <c r="K58" s="88">
        <v>2.853E-2</v>
      </c>
    </row>
    <row r="59" spans="1:11" ht="25.5" x14ac:dyDescent="0.25">
      <c r="A59" s="39" t="s">
        <v>376</v>
      </c>
      <c r="B59" s="88">
        <v>4.9500000000000002E-2</v>
      </c>
      <c r="C59" s="88">
        <v>4.9500000000000002E-2</v>
      </c>
      <c r="D59" s="88">
        <v>4.9500000000000002E-2</v>
      </c>
      <c r="E59" s="88">
        <v>4.9500000000000002E-2</v>
      </c>
      <c r="F59" s="88">
        <v>4.9500000000000002E-2</v>
      </c>
      <c r="G59" s="88">
        <v>4.9500000000000002E-2</v>
      </c>
      <c r="H59" s="88">
        <v>4.9500000000000002E-2</v>
      </c>
      <c r="I59" s="33">
        <v>4.9500000000000002E-2</v>
      </c>
      <c r="J59" s="88">
        <v>4.9500000000000002E-2</v>
      </c>
      <c r="K59" s="88">
        <v>4.9500000000000002E-2</v>
      </c>
    </row>
    <row r="60" spans="1:11" x14ac:dyDescent="0.25">
      <c r="A60" s="39" t="s">
        <v>377</v>
      </c>
      <c r="B60" s="67">
        <v>90</v>
      </c>
      <c r="C60" s="67">
        <v>90</v>
      </c>
      <c r="D60" s="67">
        <v>90</v>
      </c>
      <c r="E60" s="67">
        <v>90</v>
      </c>
      <c r="F60" s="67">
        <v>90</v>
      </c>
      <c r="G60" s="67">
        <v>90</v>
      </c>
      <c r="H60" s="67">
        <v>90</v>
      </c>
      <c r="I60" s="67">
        <v>90</v>
      </c>
      <c r="J60" s="67">
        <v>90</v>
      </c>
      <c r="K60" s="67">
        <v>90</v>
      </c>
    </row>
    <row r="61" spans="1:11" x14ac:dyDescent="0.25">
      <c r="A61" s="39" t="s">
        <v>3157</v>
      </c>
      <c r="B61" s="142">
        <f>+B58+B59</f>
        <v>9.2930000000000013E-2</v>
      </c>
      <c r="C61" s="142">
        <f t="shared" ref="C61:K61" si="5">+C58+C59</f>
        <v>9.018000000000001E-2</v>
      </c>
      <c r="D61" s="142">
        <f t="shared" si="5"/>
        <v>9.0730000000000005E-2</v>
      </c>
      <c r="E61" s="142">
        <f t="shared" si="5"/>
        <v>9.1070000000000012E-2</v>
      </c>
      <c r="F61" s="142">
        <f t="shared" si="5"/>
        <v>9.0820000000000012E-2</v>
      </c>
      <c r="G61" s="142">
        <f t="shared" si="5"/>
        <v>9.085E-2</v>
      </c>
      <c r="H61" s="142">
        <f t="shared" si="5"/>
        <v>9.0630000000000002E-2</v>
      </c>
      <c r="I61" s="142">
        <f t="shared" si="5"/>
        <v>9.0889999999999999E-2</v>
      </c>
      <c r="J61" s="142">
        <f t="shared" si="5"/>
        <v>9.0859999999999996E-2</v>
      </c>
      <c r="K61" s="142">
        <f t="shared" si="5"/>
        <v>7.8030000000000002E-2</v>
      </c>
    </row>
    <row r="62" spans="1:11" ht="38.25" x14ac:dyDescent="0.25">
      <c r="A62" s="39" t="s">
        <v>373</v>
      </c>
      <c r="B62" s="89">
        <f>((1+(B58+B59)*90/360)^(360/90)-1)</f>
        <v>9.6218944546341056E-2</v>
      </c>
      <c r="C62" s="137">
        <f>((1+(C58+C59)*90/360)^(360/90)-1)</f>
        <v>9.3275756917648778E-2</v>
      </c>
      <c r="D62" s="137">
        <f>((1+(D58+D59)*90/360)^(360/90)-1)</f>
        <v>9.3863919747935398E-2</v>
      </c>
      <c r="E62" s="89">
        <f>((1+(E58+E59)*90/360)^(360/90)-1)+0.00106985%</f>
        <v>9.4238328492864384E-2</v>
      </c>
      <c r="F62" s="89">
        <f>((1+(F58+F59)*90/360)^(360/90)-1)</f>
        <v>9.3960187164013442E-2</v>
      </c>
      <c r="G62" s="89">
        <f>+G58+G59</f>
        <v>9.085E-2</v>
      </c>
      <c r="H62" s="89">
        <f>+H58+H59</f>
        <v>9.0630000000000002E-2</v>
      </c>
      <c r="I62" s="89">
        <f>((1+(I58+I59)*90/360)^(360/90)-1)</f>
        <v>9.4035066213835616E-2</v>
      </c>
      <c r="J62" s="89">
        <f>((1+(J58+J59)*90/360)^(360/90)-1)</f>
        <v>9.4002974721808741E-2</v>
      </c>
      <c r="K62" s="89">
        <f>((1+(K58+K59)*90/360)^(360/90)-1)</f>
        <v>8.0343093885801187E-2</v>
      </c>
    </row>
    <row r="63" spans="1:11" x14ac:dyDescent="0.25">
      <c r="A63" s="43" t="s">
        <v>39</v>
      </c>
      <c r="B63" s="44">
        <f>+E7</f>
        <v>195152999.99999991</v>
      </c>
      <c r="C63" s="44">
        <f>+E8</f>
        <v>189378000.0000003</v>
      </c>
      <c r="D63" s="44">
        <f>+E9</f>
        <v>190532999.99999949</v>
      </c>
      <c r="E63" s="44">
        <f>+E10</f>
        <v>191267999.5426271</v>
      </c>
      <c r="F63" s="44">
        <f>+E11</f>
        <v>190721999.99999979</v>
      </c>
      <c r="G63" s="44">
        <f>+E12</f>
        <v>190785000</v>
      </c>
      <c r="H63" s="44">
        <f>+E13</f>
        <v>190323000</v>
      </c>
      <c r="I63" s="44">
        <f>+E14</f>
        <v>190868999.99999982</v>
      </c>
      <c r="J63" s="44">
        <f>+E15</f>
        <v>190806000.00000033</v>
      </c>
      <c r="K63" s="44">
        <f>+E16</f>
        <v>163863000.00000009</v>
      </c>
    </row>
    <row r="66" spans="1:19" x14ac:dyDescent="0.25">
      <c r="A66" s="39"/>
      <c r="B66" s="315" t="s">
        <v>3039</v>
      </c>
      <c r="C66" s="315" t="s">
        <v>3148</v>
      </c>
      <c r="D66" s="315" t="s">
        <v>3149</v>
      </c>
      <c r="E66" s="315" t="s">
        <v>3150</v>
      </c>
      <c r="S66" s="45"/>
    </row>
    <row r="67" spans="1:19" ht="25.5" x14ac:dyDescent="0.25">
      <c r="A67" s="39" t="s">
        <v>2781</v>
      </c>
      <c r="B67" s="88">
        <v>2.102E-2</v>
      </c>
      <c r="C67" s="442">
        <v>0.04</v>
      </c>
      <c r="D67" s="442">
        <v>4.4999999999999998E-2</v>
      </c>
      <c r="E67" s="442">
        <v>0.05</v>
      </c>
    </row>
    <row r="68" spans="1:19" ht="25.5" x14ac:dyDescent="0.25">
      <c r="A68" s="39" t="s">
        <v>376</v>
      </c>
      <c r="B68" s="88">
        <v>4.9500000000000002E-2</v>
      </c>
      <c r="C68" s="88">
        <v>4.9500000000000002E-2</v>
      </c>
      <c r="D68" s="88">
        <v>4.9500000000000002E-2</v>
      </c>
      <c r="E68" s="88">
        <v>4.9500000000000002E-2</v>
      </c>
    </row>
    <row r="69" spans="1:19" x14ac:dyDescent="0.25">
      <c r="A69" s="39" t="s">
        <v>377</v>
      </c>
      <c r="B69" s="67">
        <v>90</v>
      </c>
      <c r="C69" s="67">
        <v>90</v>
      </c>
      <c r="D69" s="67">
        <v>90</v>
      </c>
      <c r="E69" s="67">
        <v>90</v>
      </c>
    </row>
    <row r="70" spans="1:19" x14ac:dyDescent="0.25">
      <c r="A70" s="39" t="s">
        <v>3157</v>
      </c>
      <c r="B70" s="142">
        <f t="shared" ref="B70:E70" si="6">+B67+B68</f>
        <v>7.0519999999999999E-2</v>
      </c>
      <c r="C70" s="142">
        <f t="shared" si="6"/>
        <v>8.9499999999999996E-2</v>
      </c>
      <c r="D70" s="142">
        <f t="shared" si="6"/>
        <v>9.4500000000000001E-2</v>
      </c>
      <c r="E70" s="142">
        <f t="shared" si="6"/>
        <v>9.9500000000000005E-2</v>
      </c>
    </row>
    <row r="71" spans="1:19" ht="38.25" x14ac:dyDescent="0.25">
      <c r="A71" s="39" t="s">
        <v>373</v>
      </c>
      <c r="B71" s="89">
        <f>+B67+B68</f>
        <v>7.0519999999999999E-2</v>
      </c>
      <c r="C71" s="89">
        <f>+C67+C68</f>
        <v>8.9499999999999996E-2</v>
      </c>
      <c r="D71" s="89">
        <f>+D67+D68</f>
        <v>9.4500000000000001E-2</v>
      </c>
      <c r="E71" s="89">
        <f>+E67+E68</f>
        <v>9.9500000000000005E-2</v>
      </c>
    </row>
    <row r="72" spans="1:19" x14ac:dyDescent="0.25">
      <c r="A72" s="43" t="s">
        <v>39</v>
      </c>
      <c r="B72" s="44">
        <f>+E17</f>
        <v>148092000</v>
      </c>
      <c r="C72" s="44"/>
      <c r="D72" s="44"/>
      <c r="E72" s="44"/>
    </row>
  </sheetData>
  <mergeCells count="4">
    <mergeCell ref="A1:H1"/>
    <mergeCell ref="A2:H2"/>
    <mergeCell ref="A3:H3"/>
    <mergeCell ref="A4:H4"/>
  </mergeCell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68EEFC"/>
    <pageSetUpPr fitToPage="1"/>
  </sheetPr>
  <dimension ref="A1:S71"/>
  <sheetViews>
    <sheetView zoomScale="90" zoomScaleNormal="90" workbookViewId="0">
      <selection activeCell="E16" sqref="E16"/>
    </sheetView>
  </sheetViews>
  <sheetFormatPr baseColWidth="10" defaultColWidth="11.5703125" defaultRowHeight="12.75" x14ac:dyDescent="0.2"/>
  <cols>
    <col min="1" max="1" width="10.28515625" style="355" bestFit="1" customWidth="1"/>
    <col min="2" max="2" width="17.5703125" style="355" bestFit="1" customWidth="1"/>
    <col min="3" max="3" width="17.140625" style="355" bestFit="1" customWidth="1"/>
    <col min="4" max="4" width="14" style="355" customWidth="1"/>
    <col min="5" max="5" width="16.7109375" style="355" bestFit="1" customWidth="1"/>
    <col min="6" max="6" width="14.28515625" style="355" bestFit="1" customWidth="1"/>
    <col min="7" max="7" width="14.7109375" style="355" bestFit="1" customWidth="1"/>
    <col min="8" max="8" width="15.140625" style="355" customWidth="1"/>
    <col min="9" max="9" width="16.85546875" style="355" customWidth="1"/>
    <col min="10" max="10" width="14.140625" style="355" bestFit="1" customWidth="1"/>
    <col min="11" max="11" width="17.85546875" style="355" bestFit="1" customWidth="1"/>
    <col min="12" max="12" width="13.5703125" style="355" bestFit="1" customWidth="1"/>
    <col min="13" max="13" width="12.7109375" style="355" bestFit="1" customWidth="1"/>
    <col min="14" max="15" width="13.5703125" style="355" bestFit="1" customWidth="1"/>
    <col min="16" max="18" width="12.7109375" style="355" bestFit="1" customWidth="1"/>
    <col min="19" max="19" width="13.7109375" style="355" bestFit="1" customWidth="1"/>
    <col min="20" max="260" width="11.5703125" style="355"/>
    <col min="261" max="261" width="15" style="355" customWidth="1"/>
    <col min="262" max="262" width="19" style="355" customWidth="1"/>
    <col min="263" max="263" width="18.5703125" style="355" customWidth="1"/>
    <col min="264" max="264" width="16.42578125" style="355" customWidth="1"/>
    <col min="265" max="265" width="16.85546875" style="355" customWidth="1"/>
    <col min="266" max="266" width="17.7109375" style="355" customWidth="1"/>
    <col min="267" max="271" width="13.5703125" style="355" bestFit="1" customWidth="1"/>
    <col min="272" max="274" width="12.7109375" style="355" bestFit="1" customWidth="1"/>
    <col min="275" max="275" width="13.7109375" style="355" bestFit="1" customWidth="1"/>
    <col min="276" max="516" width="11.5703125" style="355"/>
    <col min="517" max="517" width="15" style="355" customWidth="1"/>
    <col min="518" max="518" width="19" style="355" customWidth="1"/>
    <col min="519" max="519" width="18.5703125" style="355" customWidth="1"/>
    <col min="520" max="520" width="16.42578125" style="355" customWidth="1"/>
    <col min="521" max="521" width="16.85546875" style="355" customWidth="1"/>
    <col min="522" max="522" width="17.7109375" style="355" customWidth="1"/>
    <col min="523" max="527" width="13.5703125" style="355" bestFit="1" customWidth="1"/>
    <col min="528" max="530" width="12.7109375" style="355" bestFit="1" customWidth="1"/>
    <col min="531" max="531" width="13.7109375" style="355" bestFit="1" customWidth="1"/>
    <col min="532" max="772" width="11.5703125" style="355"/>
    <col min="773" max="773" width="15" style="355" customWidth="1"/>
    <col min="774" max="774" width="19" style="355" customWidth="1"/>
    <col min="775" max="775" width="18.5703125" style="355" customWidth="1"/>
    <col min="776" max="776" width="16.42578125" style="355" customWidth="1"/>
    <col min="777" max="777" width="16.85546875" style="355" customWidth="1"/>
    <col min="778" max="778" width="17.7109375" style="355" customWidth="1"/>
    <col min="779" max="783" width="13.5703125" style="355" bestFit="1" customWidth="1"/>
    <col min="784" max="786" width="12.7109375" style="355" bestFit="1" customWidth="1"/>
    <col min="787" max="787" width="13.7109375" style="355" bestFit="1" customWidth="1"/>
    <col min="788" max="1028" width="11.5703125" style="355"/>
    <col min="1029" max="1029" width="15" style="355" customWidth="1"/>
    <col min="1030" max="1030" width="19" style="355" customWidth="1"/>
    <col min="1031" max="1031" width="18.5703125" style="355" customWidth="1"/>
    <col min="1032" max="1032" width="16.42578125" style="355" customWidth="1"/>
    <col min="1033" max="1033" width="16.85546875" style="355" customWidth="1"/>
    <col min="1034" max="1034" width="17.7109375" style="355" customWidth="1"/>
    <col min="1035" max="1039" width="13.5703125" style="355" bestFit="1" customWidth="1"/>
    <col min="1040" max="1042" width="12.7109375" style="355" bestFit="1" customWidth="1"/>
    <col min="1043" max="1043" width="13.7109375" style="355" bestFit="1" customWidth="1"/>
    <col min="1044" max="1284" width="11.5703125" style="355"/>
    <col min="1285" max="1285" width="15" style="355" customWidth="1"/>
    <col min="1286" max="1286" width="19" style="355" customWidth="1"/>
    <col min="1287" max="1287" width="18.5703125" style="355" customWidth="1"/>
    <col min="1288" max="1288" width="16.42578125" style="355" customWidth="1"/>
    <col min="1289" max="1289" width="16.85546875" style="355" customWidth="1"/>
    <col min="1290" max="1290" width="17.7109375" style="355" customWidth="1"/>
    <col min="1291" max="1295" width="13.5703125" style="355" bestFit="1" customWidth="1"/>
    <col min="1296" max="1298" width="12.7109375" style="355" bestFit="1" customWidth="1"/>
    <col min="1299" max="1299" width="13.7109375" style="355" bestFit="1" customWidth="1"/>
    <col min="1300" max="1540" width="11.5703125" style="355"/>
    <col min="1541" max="1541" width="15" style="355" customWidth="1"/>
    <col min="1542" max="1542" width="19" style="355" customWidth="1"/>
    <col min="1543" max="1543" width="18.5703125" style="355" customWidth="1"/>
    <col min="1544" max="1544" width="16.42578125" style="355" customWidth="1"/>
    <col min="1545" max="1545" width="16.85546875" style="355" customWidth="1"/>
    <col min="1546" max="1546" width="17.7109375" style="355" customWidth="1"/>
    <col min="1547" max="1551" width="13.5703125" style="355" bestFit="1" customWidth="1"/>
    <col min="1552" max="1554" width="12.7109375" style="355" bestFit="1" customWidth="1"/>
    <col min="1555" max="1555" width="13.7109375" style="355" bestFit="1" customWidth="1"/>
    <col min="1556" max="1796" width="11.5703125" style="355"/>
    <col min="1797" max="1797" width="15" style="355" customWidth="1"/>
    <col min="1798" max="1798" width="19" style="355" customWidth="1"/>
    <col min="1799" max="1799" width="18.5703125" style="355" customWidth="1"/>
    <col min="1800" max="1800" width="16.42578125" style="355" customWidth="1"/>
    <col min="1801" max="1801" width="16.85546875" style="355" customWidth="1"/>
    <col min="1802" max="1802" width="17.7109375" style="355" customWidth="1"/>
    <col min="1803" max="1807" width="13.5703125" style="355" bestFit="1" customWidth="1"/>
    <col min="1808" max="1810" width="12.7109375" style="355" bestFit="1" customWidth="1"/>
    <col min="1811" max="1811" width="13.7109375" style="355" bestFit="1" customWidth="1"/>
    <col min="1812" max="2052" width="11.5703125" style="355"/>
    <col min="2053" max="2053" width="15" style="355" customWidth="1"/>
    <col min="2054" max="2054" width="19" style="355" customWidth="1"/>
    <col min="2055" max="2055" width="18.5703125" style="355" customWidth="1"/>
    <col min="2056" max="2056" width="16.42578125" style="355" customWidth="1"/>
    <col min="2057" max="2057" width="16.85546875" style="355" customWidth="1"/>
    <col min="2058" max="2058" width="17.7109375" style="355" customWidth="1"/>
    <col min="2059" max="2063" width="13.5703125" style="355" bestFit="1" customWidth="1"/>
    <col min="2064" max="2066" width="12.7109375" style="355" bestFit="1" customWidth="1"/>
    <col min="2067" max="2067" width="13.7109375" style="355" bestFit="1" customWidth="1"/>
    <col min="2068" max="2308" width="11.5703125" style="355"/>
    <col min="2309" max="2309" width="15" style="355" customWidth="1"/>
    <col min="2310" max="2310" width="19" style="355" customWidth="1"/>
    <col min="2311" max="2311" width="18.5703125" style="355" customWidth="1"/>
    <col min="2312" max="2312" width="16.42578125" style="355" customWidth="1"/>
    <col min="2313" max="2313" width="16.85546875" style="355" customWidth="1"/>
    <col min="2314" max="2314" width="17.7109375" style="355" customWidth="1"/>
    <col min="2315" max="2319" width="13.5703125" style="355" bestFit="1" customWidth="1"/>
    <col min="2320" max="2322" width="12.7109375" style="355" bestFit="1" customWidth="1"/>
    <col min="2323" max="2323" width="13.7109375" style="355" bestFit="1" customWidth="1"/>
    <col min="2324" max="2564" width="11.5703125" style="355"/>
    <col min="2565" max="2565" width="15" style="355" customWidth="1"/>
    <col min="2566" max="2566" width="19" style="355" customWidth="1"/>
    <col min="2567" max="2567" width="18.5703125" style="355" customWidth="1"/>
    <col min="2568" max="2568" width="16.42578125" style="355" customWidth="1"/>
    <col min="2569" max="2569" width="16.85546875" style="355" customWidth="1"/>
    <col min="2570" max="2570" width="17.7109375" style="355" customWidth="1"/>
    <col min="2571" max="2575" width="13.5703125" style="355" bestFit="1" customWidth="1"/>
    <col min="2576" max="2578" width="12.7109375" style="355" bestFit="1" customWidth="1"/>
    <col min="2579" max="2579" width="13.7109375" style="355" bestFit="1" customWidth="1"/>
    <col min="2580" max="2820" width="11.5703125" style="355"/>
    <col min="2821" max="2821" width="15" style="355" customWidth="1"/>
    <col min="2822" max="2822" width="19" style="355" customWidth="1"/>
    <col min="2823" max="2823" width="18.5703125" style="355" customWidth="1"/>
    <col min="2824" max="2824" width="16.42578125" style="355" customWidth="1"/>
    <col min="2825" max="2825" width="16.85546875" style="355" customWidth="1"/>
    <col min="2826" max="2826" width="17.7109375" style="355" customWidth="1"/>
    <col min="2827" max="2831" width="13.5703125" style="355" bestFit="1" customWidth="1"/>
    <col min="2832" max="2834" width="12.7109375" style="355" bestFit="1" customWidth="1"/>
    <col min="2835" max="2835" width="13.7109375" style="355" bestFit="1" customWidth="1"/>
    <col min="2836" max="3076" width="11.5703125" style="355"/>
    <col min="3077" max="3077" width="15" style="355" customWidth="1"/>
    <col min="3078" max="3078" width="19" style="355" customWidth="1"/>
    <col min="3079" max="3079" width="18.5703125" style="355" customWidth="1"/>
    <col min="3080" max="3080" width="16.42578125" style="355" customWidth="1"/>
    <col min="3081" max="3081" width="16.85546875" style="355" customWidth="1"/>
    <col min="3082" max="3082" width="17.7109375" style="355" customWidth="1"/>
    <col min="3083" max="3087" width="13.5703125" style="355" bestFit="1" customWidth="1"/>
    <col min="3088" max="3090" width="12.7109375" style="355" bestFit="1" customWidth="1"/>
    <col min="3091" max="3091" width="13.7109375" style="355" bestFit="1" customWidth="1"/>
    <col min="3092" max="3332" width="11.5703125" style="355"/>
    <col min="3333" max="3333" width="15" style="355" customWidth="1"/>
    <col min="3334" max="3334" width="19" style="355" customWidth="1"/>
    <col min="3335" max="3335" width="18.5703125" style="355" customWidth="1"/>
    <col min="3336" max="3336" width="16.42578125" style="355" customWidth="1"/>
    <col min="3337" max="3337" width="16.85546875" style="355" customWidth="1"/>
    <col min="3338" max="3338" width="17.7109375" style="355" customWidth="1"/>
    <col min="3339" max="3343" width="13.5703125" style="355" bestFit="1" customWidth="1"/>
    <col min="3344" max="3346" width="12.7109375" style="355" bestFit="1" customWidth="1"/>
    <col min="3347" max="3347" width="13.7109375" style="355" bestFit="1" customWidth="1"/>
    <col min="3348" max="3588" width="11.5703125" style="355"/>
    <col min="3589" max="3589" width="15" style="355" customWidth="1"/>
    <col min="3590" max="3590" width="19" style="355" customWidth="1"/>
    <col min="3591" max="3591" width="18.5703125" style="355" customWidth="1"/>
    <col min="3592" max="3592" width="16.42578125" style="355" customWidth="1"/>
    <col min="3593" max="3593" width="16.85546875" style="355" customWidth="1"/>
    <col min="3594" max="3594" width="17.7109375" style="355" customWidth="1"/>
    <col min="3595" max="3599" width="13.5703125" style="355" bestFit="1" customWidth="1"/>
    <col min="3600" max="3602" width="12.7109375" style="355" bestFit="1" customWidth="1"/>
    <col min="3603" max="3603" width="13.7109375" style="355" bestFit="1" customWidth="1"/>
    <col min="3604" max="3844" width="11.5703125" style="355"/>
    <col min="3845" max="3845" width="15" style="355" customWidth="1"/>
    <col min="3846" max="3846" width="19" style="355" customWidth="1"/>
    <col min="3847" max="3847" width="18.5703125" style="355" customWidth="1"/>
    <col min="3848" max="3848" width="16.42578125" style="355" customWidth="1"/>
    <col min="3849" max="3849" width="16.85546875" style="355" customWidth="1"/>
    <col min="3850" max="3850" width="17.7109375" style="355" customWidth="1"/>
    <col min="3851" max="3855" width="13.5703125" style="355" bestFit="1" customWidth="1"/>
    <col min="3856" max="3858" width="12.7109375" style="355" bestFit="1" customWidth="1"/>
    <col min="3859" max="3859" width="13.7109375" style="355" bestFit="1" customWidth="1"/>
    <col min="3860" max="4100" width="11.5703125" style="355"/>
    <col min="4101" max="4101" width="15" style="355" customWidth="1"/>
    <col min="4102" max="4102" width="19" style="355" customWidth="1"/>
    <col min="4103" max="4103" width="18.5703125" style="355" customWidth="1"/>
    <col min="4104" max="4104" width="16.42578125" style="355" customWidth="1"/>
    <col min="4105" max="4105" width="16.85546875" style="355" customWidth="1"/>
    <col min="4106" max="4106" width="17.7109375" style="355" customWidth="1"/>
    <col min="4107" max="4111" width="13.5703125" style="355" bestFit="1" customWidth="1"/>
    <col min="4112" max="4114" width="12.7109375" style="355" bestFit="1" customWidth="1"/>
    <col min="4115" max="4115" width="13.7109375" style="355" bestFit="1" customWidth="1"/>
    <col min="4116" max="4356" width="11.5703125" style="355"/>
    <col min="4357" max="4357" width="15" style="355" customWidth="1"/>
    <col min="4358" max="4358" width="19" style="355" customWidth="1"/>
    <col min="4359" max="4359" width="18.5703125" style="355" customWidth="1"/>
    <col min="4360" max="4360" width="16.42578125" style="355" customWidth="1"/>
    <col min="4361" max="4361" width="16.85546875" style="355" customWidth="1"/>
    <col min="4362" max="4362" width="17.7109375" style="355" customWidth="1"/>
    <col min="4363" max="4367" width="13.5703125" style="355" bestFit="1" customWidth="1"/>
    <col min="4368" max="4370" width="12.7109375" style="355" bestFit="1" customWidth="1"/>
    <col min="4371" max="4371" width="13.7109375" style="355" bestFit="1" customWidth="1"/>
    <col min="4372" max="4612" width="11.5703125" style="355"/>
    <col min="4613" max="4613" width="15" style="355" customWidth="1"/>
    <col min="4614" max="4614" width="19" style="355" customWidth="1"/>
    <col min="4615" max="4615" width="18.5703125" style="355" customWidth="1"/>
    <col min="4616" max="4616" width="16.42578125" style="355" customWidth="1"/>
    <col min="4617" max="4617" width="16.85546875" style="355" customWidth="1"/>
    <col min="4618" max="4618" width="17.7109375" style="355" customWidth="1"/>
    <col min="4619" max="4623" width="13.5703125" style="355" bestFit="1" customWidth="1"/>
    <col min="4624" max="4626" width="12.7109375" style="355" bestFit="1" customWidth="1"/>
    <col min="4627" max="4627" width="13.7109375" style="355" bestFit="1" customWidth="1"/>
    <col min="4628" max="4868" width="11.5703125" style="355"/>
    <col min="4869" max="4869" width="15" style="355" customWidth="1"/>
    <col min="4870" max="4870" width="19" style="355" customWidth="1"/>
    <col min="4871" max="4871" width="18.5703125" style="355" customWidth="1"/>
    <col min="4872" max="4872" width="16.42578125" style="355" customWidth="1"/>
    <col min="4873" max="4873" width="16.85546875" style="355" customWidth="1"/>
    <col min="4874" max="4874" width="17.7109375" style="355" customWidth="1"/>
    <col min="4875" max="4879" width="13.5703125" style="355" bestFit="1" customWidth="1"/>
    <col min="4880" max="4882" width="12.7109375" style="355" bestFit="1" customWidth="1"/>
    <col min="4883" max="4883" width="13.7109375" style="355" bestFit="1" customWidth="1"/>
    <col min="4884" max="5124" width="11.5703125" style="355"/>
    <col min="5125" max="5125" width="15" style="355" customWidth="1"/>
    <col min="5126" max="5126" width="19" style="355" customWidth="1"/>
    <col min="5127" max="5127" width="18.5703125" style="355" customWidth="1"/>
    <col min="5128" max="5128" width="16.42578125" style="355" customWidth="1"/>
    <col min="5129" max="5129" width="16.85546875" style="355" customWidth="1"/>
    <col min="5130" max="5130" width="17.7109375" style="355" customWidth="1"/>
    <col min="5131" max="5135" width="13.5703125" style="355" bestFit="1" customWidth="1"/>
    <col min="5136" max="5138" width="12.7109375" style="355" bestFit="1" customWidth="1"/>
    <col min="5139" max="5139" width="13.7109375" style="355" bestFit="1" customWidth="1"/>
    <col min="5140" max="5380" width="11.5703125" style="355"/>
    <col min="5381" max="5381" width="15" style="355" customWidth="1"/>
    <col min="5382" max="5382" width="19" style="355" customWidth="1"/>
    <col min="5383" max="5383" width="18.5703125" style="355" customWidth="1"/>
    <col min="5384" max="5384" width="16.42578125" style="355" customWidth="1"/>
    <col min="5385" max="5385" width="16.85546875" style="355" customWidth="1"/>
    <col min="5386" max="5386" width="17.7109375" style="355" customWidth="1"/>
    <col min="5387" max="5391" width="13.5703125" style="355" bestFit="1" customWidth="1"/>
    <col min="5392" max="5394" width="12.7109375" style="355" bestFit="1" customWidth="1"/>
    <col min="5395" max="5395" width="13.7109375" style="355" bestFit="1" customWidth="1"/>
    <col min="5396" max="5636" width="11.5703125" style="355"/>
    <col min="5637" max="5637" width="15" style="355" customWidth="1"/>
    <col min="5638" max="5638" width="19" style="355" customWidth="1"/>
    <col min="5639" max="5639" width="18.5703125" style="355" customWidth="1"/>
    <col min="5640" max="5640" width="16.42578125" style="355" customWidth="1"/>
    <col min="5641" max="5641" width="16.85546875" style="355" customWidth="1"/>
    <col min="5642" max="5642" width="17.7109375" style="355" customWidth="1"/>
    <col min="5643" max="5647" width="13.5703125" style="355" bestFit="1" customWidth="1"/>
    <col min="5648" max="5650" width="12.7109375" style="355" bestFit="1" customWidth="1"/>
    <col min="5651" max="5651" width="13.7109375" style="355" bestFit="1" customWidth="1"/>
    <col min="5652" max="5892" width="11.5703125" style="355"/>
    <col min="5893" max="5893" width="15" style="355" customWidth="1"/>
    <col min="5894" max="5894" width="19" style="355" customWidth="1"/>
    <col min="5895" max="5895" width="18.5703125" style="355" customWidth="1"/>
    <col min="5896" max="5896" width="16.42578125" style="355" customWidth="1"/>
    <col min="5897" max="5897" width="16.85546875" style="355" customWidth="1"/>
    <col min="5898" max="5898" width="17.7109375" style="355" customWidth="1"/>
    <col min="5899" max="5903" width="13.5703125" style="355" bestFit="1" customWidth="1"/>
    <col min="5904" max="5906" width="12.7109375" style="355" bestFit="1" customWidth="1"/>
    <col min="5907" max="5907" width="13.7109375" style="355" bestFit="1" customWidth="1"/>
    <col min="5908" max="6148" width="11.5703125" style="355"/>
    <col min="6149" max="6149" width="15" style="355" customWidth="1"/>
    <col min="6150" max="6150" width="19" style="355" customWidth="1"/>
    <col min="6151" max="6151" width="18.5703125" style="355" customWidth="1"/>
    <col min="6152" max="6152" width="16.42578125" style="355" customWidth="1"/>
    <col min="6153" max="6153" width="16.85546875" style="355" customWidth="1"/>
    <col min="6154" max="6154" width="17.7109375" style="355" customWidth="1"/>
    <col min="6155" max="6159" width="13.5703125" style="355" bestFit="1" customWidth="1"/>
    <col min="6160" max="6162" width="12.7109375" style="355" bestFit="1" customWidth="1"/>
    <col min="6163" max="6163" width="13.7109375" style="355" bestFit="1" customWidth="1"/>
    <col min="6164" max="6404" width="11.5703125" style="355"/>
    <col min="6405" max="6405" width="15" style="355" customWidth="1"/>
    <col min="6406" max="6406" width="19" style="355" customWidth="1"/>
    <col min="6407" max="6407" width="18.5703125" style="355" customWidth="1"/>
    <col min="6408" max="6408" width="16.42578125" style="355" customWidth="1"/>
    <col min="6409" max="6409" width="16.85546875" style="355" customWidth="1"/>
    <col min="6410" max="6410" width="17.7109375" style="355" customWidth="1"/>
    <col min="6411" max="6415" width="13.5703125" style="355" bestFit="1" customWidth="1"/>
    <col min="6416" max="6418" width="12.7109375" style="355" bestFit="1" customWidth="1"/>
    <col min="6419" max="6419" width="13.7109375" style="355" bestFit="1" customWidth="1"/>
    <col min="6420" max="6660" width="11.5703125" style="355"/>
    <col min="6661" max="6661" width="15" style="355" customWidth="1"/>
    <col min="6662" max="6662" width="19" style="355" customWidth="1"/>
    <col min="6663" max="6663" width="18.5703125" style="355" customWidth="1"/>
    <col min="6664" max="6664" width="16.42578125" style="355" customWidth="1"/>
    <col min="6665" max="6665" width="16.85546875" style="355" customWidth="1"/>
    <col min="6666" max="6666" width="17.7109375" style="355" customWidth="1"/>
    <col min="6667" max="6671" width="13.5703125" style="355" bestFit="1" customWidth="1"/>
    <col min="6672" max="6674" width="12.7109375" style="355" bestFit="1" customWidth="1"/>
    <col min="6675" max="6675" width="13.7109375" style="355" bestFit="1" customWidth="1"/>
    <col min="6676" max="6916" width="11.5703125" style="355"/>
    <col min="6917" max="6917" width="15" style="355" customWidth="1"/>
    <col min="6918" max="6918" width="19" style="355" customWidth="1"/>
    <col min="6919" max="6919" width="18.5703125" style="355" customWidth="1"/>
    <col min="6920" max="6920" width="16.42578125" style="355" customWidth="1"/>
    <col min="6921" max="6921" width="16.85546875" style="355" customWidth="1"/>
    <col min="6922" max="6922" width="17.7109375" style="355" customWidth="1"/>
    <col min="6923" max="6927" width="13.5703125" style="355" bestFit="1" customWidth="1"/>
    <col min="6928" max="6930" width="12.7109375" style="355" bestFit="1" customWidth="1"/>
    <col min="6931" max="6931" width="13.7109375" style="355" bestFit="1" customWidth="1"/>
    <col min="6932" max="7172" width="11.5703125" style="355"/>
    <col min="7173" max="7173" width="15" style="355" customWidth="1"/>
    <col min="7174" max="7174" width="19" style="355" customWidth="1"/>
    <col min="7175" max="7175" width="18.5703125" style="355" customWidth="1"/>
    <col min="7176" max="7176" width="16.42578125" style="355" customWidth="1"/>
    <col min="7177" max="7177" width="16.85546875" style="355" customWidth="1"/>
    <col min="7178" max="7178" width="17.7109375" style="355" customWidth="1"/>
    <col min="7179" max="7183" width="13.5703125" style="355" bestFit="1" customWidth="1"/>
    <col min="7184" max="7186" width="12.7109375" style="355" bestFit="1" customWidth="1"/>
    <col min="7187" max="7187" width="13.7109375" style="355" bestFit="1" customWidth="1"/>
    <col min="7188" max="7428" width="11.5703125" style="355"/>
    <col min="7429" max="7429" width="15" style="355" customWidth="1"/>
    <col min="7430" max="7430" width="19" style="355" customWidth="1"/>
    <col min="7431" max="7431" width="18.5703125" style="355" customWidth="1"/>
    <col min="7432" max="7432" width="16.42578125" style="355" customWidth="1"/>
    <col min="7433" max="7433" width="16.85546875" style="355" customWidth="1"/>
    <col min="7434" max="7434" width="17.7109375" style="355" customWidth="1"/>
    <col min="7435" max="7439" width="13.5703125" style="355" bestFit="1" customWidth="1"/>
    <col min="7440" max="7442" width="12.7109375" style="355" bestFit="1" customWidth="1"/>
    <col min="7443" max="7443" width="13.7109375" style="355" bestFit="1" customWidth="1"/>
    <col min="7444" max="7684" width="11.5703125" style="355"/>
    <col min="7685" max="7685" width="15" style="355" customWidth="1"/>
    <col min="7686" max="7686" width="19" style="355" customWidth="1"/>
    <col min="7687" max="7687" width="18.5703125" style="355" customWidth="1"/>
    <col min="7688" max="7688" width="16.42578125" style="355" customWidth="1"/>
    <col min="7689" max="7689" width="16.85546875" style="355" customWidth="1"/>
    <col min="7690" max="7690" width="17.7109375" style="355" customWidth="1"/>
    <col min="7691" max="7695" width="13.5703125" style="355" bestFit="1" customWidth="1"/>
    <col min="7696" max="7698" width="12.7109375" style="355" bestFit="1" customWidth="1"/>
    <col min="7699" max="7699" width="13.7109375" style="355" bestFit="1" customWidth="1"/>
    <col min="7700" max="7940" width="11.5703125" style="355"/>
    <col min="7941" max="7941" width="15" style="355" customWidth="1"/>
    <col min="7942" max="7942" width="19" style="355" customWidth="1"/>
    <col min="7943" max="7943" width="18.5703125" style="355" customWidth="1"/>
    <col min="7944" max="7944" width="16.42578125" style="355" customWidth="1"/>
    <col min="7945" max="7945" width="16.85546875" style="355" customWidth="1"/>
    <col min="7946" max="7946" width="17.7109375" style="355" customWidth="1"/>
    <col min="7947" max="7951" width="13.5703125" style="355" bestFit="1" customWidth="1"/>
    <col min="7952" max="7954" width="12.7109375" style="355" bestFit="1" customWidth="1"/>
    <col min="7955" max="7955" width="13.7109375" style="355" bestFit="1" customWidth="1"/>
    <col min="7956" max="8196" width="11.5703125" style="355"/>
    <col min="8197" max="8197" width="15" style="355" customWidth="1"/>
    <col min="8198" max="8198" width="19" style="355" customWidth="1"/>
    <col min="8199" max="8199" width="18.5703125" style="355" customWidth="1"/>
    <col min="8200" max="8200" width="16.42578125" style="355" customWidth="1"/>
    <col min="8201" max="8201" width="16.85546875" style="355" customWidth="1"/>
    <col min="8202" max="8202" width="17.7109375" style="355" customWidth="1"/>
    <col min="8203" max="8207" width="13.5703125" style="355" bestFit="1" customWidth="1"/>
    <col min="8208" max="8210" width="12.7109375" style="355" bestFit="1" customWidth="1"/>
    <col min="8211" max="8211" width="13.7109375" style="355" bestFit="1" customWidth="1"/>
    <col min="8212" max="8452" width="11.5703125" style="355"/>
    <col min="8453" max="8453" width="15" style="355" customWidth="1"/>
    <col min="8454" max="8454" width="19" style="355" customWidth="1"/>
    <col min="8455" max="8455" width="18.5703125" style="355" customWidth="1"/>
    <col min="8456" max="8456" width="16.42578125" style="355" customWidth="1"/>
    <col min="8457" max="8457" width="16.85546875" style="355" customWidth="1"/>
    <col min="8458" max="8458" width="17.7109375" style="355" customWidth="1"/>
    <col min="8459" max="8463" width="13.5703125" style="355" bestFit="1" customWidth="1"/>
    <col min="8464" max="8466" width="12.7109375" style="355" bestFit="1" customWidth="1"/>
    <col min="8467" max="8467" width="13.7109375" style="355" bestFit="1" customWidth="1"/>
    <col min="8468" max="8708" width="11.5703125" style="355"/>
    <col min="8709" max="8709" width="15" style="355" customWidth="1"/>
    <col min="8710" max="8710" width="19" style="355" customWidth="1"/>
    <col min="8711" max="8711" width="18.5703125" style="355" customWidth="1"/>
    <col min="8712" max="8712" width="16.42578125" style="355" customWidth="1"/>
    <col min="8713" max="8713" width="16.85546875" style="355" customWidth="1"/>
    <col min="8714" max="8714" width="17.7109375" style="355" customWidth="1"/>
    <col min="8715" max="8719" width="13.5703125" style="355" bestFit="1" customWidth="1"/>
    <col min="8720" max="8722" width="12.7109375" style="355" bestFit="1" customWidth="1"/>
    <col min="8723" max="8723" width="13.7109375" style="355" bestFit="1" customWidth="1"/>
    <col min="8724" max="8964" width="11.5703125" style="355"/>
    <col min="8965" max="8965" width="15" style="355" customWidth="1"/>
    <col min="8966" max="8966" width="19" style="355" customWidth="1"/>
    <col min="8967" max="8967" width="18.5703125" style="355" customWidth="1"/>
    <col min="8968" max="8968" width="16.42578125" style="355" customWidth="1"/>
    <col min="8969" max="8969" width="16.85546875" style="355" customWidth="1"/>
    <col min="8970" max="8970" width="17.7109375" style="355" customWidth="1"/>
    <col min="8971" max="8975" width="13.5703125" style="355" bestFit="1" customWidth="1"/>
    <col min="8976" max="8978" width="12.7109375" style="355" bestFit="1" customWidth="1"/>
    <col min="8979" max="8979" width="13.7109375" style="355" bestFit="1" customWidth="1"/>
    <col min="8980" max="9220" width="11.5703125" style="355"/>
    <col min="9221" max="9221" width="15" style="355" customWidth="1"/>
    <col min="9222" max="9222" width="19" style="355" customWidth="1"/>
    <col min="9223" max="9223" width="18.5703125" style="355" customWidth="1"/>
    <col min="9224" max="9224" width="16.42578125" style="355" customWidth="1"/>
    <col min="9225" max="9225" width="16.85546875" style="355" customWidth="1"/>
    <col min="9226" max="9226" width="17.7109375" style="355" customWidth="1"/>
    <col min="9227" max="9231" width="13.5703125" style="355" bestFit="1" customWidth="1"/>
    <col min="9232" max="9234" width="12.7109375" style="355" bestFit="1" customWidth="1"/>
    <col min="9235" max="9235" width="13.7109375" style="355" bestFit="1" customWidth="1"/>
    <col min="9236" max="9476" width="11.5703125" style="355"/>
    <col min="9477" max="9477" width="15" style="355" customWidth="1"/>
    <col min="9478" max="9478" width="19" style="355" customWidth="1"/>
    <col min="9479" max="9479" width="18.5703125" style="355" customWidth="1"/>
    <col min="9480" max="9480" width="16.42578125" style="355" customWidth="1"/>
    <col min="9481" max="9481" width="16.85546875" style="355" customWidth="1"/>
    <col min="9482" max="9482" width="17.7109375" style="355" customWidth="1"/>
    <col min="9483" max="9487" width="13.5703125" style="355" bestFit="1" customWidth="1"/>
    <col min="9488" max="9490" width="12.7109375" style="355" bestFit="1" customWidth="1"/>
    <col min="9491" max="9491" width="13.7109375" style="355" bestFit="1" customWidth="1"/>
    <col min="9492" max="9732" width="11.5703125" style="355"/>
    <col min="9733" max="9733" width="15" style="355" customWidth="1"/>
    <col min="9734" max="9734" width="19" style="355" customWidth="1"/>
    <col min="9735" max="9735" width="18.5703125" style="355" customWidth="1"/>
    <col min="9736" max="9736" width="16.42578125" style="355" customWidth="1"/>
    <col min="9737" max="9737" width="16.85546875" style="355" customWidth="1"/>
    <col min="9738" max="9738" width="17.7109375" style="355" customWidth="1"/>
    <col min="9739" max="9743" width="13.5703125" style="355" bestFit="1" customWidth="1"/>
    <col min="9744" max="9746" width="12.7109375" style="355" bestFit="1" customWidth="1"/>
    <col min="9747" max="9747" width="13.7109375" style="355" bestFit="1" customWidth="1"/>
    <col min="9748" max="9988" width="11.5703125" style="355"/>
    <col min="9989" max="9989" width="15" style="355" customWidth="1"/>
    <col min="9990" max="9990" width="19" style="355" customWidth="1"/>
    <col min="9991" max="9991" width="18.5703125" style="355" customWidth="1"/>
    <col min="9992" max="9992" width="16.42578125" style="355" customWidth="1"/>
    <col min="9993" max="9993" width="16.85546875" style="355" customWidth="1"/>
    <col min="9994" max="9994" width="17.7109375" style="355" customWidth="1"/>
    <col min="9995" max="9999" width="13.5703125" style="355" bestFit="1" customWidth="1"/>
    <col min="10000" max="10002" width="12.7109375" style="355" bestFit="1" customWidth="1"/>
    <col min="10003" max="10003" width="13.7109375" style="355" bestFit="1" customWidth="1"/>
    <col min="10004" max="10244" width="11.5703125" style="355"/>
    <col min="10245" max="10245" width="15" style="355" customWidth="1"/>
    <col min="10246" max="10246" width="19" style="355" customWidth="1"/>
    <col min="10247" max="10247" width="18.5703125" style="355" customWidth="1"/>
    <col min="10248" max="10248" width="16.42578125" style="355" customWidth="1"/>
    <col min="10249" max="10249" width="16.85546875" style="355" customWidth="1"/>
    <col min="10250" max="10250" width="17.7109375" style="355" customWidth="1"/>
    <col min="10251" max="10255" width="13.5703125" style="355" bestFit="1" customWidth="1"/>
    <col min="10256" max="10258" width="12.7109375" style="355" bestFit="1" customWidth="1"/>
    <col min="10259" max="10259" width="13.7109375" style="355" bestFit="1" customWidth="1"/>
    <col min="10260" max="10500" width="11.5703125" style="355"/>
    <col min="10501" max="10501" width="15" style="355" customWidth="1"/>
    <col min="10502" max="10502" width="19" style="355" customWidth="1"/>
    <col min="10503" max="10503" width="18.5703125" style="355" customWidth="1"/>
    <col min="10504" max="10504" width="16.42578125" style="355" customWidth="1"/>
    <col min="10505" max="10505" width="16.85546875" style="355" customWidth="1"/>
    <col min="10506" max="10506" width="17.7109375" style="355" customWidth="1"/>
    <col min="10507" max="10511" width="13.5703125" style="355" bestFit="1" customWidth="1"/>
    <col min="10512" max="10514" width="12.7109375" style="355" bestFit="1" customWidth="1"/>
    <col min="10515" max="10515" width="13.7109375" style="355" bestFit="1" customWidth="1"/>
    <col min="10516" max="10756" width="11.5703125" style="355"/>
    <col min="10757" max="10757" width="15" style="355" customWidth="1"/>
    <col min="10758" max="10758" width="19" style="355" customWidth="1"/>
    <col min="10759" max="10759" width="18.5703125" style="355" customWidth="1"/>
    <col min="10760" max="10760" width="16.42578125" style="355" customWidth="1"/>
    <col min="10761" max="10761" width="16.85546875" style="355" customWidth="1"/>
    <col min="10762" max="10762" width="17.7109375" style="355" customWidth="1"/>
    <col min="10763" max="10767" width="13.5703125" style="355" bestFit="1" customWidth="1"/>
    <col min="10768" max="10770" width="12.7109375" style="355" bestFit="1" customWidth="1"/>
    <col min="10771" max="10771" width="13.7109375" style="355" bestFit="1" customWidth="1"/>
    <col min="10772" max="11012" width="11.5703125" style="355"/>
    <col min="11013" max="11013" width="15" style="355" customWidth="1"/>
    <col min="11014" max="11014" width="19" style="355" customWidth="1"/>
    <col min="11015" max="11015" width="18.5703125" style="355" customWidth="1"/>
    <col min="11016" max="11016" width="16.42578125" style="355" customWidth="1"/>
    <col min="11017" max="11017" width="16.85546875" style="355" customWidth="1"/>
    <col min="11018" max="11018" width="17.7109375" style="355" customWidth="1"/>
    <col min="11019" max="11023" width="13.5703125" style="355" bestFit="1" customWidth="1"/>
    <col min="11024" max="11026" width="12.7109375" style="355" bestFit="1" customWidth="1"/>
    <col min="11027" max="11027" width="13.7109375" style="355" bestFit="1" customWidth="1"/>
    <col min="11028" max="11268" width="11.5703125" style="355"/>
    <col min="11269" max="11269" width="15" style="355" customWidth="1"/>
    <col min="11270" max="11270" width="19" style="355" customWidth="1"/>
    <col min="11271" max="11271" width="18.5703125" style="355" customWidth="1"/>
    <col min="11272" max="11272" width="16.42578125" style="355" customWidth="1"/>
    <col min="11273" max="11273" width="16.85546875" style="355" customWidth="1"/>
    <col min="11274" max="11274" width="17.7109375" style="355" customWidth="1"/>
    <col min="11275" max="11279" width="13.5703125" style="355" bestFit="1" customWidth="1"/>
    <col min="11280" max="11282" width="12.7109375" style="355" bestFit="1" customWidth="1"/>
    <col min="11283" max="11283" width="13.7109375" style="355" bestFit="1" customWidth="1"/>
    <col min="11284" max="11524" width="11.5703125" style="355"/>
    <col min="11525" max="11525" width="15" style="355" customWidth="1"/>
    <col min="11526" max="11526" width="19" style="355" customWidth="1"/>
    <col min="11527" max="11527" width="18.5703125" style="355" customWidth="1"/>
    <col min="11528" max="11528" width="16.42578125" style="355" customWidth="1"/>
    <col min="11529" max="11529" width="16.85546875" style="355" customWidth="1"/>
    <col min="11530" max="11530" width="17.7109375" style="355" customWidth="1"/>
    <col min="11531" max="11535" width="13.5703125" style="355" bestFit="1" customWidth="1"/>
    <col min="11536" max="11538" width="12.7109375" style="355" bestFit="1" customWidth="1"/>
    <col min="11539" max="11539" width="13.7109375" style="355" bestFit="1" customWidth="1"/>
    <col min="11540" max="11780" width="11.5703125" style="355"/>
    <col min="11781" max="11781" width="15" style="355" customWidth="1"/>
    <col min="11782" max="11782" width="19" style="355" customWidth="1"/>
    <col min="11783" max="11783" width="18.5703125" style="355" customWidth="1"/>
    <col min="11784" max="11784" width="16.42578125" style="355" customWidth="1"/>
    <col min="11785" max="11785" width="16.85546875" style="355" customWidth="1"/>
    <col min="11786" max="11786" width="17.7109375" style="355" customWidth="1"/>
    <col min="11787" max="11791" width="13.5703125" style="355" bestFit="1" customWidth="1"/>
    <col min="11792" max="11794" width="12.7109375" style="355" bestFit="1" customWidth="1"/>
    <col min="11795" max="11795" width="13.7109375" style="355" bestFit="1" customWidth="1"/>
    <col min="11796" max="12036" width="11.5703125" style="355"/>
    <col min="12037" max="12037" width="15" style="355" customWidth="1"/>
    <col min="12038" max="12038" width="19" style="355" customWidth="1"/>
    <col min="12039" max="12039" width="18.5703125" style="355" customWidth="1"/>
    <col min="12040" max="12040" width="16.42578125" style="355" customWidth="1"/>
    <col min="12041" max="12041" width="16.85546875" style="355" customWidth="1"/>
    <col min="12042" max="12042" width="17.7109375" style="355" customWidth="1"/>
    <col min="12043" max="12047" width="13.5703125" style="355" bestFit="1" customWidth="1"/>
    <col min="12048" max="12050" width="12.7109375" style="355" bestFit="1" customWidth="1"/>
    <col min="12051" max="12051" width="13.7109375" style="355" bestFit="1" customWidth="1"/>
    <col min="12052" max="12292" width="11.5703125" style="355"/>
    <col min="12293" max="12293" width="15" style="355" customWidth="1"/>
    <col min="12294" max="12294" width="19" style="355" customWidth="1"/>
    <col min="12295" max="12295" width="18.5703125" style="355" customWidth="1"/>
    <col min="12296" max="12296" width="16.42578125" style="355" customWidth="1"/>
    <col min="12297" max="12297" width="16.85546875" style="355" customWidth="1"/>
    <col min="12298" max="12298" width="17.7109375" style="355" customWidth="1"/>
    <col min="12299" max="12303" width="13.5703125" style="355" bestFit="1" customWidth="1"/>
    <col min="12304" max="12306" width="12.7109375" style="355" bestFit="1" customWidth="1"/>
    <col min="12307" max="12307" width="13.7109375" style="355" bestFit="1" customWidth="1"/>
    <col min="12308" max="12548" width="11.5703125" style="355"/>
    <col min="12549" max="12549" width="15" style="355" customWidth="1"/>
    <col min="12550" max="12550" width="19" style="355" customWidth="1"/>
    <col min="12551" max="12551" width="18.5703125" style="355" customWidth="1"/>
    <col min="12552" max="12552" width="16.42578125" style="355" customWidth="1"/>
    <col min="12553" max="12553" width="16.85546875" style="355" customWidth="1"/>
    <col min="12554" max="12554" width="17.7109375" style="355" customWidth="1"/>
    <col min="12555" max="12559" width="13.5703125" style="355" bestFit="1" customWidth="1"/>
    <col min="12560" max="12562" width="12.7109375" style="355" bestFit="1" customWidth="1"/>
    <col min="12563" max="12563" width="13.7109375" style="355" bestFit="1" customWidth="1"/>
    <col min="12564" max="12804" width="11.5703125" style="355"/>
    <col min="12805" max="12805" width="15" style="355" customWidth="1"/>
    <col min="12806" max="12806" width="19" style="355" customWidth="1"/>
    <col min="12807" max="12807" width="18.5703125" style="355" customWidth="1"/>
    <col min="12808" max="12808" width="16.42578125" style="355" customWidth="1"/>
    <col min="12809" max="12809" width="16.85546875" style="355" customWidth="1"/>
    <col min="12810" max="12810" width="17.7109375" style="355" customWidth="1"/>
    <col min="12811" max="12815" width="13.5703125" style="355" bestFit="1" customWidth="1"/>
    <col min="12816" max="12818" width="12.7109375" style="355" bestFit="1" customWidth="1"/>
    <col min="12819" max="12819" width="13.7109375" style="355" bestFit="1" customWidth="1"/>
    <col min="12820" max="13060" width="11.5703125" style="355"/>
    <col min="13061" max="13061" width="15" style="355" customWidth="1"/>
    <col min="13062" max="13062" width="19" style="355" customWidth="1"/>
    <col min="13063" max="13063" width="18.5703125" style="355" customWidth="1"/>
    <col min="13064" max="13064" width="16.42578125" style="355" customWidth="1"/>
    <col min="13065" max="13065" width="16.85546875" style="355" customWidth="1"/>
    <col min="13066" max="13066" width="17.7109375" style="355" customWidth="1"/>
    <col min="13067" max="13071" width="13.5703125" style="355" bestFit="1" customWidth="1"/>
    <col min="13072" max="13074" width="12.7109375" style="355" bestFit="1" customWidth="1"/>
    <col min="13075" max="13075" width="13.7109375" style="355" bestFit="1" customWidth="1"/>
    <col min="13076" max="13316" width="11.5703125" style="355"/>
    <col min="13317" max="13317" width="15" style="355" customWidth="1"/>
    <col min="13318" max="13318" width="19" style="355" customWidth="1"/>
    <col min="13319" max="13319" width="18.5703125" style="355" customWidth="1"/>
    <col min="13320" max="13320" width="16.42578125" style="355" customWidth="1"/>
    <col min="13321" max="13321" width="16.85546875" style="355" customWidth="1"/>
    <col min="13322" max="13322" width="17.7109375" style="355" customWidth="1"/>
    <col min="13323" max="13327" width="13.5703125" style="355" bestFit="1" customWidth="1"/>
    <col min="13328" max="13330" width="12.7109375" style="355" bestFit="1" customWidth="1"/>
    <col min="13331" max="13331" width="13.7109375" style="355" bestFit="1" customWidth="1"/>
    <col min="13332" max="13572" width="11.5703125" style="355"/>
    <col min="13573" max="13573" width="15" style="355" customWidth="1"/>
    <col min="13574" max="13574" width="19" style="355" customWidth="1"/>
    <col min="13575" max="13575" width="18.5703125" style="355" customWidth="1"/>
    <col min="13576" max="13576" width="16.42578125" style="355" customWidth="1"/>
    <col min="13577" max="13577" width="16.85546875" style="355" customWidth="1"/>
    <col min="13578" max="13578" width="17.7109375" style="355" customWidth="1"/>
    <col min="13579" max="13583" width="13.5703125" style="355" bestFit="1" customWidth="1"/>
    <col min="13584" max="13586" width="12.7109375" style="355" bestFit="1" customWidth="1"/>
    <col min="13587" max="13587" width="13.7109375" style="355" bestFit="1" customWidth="1"/>
    <col min="13588" max="13828" width="11.5703125" style="355"/>
    <col min="13829" max="13829" width="15" style="355" customWidth="1"/>
    <col min="13830" max="13830" width="19" style="355" customWidth="1"/>
    <col min="13831" max="13831" width="18.5703125" style="355" customWidth="1"/>
    <col min="13832" max="13832" width="16.42578125" style="355" customWidth="1"/>
    <col min="13833" max="13833" width="16.85546875" style="355" customWidth="1"/>
    <col min="13834" max="13834" width="17.7109375" style="355" customWidth="1"/>
    <col min="13835" max="13839" width="13.5703125" style="355" bestFit="1" customWidth="1"/>
    <col min="13840" max="13842" width="12.7109375" style="355" bestFit="1" customWidth="1"/>
    <col min="13843" max="13843" width="13.7109375" style="355" bestFit="1" customWidth="1"/>
    <col min="13844" max="14084" width="11.5703125" style="355"/>
    <col min="14085" max="14085" width="15" style="355" customWidth="1"/>
    <col min="14086" max="14086" width="19" style="355" customWidth="1"/>
    <col min="14087" max="14087" width="18.5703125" style="355" customWidth="1"/>
    <col min="14088" max="14088" width="16.42578125" style="355" customWidth="1"/>
    <col min="14089" max="14089" width="16.85546875" style="355" customWidth="1"/>
    <col min="14090" max="14090" width="17.7109375" style="355" customWidth="1"/>
    <col min="14091" max="14095" width="13.5703125" style="355" bestFit="1" customWidth="1"/>
    <col min="14096" max="14098" width="12.7109375" style="355" bestFit="1" customWidth="1"/>
    <col min="14099" max="14099" width="13.7109375" style="355" bestFit="1" customWidth="1"/>
    <col min="14100" max="14340" width="11.5703125" style="355"/>
    <col min="14341" max="14341" width="15" style="355" customWidth="1"/>
    <col min="14342" max="14342" width="19" style="355" customWidth="1"/>
    <col min="14343" max="14343" width="18.5703125" style="355" customWidth="1"/>
    <col min="14344" max="14344" width="16.42578125" style="355" customWidth="1"/>
    <col min="14345" max="14345" width="16.85546875" style="355" customWidth="1"/>
    <col min="14346" max="14346" width="17.7109375" style="355" customWidth="1"/>
    <col min="14347" max="14351" width="13.5703125" style="355" bestFit="1" customWidth="1"/>
    <col min="14352" max="14354" width="12.7109375" style="355" bestFit="1" customWidth="1"/>
    <col min="14355" max="14355" width="13.7109375" style="355" bestFit="1" customWidth="1"/>
    <col min="14356" max="14596" width="11.5703125" style="355"/>
    <col min="14597" max="14597" width="15" style="355" customWidth="1"/>
    <col min="14598" max="14598" width="19" style="355" customWidth="1"/>
    <col min="14599" max="14599" width="18.5703125" style="355" customWidth="1"/>
    <col min="14600" max="14600" width="16.42578125" style="355" customWidth="1"/>
    <col min="14601" max="14601" width="16.85546875" style="355" customWidth="1"/>
    <col min="14602" max="14602" width="17.7109375" style="355" customWidth="1"/>
    <col min="14603" max="14607" width="13.5703125" style="355" bestFit="1" customWidth="1"/>
    <col min="14608" max="14610" width="12.7109375" style="355" bestFit="1" customWidth="1"/>
    <col min="14611" max="14611" width="13.7109375" style="355" bestFit="1" customWidth="1"/>
    <col min="14612" max="14852" width="11.5703125" style="355"/>
    <col min="14853" max="14853" width="15" style="355" customWidth="1"/>
    <col min="14854" max="14854" width="19" style="355" customWidth="1"/>
    <col min="14855" max="14855" width="18.5703125" style="355" customWidth="1"/>
    <col min="14856" max="14856" width="16.42578125" style="355" customWidth="1"/>
    <col min="14857" max="14857" width="16.85546875" style="355" customWidth="1"/>
    <col min="14858" max="14858" width="17.7109375" style="355" customWidth="1"/>
    <col min="14859" max="14863" width="13.5703125" style="355" bestFit="1" customWidth="1"/>
    <col min="14864" max="14866" width="12.7109375" style="355" bestFit="1" customWidth="1"/>
    <col min="14867" max="14867" width="13.7109375" style="355" bestFit="1" customWidth="1"/>
    <col min="14868" max="15108" width="11.5703125" style="355"/>
    <col min="15109" max="15109" width="15" style="355" customWidth="1"/>
    <col min="15110" max="15110" width="19" style="355" customWidth="1"/>
    <col min="15111" max="15111" width="18.5703125" style="355" customWidth="1"/>
    <col min="15112" max="15112" width="16.42578125" style="355" customWidth="1"/>
    <col min="15113" max="15113" width="16.85546875" style="355" customWidth="1"/>
    <col min="15114" max="15114" width="17.7109375" style="355" customWidth="1"/>
    <col min="15115" max="15119" width="13.5703125" style="355" bestFit="1" customWidth="1"/>
    <col min="15120" max="15122" width="12.7109375" style="355" bestFit="1" customWidth="1"/>
    <col min="15123" max="15123" width="13.7109375" style="355" bestFit="1" customWidth="1"/>
    <col min="15124" max="15364" width="11.5703125" style="355"/>
    <col min="15365" max="15365" width="15" style="355" customWidth="1"/>
    <col min="15366" max="15366" width="19" style="355" customWidth="1"/>
    <col min="15367" max="15367" width="18.5703125" style="355" customWidth="1"/>
    <col min="15368" max="15368" width="16.42578125" style="355" customWidth="1"/>
    <col min="15369" max="15369" width="16.85546875" style="355" customWidth="1"/>
    <col min="15370" max="15370" width="17.7109375" style="355" customWidth="1"/>
    <col min="15371" max="15375" width="13.5703125" style="355" bestFit="1" customWidth="1"/>
    <col min="15376" max="15378" width="12.7109375" style="355" bestFit="1" customWidth="1"/>
    <col min="15379" max="15379" width="13.7109375" style="355" bestFit="1" customWidth="1"/>
    <col min="15380" max="15620" width="11.5703125" style="355"/>
    <col min="15621" max="15621" width="15" style="355" customWidth="1"/>
    <col min="15622" max="15622" width="19" style="355" customWidth="1"/>
    <col min="15623" max="15623" width="18.5703125" style="355" customWidth="1"/>
    <col min="15624" max="15624" width="16.42578125" style="355" customWidth="1"/>
    <col min="15625" max="15625" width="16.85546875" style="355" customWidth="1"/>
    <col min="15626" max="15626" width="17.7109375" style="355" customWidth="1"/>
    <col min="15627" max="15631" width="13.5703125" style="355" bestFit="1" customWidth="1"/>
    <col min="15632" max="15634" width="12.7109375" style="355" bestFit="1" customWidth="1"/>
    <col min="15635" max="15635" width="13.7109375" style="355" bestFit="1" customWidth="1"/>
    <col min="15636" max="15876" width="11.5703125" style="355"/>
    <col min="15877" max="15877" width="15" style="355" customWidth="1"/>
    <col min="15878" max="15878" width="19" style="355" customWidth="1"/>
    <col min="15879" max="15879" width="18.5703125" style="355" customWidth="1"/>
    <col min="15880" max="15880" width="16.42578125" style="355" customWidth="1"/>
    <col min="15881" max="15881" width="16.85546875" style="355" customWidth="1"/>
    <col min="15882" max="15882" width="17.7109375" style="355" customWidth="1"/>
    <col min="15883" max="15887" width="13.5703125" style="355" bestFit="1" customWidth="1"/>
    <col min="15888" max="15890" width="12.7109375" style="355" bestFit="1" customWidth="1"/>
    <col min="15891" max="15891" width="13.7109375" style="355" bestFit="1" customWidth="1"/>
    <col min="15892" max="16132" width="11.5703125" style="355"/>
    <col min="16133" max="16133" width="15" style="355" customWidth="1"/>
    <col min="16134" max="16134" width="19" style="355" customWidth="1"/>
    <col min="16135" max="16135" width="18.5703125" style="355" customWidth="1"/>
    <col min="16136" max="16136" width="16.42578125" style="355" customWidth="1"/>
    <col min="16137" max="16137" width="16.85546875" style="355" customWidth="1"/>
    <col min="16138" max="16138" width="17.7109375" style="355" customWidth="1"/>
    <col min="16139" max="16143" width="13.5703125" style="355" bestFit="1" customWidth="1"/>
    <col min="16144" max="16146" width="12.7109375" style="355" bestFit="1" customWidth="1"/>
    <col min="16147" max="16147" width="13.7109375" style="355" bestFit="1" customWidth="1"/>
    <col min="16148" max="16384" width="11.5703125" style="355"/>
  </cols>
  <sheetData>
    <row r="1" spans="1:13" ht="15" customHeight="1" x14ac:dyDescent="0.2">
      <c r="A1" s="511" t="s">
        <v>2</v>
      </c>
      <c r="B1" s="512"/>
      <c r="C1" s="512"/>
      <c r="D1" s="512"/>
      <c r="E1" s="512"/>
      <c r="F1" s="512"/>
      <c r="G1" s="512"/>
      <c r="H1" s="512"/>
    </row>
    <row r="2" spans="1:13" x14ac:dyDescent="0.2">
      <c r="A2" s="511" t="s">
        <v>3070</v>
      </c>
      <c r="B2" s="512"/>
      <c r="C2" s="512"/>
      <c r="D2" s="512"/>
      <c r="E2" s="512"/>
      <c r="F2" s="512"/>
      <c r="G2" s="512"/>
      <c r="H2" s="512"/>
    </row>
    <row r="3" spans="1:13" x14ac:dyDescent="0.2">
      <c r="A3" s="511" t="s">
        <v>3071</v>
      </c>
      <c r="B3" s="512"/>
      <c r="C3" s="512"/>
      <c r="D3" s="512"/>
      <c r="E3" s="512"/>
      <c r="F3" s="512"/>
      <c r="G3" s="512"/>
      <c r="H3" s="512"/>
    </row>
    <row r="4" spans="1:13" ht="15.75" customHeight="1" x14ac:dyDescent="0.2">
      <c r="A4" s="511" t="s">
        <v>3092</v>
      </c>
      <c r="B4" s="512"/>
      <c r="C4" s="512"/>
      <c r="D4" s="512"/>
      <c r="E4" s="512"/>
      <c r="F4" s="512"/>
      <c r="G4" s="512"/>
      <c r="H4" s="512"/>
    </row>
    <row r="5" spans="1:13" ht="39" thickBot="1" x14ac:dyDescent="0.25">
      <c r="A5" s="432" t="s">
        <v>5</v>
      </c>
      <c r="B5" s="433" t="s">
        <v>6</v>
      </c>
      <c r="C5" s="434" t="s">
        <v>7</v>
      </c>
      <c r="D5" s="434" t="s">
        <v>3147</v>
      </c>
      <c r="E5" s="434" t="s">
        <v>41</v>
      </c>
      <c r="F5" s="434" t="s">
        <v>3135</v>
      </c>
      <c r="G5" s="435" t="s">
        <v>3078</v>
      </c>
      <c r="H5" s="436" t="s">
        <v>8</v>
      </c>
    </row>
    <row r="6" spans="1:13" x14ac:dyDescent="0.2">
      <c r="A6" s="356">
        <v>43259</v>
      </c>
      <c r="B6" s="357" t="s">
        <v>359</v>
      </c>
      <c r="C6" s="358">
        <v>0</v>
      </c>
      <c r="D6" s="358">
        <v>0</v>
      </c>
      <c r="E6" s="358"/>
      <c r="F6" s="358"/>
      <c r="G6" s="358"/>
      <c r="H6" s="359">
        <v>8322886732</v>
      </c>
      <c r="I6" s="360"/>
    </row>
    <row r="7" spans="1:13" x14ac:dyDescent="0.2">
      <c r="A7" s="356">
        <f>A6+92</f>
        <v>43351</v>
      </c>
      <c r="B7" s="437" t="s">
        <v>9</v>
      </c>
      <c r="C7" s="366">
        <v>0</v>
      </c>
      <c r="D7" s="366">
        <f>H6*$B$62*B$61/360</f>
        <v>188097240.14320001</v>
      </c>
      <c r="E7" s="366">
        <v>188097240.14319962</v>
      </c>
      <c r="F7" s="366"/>
      <c r="G7" s="366">
        <f>E7+C7+F7</f>
        <v>188097240.14319962</v>
      </c>
      <c r="H7" s="438">
        <v>8322886732</v>
      </c>
      <c r="I7" s="364"/>
    </row>
    <row r="8" spans="1:13" x14ac:dyDescent="0.2">
      <c r="A8" s="365">
        <f>A7+91</f>
        <v>43442</v>
      </c>
      <c r="B8" s="437" t="s">
        <v>9</v>
      </c>
      <c r="C8" s="366">
        <v>0</v>
      </c>
      <c r="D8" s="366">
        <f>H7*$C$62*$C$61/360</f>
        <v>188867107.16591001</v>
      </c>
      <c r="E8" s="366">
        <v>188867107.16591004</v>
      </c>
      <c r="F8" s="366"/>
      <c r="G8" s="366">
        <f t="shared" ref="G8:G54" si="0">E8+C8+F8</f>
        <v>188867107.16591004</v>
      </c>
      <c r="H8" s="438">
        <f t="shared" ref="H8:H54" si="1">+H7-C8</f>
        <v>8322886732</v>
      </c>
    </row>
    <row r="9" spans="1:13" x14ac:dyDescent="0.2">
      <c r="A9" s="356">
        <f>A8+90</f>
        <v>43532</v>
      </c>
      <c r="B9" s="437" t="s">
        <v>9</v>
      </c>
      <c r="C9" s="366">
        <v>0</v>
      </c>
      <c r="D9" s="366">
        <f>H8*$D$62*D$61/360</f>
        <v>189449709.23714998</v>
      </c>
      <c r="E9" s="366">
        <v>189449709.23715016</v>
      </c>
      <c r="F9" s="366"/>
      <c r="G9" s="366">
        <f t="shared" si="0"/>
        <v>189449709.23715016</v>
      </c>
      <c r="H9" s="438">
        <f t="shared" si="1"/>
        <v>8322886732</v>
      </c>
    </row>
    <row r="10" spans="1:13" x14ac:dyDescent="0.2">
      <c r="A10" s="356">
        <f>A9+92</f>
        <v>43624</v>
      </c>
      <c r="B10" s="437" t="s">
        <v>9</v>
      </c>
      <c r="C10" s="366">
        <v>0</v>
      </c>
      <c r="D10" s="366">
        <f>H9*$E$62*E$61/360</f>
        <v>189095986.55103999</v>
      </c>
      <c r="E10" s="366">
        <v>189095986.55104062</v>
      </c>
      <c r="F10" s="366"/>
      <c r="G10" s="366">
        <f t="shared" si="0"/>
        <v>189095986.55104062</v>
      </c>
      <c r="H10" s="438">
        <f t="shared" si="1"/>
        <v>8322886732</v>
      </c>
    </row>
    <row r="11" spans="1:13" x14ac:dyDescent="0.2">
      <c r="A11" s="356">
        <f>A10+92</f>
        <v>43716</v>
      </c>
      <c r="B11" s="437" t="s">
        <v>9</v>
      </c>
      <c r="C11" s="366">
        <v>0</v>
      </c>
      <c r="D11" s="366">
        <f>H10*$F$62*F$61/360</f>
        <v>188867107.16591001</v>
      </c>
      <c r="E11" s="366">
        <v>188867107.16591004</v>
      </c>
      <c r="F11" s="366"/>
      <c r="G11" s="366">
        <f t="shared" si="0"/>
        <v>188867107.16591004</v>
      </c>
      <c r="H11" s="438">
        <f t="shared" si="1"/>
        <v>8322886732</v>
      </c>
    </row>
    <row r="12" spans="1:13" x14ac:dyDescent="0.2">
      <c r="A12" s="356">
        <f>A11+91</f>
        <v>43807</v>
      </c>
      <c r="B12" s="437" t="s">
        <v>9</v>
      </c>
      <c r="C12" s="366">
        <v>0</v>
      </c>
      <c r="D12" s="366">
        <f>H11*$G$62*G$61/360</f>
        <v>189033564.90055001</v>
      </c>
      <c r="E12" s="366">
        <v>189033564.90054929</v>
      </c>
      <c r="F12" s="366"/>
      <c r="G12" s="366">
        <f t="shared" si="0"/>
        <v>189033564.90054929</v>
      </c>
      <c r="H12" s="438">
        <f t="shared" si="1"/>
        <v>8322886732</v>
      </c>
    </row>
    <row r="13" spans="1:13" x14ac:dyDescent="0.2">
      <c r="A13" s="356">
        <f>A12+91</f>
        <v>43898</v>
      </c>
      <c r="B13" s="437" t="s">
        <v>9</v>
      </c>
      <c r="C13" s="366">
        <v>0</v>
      </c>
      <c r="D13" s="366">
        <f>H12*$H$62*H$61/360</f>
        <v>189158408.20153001</v>
      </c>
      <c r="E13" s="366">
        <v>189158408.2015301</v>
      </c>
      <c r="F13" s="366"/>
      <c r="G13" s="366">
        <f t="shared" si="0"/>
        <v>189158408.2015301</v>
      </c>
      <c r="H13" s="438">
        <f t="shared" si="1"/>
        <v>8322886732</v>
      </c>
    </row>
    <row r="14" spans="1:13" x14ac:dyDescent="0.2">
      <c r="A14" s="356">
        <f>A13+92</f>
        <v>43990</v>
      </c>
      <c r="B14" s="437" t="s">
        <v>9</v>
      </c>
      <c r="C14" s="366">
        <v>0</v>
      </c>
      <c r="D14" s="449">
        <f>H13*$I$62*I$61/360</f>
        <v>187743517.45709002</v>
      </c>
      <c r="E14" s="449">
        <v>187743517.45709008</v>
      </c>
      <c r="F14" s="366">
        <f>SUM(D14:D15)</f>
        <v>342549210.67228997</v>
      </c>
      <c r="G14" s="366">
        <f>C14</f>
        <v>0</v>
      </c>
      <c r="H14" s="438">
        <f t="shared" si="1"/>
        <v>8322886732</v>
      </c>
      <c r="I14" s="446" t="s">
        <v>3155</v>
      </c>
      <c r="K14" s="360"/>
      <c r="L14" s="360"/>
      <c r="M14" s="360"/>
    </row>
    <row r="15" spans="1:13" x14ac:dyDescent="0.2">
      <c r="A15" s="356">
        <f>A14+92</f>
        <v>44082</v>
      </c>
      <c r="B15" s="437" t="s">
        <v>10</v>
      </c>
      <c r="C15" s="366">
        <v>0</v>
      </c>
      <c r="D15" s="449">
        <f>H14*$J$62*J$61/360</f>
        <v>154805693.21519998</v>
      </c>
      <c r="E15" s="449">
        <v>154805693.21519959</v>
      </c>
      <c r="F15" s="465">
        <f>+SUM(F16:F23)</f>
        <v>379722135.82775825</v>
      </c>
      <c r="G15" s="366">
        <f>C15</f>
        <v>0</v>
      </c>
      <c r="H15" s="438">
        <f t="shared" si="1"/>
        <v>8322886732</v>
      </c>
      <c r="I15" s="355" t="s">
        <v>3156</v>
      </c>
    </row>
    <row r="16" spans="1:13" x14ac:dyDescent="0.2">
      <c r="A16" s="356">
        <f>A15+91</f>
        <v>44173</v>
      </c>
      <c r="B16" s="437" t="s">
        <v>10</v>
      </c>
      <c r="C16" s="366">
        <v>213407352</v>
      </c>
      <c r="D16" s="366">
        <f>H15*$K$62*K$61/360</f>
        <v>142009254.86475</v>
      </c>
      <c r="E16" s="366">
        <v>142009254.86474985</v>
      </c>
      <c r="F16" s="366">
        <v>47465266.978469774</v>
      </c>
      <c r="G16" s="366">
        <f t="shared" si="0"/>
        <v>402881873.84321964</v>
      </c>
      <c r="H16" s="438">
        <f t="shared" si="1"/>
        <v>8109479380</v>
      </c>
    </row>
    <row r="17" spans="1:11" x14ac:dyDescent="0.2">
      <c r="A17" s="356">
        <f>A16+90</f>
        <v>44263</v>
      </c>
      <c r="B17" s="437" t="s">
        <v>10</v>
      </c>
      <c r="C17" s="366">
        <v>213407352</v>
      </c>
      <c r="D17" s="366">
        <f>H16*$L$62*L$61/360</f>
        <v>181449601.1275</v>
      </c>
      <c r="E17" s="366"/>
      <c r="F17" s="366">
        <v>47465266.978469774</v>
      </c>
      <c r="G17" s="366">
        <f t="shared" si="0"/>
        <v>260872618.97846979</v>
      </c>
      <c r="H17" s="438">
        <f t="shared" si="1"/>
        <v>7896072028</v>
      </c>
      <c r="K17" s="360"/>
    </row>
    <row r="18" spans="1:11" x14ac:dyDescent="0.2">
      <c r="A18" s="356">
        <f>A17+92</f>
        <v>44355</v>
      </c>
      <c r="B18" s="437" t="s">
        <v>10</v>
      </c>
      <c r="C18" s="366">
        <v>213407352</v>
      </c>
      <c r="D18" s="366">
        <f t="shared" ref="D18:D20" si="2">H17*$L$62*L$61/360</f>
        <v>176674611.62649998</v>
      </c>
      <c r="E18" s="366"/>
      <c r="F18" s="366">
        <v>47465266.978469774</v>
      </c>
      <c r="G18" s="366">
        <f t="shared" si="0"/>
        <v>260872618.97846979</v>
      </c>
      <c r="H18" s="438">
        <f t="shared" si="1"/>
        <v>7682664676</v>
      </c>
      <c r="K18" s="385"/>
    </row>
    <row r="19" spans="1:11" x14ac:dyDescent="0.2">
      <c r="A19" s="356">
        <f>A18+92</f>
        <v>44447</v>
      </c>
      <c r="B19" s="437" t="s">
        <v>10</v>
      </c>
      <c r="C19" s="366">
        <v>213407352</v>
      </c>
      <c r="D19" s="366">
        <f t="shared" si="2"/>
        <v>171899622.12549999</v>
      </c>
      <c r="E19" s="366"/>
      <c r="F19" s="366">
        <v>47465266.978469774</v>
      </c>
      <c r="G19" s="366">
        <f t="shared" si="0"/>
        <v>260872618.97846979</v>
      </c>
      <c r="H19" s="438">
        <f t="shared" si="1"/>
        <v>7469257324</v>
      </c>
    </row>
    <row r="20" spans="1:11" x14ac:dyDescent="0.2">
      <c r="A20" s="356">
        <f>A19+91</f>
        <v>44538</v>
      </c>
      <c r="B20" s="361" t="s">
        <v>10</v>
      </c>
      <c r="C20" s="362">
        <v>213407352</v>
      </c>
      <c r="D20" s="366">
        <f t="shared" si="2"/>
        <v>167124632.62450001</v>
      </c>
      <c r="E20" s="362"/>
      <c r="F20" s="366">
        <v>47465266.978469774</v>
      </c>
      <c r="G20" s="366">
        <f t="shared" si="0"/>
        <v>260872618.97846979</v>
      </c>
      <c r="H20" s="363">
        <f t="shared" si="1"/>
        <v>7255849972</v>
      </c>
    </row>
    <row r="21" spans="1:11" x14ac:dyDescent="0.2">
      <c r="A21" s="356">
        <f>A20+90</f>
        <v>44628</v>
      </c>
      <c r="B21" s="361" t="s">
        <v>10</v>
      </c>
      <c r="C21" s="362">
        <v>213407352</v>
      </c>
      <c r="D21" s="366">
        <f>H20*$M$62*M$61/360</f>
        <v>171419455.58849999</v>
      </c>
      <c r="E21" s="362"/>
      <c r="F21" s="366">
        <v>47465266.978469774</v>
      </c>
      <c r="G21" s="366">
        <f t="shared" si="0"/>
        <v>260872618.97846979</v>
      </c>
      <c r="H21" s="363">
        <f t="shared" si="1"/>
        <v>7042442620</v>
      </c>
      <c r="K21" s="446"/>
    </row>
    <row r="22" spans="1:11" x14ac:dyDescent="0.2">
      <c r="A22" s="356">
        <f>A21+92</f>
        <v>44720</v>
      </c>
      <c r="B22" s="361" t="s">
        <v>10</v>
      </c>
      <c r="C22" s="362">
        <v>213407352</v>
      </c>
      <c r="D22" s="366">
        <f t="shared" ref="D22:D24" si="3">H21*$M$62*M$61/360</f>
        <v>166377706.89750001</v>
      </c>
      <c r="E22" s="362"/>
      <c r="F22" s="366">
        <v>47465266.978469774</v>
      </c>
      <c r="G22" s="366">
        <f t="shared" si="0"/>
        <v>260872618.97846979</v>
      </c>
      <c r="H22" s="363">
        <f t="shared" si="1"/>
        <v>6829035268</v>
      </c>
    </row>
    <row r="23" spans="1:11" x14ac:dyDescent="0.2">
      <c r="A23" s="356">
        <f>A22+92</f>
        <v>44812</v>
      </c>
      <c r="B23" s="361" t="s">
        <v>10</v>
      </c>
      <c r="C23" s="362">
        <v>213407352</v>
      </c>
      <c r="D23" s="366">
        <f t="shared" si="3"/>
        <v>161335958.20649999</v>
      </c>
      <c r="E23" s="362"/>
      <c r="F23" s="366">
        <v>47465266.978469774</v>
      </c>
      <c r="G23" s="366">
        <f t="shared" si="0"/>
        <v>260872618.97846979</v>
      </c>
      <c r="H23" s="363">
        <f t="shared" si="1"/>
        <v>6615627916</v>
      </c>
    </row>
    <row r="24" spans="1:11" x14ac:dyDescent="0.2">
      <c r="A24" s="356">
        <f>A23+91</f>
        <v>44903</v>
      </c>
      <c r="B24" s="361" t="s">
        <v>10</v>
      </c>
      <c r="C24" s="362">
        <v>213407352</v>
      </c>
      <c r="D24" s="366">
        <f t="shared" si="3"/>
        <v>156294209.51550001</v>
      </c>
      <c r="E24" s="362"/>
      <c r="F24" s="362"/>
      <c r="G24" s="366">
        <f t="shared" si="0"/>
        <v>213407352</v>
      </c>
      <c r="H24" s="363">
        <f t="shared" si="1"/>
        <v>6402220564</v>
      </c>
    </row>
    <row r="25" spans="1:11" x14ac:dyDescent="0.2">
      <c r="A25" s="356">
        <f>A24+90</f>
        <v>44993</v>
      </c>
      <c r="B25" s="361" t="s">
        <v>10</v>
      </c>
      <c r="C25" s="362">
        <v>213407352</v>
      </c>
      <c r="D25" s="366">
        <f>H24*$N$62*N$61/360</f>
        <v>159255236.52950001</v>
      </c>
      <c r="E25" s="362"/>
      <c r="F25" s="362"/>
      <c r="G25" s="366">
        <f t="shared" si="0"/>
        <v>213407352</v>
      </c>
      <c r="H25" s="363">
        <f t="shared" si="1"/>
        <v>6188813212</v>
      </c>
    </row>
    <row r="26" spans="1:11" x14ac:dyDescent="0.2">
      <c r="A26" s="356">
        <f>A25+92</f>
        <v>45085</v>
      </c>
      <c r="B26" s="361" t="s">
        <v>10</v>
      </c>
      <c r="C26" s="362">
        <v>213407352</v>
      </c>
      <c r="D26" s="366">
        <f t="shared" ref="D26:D54" si="4">H25*$N$62*N$61/360</f>
        <v>153946728.6485</v>
      </c>
      <c r="E26" s="362"/>
      <c r="F26" s="362"/>
      <c r="G26" s="366">
        <f t="shared" si="0"/>
        <v>213407352</v>
      </c>
      <c r="H26" s="363">
        <f t="shared" si="1"/>
        <v>5975405860</v>
      </c>
    </row>
    <row r="27" spans="1:11" x14ac:dyDescent="0.2">
      <c r="A27" s="356">
        <f>A26+92</f>
        <v>45177</v>
      </c>
      <c r="B27" s="361" t="s">
        <v>10</v>
      </c>
      <c r="C27" s="362">
        <v>213407352</v>
      </c>
      <c r="D27" s="366">
        <f t="shared" si="4"/>
        <v>148638220.76750001</v>
      </c>
      <c r="E27" s="362"/>
      <c r="F27" s="362"/>
      <c r="G27" s="366">
        <f t="shared" si="0"/>
        <v>213407352</v>
      </c>
      <c r="H27" s="363">
        <f t="shared" si="1"/>
        <v>5761998508</v>
      </c>
    </row>
    <row r="28" spans="1:11" x14ac:dyDescent="0.2">
      <c r="A28" s="356">
        <f>A27+91</f>
        <v>45268</v>
      </c>
      <c r="B28" s="361" t="s">
        <v>10</v>
      </c>
      <c r="C28" s="362">
        <v>213407352</v>
      </c>
      <c r="D28" s="366">
        <f t="shared" si="4"/>
        <v>143329712.8865</v>
      </c>
      <c r="E28" s="362"/>
      <c r="F28" s="362"/>
      <c r="G28" s="366">
        <f t="shared" si="0"/>
        <v>213407352</v>
      </c>
      <c r="H28" s="363">
        <f t="shared" si="1"/>
        <v>5548591156</v>
      </c>
    </row>
    <row r="29" spans="1:11" x14ac:dyDescent="0.2">
      <c r="A29" s="356">
        <f>A28+91</f>
        <v>45359</v>
      </c>
      <c r="B29" s="361" t="s">
        <v>10</v>
      </c>
      <c r="C29" s="362">
        <v>213407352</v>
      </c>
      <c r="D29" s="366">
        <f t="shared" si="4"/>
        <v>138021205.00550002</v>
      </c>
      <c r="E29" s="362"/>
      <c r="F29" s="362"/>
      <c r="G29" s="366">
        <f t="shared" si="0"/>
        <v>213407352</v>
      </c>
      <c r="H29" s="363">
        <f t="shared" si="1"/>
        <v>5335183804</v>
      </c>
    </row>
    <row r="30" spans="1:11" x14ac:dyDescent="0.2">
      <c r="A30" s="356">
        <f>A29+92</f>
        <v>45451</v>
      </c>
      <c r="B30" s="361" t="s">
        <v>10</v>
      </c>
      <c r="C30" s="362">
        <v>213407352</v>
      </c>
      <c r="D30" s="366">
        <f t="shared" si="4"/>
        <v>132712697.12450001</v>
      </c>
      <c r="E30" s="362"/>
      <c r="F30" s="362"/>
      <c r="G30" s="366">
        <f t="shared" si="0"/>
        <v>213407352</v>
      </c>
      <c r="H30" s="363">
        <f t="shared" si="1"/>
        <v>5121776452</v>
      </c>
    </row>
    <row r="31" spans="1:11" x14ac:dyDescent="0.2">
      <c r="A31" s="356">
        <f>A30+92</f>
        <v>45543</v>
      </c>
      <c r="B31" s="361" t="s">
        <v>10</v>
      </c>
      <c r="C31" s="362">
        <v>213407352</v>
      </c>
      <c r="D31" s="366">
        <f t="shared" si="4"/>
        <v>127404189.24350001</v>
      </c>
      <c r="E31" s="362"/>
      <c r="F31" s="362"/>
      <c r="G31" s="366">
        <f t="shared" si="0"/>
        <v>213407352</v>
      </c>
      <c r="H31" s="363">
        <f t="shared" si="1"/>
        <v>4908369100</v>
      </c>
    </row>
    <row r="32" spans="1:11" x14ac:dyDescent="0.2">
      <c r="A32" s="356">
        <f>A31+91</f>
        <v>45634</v>
      </c>
      <c r="B32" s="361" t="s">
        <v>10</v>
      </c>
      <c r="C32" s="362">
        <v>213407352</v>
      </c>
      <c r="D32" s="366">
        <f t="shared" si="4"/>
        <v>122095681.36250003</v>
      </c>
      <c r="E32" s="362"/>
      <c r="F32" s="362"/>
      <c r="G32" s="366">
        <f t="shared" si="0"/>
        <v>213407352</v>
      </c>
      <c r="H32" s="363">
        <f t="shared" si="1"/>
        <v>4694961748</v>
      </c>
    </row>
    <row r="33" spans="1:8" x14ac:dyDescent="0.2">
      <c r="A33" s="356">
        <f>A32+90</f>
        <v>45724</v>
      </c>
      <c r="B33" s="361" t="s">
        <v>10</v>
      </c>
      <c r="C33" s="362">
        <v>213407352</v>
      </c>
      <c r="D33" s="366">
        <f t="shared" si="4"/>
        <v>116787173.48149998</v>
      </c>
      <c r="E33" s="362"/>
      <c r="F33" s="362"/>
      <c r="G33" s="366">
        <f t="shared" si="0"/>
        <v>213407352</v>
      </c>
      <c r="H33" s="363">
        <f t="shared" si="1"/>
        <v>4481554396</v>
      </c>
    </row>
    <row r="34" spans="1:8" x14ac:dyDescent="0.2">
      <c r="A34" s="356">
        <f>A33+92</f>
        <v>45816</v>
      </c>
      <c r="B34" s="361" t="s">
        <v>10</v>
      </c>
      <c r="C34" s="362">
        <v>213407352</v>
      </c>
      <c r="D34" s="366">
        <f t="shared" si="4"/>
        <v>111478665.6005</v>
      </c>
      <c r="E34" s="362"/>
      <c r="F34" s="362"/>
      <c r="G34" s="366">
        <f t="shared" si="0"/>
        <v>213407352</v>
      </c>
      <c r="H34" s="363">
        <f t="shared" si="1"/>
        <v>4268147044</v>
      </c>
    </row>
    <row r="35" spans="1:8" x14ac:dyDescent="0.2">
      <c r="A35" s="356">
        <f>A34+92</f>
        <v>45908</v>
      </c>
      <c r="B35" s="361" t="s">
        <v>10</v>
      </c>
      <c r="C35" s="362">
        <v>213407352</v>
      </c>
      <c r="D35" s="366">
        <f t="shared" si="4"/>
        <v>106170157.71950001</v>
      </c>
      <c r="E35" s="362"/>
      <c r="F35" s="362"/>
      <c r="G35" s="366">
        <f t="shared" si="0"/>
        <v>213407352</v>
      </c>
      <c r="H35" s="363">
        <f t="shared" si="1"/>
        <v>4054739692</v>
      </c>
    </row>
    <row r="36" spans="1:8" x14ac:dyDescent="0.2">
      <c r="A36" s="356">
        <f>A35+91</f>
        <v>45999</v>
      </c>
      <c r="B36" s="361" t="s">
        <v>10</v>
      </c>
      <c r="C36" s="362">
        <v>213407352</v>
      </c>
      <c r="D36" s="366">
        <f t="shared" si="4"/>
        <v>100861649.83850001</v>
      </c>
      <c r="E36" s="362"/>
      <c r="F36" s="362"/>
      <c r="G36" s="366">
        <f t="shared" si="0"/>
        <v>213407352</v>
      </c>
      <c r="H36" s="363">
        <f t="shared" si="1"/>
        <v>3841332340</v>
      </c>
    </row>
    <row r="37" spans="1:8" x14ac:dyDescent="0.2">
      <c r="A37" s="356">
        <f>A36+90</f>
        <v>46089</v>
      </c>
      <c r="B37" s="361" t="s">
        <v>10</v>
      </c>
      <c r="C37" s="362">
        <v>213407352</v>
      </c>
      <c r="D37" s="366">
        <f t="shared" si="4"/>
        <v>95553141.957500011</v>
      </c>
      <c r="E37" s="362"/>
      <c r="F37" s="362"/>
      <c r="G37" s="366">
        <f t="shared" si="0"/>
        <v>213407352</v>
      </c>
      <c r="H37" s="363">
        <f t="shared" si="1"/>
        <v>3627924988</v>
      </c>
    </row>
    <row r="38" spans="1:8" x14ac:dyDescent="0.2">
      <c r="A38" s="356">
        <f>A37+92</f>
        <v>46181</v>
      </c>
      <c r="B38" s="361" t="s">
        <v>10</v>
      </c>
      <c r="C38" s="362">
        <v>213407352</v>
      </c>
      <c r="D38" s="366">
        <f t="shared" si="4"/>
        <v>90244634.076499999</v>
      </c>
      <c r="E38" s="362"/>
      <c r="F38" s="362"/>
      <c r="G38" s="366">
        <f t="shared" si="0"/>
        <v>213407352</v>
      </c>
      <c r="H38" s="363">
        <f t="shared" si="1"/>
        <v>3414517636</v>
      </c>
    </row>
    <row r="39" spans="1:8" x14ac:dyDescent="0.2">
      <c r="A39" s="356">
        <f>A38+92</f>
        <v>46273</v>
      </c>
      <c r="B39" s="361" t="s">
        <v>10</v>
      </c>
      <c r="C39" s="362">
        <v>213407352</v>
      </c>
      <c r="D39" s="366">
        <f t="shared" si="4"/>
        <v>84936126.195500001</v>
      </c>
      <c r="E39" s="362"/>
      <c r="F39" s="362"/>
      <c r="G39" s="366">
        <f t="shared" si="0"/>
        <v>213407352</v>
      </c>
      <c r="H39" s="363">
        <f t="shared" si="1"/>
        <v>3201110284</v>
      </c>
    </row>
    <row r="40" spans="1:8" x14ac:dyDescent="0.2">
      <c r="A40" s="356">
        <f>A39+91</f>
        <v>46364</v>
      </c>
      <c r="B40" s="361" t="s">
        <v>10</v>
      </c>
      <c r="C40" s="362">
        <v>213407352</v>
      </c>
      <c r="D40" s="366">
        <f t="shared" si="4"/>
        <v>79627618.314500004</v>
      </c>
      <c r="E40" s="362"/>
      <c r="F40" s="362"/>
      <c r="G40" s="366">
        <f t="shared" si="0"/>
        <v>213407352</v>
      </c>
      <c r="H40" s="363">
        <f t="shared" si="1"/>
        <v>2987702932</v>
      </c>
    </row>
    <row r="41" spans="1:8" x14ac:dyDescent="0.2">
      <c r="A41" s="356">
        <f>A40+90</f>
        <v>46454</v>
      </c>
      <c r="B41" s="361" t="s">
        <v>10</v>
      </c>
      <c r="C41" s="362">
        <v>213407352</v>
      </c>
      <c r="D41" s="366">
        <f t="shared" si="4"/>
        <v>74319110.433500007</v>
      </c>
      <c r="E41" s="362"/>
      <c r="F41" s="362"/>
      <c r="G41" s="366">
        <f t="shared" si="0"/>
        <v>213407352</v>
      </c>
      <c r="H41" s="363">
        <f t="shared" si="1"/>
        <v>2774295580</v>
      </c>
    </row>
    <row r="42" spans="1:8" x14ac:dyDescent="0.2">
      <c r="A42" s="356">
        <f>A41+92</f>
        <v>46546</v>
      </c>
      <c r="B42" s="361" t="s">
        <v>10</v>
      </c>
      <c r="C42" s="362">
        <v>213407352</v>
      </c>
      <c r="D42" s="366">
        <f t="shared" si="4"/>
        <v>69010602.55250001</v>
      </c>
      <c r="E42" s="362"/>
      <c r="F42" s="362"/>
      <c r="G42" s="366">
        <f t="shared" si="0"/>
        <v>213407352</v>
      </c>
      <c r="H42" s="363">
        <f t="shared" si="1"/>
        <v>2560888228</v>
      </c>
    </row>
    <row r="43" spans="1:8" x14ac:dyDescent="0.2">
      <c r="A43" s="356">
        <f>A42+92</f>
        <v>46638</v>
      </c>
      <c r="B43" s="361" t="s">
        <v>10</v>
      </c>
      <c r="C43" s="362">
        <v>213407352</v>
      </c>
      <c r="D43" s="366">
        <f t="shared" si="4"/>
        <v>63702094.671500005</v>
      </c>
      <c r="E43" s="362"/>
      <c r="F43" s="362"/>
      <c r="G43" s="366">
        <f t="shared" si="0"/>
        <v>213407352</v>
      </c>
      <c r="H43" s="363">
        <f t="shared" si="1"/>
        <v>2347480876</v>
      </c>
    </row>
    <row r="44" spans="1:8" x14ac:dyDescent="0.2">
      <c r="A44" s="356">
        <f>A43+91</f>
        <v>46729</v>
      </c>
      <c r="B44" s="361" t="s">
        <v>10</v>
      </c>
      <c r="C44" s="362">
        <v>213407352</v>
      </c>
      <c r="D44" s="366">
        <f t="shared" si="4"/>
        <v>58393586.790500008</v>
      </c>
      <c r="E44" s="362"/>
      <c r="F44" s="362"/>
      <c r="G44" s="366">
        <f t="shared" si="0"/>
        <v>213407352</v>
      </c>
      <c r="H44" s="363">
        <f t="shared" si="1"/>
        <v>2134073524</v>
      </c>
    </row>
    <row r="45" spans="1:8" x14ac:dyDescent="0.2">
      <c r="A45" s="356">
        <f>A44+91</f>
        <v>46820</v>
      </c>
      <c r="B45" s="361" t="s">
        <v>10</v>
      </c>
      <c r="C45" s="362">
        <v>213407352</v>
      </c>
      <c r="D45" s="366">
        <f t="shared" si="4"/>
        <v>53085078.909500003</v>
      </c>
      <c r="E45" s="362"/>
      <c r="F45" s="362"/>
      <c r="G45" s="366">
        <f t="shared" si="0"/>
        <v>213407352</v>
      </c>
      <c r="H45" s="363">
        <f t="shared" si="1"/>
        <v>1920666172</v>
      </c>
    </row>
    <row r="46" spans="1:8" x14ac:dyDescent="0.2">
      <c r="A46" s="356">
        <f>A45+92</f>
        <v>46912</v>
      </c>
      <c r="B46" s="361" t="s">
        <v>10</v>
      </c>
      <c r="C46" s="362">
        <v>213407352</v>
      </c>
      <c r="D46" s="366">
        <f t="shared" si="4"/>
        <v>47776571.028500006</v>
      </c>
      <c r="E46" s="362"/>
      <c r="F46" s="362"/>
      <c r="G46" s="366">
        <f t="shared" si="0"/>
        <v>213407352</v>
      </c>
      <c r="H46" s="363">
        <f t="shared" si="1"/>
        <v>1707258820</v>
      </c>
    </row>
    <row r="47" spans="1:8" x14ac:dyDescent="0.2">
      <c r="A47" s="356">
        <f>A46+92</f>
        <v>47004</v>
      </c>
      <c r="B47" s="361" t="s">
        <v>10</v>
      </c>
      <c r="C47" s="362">
        <v>213407352</v>
      </c>
      <c r="D47" s="366">
        <f t="shared" si="4"/>
        <v>42468063.147500001</v>
      </c>
      <c r="E47" s="362"/>
      <c r="F47" s="362"/>
      <c r="G47" s="366">
        <f t="shared" si="0"/>
        <v>213407352</v>
      </c>
      <c r="H47" s="363">
        <f t="shared" si="1"/>
        <v>1493851468</v>
      </c>
    </row>
    <row r="48" spans="1:8" x14ac:dyDescent="0.2">
      <c r="A48" s="356">
        <f>A47+91</f>
        <v>47095</v>
      </c>
      <c r="B48" s="361" t="s">
        <v>10</v>
      </c>
      <c r="C48" s="362">
        <v>213407352</v>
      </c>
      <c r="D48" s="366">
        <f t="shared" si="4"/>
        <v>37159555.266500004</v>
      </c>
      <c r="E48" s="362"/>
      <c r="F48" s="362"/>
      <c r="G48" s="366">
        <f t="shared" si="0"/>
        <v>213407352</v>
      </c>
      <c r="H48" s="363">
        <f t="shared" si="1"/>
        <v>1280444116</v>
      </c>
    </row>
    <row r="49" spans="1:16" x14ac:dyDescent="0.2">
      <c r="A49" s="356">
        <f>A48+90</f>
        <v>47185</v>
      </c>
      <c r="B49" s="361" t="s">
        <v>10</v>
      </c>
      <c r="C49" s="362">
        <v>213407352</v>
      </c>
      <c r="D49" s="366">
        <f t="shared" si="4"/>
        <v>31851047.385500003</v>
      </c>
      <c r="E49" s="362"/>
      <c r="F49" s="362"/>
      <c r="G49" s="366">
        <f t="shared" si="0"/>
        <v>213407352</v>
      </c>
      <c r="H49" s="363">
        <f t="shared" si="1"/>
        <v>1067036764</v>
      </c>
    </row>
    <row r="50" spans="1:16" x14ac:dyDescent="0.2">
      <c r="A50" s="356">
        <f>A49+92</f>
        <v>47277</v>
      </c>
      <c r="B50" s="361" t="s">
        <v>10</v>
      </c>
      <c r="C50" s="362">
        <v>213407352</v>
      </c>
      <c r="D50" s="366">
        <f t="shared" si="4"/>
        <v>26542539.504500002</v>
      </c>
      <c r="E50" s="362"/>
      <c r="F50" s="362"/>
      <c r="G50" s="366">
        <f t="shared" si="0"/>
        <v>213407352</v>
      </c>
      <c r="H50" s="363">
        <f t="shared" si="1"/>
        <v>853629412</v>
      </c>
    </row>
    <row r="51" spans="1:16" x14ac:dyDescent="0.2">
      <c r="A51" s="356">
        <f>A50+92</f>
        <v>47369</v>
      </c>
      <c r="B51" s="361" t="s">
        <v>10</v>
      </c>
      <c r="C51" s="362">
        <v>213407352</v>
      </c>
      <c r="D51" s="366">
        <f t="shared" si="4"/>
        <v>21234031.623500001</v>
      </c>
      <c r="E51" s="362"/>
      <c r="F51" s="362"/>
      <c r="G51" s="366">
        <f t="shared" si="0"/>
        <v>213407352</v>
      </c>
      <c r="H51" s="363">
        <f t="shared" si="1"/>
        <v>640222060</v>
      </c>
    </row>
    <row r="52" spans="1:16" x14ac:dyDescent="0.2">
      <c r="A52" s="356">
        <f>A51+91</f>
        <v>47460</v>
      </c>
      <c r="B52" s="361" t="s">
        <v>10</v>
      </c>
      <c r="C52" s="362">
        <v>213407352</v>
      </c>
      <c r="D52" s="366">
        <f t="shared" si="4"/>
        <v>15925523.7425</v>
      </c>
      <c r="E52" s="362"/>
      <c r="F52" s="362"/>
      <c r="G52" s="366">
        <f t="shared" si="0"/>
        <v>213407352</v>
      </c>
      <c r="H52" s="363">
        <f t="shared" si="1"/>
        <v>426814708</v>
      </c>
    </row>
    <row r="53" spans="1:16" x14ac:dyDescent="0.2">
      <c r="A53" s="356">
        <f>A52+90</f>
        <v>47550</v>
      </c>
      <c r="B53" s="361" t="s">
        <v>10</v>
      </c>
      <c r="C53" s="362">
        <v>213407352</v>
      </c>
      <c r="D53" s="366">
        <f t="shared" si="4"/>
        <v>10617015.861500001</v>
      </c>
      <c r="E53" s="362"/>
      <c r="F53" s="362"/>
      <c r="G53" s="366">
        <f t="shared" si="0"/>
        <v>213407352</v>
      </c>
      <c r="H53" s="363">
        <f t="shared" si="1"/>
        <v>213407356</v>
      </c>
    </row>
    <row r="54" spans="1:16" x14ac:dyDescent="0.2">
      <c r="A54" s="356">
        <f>A53+92</f>
        <v>47642</v>
      </c>
      <c r="B54" s="361" t="s">
        <v>10</v>
      </c>
      <c r="C54" s="362">
        <v>213407356</v>
      </c>
      <c r="D54" s="366">
        <f t="shared" si="4"/>
        <v>5308507.9805000005</v>
      </c>
      <c r="E54" s="362"/>
      <c r="F54" s="362"/>
      <c r="G54" s="366">
        <f t="shared" si="0"/>
        <v>213407356</v>
      </c>
      <c r="H54" s="367">
        <f t="shared" si="1"/>
        <v>0</v>
      </c>
    </row>
    <row r="55" spans="1:16" x14ac:dyDescent="0.2">
      <c r="A55" s="368"/>
      <c r="B55" s="369" t="s">
        <v>11</v>
      </c>
      <c r="C55" s="370">
        <f>SUM(C6:C54)</f>
        <v>8322886732</v>
      </c>
      <c r="D55" s="370">
        <f>SUM(D6:D54)</f>
        <v>5628159554.2643309</v>
      </c>
      <c r="E55" s="370">
        <f>+SUM(E7:E13)+SUM(E16:E54)</f>
        <v>1464578378.2300396</v>
      </c>
      <c r="F55" s="370">
        <f>+SUM(F16:F54)</f>
        <v>379722135.82775825</v>
      </c>
      <c r="G55" s="370">
        <f>SUM(G7:G54)</f>
        <v>10167187246.057798</v>
      </c>
      <c r="H55" s="371"/>
    </row>
    <row r="56" spans="1:16" x14ac:dyDescent="0.2">
      <c r="A56" s="380"/>
      <c r="B56" s="354"/>
      <c r="C56" s="381"/>
      <c r="D56" s="381"/>
      <c r="E56" s="381"/>
      <c r="F56" s="381"/>
      <c r="G56" s="381"/>
      <c r="H56" s="382"/>
      <c r="I56" s="383"/>
    </row>
    <row r="57" spans="1:16" x14ac:dyDescent="0.2">
      <c r="A57" s="372" t="s">
        <v>42</v>
      </c>
      <c r="B57" s="372"/>
      <c r="C57" s="372"/>
      <c r="D57" s="372"/>
      <c r="E57" s="372"/>
      <c r="F57" s="372"/>
      <c r="G57" s="372"/>
      <c r="H57" s="372"/>
      <c r="I57" s="372" t="s">
        <v>3115</v>
      </c>
      <c r="J57" s="378" t="s">
        <v>3131</v>
      </c>
      <c r="K57" s="378" t="s">
        <v>3133</v>
      </c>
      <c r="M57" s="378"/>
      <c r="N57" s="378"/>
      <c r="O57" s="378"/>
      <c r="P57" s="378"/>
    </row>
    <row r="58" spans="1:16" x14ac:dyDescent="0.2">
      <c r="A58" s="39"/>
      <c r="B58" s="315" t="s">
        <v>3043</v>
      </c>
      <c r="C58" s="315" t="s">
        <v>3048</v>
      </c>
      <c r="D58" s="315" t="s">
        <v>3033</v>
      </c>
      <c r="E58" s="315" t="s">
        <v>3034</v>
      </c>
      <c r="F58" s="315" t="s">
        <v>3035</v>
      </c>
      <c r="G58" s="315" t="s">
        <v>3036</v>
      </c>
      <c r="H58" s="315" t="s">
        <v>3037</v>
      </c>
      <c r="I58" s="315" t="s">
        <v>3038</v>
      </c>
      <c r="J58" s="315" t="s">
        <v>3039</v>
      </c>
      <c r="K58" s="315" t="s">
        <v>3040</v>
      </c>
      <c r="L58" s="315" t="s">
        <v>3148</v>
      </c>
      <c r="M58" s="315" t="s">
        <v>3149</v>
      </c>
      <c r="N58" s="315" t="s">
        <v>3150</v>
      </c>
      <c r="O58" s="378"/>
    </row>
    <row r="59" spans="1:16" ht="25.5" x14ac:dyDescent="0.2">
      <c r="A59" s="39" t="s">
        <v>2781</v>
      </c>
      <c r="B59" s="88">
        <v>4.0899999999999999E-2</v>
      </c>
      <c r="C59" s="302">
        <v>4.1270000000000001E-2</v>
      </c>
      <c r="D59" s="302">
        <v>4.1549999999999997E-2</v>
      </c>
      <c r="E59" s="302">
        <v>4.138E-2</v>
      </c>
      <c r="F59" s="302">
        <v>4.1270000000000001E-2</v>
      </c>
      <c r="G59" s="88">
        <v>4.1349999999999998E-2</v>
      </c>
      <c r="H59" s="88">
        <v>4.1410000000000002E-2</v>
      </c>
      <c r="I59" s="88">
        <v>4.0730000000000002E-2</v>
      </c>
      <c r="J59" s="88">
        <v>2.4899999999999999E-2</v>
      </c>
      <c r="K59" s="88">
        <v>1.8749999999999999E-2</v>
      </c>
      <c r="L59" s="88">
        <v>0.04</v>
      </c>
      <c r="M59" s="88">
        <v>4.4999999999999998E-2</v>
      </c>
      <c r="N59" s="88">
        <v>0.05</v>
      </c>
      <c r="O59" s="378"/>
    </row>
    <row r="60" spans="1:16" ht="25.5" x14ac:dyDescent="0.2">
      <c r="A60" s="39" t="s">
        <v>376</v>
      </c>
      <c r="B60" s="33">
        <v>4.9500000000000002E-2</v>
      </c>
      <c r="C60" s="302">
        <v>4.9500000000000002E-2</v>
      </c>
      <c r="D60" s="302">
        <v>4.9500000000000002E-2</v>
      </c>
      <c r="E60" s="302">
        <v>4.9500000000000002E-2</v>
      </c>
      <c r="F60" s="302">
        <v>4.9500000000000002E-2</v>
      </c>
      <c r="G60" s="88">
        <v>4.9500000000000002E-2</v>
      </c>
      <c r="H60" s="88">
        <v>4.9500000000000002E-2</v>
      </c>
      <c r="I60" s="88">
        <v>4.9500000000000002E-2</v>
      </c>
      <c r="J60" s="88">
        <v>4.9500000000000002E-2</v>
      </c>
      <c r="K60" s="88">
        <v>4.9500000000000002E-2</v>
      </c>
      <c r="L60" s="88">
        <v>4.9500000000000002E-2</v>
      </c>
      <c r="M60" s="88">
        <v>4.9500000000000002E-2</v>
      </c>
      <c r="N60" s="88">
        <v>4.9500000000000002E-2</v>
      </c>
      <c r="O60" s="378"/>
    </row>
    <row r="61" spans="1:16" x14ac:dyDescent="0.2">
      <c r="A61" s="39" t="s">
        <v>377</v>
      </c>
      <c r="B61" s="67">
        <f>90</f>
        <v>90</v>
      </c>
      <c r="C61" s="27">
        <v>90</v>
      </c>
      <c r="D61" s="27">
        <v>90</v>
      </c>
      <c r="E61" s="27">
        <v>90</v>
      </c>
      <c r="F61" s="27">
        <v>90</v>
      </c>
      <c r="G61" s="67">
        <v>90</v>
      </c>
      <c r="H61" s="67">
        <v>90</v>
      </c>
      <c r="I61" s="67">
        <v>90</v>
      </c>
      <c r="J61" s="67">
        <v>90</v>
      </c>
      <c r="K61" s="67">
        <v>90</v>
      </c>
      <c r="L61" s="67">
        <v>90</v>
      </c>
      <c r="M61" s="67">
        <v>90</v>
      </c>
      <c r="N61" s="67">
        <v>90</v>
      </c>
      <c r="O61" s="378"/>
    </row>
    <row r="62" spans="1:16" ht="25.5" x14ac:dyDescent="0.2">
      <c r="A62" s="39" t="s">
        <v>3056</v>
      </c>
      <c r="B62" s="142">
        <f>+B59+B60</f>
        <v>9.0400000000000008E-2</v>
      </c>
      <c r="C62" s="142">
        <f t="shared" ref="C62:E62" si="5">+C59+C60</f>
        <v>9.0770000000000003E-2</v>
      </c>
      <c r="D62" s="142">
        <f t="shared" si="5"/>
        <v>9.1049999999999992E-2</v>
      </c>
      <c r="E62" s="142">
        <f t="shared" si="5"/>
        <v>9.0880000000000002E-2</v>
      </c>
      <c r="F62" s="407">
        <f>+F59+F60</f>
        <v>9.0770000000000003E-2</v>
      </c>
      <c r="G62" s="407">
        <f t="shared" ref="G62:K62" si="6">+G59+G60</f>
        <v>9.085E-2</v>
      </c>
      <c r="H62" s="407">
        <f t="shared" si="6"/>
        <v>9.0910000000000005E-2</v>
      </c>
      <c r="I62" s="407">
        <f t="shared" si="6"/>
        <v>9.0230000000000005E-2</v>
      </c>
      <c r="J62" s="407">
        <f t="shared" si="6"/>
        <v>7.4399999999999994E-2</v>
      </c>
      <c r="K62" s="407">
        <f t="shared" si="6"/>
        <v>6.8250000000000005E-2</v>
      </c>
      <c r="L62" s="407">
        <f t="shared" ref="L62:M62" si="7">+L59+L60</f>
        <v>8.9499999999999996E-2</v>
      </c>
      <c r="M62" s="407">
        <f t="shared" si="7"/>
        <v>9.4500000000000001E-2</v>
      </c>
      <c r="N62" s="407">
        <f t="shared" ref="N62" si="8">+N59+N60</f>
        <v>9.9500000000000005E-2</v>
      </c>
      <c r="O62" s="378"/>
    </row>
    <row r="63" spans="1:16" s="377" customFormat="1" ht="38.25" x14ac:dyDescent="0.25">
      <c r="A63" s="39" t="s">
        <v>373</v>
      </c>
      <c r="B63" s="374">
        <f>((1+(B59+B60)*90/360)^(360/90)-1)</f>
        <v>9.3510993579777546E-2</v>
      </c>
      <c r="C63" s="375">
        <f t="shared" ref="C63:J63" si="9">EFFECT(C59+C60,4)</f>
        <v>9.3906704481766301E-2</v>
      </c>
      <c r="D63" s="375">
        <f t="shared" si="9"/>
        <v>9.4206232762193087E-2</v>
      </c>
      <c r="E63" s="375">
        <f t="shared" si="9"/>
        <v>9.4024368971380445E-2</v>
      </c>
      <c r="F63" s="376">
        <f t="shared" si="9"/>
        <v>9.3906704481766301E-2</v>
      </c>
      <c r="G63" s="376">
        <f t="shared" si="9"/>
        <v>9.3992277714691541E-2</v>
      </c>
      <c r="H63" s="376">
        <f t="shared" si="9"/>
        <v>9.4056460934089037E-2</v>
      </c>
      <c r="I63" s="376">
        <f t="shared" si="9"/>
        <v>9.3329216462413989E-2</v>
      </c>
      <c r="J63" s="376">
        <f t="shared" si="9"/>
        <v>7.650161911232134E-2</v>
      </c>
      <c r="K63" s="376">
        <f>EFFECT(K59+K60,4)</f>
        <v>7.0016727741391449E-2</v>
      </c>
      <c r="L63" s="376">
        <f>EFFECT(L59+L60,4)</f>
        <v>9.2548901726973165E-2</v>
      </c>
      <c r="M63" s="376">
        <f>EFFECT(M59+M60,4)</f>
        <v>9.7901899560019601E-2</v>
      </c>
      <c r="N63" s="376">
        <f>EFFECT(N59+N60,4)</f>
        <v>0.1032745438005862</v>
      </c>
      <c r="O63" s="379"/>
    </row>
    <row r="64" spans="1:16" x14ac:dyDescent="0.2">
      <c r="A64" s="43" t="s">
        <v>39</v>
      </c>
      <c r="B64" s="44">
        <f>E7</f>
        <v>188097240.14319962</v>
      </c>
      <c r="C64" s="44">
        <f>E8</f>
        <v>188867107.16591004</v>
      </c>
      <c r="D64" s="44">
        <f>+E9</f>
        <v>189449709.23715016</v>
      </c>
      <c r="E64" s="44">
        <f>+E10</f>
        <v>189095986.55104062</v>
      </c>
      <c r="F64" s="44">
        <f>+E11</f>
        <v>188867107.16591004</v>
      </c>
      <c r="G64" s="44">
        <f>+E12</f>
        <v>189033564.90054929</v>
      </c>
      <c r="H64" s="44">
        <f>+E13</f>
        <v>189158408.2015301</v>
      </c>
      <c r="I64" s="44">
        <f>+E14</f>
        <v>187743517.45709008</v>
      </c>
      <c r="J64" s="44">
        <f>+E15</f>
        <v>154805693.21519959</v>
      </c>
      <c r="K64" s="44">
        <f>+E16</f>
        <v>142009254.86474985</v>
      </c>
      <c r="L64" s="44"/>
      <c r="M64" s="44"/>
      <c r="N64" s="44"/>
      <c r="O64" s="99"/>
    </row>
    <row r="65" spans="2:19" x14ac:dyDescent="0.2">
      <c r="J65" s="378"/>
      <c r="K65" s="452"/>
      <c r="L65" s="378"/>
      <c r="M65" s="378"/>
      <c r="N65" s="378"/>
      <c r="O65" s="378"/>
      <c r="P65" s="378"/>
    </row>
    <row r="66" spans="2:19" x14ac:dyDescent="0.2">
      <c r="J66" s="378"/>
      <c r="K66" s="451"/>
      <c r="L66" s="378"/>
      <c r="M66" s="378"/>
      <c r="N66" s="378"/>
      <c r="O66" s="378"/>
      <c r="P66" s="378"/>
    </row>
    <row r="67" spans="2:19" x14ac:dyDescent="0.2">
      <c r="E67" s="384"/>
      <c r="J67" s="450"/>
      <c r="K67" s="450"/>
      <c r="L67" s="378"/>
      <c r="M67" s="378"/>
      <c r="N67" s="378"/>
      <c r="O67" s="378"/>
      <c r="P67" s="378"/>
      <c r="S67" s="45">
        <f>SUM(B67:R67)</f>
        <v>0</v>
      </c>
    </row>
    <row r="68" spans="2:19" x14ac:dyDescent="0.2">
      <c r="E68" s="385"/>
      <c r="J68" s="450"/>
    </row>
    <row r="69" spans="2:19" x14ac:dyDescent="0.2">
      <c r="J69" s="360"/>
    </row>
    <row r="70" spans="2:19" x14ac:dyDescent="0.2">
      <c r="B70" s="373"/>
      <c r="C70" s="373"/>
    </row>
    <row r="71" spans="2:19" x14ac:dyDescent="0.2">
      <c r="E71" s="384"/>
    </row>
  </sheetData>
  <mergeCells count="4">
    <mergeCell ref="A1:H1"/>
    <mergeCell ref="A2:H2"/>
    <mergeCell ref="A3:H3"/>
    <mergeCell ref="A4:H4"/>
  </mergeCells>
  <pageMargins left="0.25" right="0.25" top="0.75" bottom="0.75" header="0.3" footer="0.3"/>
  <pageSetup scale="8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68EEFC"/>
    <pageSetUpPr fitToPage="1"/>
  </sheetPr>
  <dimension ref="A1:S69"/>
  <sheetViews>
    <sheetView topLeftCell="A4" zoomScale="90" zoomScaleNormal="90" workbookViewId="0">
      <selection activeCell="C16" sqref="C16"/>
    </sheetView>
  </sheetViews>
  <sheetFormatPr baseColWidth="10" defaultColWidth="11.5703125" defaultRowHeight="15" x14ac:dyDescent="0.25"/>
  <cols>
    <col min="1" max="1" width="15" customWidth="1"/>
    <col min="2" max="2" width="18.5703125" bestFit="1" customWidth="1"/>
    <col min="3" max="3" width="17.42578125" customWidth="1"/>
    <col min="4" max="5" width="16.28515625" bestFit="1" customWidth="1"/>
    <col min="6" max="6" width="12.42578125" bestFit="1" customWidth="1"/>
    <col min="7" max="7" width="17.7109375" bestFit="1" customWidth="1"/>
    <col min="8" max="8" width="14" customWidth="1"/>
    <col min="9" max="9" width="15.140625" customWidth="1"/>
    <col min="10" max="10" width="14.42578125" customWidth="1"/>
    <col min="11" max="11" width="14.140625" bestFit="1" customWidth="1"/>
    <col min="12" max="12" width="13.5703125"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4" x14ac:dyDescent="0.25">
      <c r="A1" s="511" t="s">
        <v>2</v>
      </c>
      <c r="B1" s="512"/>
      <c r="C1" s="512"/>
      <c r="D1" s="512"/>
      <c r="E1" s="512"/>
      <c r="F1" s="512"/>
      <c r="G1" s="512"/>
      <c r="H1" s="512"/>
    </row>
    <row r="2" spans="1:14" x14ac:dyDescent="0.25">
      <c r="A2" s="511" t="s">
        <v>3072</v>
      </c>
      <c r="B2" s="512"/>
      <c r="C2" s="512"/>
      <c r="D2" s="512"/>
      <c r="E2" s="512"/>
      <c r="F2" s="512"/>
      <c r="G2" s="512"/>
      <c r="H2" s="512"/>
    </row>
    <row r="3" spans="1:14" x14ac:dyDescent="0.25">
      <c r="A3" s="511" t="s">
        <v>3073</v>
      </c>
      <c r="B3" s="512"/>
      <c r="C3" s="512"/>
      <c r="D3" s="512"/>
      <c r="E3" s="512"/>
      <c r="F3" s="512"/>
      <c r="G3" s="512"/>
      <c r="H3" s="512"/>
    </row>
    <row r="4" spans="1:14" ht="15.75" thickBot="1" x14ac:dyDescent="0.3">
      <c r="A4" s="515" t="s">
        <v>3093</v>
      </c>
      <c r="B4" s="516"/>
      <c r="C4" s="516"/>
      <c r="D4" s="516"/>
      <c r="E4" s="516"/>
      <c r="F4" s="516"/>
      <c r="G4" s="516"/>
      <c r="H4" s="516"/>
    </row>
    <row r="5" spans="1:14" ht="45.75" thickBot="1" x14ac:dyDescent="0.3">
      <c r="A5" s="1" t="s">
        <v>5</v>
      </c>
      <c r="B5" s="2" t="s">
        <v>6</v>
      </c>
      <c r="C5" s="3" t="s">
        <v>7</v>
      </c>
      <c r="D5" s="3" t="s">
        <v>40</v>
      </c>
      <c r="E5" s="3" t="s">
        <v>41</v>
      </c>
      <c r="F5" s="3" t="s">
        <v>3135</v>
      </c>
      <c r="G5" s="4" t="s">
        <v>3106</v>
      </c>
      <c r="H5" s="5" t="s">
        <v>2988</v>
      </c>
    </row>
    <row r="6" spans="1:14" x14ac:dyDescent="0.25">
      <c r="A6" s="299">
        <v>43272</v>
      </c>
      <c r="B6" s="413" t="s">
        <v>359</v>
      </c>
      <c r="C6" s="327">
        <v>0</v>
      </c>
      <c r="D6" s="327"/>
      <c r="E6" s="327"/>
      <c r="F6" s="327"/>
      <c r="G6" s="327"/>
      <c r="H6" s="440">
        <v>797842400</v>
      </c>
    </row>
    <row r="7" spans="1:14" x14ac:dyDescent="0.25">
      <c r="A7" s="299">
        <f>A6+92</f>
        <v>43364</v>
      </c>
      <c r="B7" s="297" t="s">
        <v>9</v>
      </c>
      <c r="C7" s="294"/>
      <c r="D7" s="294">
        <f>H6*$B$61*B$60/360</f>
        <v>18077114.177999999</v>
      </c>
      <c r="E7" s="294">
        <v>18077114.177999999</v>
      </c>
      <c r="F7" s="294"/>
      <c r="G7" s="294">
        <f>C7+E7+F7</f>
        <v>18077114.177999999</v>
      </c>
      <c r="H7" s="328">
        <v>797842400</v>
      </c>
      <c r="I7" s="75"/>
      <c r="J7" s="77"/>
      <c r="K7" s="105"/>
    </row>
    <row r="8" spans="1:14" x14ac:dyDescent="0.25">
      <c r="A8" s="299">
        <f>A7+91</f>
        <v>43455</v>
      </c>
      <c r="B8" s="297" t="s">
        <v>9</v>
      </c>
      <c r="C8" s="294"/>
      <c r="D8" s="294">
        <f>H7*$C$61*$C$60/360</f>
        <v>18115011.692000002</v>
      </c>
      <c r="E8" s="294">
        <v>18115011.691999979</v>
      </c>
      <c r="F8" s="294"/>
      <c r="G8" s="294">
        <f t="shared" ref="G8:G54" si="0">C8+E8+F8</f>
        <v>18115011.691999979</v>
      </c>
      <c r="H8" s="328">
        <v>797842400</v>
      </c>
      <c r="J8" s="105"/>
      <c r="K8" s="105"/>
      <c r="L8" s="105"/>
      <c r="M8" s="105"/>
      <c r="N8" s="105"/>
    </row>
    <row r="9" spans="1:14" x14ac:dyDescent="0.25">
      <c r="A9" s="299">
        <f>A8+90</f>
        <v>43545</v>
      </c>
      <c r="B9" s="297" t="s">
        <v>9</v>
      </c>
      <c r="C9" s="294">
        <v>0</v>
      </c>
      <c r="D9" s="294">
        <f>H8*$D$61*D$60/360</f>
        <v>18152909.206</v>
      </c>
      <c r="E9" s="294">
        <v>18152909.205999963</v>
      </c>
      <c r="F9" s="294"/>
      <c r="G9" s="294">
        <f t="shared" si="0"/>
        <v>18152909.205999963</v>
      </c>
      <c r="H9" s="298">
        <f t="shared" ref="H9:H54" si="1">+H8-C9</f>
        <v>797842400</v>
      </c>
      <c r="J9" s="105"/>
      <c r="K9" s="105"/>
      <c r="L9" s="105"/>
      <c r="M9" s="105"/>
      <c r="N9" s="105"/>
    </row>
    <row r="10" spans="1:14" x14ac:dyDescent="0.25">
      <c r="A10" s="299">
        <f t="shared" ref="A10:A54" si="2">A9+92</f>
        <v>43637</v>
      </c>
      <c r="B10" s="297" t="s">
        <v>9</v>
      </c>
      <c r="C10" s="294">
        <v>0</v>
      </c>
      <c r="D10" s="294">
        <f>H9*$E$61*E$60/360</f>
        <v>18124984.722000003</v>
      </c>
      <c r="E10" s="294">
        <v>18124984.721999958</v>
      </c>
      <c r="F10" s="294"/>
      <c r="G10" s="294">
        <f t="shared" si="0"/>
        <v>18124984.721999958</v>
      </c>
      <c r="H10" s="298">
        <f t="shared" si="1"/>
        <v>797842400</v>
      </c>
      <c r="J10" s="105"/>
      <c r="K10" s="105"/>
      <c r="L10" s="105"/>
      <c r="M10" s="105"/>
      <c r="N10" s="105"/>
    </row>
    <row r="11" spans="1:14" x14ac:dyDescent="0.25">
      <c r="A11" s="299">
        <f t="shared" si="2"/>
        <v>43729</v>
      </c>
      <c r="B11" s="297" t="s">
        <v>9</v>
      </c>
      <c r="C11" s="294">
        <v>0</v>
      </c>
      <c r="D11" s="294">
        <f>H10*$F$61*F$60/360</f>
        <v>17951454</v>
      </c>
      <c r="E11" s="294">
        <v>17951453.99999997</v>
      </c>
      <c r="F11" s="294"/>
      <c r="G11" s="294">
        <f t="shared" si="0"/>
        <v>17951453.99999997</v>
      </c>
      <c r="H11" s="298">
        <f t="shared" si="1"/>
        <v>797842400</v>
      </c>
      <c r="J11" s="105"/>
      <c r="K11" s="105"/>
      <c r="L11" s="105"/>
      <c r="M11" s="105"/>
      <c r="N11" s="105"/>
    </row>
    <row r="12" spans="1:14" x14ac:dyDescent="0.25">
      <c r="A12" s="299">
        <f>A11+91</f>
        <v>43820</v>
      </c>
      <c r="B12" s="297" t="s">
        <v>9</v>
      </c>
      <c r="C12" s="294">
        <v>0</v>
      </c>
      <c r="D12" s="294">
        <f>H11*$G$61*G$60/360</f>
        <v>18105038.662</v>
      </c>
      <c r="E12" s="294">
        <v>18105038.662000004</v>
      </c>
      <c r="F12" s="294"/>
      <c r="G12" s="294">
        <f t="shared" si="0"/>
        <v>18105038.662000004</v>
      </c>
      <c r="H12" s="298">
        <f t="shared" si="1"/>
        <v>797842400</v>
      </c>
      <c r="J12" s="105"/>
      <c r="K12" s="105"/>
      <c r="L12" s="105"/>
      <c r="M12" s="105"/>
      <c r="N12" s="105"/>
    </row>
    <row r="13" spans="1:14" x14ac:dyDescent="0.25">
      <c r="A13" s="299">
        <f>A12+91</f>
        <v>43911</v>
      </c>
      <c r="B13" s="297" t="s">
        <v>9</v>
      </c>
      <c r="C13" s="294">
        <v>0</v>
      </c>
      <c r="D13" s="294">
        <f>H12*$H$61*H$60/360</f>
        <v>18124984.722000003</v>
      </c>
      <c r="E13" s="294">
        <v>18124984.721999958</v>
      </c>
      <c r="F13" s="294"/>
      <c r="G13" s="294">
        <f t="shared" si="0"/>
        <v>18124984.721999958</v>
      </c>
      <c r="H13" s="298">
        <f t="shared" si="1"/>
        <v>797842400</v>
      </c>
      <c r="J13" s="105"/>
      <c r="K13" s="105"/>
      <c r="L13" s="105"/>
      <c r="M13" s="105"/>
      <c r="N13" s="105"/>
    </row>
    <row r="14" spans="1:14" x14ac:dyDescent="0.25">
      <c r="A14" s="299">
        <f t="shared" si="2"/>
        <v>44003</v>
      </c>
      <c r="B14" s="297" t="s">
        <v>9</v>
      </c>
      <c r="C14" s="294">
        <v>0</v>
      </c>
      <c r="D14" s="18">
        <f>H13*$I$61*I$60/360</f>
        <v>18045200.482000001</v>
      </c>
      <c r="E14" s="18">
        <v>18045200.481999967</v>
      </c>
      <c r="F14" s="294">
        <f>SUM(D14:D15)</f>
        <v>32571915.980000004</v>
      </c>
      <c r="G14" s="294">
        <f>C14</f>
        <v>0</v>
      </c>
      <c r="H14" s="298">
        <f t="shared" si="1"/>
        <v>797842400</v>
      </c>
      <c r="I14" s="82" t="s">
        <v>3155</v>
      </c>
      <c r="J14" s="105"/>
      <c r="K14" s="105"/>
      <c r="L14" s="105"/>
      <c r="M14" s="105"/>
      <c r="N14" s="105"/>
    </row>
    <row r="15" spans="1:14" x14ac:dyDescent="0.25">
      <c r="A15" s="299">
        <f t="shared" si="2"/>
        <v>44095</v>
      </c>
      <c r="B15" s="297" t="s">
        <v>10</v>
      </c>
      <c r="C15" s="294">
        <v>0</v>
      </c>
      <c r="D15" s="18">
        <f>H14*$J$61*J$60/360</f>
        <v>14526715.498000002</v>
      </c>
      <c r="E15" s="18">
        <v>14526715.497999946</v>
      </c>
      <c r="F15" s="462">
        <v>36498537</v>
      </c>
      <c r="G15" s="294">
        <f>C15</f>
        <v>0</v>
      </c>
      <c r="H15" s="298">
        <f t="shared" si="1"/>
        <v>797842400</v>
      </c>
      <c r="I15" t="s">
        <v>3156</v>
      </c>
      <c r="J15" s="105"/>
      <c r="K15" s="105"/>
      <c r="L15" s="105"/>
      <c r="M15" s="105"/>
      <c r="N15" s="105"/>
    </row>
    <row r="16" spans="1:14" x14ac:dyDescent="0.25">
      <c r="A16" s="299">
        <f>A15+91</f>
        <v>44186</v>
      </c>
      <c r="B16" s="297" t="s">
        <v>10</v>
      </c>
      <c r="C16" s="294">
        <v>20457497</v>
      </c>
      <c r="D16" s="294">
        <f>H15*$K$61*K$60/360</f>
        <v>13503482.620000003</v>
      </c>
      <c r="E16" s="294">
        <v>13503482.620000063</v>
      </c>
      <c r="F16" s="294">
        <f>+F15/8</f>
        <v>4562317.125</v>
      </c>
      <c r="G16" s="294">
        <f>C16+E16+F16</f>
        <v>38523296.745000064</v>
      </c>
      <c r="H16" s="298">
        <f t="shared" si="1"/>
        <v>777384903</v>
      </c>
    </row>
    <row r="17" spans="1:8" x14ac:dyDescent="0.25">
      <c r="A17" s="299">
        <f>A16+90</f>
        <v>44276</v>
      </c>
      <c r="B17" s="297" t="s">
        <v>10</v>
      </c>
      <c r="C17" s="294">
        <v>20457497</v>
      </c>
      <c r="D17" s="294">
        <f>H16*$L$61*L$60/360</f>
        <v>17393987.204624999</v>
      </c>
      <c r="E17" s="294"/>
      <c r="F17" s="294">
        <v>4562317.1554649994</v>
      </c>
      <c r="G17" s="294">
        <f t="shared" si="0"/>
        <v>25019814.155464999</v>
      </c>
      <c r="H17" s="298">
        <f t="shared" si="1"/>
        <v>756927406</v>
      </c>
    </row>
    <row r="18" spans="1:8" x14ac:dyDescent="0.25">
      <c r="A18" s="6">
        <f t="shared" si="2"/>
        <v>44368</v>
      </c>
      <c r="B18" s="11" t="s">
        <v>10</v>
      </c>
      <c r="C18" s="12">
        <v>20457497</v>
      </c>
      <c r="D18" s="294">
        <f t="shared" ref="D18:D20" si="3">H17*$L$61*L$60/360</f>
        <v>16936250.709249999</v>
      </c>
      <c r="E18" s="12"/>
      <c r="F18" s="12">
        <v>4562317.1554649994</v>
      </c>
      <c r="G18" s="294">
        <f t="shared" si="0"/>
        <v>25019814.155464999</v>
      </c>
      <c r="H18" s="13">
        <f t="shared" si="1"/>
        <v>736469909</v>
      </c>
    </row>
    <row r="19" spans="1:8" x14ac:dyDescent="0.25">
      <c r="A19" s="6">
        <f t="shared" si="2"/>
        <v>44460</v>
      </c>
      <c r="B19" s="11" t="s">
        <v>10</v>
      </c>
      <c r="C19" s="12">
        <v>20457497</v>
      </c>
      <c r="D19" s="294">
        <f t="shared" si="3"/>
        <v>16478514.213874999</v>
      </c>
      <c r="E19" s="12"/>
      <c r="F19" s="12">
        <v>4562317.1554649994</v>
      </c>
      <c r="G19" s="294">
        <f t="shared" si="0"/>
        <v>25019814.155464999</v>
      </c>
      <c r="H19" s="13">
        <f t="shared" si="1"/>
        <v>716012412</v>
      </c>
    </row>
    <row r="20" spans="1:8" x14ac:dyDescent="0.25">
      <c r="A20" s="6">
        <f>A19+91</f>
        <v>44551</v>
      </c>
      <c r="B20" s="11" t="s">
        <v>10</v>
      </c>
      <c r="C20" s="12">
        <v>20457497</v>
      </c>
      <c r="D20" s="294">
        <f t="shared" si="3"/>
        <v>16020777.718499999</v>
      </c>
      <c r="E20" s="12"/>
      <c r="F20" s="12">
        <v>4562317.1554649994</v>
      </c>
      <c r="G20" s="294">
        <f t="shared" si="0"/>
        <v>25019814.155464999</v>
      </c>
      <c r="H20" s="13">
        <f t="shared" si="1"/>
        <v>695554915</v>
      </c>
    </row>
    <row r="21" spans="1:8" x14ac:dyDescent="0.25">
      <c r="A21" s="6">
        <f>A20+90</f>
        <v>44641</v>
      </c>
      <c r="B21" s="11" t="s">
        <v>10</v>
      </c>
      <c r="C21" s="12">
        <v>20457497</v>
      </c>
      <c r="D21" s="294">
        <f>H20*$M$61*M$60/360</f>
        <v>16432484.866875</v>
      </c>
      <c r="E21" s="12"/>
      <c r="F21" s="12">
        <v>4562317.1554649994</v>
      </c>
      <c r="G21" s="294">
        <f t="shared" si="0"/>
        <v>25019814.155464999</v>
      </c>
      <c r="H21" s="13">
        <f t="shared" si="1"/>
        <v>675097418</v>
      </c>
    </row>
    <row r="22" spans="1:8" x14ac:dyDescent="0.25">
      <c r="A22" s="6">
        <f t="shared" si="2"/>
        <v>44733</v>
      </c>
      <c r="B22" s="11" t="s">
        <v>10</v>
      </c>
      <c r="C22" s="12">
        <v>20457497</v>
      </c>
      <c r="D22" s="294">
        <f t="shared" ref="D22:D24" si="4">H21*$M$61*M$60/360</f>
        <v>15949176.500250001</v>
      </c>
      <c r="E22" s="12"/>
      <c r="F22" s="12">
        <v>4562317.1554649994</v>
      </c>
      <c r="G22" s="294">
        <f t="shared" si="0"/>
        <v>25019814.155464999</v>
      </c>
      <c r="H22" s="13">
        <f t="shared" si="1"/>
        <v>654639921</v>
      </c>
    </row>
    <row r="23" spans="1:8" x14ac:dyDescent="0.25">
      <c r="A23" s="6">
        <f t="shared" si="2"/>
        <v>44825</v>
      </c>
      <c r="B23" s="11" t="s">
        <v>10</v>
      </c>
      <c r="C23" s="12">
        <v>20457497</v>
      </c>
      <c r="D23" s="294">
        <f t="shared" si="4"/>
        <v>15465868.133625001</v>
      </c>
      <c r="E23" s="12"/>
      <c r="F23" s="12">
        <v>4562317.1554649994</v>
      </c>
      <c r="G23" s="294">
        <f t="shared" si="0"/>
        <v>25019814.155464999</v>
      </c>
      <c r="H23" s="13">
        <f t="shared" si="1"/>
        <v>634182424</v>
      </c>
    </row>
    <row r="24" spans="1:8" x14ac:dyDescent="0.25">
      <c r="A24" s="6">
        <f>A23+91</f>
        <v>44916</v>
      </c>
      <c r="B24" s="11" t="s">
        <v>10</v>
      </c>
      <c r="C24" s="12">
        <v>20457497</v>
      </c>
      <c r="D24" s="294">
        <f t="shared" si="4"/>
        <v>14982559.766999999</v>
      </c>
      <c r="E24" s="12"/>
      <c r="F24" s="12"/>
      <c r="G24" s="294">
        <f t="shared" si="0"/>
        <v>20457497</v>
      </c>
      <c r="H24" s="13">
        <f t="shared" si="1"/>
        <v>613724927</v>
      </c>
    </row>
    <row r="25" spans="1:8" x14ac:dyDescent="0.25">
      <c r="A25" s="6">
        <f>A24+90</f>
        <v>45006</v>
      </c>
      <c r="B25" s="11" t="s">
        <v>10</v>
      </c>
      <c r="C25" s="12">
        <v>20457497</v>
      </c>
      <c r="D25" s="294">
        <f>H24*$N$61*N$60/360</f>
        <v>15266407.559124999</v>
      </c>
      <c r="E25" s="12"/>
      <c r="F25" s="12"/>
      <c r="G25" s="294">
        <f t="shared" si="0"/>
        <v>20457497</v>
      </c>
      <c r="H25" s="13">
        <f t="shared" si="1"/>
        <v>593267430</v>
      </c>
    </row>
    <row r="26" spans="1:8" x14ac:dyDescent="0.25">
      <c r="A26" s="6">
        <f t="shared" si="2"/>
        <v>45098</v>
      </c>
      <c r="B26" s="11" t="s">
        <v>10</v>
      </c>
      <c r="C26" s="12">
        <v>20457497</v>
      </c>
      <c r="D26" s="294">
        <f t="shared" ref="D26:D54" si="5">H25*$N$61*N$60/360</f>
        <v>14757527.321250001</v>
      </c>
      <c r="E26" s="12"/>
      <c r="F26" s="12"/>
      <c r="G26" s="294">
        <f t="shared" si="0"/>
        <v>20457497</v>
      </c>
      <c r="H26" s="13">
        <f t="shared" si="1"/>
        <v>572809933</v>
      </c>
    </row>
    <row r="27" spans="1:8" x14ac:dyDescent="0.25">
      <c r="A27" s="6">
        <f t="shared" si="2"/>
        <v>45190</v>
      </c>
      <c r="B27" s="11" t="s">
        <v>10</v>
      </c>
      <c r="C27" s="12">
        <v>20457497</v>
      </c>
      <c r="D27" s="294">
        <f t="shared" si="5"/>
        <v>14248647.083375001</v>
      </c>
      <c r="E27" s="12"/>
      <c r="F27" s="12"/>
      <c r="G27" s="294">
        <f t="shared" si="0"/>
        <v>20457497</v>
      </c>
      <c r="H27" s="13">
        <f t="shared" si="1"/>
        <v>552352436</v>
      </c>
    </row>
    <row r="28" spans="1:8" x14ac:dyDescent="0.25">
      <c r="A28" s="6">
        <f>A27+91</f>
        <v>45281</v>
      </c>
      <c r="B28" s="11" t="s">
        <v>10</v>
      </c>
      <c r="C28" s="12">
        <v>20457497</v>
      </c>
      <c r="D28" s="294">
        <f t="shared" si="5"/>
        <v>13739766.8455</v>
      </c>
      <c r="E28" s="12"/>
      <c r="F28" s="12"/>
      <c r="G28" s="294">
        <f t="shared" si="0"/>
        <v>20457497</v>
      </c>
      <c r="H28" s="13">
        <f t="shared" si="1"/>
        <v>531894939</v>
      </c>
    </row>
    <row r="29" spans="1:8" x14ac:dyDescent="0.25">
      <c r="A29" s="6">
        <f>A28+91</f>
        <v>45372</v>
      </c>
      <c r="B29" s="11" t="s">
        <v>10</v>
      </c>
      <c r="C29" s="12">
        <v>20457497</v>
      </c>
      <c r="D29" s="294">
        <f t="shared" si="5"/>
        <v>13230886.607625</v>
      </c>
      <c r="E29" s="12"/>
      <c r="F29" s="12"/>
      <c r="G29" s="294">
        <f t="shared" si="0"/>
        <v>20457497</v>
      </c>
      <c r="H29" s="13">
        <f t="shared" si="1"/>
        <v>511437442</v>
      </c>
    </row>
    <row r="30" spans="1:8" x14ac:dyDescent="0.25">
      <c r="A30" s="6">
        <f t="shared" si="2"/>
        <v>45464</v>
      </c>
      <c r="B30" s="11" t="s">
        <v>10</v>
      </c>
      <c r="C30" s="12">
        <v>20457497</v>
      </c>
      <c r="D30" s="294">
        <f t="shared" si="5"/>
        <v>12722006.369750002</v>
      </c>
      <c r="E30" s="12"/>
      <c r="F30" s="12"/>
      <c r="G30" s="294">
        <f t="shared" si="0"/>
        <v>20457497</v>
      </c>
      <c r="H30" s="13">
        <f t="shared" si="1"/>
        <v>490979945</v>
      </c>
    </row>
    <row r="31" spans="1:8" x14ac:dyDescent="0.25">
      <c r="A31" s="6">
        <f t="shared" si="2"/>
        <v>45556</v>
      </c>
      <c r="B31" s="11" t="s">
        <v>10</v>
      </c>
      <c r="C31" s="12">
        <v>20457497</v>
      </c>
      <c r="D31" s="294">
        <f t="shared" si="5"/>
        <v>12213126.131875001</v>
      </c>
      <c r="E31" s="12"/>
      <c r="F31" s="12"/>
      <c r="G31" s="294">
        <f t="shared" si="0"/>
        <v>20457497</v>
      </c>
      <c r="H31" s="13">
        <f t="shared" si="1"/>
        <v>470522448</v>
      </c>
    </row>
    <row r="32" spans="1:8" x14ac:dyDescent="0.25">
      <c r="A32" s="6">
        <f>A31+91</f>
        <v>45647</v>
      </c>
      <c r="B32" s="11" t="s">
        <v>10</v>
      </c>
      <c r="C32" s="12">
        <v>20457497</v>
      </c>
      <c r="D32" s="294">
        <f t="shared" si="5"/>
        <v>11704245.894000001</v>
      </c>
      <c r="E32" s="12"/>
      <c r="F32" s="12"/>
      <c r="G32" s="294">
        <f t="shared" si="0"/>
        <v>20457497</v>
      </c>
      <c r="H32" s="13">
        <f t="shared" si="1"/>
        <v>450064951</v>
      </c>
    </row>
    <row r="33" spans="1:8" x14ac:dyDescent="0.25">
      <c r="A33" s="6">
        <f>A32+90</f>
        <v>45737</v>
      </c>
      <c r="B33" s="11" t="s">
        <v>10</v>
      </c>
      <c r="C33" s="12">
        <v>20457497</v>
      </c>
      <c r="D33" s="294">
        <f t="shared" si="5"/>
        <v>11195365.656125</v>
      </c>
      <c r="E33" s="12"/>
      <c r="F33" s="12"/>
      <c r="G33" s="294">
        <f t="shared" si="0"/>
        <v>20457497</v>
      </c>
      <c r="H33" s="13">
        <f t="shared" si="1"/>
        <v>429607454</v>
      </c>
    </row>
    <row r="34" spans="1:8" x14ac:dyDescent="0.25">
      <c r="A34" s="6">
        <f t="shared" si="2"/>
        <v>45829</v>
      </c>
      <c r="B34" s="11" t="s">
        <v>10</v>
      </c>
      <c r="C34" s="12">
        <v>20457497</v>
      </c>
      <c r="D34" s="294">
        <f t="shared" si="5"/>
        <v>10686485.41825</v>
      </c>
      <c r="E34" s="12"/>
      <c r="F34" s="12"/>
      <c r="G34" s="294">
        <f t="shared" si="0"/>
        <v>20457497</v>
      </c>
      <c r="H34" s="13">
        <f t="shared" si="1"/>
        <v>409149957</v>
      </c>
    </row>
    <row r="35" spans="1:8" x14ac:dyDescent="0.25">
      <c r="A35" s="6">
        <f t="shared" si="2"/>
        <v>45921</v>
      </c>
      <c r="B35" s="11" t="s">
        <v>10</v>
      </c>
      <c r="C35" s="12">
        <v>20457497</v>
      </c>
      <c r="D35" s="294">
        <f t="shared" si="5"/>
        <v>10177605.180375</v>
      </c>
      <c r="E35" s="12"/>
      <c r="F35" s="12"/>
      <c r="G35" s="294">
        <f t="shared" si="0"/>
        <v>20457497</v>
      </c>
      <c r="H35" s="13">
        <f t="shared" si="1"/>
        <v>388692460</v>
      </c>
    </row>
    <row r="36" spans="1:8" x14ac:dyDescent="0.25">
      <c r="A36" s="6">
        <f>A35+91</f>
        <v>46012</v>
      </c>
      <c r="B36" s="11" t="s">
        <v>10</v>
      </c>
      <c r="C36" s="12">
        <v>20457497</v>
      </c>
      <c r="D36" s="294">
        <f t="shared" si="5"/>
        <v>9668724.9425000008</v>
      </c>
      <c r="E36" s="12"/>
      <c r="F36" s="12"/>
      <c r="G36" s="294">
        <f t="shared" si="0"/>
        <v>20457497</v>
      </c>
      <c r="H36" s="13">
        <f t="shared" si="1"/>
        <v>368234963</v>
      </c>
    </row>
    <row r="37" spans="1:8" x14ac:dyDescent="0.25">
      <c r="A37" s="6">
        <f>A36+90</f>
        <v>46102</v>
      </c>
      <c r="B37" s="11" t="s">
        <v>10</v>
      </c>
      <c r="C37" s="12">
        <v>20457497</v>
      </c>
      <c r="D37" s="294">
        <f t="shared" si="5"/>
        <v>9159844.7046250012</v>
      </c>
      <c r="E37" s="12"/>
      <c r="F37" s="12"/>
      <c r="G37" s="294">
        <f t="shared" si="0"/>
        <v>20457497</v>
      </c>
      <c r="H37" s="13">
        <f t="shared" si="1"/>
        <v>347777466</v>
      </c>
    </row>
    <row r="38" spans="1:8" x14ac:dyDescent="0.25">
      <c r="A38" s="6">
        <f t="shared" si="2"/>
        <v>46194</v>
      </c>
      <c r="B38" s="11" t="s">
        <v>10</v>
      </c>
      <c r="C38" s="12">
        <v>20457497</v>
      </c>
      <c r="D38" s="294">
        <f t="shared" si="5"/>
        <v>8650964.4667499997</v>
      </c>
      <c r="E38" s="12"/>
      <c r="F38" s="12"/>
      <c r="G38" s="294">
        <f t="shared" si="0"/>
        <v>20457497</v>
      </c>
      <c r="H38" s="13">
        <f t="shared" si="1"/>
        <v>327319969</v>
      </c>
    </row>
    <row r="39" spans="1:8" x14ac:dyDescent="0.25">
      <c r="A39" s="6">
        <f t="shared" si="2"/>
        <v>46286</v>
      </c>
      <c r="B39" s="11" t="s">
        <v>10</v>
      </c>
      <c r="C39" s="12">
        <v>20457497</v>
      </c>
      <c r="D39" s="294">
        <f t="shared" si="5"/>
        <v>8142084.228875</v>
      </c>
      <c r="E39" s="12"/>
      <c r="F39" s="12"/>
      <c r="G39" s="294">
        <f t="shared" si="0"/>
        <v>20457497</v>
      </c>
      <c r="H39" s="13">
        <f t="shared" si="1"/>
        <v>306862472</v>
      </c>
    </row>
    <row r="40" spans="1:8" x14ac:dyDescent="0.25">
      <c r="A40" s="6">
        <f>A39+91</f>
        <v>46377</v>
      </c>
      <c r="B40" s="11" t="s">
        <v>10</v>
      </c>
      <c r="C40" s="12">
        <v>20457497</v>
      </c>
      <c r="D40" s="294">
        <f t="shared" si="5"/>
        <v>7633203.9910000004</v>
      </c>
      <c r="E40" s="12"/>
      <c r="F40" s="12"/>
      <c r="G40" s="294">
        <f t="shared" si="0"/>
        <v>20457497</v>
      </c>
      <c r="H40" s="13">
        <f t="shared" si="1"/>
        <v>286404975</v>
      </c>
    </row>
    <row r="41" spans="1:8" x14ac:dyDescent="0.25">
      <c r="A41" s="6">
        <f>A40+90</f>
        <v>46467</v>
      </c>
      <c r="B41" s="11" t="s">
        <v>10</v>
      </c>
      <c r="C41" s="12">
        <v>20457497</v>
      </c>
      <c r="D41" s="294">
        <f t="shared" si="5"/>
        <v>7124323.7531250017</v>
      </c>
      <c r="E41" s="12"/>
      <c r="F41" s="12"/>
      <c r="G41" s="294">
        <f t="shared" si="0"/>
        <v>20457497</v>
      </c>
      <c r="H41" s="13">
        <f t="shared" si="1"/>
        <v>265947478</v>
      </c>
    </row>
    <row r="42" spans="1:8" x14ac:dyDescent="0.25">
      <c r="A42" s="6">
        <f t="shared" si="2"/>
        <v>46559</v>
      </c>
      <c r="B42" s="11" t="s">
        <v>10</v>
      </c>
      <c r="C42" s="12">
        <v>20457497</v>
      </c>
      <c r="D42" s="294">
        <f t="shared" si="5"/>
        <v>6615443.5152500011</v>
      </c>
      <c r="E42" s="12"/>
      <c r="F42" s="12"/>
      <c r="G42" s="294">
        <f t="shared" si="0"/>
        <v>20457497</v>
      </c>
      <c r="H42" s="13">
        <f t="shared" si="1"/>
        <v>245489981</v>
      </c>
    </row>
    <row r="43" spans="1:8" x14ac:dyDescent="0.25">
      <c r="A43" s="6">
        <f t="shared" si="2"/>
        <v>46651</v>
      </c>
      <c r="B43" s="11" t="s">
        <v>10</v>
      </c>
      <c r="C43" s="12">
        <v>20457497</v>
      </c>
      <c r="D43" s="294">
        <f t="shared" si="5"/>
        <v>6106563.2773749996</v>
      </c>
      <c r="E43" s="12"/>
      <c r="F43" s="12"/>
      <c r="G43" s="294">
        <f t="shared" si="0"/>
        <v>20457497</v>
      </c>
      <c r="H43" s="13">
        <f t="shared" si="1"/>
        <v>225032484</v>
      </c>
    </row>
    <row r="44" spans="1:8" x14ac:dyDescent="0.25">
      <c r="A44" s="6">
        <f>A43+91</f>
        <v>46742</v>
      </c>
      <c r="B44" s="11" t="s">
        <v>10</v>
      </c>
      <c r="C44" s="12">
        <v>20457497</v>
      </c>
      <c r="D44" s="294">
        <f t="shared" si="5"/>
        <v>5597683.0395</v>
      </c>
      <c r="E44" s="12"/>
      <c r="F44" s="12"/>
      <c r="G44" s="294">
        <f t="shared" si="0"/>
        <v>20457497</v>
      </c>
      <c r="H44" s="13">
        <f t="shared" si="1"/>
        <v>204574987</v>
      </c>
    </row>
    <row r="45" spans="1:8" x14ac:dyDescent="0.25">
      <c r="A45" s="6">
        <f>A44+91</f>
        <v>46833</v>
      </c>
      <c r="B45" s="11" t="s">
        <v>10</v>
      </c>
      <c r="C45" s="12">
        <v>20457497</v>
      </c>
      <c r="D45" s="294">
        <f t="shared" si="5"/>
        <v>5088802.8016250003</v>
      </c>
      <c r="E45" s="12"/>
      <c r="F45" s="12"/>
      <c r="G45" s="294">
        <f t="shared" si="0"/>
        <v>20457497</v>
      </c>
      <c r="H45" s="13">
        <f t="shared" si="1"/>
        <v>184117490</v>
      </c>
    </row>
    <row r="46" spans="1:8" x14ac:dyDescent="0.25">
      <c r="A46" s="6">
        <f t="shared" si="2"/>
        <v>46925</v>
      </c>
      <c r="B46" s="11" t="s">
        <v>10</v>
      </c>
      <c r="C46" s="12">
        <v>20457497</v>
      </c>
      <c r="D46" s="294">
        <f t="shared" si="5"/>
        <v>4579922.5637500007</v>
      </c>
      <c r="E46" s="12"/>
      <c r="F46" s="12"/>
      <c r="G46" s="294">
        <f t="shared" si="0"/>
        <v>20457497</v>
      </c>
      <c r="H46" s="13">
        <f t="shared" si="1"/>
        <v>163659993</v>
      </c>
    </row>
    <row r="47" spans="1:8" x14ac:dyDescent="0.25">
      <c r="A47" s="6">
        <f t="shared" si="2"/>
        <v>47017</v>
      </c>
      <c r="B47" s="11" t="s">
        <v>10</v>
      </c>
      <c r="C47" s="12">
        <v>20457497</v>
      </c>
      <c r="D47" s="294">
        <f t="shared" si="5"/>
        <v>4071042.3258750001</v>
      </c>
      <c r="E47" s="12"/>
      <c r="F47" s="12"/>
      <c r="G47" s="294">
        <f t="shared" si="0"/>
        <v>20457497</v>
      </c>
      <c r="H47" s="13">
        <f t="shared" si="1"/>
        <v>143202496</v>
      </c>
    </row>
    <row r="48" spans="1:8" x14ac:dyDescent="0.25">
      <c r="A48" s="6">
        <f>A47+91</f>
        <v>47108</v>
      </c>
      <c r="B48" s="11" t="s">
        <v>10</v>
      </c>
      <c r="C48" s="12">
        <v>20457497</v>
      </c>
      <c r="D48" s="294">
        <f t="shared" si="5"/>
        <v>3562162.088</v>
      </c>
      <c r="E48" s="12"/>
      <c r="F48" s="12"/>
      <c r="G48" s="294">
        <f t="shared" si="0"/>
        <v>20457497</v>
      </c>
      <c r="H48" s="13">
        <f t="shared" si="1"/>
        <v>122744999</v>
      </c>
    </row>
    <row r="49" spans="1:15" x14ac:dyDescent="0.25">
      <c r="A49" s="6">
        <f>A48+90</f>
        <v>47198</v>
      </c>
      <c r="B49" s="11" t="s">
        <v>10</v>
      </c>
      <c r="C49" s="12">
        <v>20457497</v>
      </c>
      <c r="D49" s="294">
        <f t="shared" si="5"/>
        <v>3053281.8501250003</v>
      </c>
      <c r="E49" s="12"/>
      <c r="F49" s="12"/>
      <c r="G49" s="294">
        <f t="shared" si="0"/>
        <v>20457497</v>
      </c>
      <c r="H49" s="13">
        <f t="shared" si="1"/>
        <v>102287502</v>
      </c>
    </row>
    <row r="50" spans="1:15" x14ac:dyDescent="0.25">
      <c r="A50" s="6">
        <f t="shared" si="2"/>
        <v>47290</v>
      </c>
      <c r="B50" s="11" t="s">
        <v>10</v>
      </c>
      <c r="C50" s="12">
        <v>20457497</v>
      </c>
      <c r="D50" s="294">
        <f t="shared" si="5"/>
        <v>2544401.6122500002</v>
      </c>
      <c r="E50" s="12"/>
      <c r="F50" s="12"/>
      <c r="G50" s="294">
        <f t="shared" si="0"/>
        <v>20457497</v>
      </c>
      <c r="H50" s="13">
        <f t="shared" si="1"/>
        <v>81830005</v>
      </c>
    </row>
    <row r="51" spans="1:15" x14ac:dyDescent="0.25">
      <c r="A51" s="6">
        <f t="shared" si="2"/>
        <v>47382</v>
      </c>
      <c r="B51" s="11" t="s">
        <v>10</v>
      </c>
      <c r="C51" s="12">
        <v>20457497</v>
      </c>
      <c r="D51" s="294">
        <f t="shared" si="5"/>
        <v>2035521.3743750004</v>
      </c>
      <c r="E51" s="12"/>
      <c r="F51" s="12"/>
      <c r="G51" s="294">
        <f t="shared" si="0"/>
        <v>20457497</v>
      </c>
      <c r="H51" s="13">
        <f t="shared" si="1"/>
        <v>61372508</v>
      </c>
    </row>
    <row r="52" spans="1:15" x14ac:dyDescent="0.25">
      <c r="A52" s="6">
        <f>A51+91</f>
        <v>47473</v>
      </c>
      <c r="B52" s="11" t="s">
        <v>10</v>
      </c>
      <c r="C52" s="12">
        <v>20457497</v>
      </c>
      <c r="D52" s="294">
        <f t="shared" si="5"/>
        <v>1526641.1365</v>
      </c>
      <c r="E52" s="12"/>
      <c r="F52" s="12"/>
      <c r="G52" s="294">
        <f t="shared" si="0"/>
        <v>20457497</v>
      </c>
      <c r="H52" s="13">
        <f t="shared" si="1"/>
        <v>40915011</v>
      </c>
    </row>
    <row r="53" spans="1:15" x14ac:dyDescent="0.25">
      <c r="A53" s="6">
        <f>A52+90</f>
        <v>47563</v>
      </c>
      <c r="B53" s="11" t="s">
        <v>10</v>
      </c>
      <c r="C53" s="12">
        <v>20457497</v>
      </c>
      <c r="D53" s="294">
        <f t="shared" si="5"/>
        <v>1017760.898625</v>
      </c>
      <c r="E53" s="12"/>
      <c r="F53" s="12"/>
      <c r="G53" s="294">
        <f t="shared" si="0"/>
        <v>20457497</v>
      </c>
      <c r="H53" s="13">
        <f t="shared" si="1"/>
        <v>20457514</v>
      </c>
    </row>
    <row r="54" spans="1:15" x14ac:dyDescent="0.25">
      <c r="A54" s="6">
        <f t="shared" si="2"/>
        <v>47655</v>
      </c>
      <c r="B54" s="11" t="s">
        <v>10</v>
      </c>
      <c r="C54" s="12">
        <v>20457514</v>
      </c>
      <c r="D54" s="294">
        <f t="shared" si="5"/>
        <v>508880.66075000004</v>
      </c>
      <c r="E54" s="12"/>
      <c r="F54" s="12"/>
      <c r="G54" s="294">
        <f t="shared" si="0"/>
        <v>20457514</v>
      </c>
      <c r="H54" s="14">
        <f t="shared" si="1"/>
        <v>0</v>
      </c>
    </row>
    <row r="55" spans="1:15" x14ac:dyDescent="0.25">
      <c r="A55" s="15"/>
      <c r="B55" s="16" t="s">
        <v>11</v>
      </c>
      <c r="C55" s="17">
        <f>SUM(C6:C54)</f>
        <v>797842400</v>
      </c>
      <c r="D55" s="17">
        <f>SUM(D6:D54)</f>
        <v>539015838.19412506</v>
      </c>
      <c r="E55" s="17">
        <f>SUM(E7:E13)+SUM(E16:E54)</f>
        <v>140154979.80199987</v>
      </c>
      <c r="F55" s="17">
        <f>+SUM(F16:F54)</f>
        <v>36498537.213254996</v>
      </c>
      <c r="G55" s="17">
        <f>SUM(G7:G54)</f>
        <v>974495917.01525497</v>
      </c>
      <c r="H55" s="18"/>
    </row>
    <row r="56" spans="1:15" x14ac:dyDescent="0.25">
      <c r="A56" s="19" t="s">
        <v>42</v>
      </c>
      <c r="B56" s="20"/>
      <c r="C56" s="20"/>
      <c r="D56" s="20"/>
      <c r="E56" s="20"/>
      <c r="F56" s="20"/>
      <c r="G56" s="20"/>
      <c r="H56" s="20"/>
      <c r="I56" s="20"/>
      <c r="J56" s="20"/>
      <c r="K56" s="97"/>
      <c r="L56" s="97"/>
      <c r="M56" s="97"/>
      <c r="N56" s="97"/>
      <c r="O56" s="97"/>
    </row>
    <row r="57" spans="1:15" x14ac:dyDescent="0.25">
      <c r="A57" s="39"/>
      <c r="B57" s="315" t="s">
        <v>3043</v>
      </c>
      <c r="C57" s="315" t="s">
        <v>3048</v>
      </c>
      <c r="D57" s="315" t="s">
        <v>3033</v>
      </c>
      <c r="E57" s="315" t="s">
        <v>3034</v>
      </c>
      <c r="F57" s="315" t="s">
        <v>3035</v>
      </c>
      <c r="G57" s="315" t="s">
        <v>3036</v>
      </c>
      <c r="H57" s="315" t="s">
        <v>3037</v>
      </c>
      <c r="I57" s="315" t="s">
        <v>3038</v>
      </c>
      <c r="J57" s="315" t="s">
        <v>3039</v>
      </c>
      <c r="K57" s="315" t="s">
        <v>3040</v>
      </c>
      <c r="L57" s="315" t="s">
        <v>3148</v>
      </c>
      <c r="M57" s="315" t="s">
        <v>3149</v>
      </c>
      <c r="N57" s="315" t="s">
        <v>3150</v>
      </c>
      <c r="O57" s="97"/>
    </row>
    <row r="58" spans="1:15" ht="25.5" x14ac:dyDescent="0.25">
      <c r="A58" s="39" t="s">
        <v>2830</v>
      </c>
      <c r="B58" s="304">
        <v>4.113E-2</v>
      </c>
      <c r="C58" s="302">
        <v>4.1320000000000003E-2</v>
      </c>
      <c r="D58" s="302">
        <v>4.1509999999999998E-2</v>
      </c>
      <c r="E58" s="302">
        <v>4.1369999999999997E-2</v>
      </c>
      <c r="F58" s="302">
        <v>4.0500000000000001E-2</v>
      </c>
      <c r="G58" s="302">
        <v>4.1270000000000001E-2</v>
      </c>
      <c r="H58" s="302">
        <v>4.1369999999999997E-2</v>
      </c>
      <c r="I58" s="302">
        <v>4.0969999999999999E-2</v>
      </c>
      <c r="J58" s="303">
        <v>2.333E-2</v>
      </c>
      <c r="K58" s="302">
        <v>1.8200000000000001E-2</v>
      </c>
      <c r="L58" s="302">
        <v>0.04</v>
      </c>
      <c r="M58" s="302">
        <v>4.4999999999999998E-2</v>
      </c>
      <c r="N58" s="302">
        <v>0.05</v>
      </c>
      <c r="O58" s="97"/>
    </row>
    <row r="59" spans="1:15" ht="25.5" x14ac:dyDescent="0.25">
      <c r="A59" s="39" t="s">
        <v>2831</v>
      </c>
      <c r="B59" s="303">
        <v>4.9500000000000002E-2</v>
      </c>
      <c r="C59" s="302">
        <v>4.9500000000000002E-2</v>
      </c>
      <c r="D59" s="302">
        <v>4.9500000000000002E-2</v>
      </c>
      <c r="E59" s="302">
        <v>4.9500000000000002E-2</v>
      </c>
      <c r="F59" s="302">
        <v>4.9500000000000002E-2</v>
      </c>
      <c r="G59" s="302">
        <v>4.9500000000000002E-2</v>
      </c>
      <c r="H59" s="302">
        <v>4.9500000000000002E-2</v>
      </c>
      <c r="I59" s="302">
        <v>4.9500000000000002E-2</v>
      </c>
      <c r="J59" s="302">
        <v>4.9500000000000002E-2</v>
      </c>
      <c r="K59" s="302">
        <v>4.9500000000000002E-2</v>
      </c>
      <c r="L59" s="302">
        <v>4.9500000000000002E-2</v>
      </c>
      <c r="M59" s="302">
        <v>4.9500000000000002E-2</v>
      </c>
      <c r="N59" s="302">
        <v>4.9500000000000002E-2</v>
      </c>
      <c r="O59" s="97"/>
    </row>
    <row r="60" spans="1:15" x14ac:dyDescent="0.25">
      <c r="A60" s="39" t="s">
        <v>377</v>
      </c>
      <c r="B60" s="27">
        <v>90</v>
      </c>
      <c r="C60" s="27">
        <v>90</v>
      </c>
      <c r="D60" s="27">
        <v>90</v>
      </c>
      <c r="E60" s="27">
        <v>90</v>
      </c>
      <c r="F60" s="27">
        <v>90</v>
      </c>
      <c r="G60" s="27">
        <v>90</v>
      </c>
      <c r="H60" s="27">
        <v>90</v>
      </c>
      <c r="I60" s="27">
        <v>90</v>
      </c>
      <c r="J60" s="27">
        <v>90</v>
      </c>
      <c r="K60" s="27">
        <v>90</v>
      </c>
      <c r="L60" s="27">
        <v>90</v>
      </c>
      <c r="M60" s="27">
        <v>90</v>
      </c>
      <c r="N60" s="27">
        <v>90</v>
      </c>
      <c r="O60" s="97"/>
    </row>
    <row r="61" spans="1:15" x14ac:dyDescent="0.25">
      <c r="A61" s="39" t="s">
        <v>3157</v>
      </c>
      <c r="B61" s="407">
        <f>+B58+B59</f>
        <v>9.0630000000000002E-2</v>
      </c>
      <c r="C61" s="407">
        <f t="shared" ref="C61:N61" si="6">+C58+C59</f>
        <v>9.0820000000000012E-2</v>
      </c>
      <c r="D61" s="407">
        <f t="shared" si="6"/>
        <v>9.1010000000000008E-2</v>
      </c>
      <c r="E61" s="407">
        <f t="shared" si="6"/>
        <v>9.0870000000000006E-2</v>
      </c>
      <c r="F61" s="407">
        <f t="shared" si="6"/>
        <v>0.09</v>
      </c>
      <c r="G61" s="407">
        <f t="shared" si="6"/>
        <v>9.0770000000000003E-2</v>
      </c>
      <c r="H61" s="407">
        <f t="shared" si="6"/>
        <v>9.0870000000000006E-2</v>
      </c>
      <c r="I61" s="407">
        <f t="shared" si="6"/>
        <v>9.0469999999999995E-2</v>
      </c>
      <c r="J61" s="407">
        <f t="shared" si="6"/>
        <v>7.2830000000000006E-2</v>
      </c>
      <c r="K61" s="407">
        <f t="shared" si="6"/>
        <v>6.770000000000001E-2</v>
      </c>
      <c r="L61" s="407">
        <f t="shared" si="6"/>
        <v>8.9499999999999996E-2</v>
      </c>
      <c r="M61" s="407">
        <f t="shared" si="6"/>
        <v>9.4500000000000001E-2</v>
      </c>
      <c r="N61" s="407">
        <f t="shared" si="6"/>
        <v>9.9500000000000005E-2</v>
      </c>
      <c r="O61" s="97"/>
    </row>
    <row r="62" spans="1:15" s="234" customFormat="1" ht="38.25" x14ac:dyDescent="0.25">
      <c r="A62" s="39" t="s">
        <v>373</v>
      </c>
      <c r="B62" s="386">
        <f t="shared" ref="B62:K62" si="7">EFFECT(B58+B59,4)</f>
        <v>9.3756963404173055E-2</v>
      </c>
      <c r="C62" s="353">
        <f t="shared" si="7"/>
        <v>9.3960187164013442E-2</v>
      </c>
      <c r="D62" s="353">
        <f t="shared" si="7"/>
        <v>9.4163439242287428E-2</v>
      </c>
      <c r="E62" s="353">
        <f t="shared" si="7"/>
        <v>9.4013671807370969E-2</v>
      </c>
      <c r="F62" s="352">
        <f t="shared" si="7"/>
        <v>9.3083318789062286E-2</v>
      </c>
      <c r="G62" s="352">
        <f t="shared" si="7"/>
        <v>9.3906704481766301E-2</v>
      </c>
      <c r="H62" s="352">
        <f t="shared" si="7"/>
        <v>9.4013671807370969E-2</v>
      </c>
      <c r="I62" s="352">
        <f t="shared" si="7"/>
        <v>9.3585849568915025E-2</v>
      </c>
      <c r="J62" s="352">
        <f t="shared" si="7"/>
        <v>7.4843332334292967E-2</v>
      </c>
      <c r="K62" s="352">
        <f t="shared" si="7"/>
        <v>6.9438208852637739E-2</v>
      </c>
      <c r="L62" s="352">
        <f t="shared" ref="L62:M62" si="8">EFFECT(L58+L59,4)</f>
        <v>9.2548901726973165E-2</v>
      </c>
      <c r="M62" s="352">
        <f t="shared" si="8"/>
        <v>9.7901899560019601E-2</v>
      </c>
      <c r="N62" s="352">
        <f t="shared" ref="N62" si="9">EFFECT(N58+N59,4)</f>
        <v>0.1032745438005862</v>
      </c>
      <c r="O62" s="387"/>
    </row>
    <row r="63" spans="1:15" x14ac:dyDescent="0.25">
      <c r="A63" s="43" t="s">
        <v>39</v>
      </c>
      <c r="B63" s="44">
        <f>+E$7</f>
        <v>18077114.177999999</v>
      </c>
      <c r="C63" s="44">
        <f>+E8</f>
        <v>18115011.691999979</v>
      </c>
      <c r="D63" s="44">
        <f>+E9</f>
        <v>18152909.205999963</v>
      </c>
      <c r="E63" s="44">
        <f>E10</f>
        <v>18124984.721999958</v>
      </c>
      <c r="F63" s="44">
        <f>+E11</f>
        <v>17951453.99999997</v>
      </c>
      <c r="G63" s="44">
        <f>+E12</f>
        <v>18105038.662000004</v>
      </c>
      <c r="H63" s="44">
        <f>+E13</f>
        <v>18124984.721999958</v>
      </c>
      <c r="I63" s="44">
        <f>+E14</f>
        <v>18045200.481999967</v>
      </c>
      <c r="J63" s="44">
        <f>E15</f>
        <v>14526715.497999946</v>
      </c>
      <c r="K63" s="44">
        <f>+E16</f>
        <v>13503482.620000063</v>
      </c>
      <c r="L63" s="44"/>
      <c r="M63" s="44"/>
      <c r="N63" s="44"/>
      <c r="O63" s="99"/>
    </row>
    <row r="64" spans="1:15" x14ac:dyDescent="0.25">
      <c r="K64" s="97"/>
      <c r="L64" s="414"/>
      <c r="M64" s="97"/>
      <c r="N64" s="97"/>
      <c r="O64" s="97"/>
    </row>
    <row r="65" spans="2:19" x14ac:dyDescent="0.25">
      <c r="K65" s="97"/>
      <c r="L65" s="97"/>
      <c r="M65" s="97"/>
      <c r="N65" s="97"/>
      <c r="O65" s="97"/>
    </row>
    <row r="66" spans="2:19" x14ac:dyDescent="0.25">
      <c r="L66" s="146"/>
      <c r="S66" s="45">
        <f>SUM(B66:R66)</f>
        <v>0</v>
      </c>
    </row>
    <row r="67" spans="2:19" x14ac:dyDescent="0.25">
      <c r="L67" s="460"/>
    </row>
    <row r="69" spans="2:19" x14ac:dyDescent="0.25">
      <c r="B69" s="50" t="s">
        <v>42</v>
      </c>
      <c r="C69" s="50" t="s">
        <v>42</v>
      </c>
    </row>
  </sheetData>
  <mergeCells count="4">
    <mergeCell ref="A1:H1"/>
    <mergeCell ref="A2:H2"/>
    <mergeCell ref="A3:H3"/>
    <mergeCell ref="A4:H4"/>
  </mergeCells>
  <pageMargins left="0.25" right="0.25" top="0.75" bottom="0.75" header="0.3" footer="0.3"/>
  <pageSetup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8EEFC"/>
  </sheetPr>
  <dimension ref="A1:S70"/>
  <sheetViews>
    <sheetView topLeftCell="A2" zoomScale="90" zoomScaleNormal="90" workbookViewId="0">
      <selection activeCell="E14" sqref="E14"/>
    </sheetView>
  </sheetViews>
  <sheetFormatPr baseColWidth="10" defaultColWidth="11.5703125" defaultRowHeight="15" x14ac:dyDescent="0.25"/>
  <cols>
    <col min="1" max="1" width="15" customWidth="1"/>
    <col min="2" max="2" width="19.7109375" customWidth="1"/>
    <col min="3" max="3" width="17.42578125" bestFit="1" customWidth="1"/>
    <col min="4" max="4" width="16" customWidth="1"/>
    <col min="5" max="5" width="15.28515625" bestFit="1" customWidth="1"/>
    <col min="6" max="6" width="16.42578125" bestFit="1" customWidth="1"/>
    <col min="7" max="7" width="19" customWidth="1"/>
    <col min="8" max="8" width="14.140625" bestFit="1" customWidth="1"/>
    <col min="9" max="9" width="19.28515625" bestFit="1" customWidth="1"/>
    <col min="10" max="10" width="17.7109375" customWidth="1"/>
    <col min="11" max="11" width="14.140625" bestFit="1" customWidth="1"/>
    <col min="12" max="12" width="19"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3" x14ac:dyDescent="0.25">
      <c r="A1" s="511" t="s">
        <v>2</v>
      </c>
      <c r="B1" s="512"/>
      <c r="C1" s="512"/>
      <c r="D1" s="512"/>
      <c r="E1" s="512"/>
      <c r="F1" s="512"/>
      <c r="G1" s="512"/>
      <c r="H1" s="512"/>
    </row>
    <row r="2" spans="1:13" x14ac:dyDescent="0.25">
      <c r="A2" s="511" t="s">
        <v>3074</v>
      </c>
      <c r="B2" s="512"/>
      <c r="C2" s="512"/>
      <c r="D2" s="512"/>
      <c r="E2" s="512"/>
      <c r="F2" s="512"/>
      <c r="G2" s="512"/>
      <c r="H2" s="512"/>
    </row>
    <row r="3" spans="1:13" x14ac:dyDescent="0.25">
      <c r="A3" s="511" t="s">
        <v>3075</v>
      </c>
      <c r="B3" s="512"/>
      <c r="C3" s="512"/>
      <c r="D3" s="512"/>
      <c r="E3" s="512"/>
      <c r="F3" s="512"/>
      <c r="G3" s="512"/>
      <c r="H3" s="512"/>
    </row>
    <row r="4" spans="1:13" ht="15.75" thickBot="1" x14ac:dyDescent="0.3">
      <c r="A4" s="515" t="s">
        <v>3095</v>
      </c>
      <c r="B4" s="516"/>
      <c r="C4" s="516"/>
      <c r="D4" s="516"/>
      <c r="E4" s="516"/>
      <c r="F4" s="516"/>
      <c r="G4" s="516"/>
      <c r="H4" s="516"/>
    </row>
    <row r="5" spans="1:13" ht="45.75" thickBot="1" x14ac:dyDescent="0.3">
      <c r="A5" s="1" t="s">
        <v>5</v>
      </c>
      <c r="B5" s="2" t="s">
        <v>6</v>
      </c>
      <c r="C5" s="3" t="s">
        <v>7</v>
      </c>
      <c r="D5" s="3" t="s">
        <v>40</v>
      </c>
      <c r="E5" s="3" t="s">
        <v>41</v>
      </c>
      <c r="F5" s="3" t="s">
        <v>3135</v>
      </c>
      <c r="G5" s="4" t="s">
        <v>3078</v>
      </c>
      <c r="H5" s="5" t="s">
        <v>8</v>
      </c>
    </row>
    <row r="6" spans="1:13" x14ac:dyDescent="0.25">
      <c r="A6" s="6">
        <v>43460</v>
      </c>
      <c r="B6" s="7" t="s">
        <v>359</v>
      </c>
      <c r="C6" s="8">
        <v>0</v>
      </c>
      <c r="D6" s="8">
        <v>0</v>
      </c>
      <c r="E6" s="8"/>
      <c r="F6" s="8"/>
      <c r="G6" s="8"/>
      <c r="H6" s="9">
        <v>7613583518</v>
      </c>
      <c r="I6" s="54"/>
    </row>
    <row r="7" spans="1:13" x14ac:dyDescent="0.25">
      <c r="A7" s="6">
        <f>A6+90</f>
        <v>43550</v>
      </c>
      <c r="B7" s="297" t="s">
        <v>9</v>
      </c>
      <c r="C7" s="294"/>
      <c r="D7" s="294">
        <f>H6*$B$61*B$60/360</f>
        <v>173170957.11691001</v>
      </c>
      <c r="E7" s="294">
        <v>173170957.11691013</v>
      </c>
      <c r="F7" s="294"/>
      <c r="G7" s="294">
        <f>E7+C7+F7</f>
        <v>173170957.11691013</v>
      </c>
      <c r="H7" s="328">
        <v>7613583518</v>
      </c>
      <c r="I7" s="105"/>
    </row>
    <row r="8" spans="1:13" x14ac:dyDescent="0.25">
      <c r="A8" s="6">
        <f>A7+92</f>
        <v>43642</v>
      </c>
      <c r="B8" s="297" t="s">
        <v>9</v>
      </c>
      <c r="C8" s="294"/>
      <c r="D8" s="294">
        <f>H7*$C$61*C$60/360</f>
        <v>172923515.65257499</v>
      </c>
      <c r="E8" s="294">
        <v>172923515.65257433</v>
      </c>
      <c r="F8" s="294"/>
      <c r="G8" s="294">
        <f t="shared" ref="G8:G54" si="0">E8+C8+F8</f>
        <v>172923515.65257433</v>
      </c>
      <c r="H8" s="328">
        <v>7613583518</v>
      </c>
      <c r="I8" s="54"/>
    </row>
    <row r="9" spans="1:13" x14ac:dyDescent="0.25">
      <c r="A9" s="6">
        <f>A8+92</f>
        <v>43734</v>
      </c>
      <c r="B9" s="297" t="s">
        <v>9</v>
      </c>
      <c r="C9" s="294"/>
      <c r="D9" s="294">
        <f>H8*$D$61*$D$60/360</f>
        <v>171648240.41331002</v>
      </c>
      <c r="E9" s="294">
        <v>171648240.41331029</v>
      </c>
      <c r="F9" s="294"/>
      <c r="G9" s="294">
        <f t="shared" si="0"/>
        <v>171648240.41331029</v>
      </c>
      <c r="H9" s="328">
        <v>7613583518</v>
      </c>
      <c r="I9" s="138"/>
    </row>
    <row r="10" spans="1:13" x14ac:dyDescent="0.25">
      <c r="A10" s="6">
        <f>A9+91</f>
        <v>43825</v>
      </c>
      <c r="B10" s="297" t="s">
        <v>9</v>
      </c>
      <c r="C10" s="294"/>
      <c r="D10" s="294">
        <f>H9*$E$61*$E$60/360</f>
        <v>172771243.98221502</v>
      </c>
      <c r="E10" s="294">
        <v>172771243.98221505</v>
      </c>
      <c r="F10" s="294"/>
      <c r="G10" s="294">
        <f t="shared" si="0"/>
        <v>172771243.98221505</v>
      </c>
      <c r="H10" s="328">
        <v>7613583518</v>
      </c>
    </row>
    <row r="11" spans="1:13" x14ac:dyDescent="0.25">
      <c r="A11" s="6">
        <f>A10+91</f>
        <v>43916</v>
      </c>
      <c r="B11" s="297" t="s">
        <v>9</v>
      </c>
      <c r="C11" s="294">
        <v>0</v>
      </c>
      <c r="D11" s="294">
        <f>H10*$F$61*$F$60/360</f>
        <v>172904481.69378</v>
      </c>
      <c r="E11" s="294">
        <v>172904481.69378006</v>
      </c>
      <c r="F11" s="294"/>
      <c r="G11" s="294">
        <f t="shared" si="0"/>
        <v>172904481.69378006</v>
      </c>
      <c r="H11" s="298">
        <f t="shared" ref="H11:H54" si="1">+H10-C11</f>
        <v>7613583518</v>
      </c>
      <c r="I11" s="138"/>
      <c r="J11" s="138"/>
    </row>
    <row r="12" spans="1:13" x14ac:dyDescent="0.25">
      <c r="A12" s="6">
        <f>A11+92</f>
        <v>44008</v>
      </c>
      <c r="B12" s="297" t="s">
        <v>9</v>
      </c>
      <c r="C12" s="294">
        <v>0</v>
      </c>
      <c r="D12" s="18">
        <f>H11*$G$61*$G$60/360</f>
        <v>161674446.00473002</v>
      </c>
      <c r="E12" s="18">
        <v>161674446.00472918</v>
      </c>
      <c r="F12" s="294">
        <f>SUM(D12:D13)</f>
        <v>299061560.58704001</v>
      </c>
      <c r="G12" s="294">
        <f>C12</f>
        <v>0</v>
      </c>
      <c r="H12" s="298">
        <f t="shared" si="1"/>
        <v>7613583518</v>
      </c>
      <c r="I12" t="s">
        <v>3155</v>
      </c>
    </row>
    <row r="13" spans="1:13" x14ac:dyDescent="0.25">
      <c r="A13" s="6">
        <f>A12+92</f>
        <v>44100</v>
      </c>
      <c r="B13" s="297" t="s">
        <v>9</v>
      </c>
      <c r="C13" s="294">
        <v>0</v>
      </c>
      <c r="D13" s="18">
        <f>H12*$H$61*$H$60/360</f>
        <v>137387114.58230999</v>
      </c>
      <c r="E13" s="18">
        <v>137387114.58231068</v>
      </c>
      <c r="F13" s="462">
        <f>+SUM(F14:F21)</f>
        <v>326782229.49690193</v>
      </c>
      <c r="G13" s="294">
        <f>C13</f>
        <v>0</v>
      </c>
      <c r="H13" s="298">
        <f t="shared" si="1"/>
        <v>7613583518</v>
      </c>
      <c r="I13" t="s">
        <v>3156</v>
      </c>
    </row>
    <row r="14" spans="1:13" x14ac:dyDescent="0.25">
      <c r="A14" s="6">
        <f>A13+91</f>
        <v>44191</v>
      </c>
      <c r="B14" s="297" t="s">
        <v>9</v>
      </c>
      <c r="C14" s="294">
        <v>0</v>
      </c>
      <c r="D14" s="294">
        <f>H13*$I$61*$I$60/360</f>
        <v>128098542.69035</v>
      </c>
      <c r="E14" s="294">
        <v>128098542.69035068</v>
      </c>
      <c r="F14" s="12">
        <v>40847778.687112734</v>
      </c>
      <c r="G14" s="294">
        <f>E14+C14+F14</f>
        <v>168946321.3774634</v>
      </c>
      <c r="H14" s="298">
        <f t="shared" si="1"/>
        <v>7613583518</v>
      </c>
      <c r="I14" s="54"/>
      <c r="L14" s="54" t="s">
        <v>42</v>
      </c>
      <c r="M14" s="54" t="s">
        <v>42</v>
      </c>
    </row>
    <row r="15" spans="1:13" x14ac:dyDescent="0.25">
      <c r="A15" s="6">
        <f>A14+90</f>
        <v>44281</v>
      </c>
      <c r="B15" s="11" t="s">
        <v>10</v>
      </c>
      <c r="C15" s="12">
        <f>+$H$6/40</f>
        <v>190339587.94999999</v>
      </c>
      <c r="D15" s="294">
        <f>H14*$J$61*$J$60/360</f>
        <v>170353931.21524999</v>
      </c>
      <c r="E15" s="12"/>
      <c r="F15" s="12">
        <v>40847778.687112734</v>
      </c>
      <c r="G15" s="294">
        <f t="shared" si="0"/>
        <v>231187366.63711274</v>
      </c>
      <c r="H15" s="13">
        <f t="shared" si="1"/>
        <v>7423243930.0500002</v>
      </c>
      <c r="I15" s="54"/>
      <c r="L15" s="76" t="s">
        <v>42</v>
      </c>
    </row>
    <row r="16" spans="1:13" x14ac:dyDescent="0.25">
      <c r="A16" s="6">
        <f>A15+92</f>
        <v>44373</v>
      </c>
      <c r="B16" s="11" t="s">
        <v>10</v>
      </c>
      <c r="C16" s="12">
        <f t="shared" ref="C16:C54" si="2">+$H$6/40</f>
        <v>190339587.94999999</v>
      </c>
      <c r="D16" s="294">
        <f t="shared" ref="D16:D18" si="3">H15*$J$61*$J$60/360</f>
        <v>166095082.93486875</v>
      </c>
      <c r="E16" s="12"/>
      <c r="F16" s="12">
        <v>40847778.687112734</v>
      </c>
      <c r="G16" s="294">
        <f t="shared" si="0"/>
        <v>231187366.63711274</v>
      </c>
      <c r="H16" s="13">
        <f t="shared" si="1"/>
        <v>7232904342.1000004</v>
      </c>
      <c r="I16" s="54"/>
      <c r="J16" s="105"/>
    </row>
    <row r="17" spans="1:8" x14ac:dyDescent="0.25">
      <c r="A17" s="6">
        <f>A16+92</f>
        <v>44465</v>
      </c>
      <c r="B17" s="11" t="s">
        <v>10</v>
      </c>
      <c r="C17" s="12">
        <f t="shared" si="2"/>
        <v>190339587.94999999</v>
      </c>
      <c r="D17" s="294">
        <f t="shared" si="3"/>
        <v>161836234.65448749</v>
      </c>
      <c r="E17" s="12"/>
      <c r="F17" s="12">
        <v>40847778.687112734</v>
      </c>
      <c r="G17" s="294">
        <f t="shared" si="0"/>
        <v>231187366.63711274</v>
      </c>
      <c r="H17" s="13">
        <f t="shared" si="1"/>
        <v>7042564754.1500006</v>
      </c>
    </row>
    <row r="18" spans="1:8" x14ac:dyDescent="0.25">
      <c r="A18" s="6">
        <f>A17+91</f>
        <v>44556</v>
      </c>
      <c r="B18" s="11" t="s">
        <v>10</v>
      </c>
      <c r="C18" s="12">
        <f t="shared" si="2"/>
        <v>190339587.94999999</v>
      </c>
      <c r="D18" s="294">
        <f t="shared" si="3"/>
        <v>157577386.37410626</v>
      </c>
      <c r="E18" s="12"/>
      <c r="F18" s="12">
        <v>40847778.687112734</v>
      </c>
      <c r="G18" s="294">
        <f t="shared" si="0"/>
        <v>231187366.63711274</v>
      </c>
      <c r="H18" s="13">
        <f t="shared" si="1"/>
        <v>6852225166.2000008</v>
      </c>
    </row>
    <row r="19" spans="1:8" x14ac:dyDescent="0.25">
      <c r="A19" s="6">
        <f>A18+90</f>
        <v>44646</v>
      </c>
      <c r="B19" s="11" t="s">
        <v>10</v>
      </c>
      <c r="C19" s="12">
        <f t="shared" si="2"/>
        <v>190339587.94999999</v>
      </c>
      <c r="D19" s="294">
        <f>H18*$K$61*$K$60/360</f>
        <v>161883819.55147502</v>
      </c>
      <c r="E19" s="12"/>
      <c r="F19" s="12">
        <v>40847778.687112734</v>
      </c>
      <c r="G19" s="294">
        <f t="shared" si="0"/>
        <v>231187366.63711274</v>
      </c>
      <c r="H19" s="13">
        <f t="shared" si="1"/>
        <v>6661885578.250001</v>
      </c>
    </row>
    <row r="20" spans="1:8" x14ac:dyDescent="0.25">
      <c r="A20" s="6">
        <f>A19+92</f>
        <v>44738</v>
      </c>
      <c r="B20" s="11" t="s">
        <v>10</v>
      </c>
      <c r="C20" s="12">
        <f t="shared" si="2"/>
        <v>190339587.94999999</v>
      </c>
      <c r="D20" s="294">
        <f t="shared" ref="D20:D22" si="4">H19*$K$61*$K$60/360</f>
        <v>157387046.78615627</v>
      </c>
      <c r="E20" s="12"/>
      <c r="F20" s="12">
        <v>40847778.687112734</v>
      </c>
      <c r="G20" s="294">
        <f t="shared" si="0"/>
        <v>231187366.63711274</v>
      </c>
      <c r="H20" s="13">
        <f t="shared" si="1"/>
        <v>6471545990.3000011</v>
      </c>
    </row>
    <row r="21" spans="1:8" x14ac:dyDescent="0.25">
      <c r="A21" s="6">
        <f>A20+92</f>
        <v>44830</v>
      </c>
      <c r="B21" s="11" t="s">
        <v>10</v>
      </c>
      <c r="C21" s="12">
        <f t="shared" si="2"/>
        <v>190339587.94999999</v>
      </c>
      <c r="D21" s="294">
        <f t="shared" si="4"/>
        <v>152890274.02083752</v>
      </c>
      <c r="E21" s="12"/>
      <c r="F21" s="12">
        <v>40847778.687112734</v>
      </c>
      <c r="G21" s="294">
        <f t="shared" si="0"/>
        <v>231187366.63711274</v>
      </c>
      <c r="H21" s="13">
        <f t="shared" si="1"/>
        <v>6281206402.3500013</v>
      </c>
    </row>
    <row r="22" spans="1:8" x14ac:dyDescent="0.25">
      <c r="A22" s="6">
        <f>A21+91</f>
        <v>44921</v>
      </c>
      <c r="B22" s="11" t="s">
        <v>10</v>
      </c>
      <c r="C22" s="12">
        <f t="shared" si="2"/>
        <v>190339587.94999999</v>
      </c>
      <c r="D22" s="294">
        <f t="shared" si="4"/>
        <v>148393501.25551879</v>
      </c>
      <c r="E22" s="12"/>
      <c r="F22" s="12"/>
      <c r="G22" s="294">
        <f t="shared" si="0"/>
        <v>190339587.94999999</v>
      </c>
      <c r="H22" s="13">
        <f t="shared" si="1"/>
        <v>6090866814.4000015</v>
      </c>
    </row>
    <row r="23" spans="1:8" x14ac:dyDescent="0.25">
      <c r="A23" s="6">
        <f>A22+90</f>
        <v>45011</v>
      </c>
      <c r="B23" s="11" t="s">
        <v>10</v>
      </c>
      <c r="C23" s="12">
        <f t="shared" si="2"/>
        <v>190339587.94999999</v>
      </c>
      <c r="D23" s="294">
        <f>H22*$L$61*$L$60/360</f>
        <v>151510312.00820005</v>
      </c>
      <c r="E23" s="12"/>
      <c r="F23" s="12"/>
      <c r="G23" s="294">
        <f t="shared" si="0"/>
        <v>190339587.94999999</v>
      </c>
      <c r="H23" s="13">
        <f t="shared" si="1"/>
        <v>5900527226.4500017</v>
      </c>
    </row>
    <row r="24" spans="1:8" x14ac:dyDescent="0.25">
      <c r="A24" s="6">
        <f>A23+92</f>
        <v>45103</v>
      </c>
      <c r="B24" s="11" t="s">
        <v>10</v>
      </c>
      <c r="C24" s="12">
        <f t="shared" si="2"/>
        <v>190339587.94999999</v>
      </c>
      <c r="D24" s="294">
        <f t="shared" ref="D24:D54" si="5">H23*$L$61*$L$60/360</f>
        <v>146775614.75794381</v>
      </c>
      <c r="E24" s="12"/>
      <c r="F24" s="12"/>
      <c r="G24" s="294">
        <f t="shared" si="0"/>
        <v>190339587.94999999</v>
      </c>
      <c r="H24" s="13">
        <f t="shared" si="1"/>
        <v>5710187638.5000019</v>
      </c>
    </row>
    <row r="25" spans="1:8" x14ac:dyDescent="0.25">
      <c r="A25" s="6">
        <f>A24+92</f>
        <v>45195</v>
      </c>
      <c r="B25" s="11" t="s">
        <v>10</v>
      </c>
      <c r="C25" s="12">
        <f t="shared" si="2"/>
        <v>190339587.94999999</v>
      </c>
      <c r="D25" s="294">
        <f t="shared" si="5"/>
        <v>142040917.50768757</v>
      </c>
      <c r="E25" s="12"/>
      <c r="F25" s="12"/>
      <c r="G25" s="294">
        <f t="shared" si="0"/>
        <v>190339587.94999999</v>
      </c>
      <c r="H25" s="13">
        <f t="shared" si="1"/>
        <v>5519848050.5500021</v>
      </c>
    </row>
    <row r="26" spans="1:8" x14ac:dyDescent="0.25">
      <c r="A26" s="6">
        <f>A25+91</f>
        <v>45286</v>
      </c>
      <c r="B26" s="11" t="s">
        <v>10</v>
      </c>
      <c r="C26" s="12">
        <f t="shared" si="2"/>
        <v>190339587.94999999</v>
      </c>
      <c r="D26" s="294">
        <f t="shared" si="5"/>
        <v>137306220.2574313</v>
      </c>
      <c r="E26" s="12"/>
      <c r="F26" s="12"/>
      <c r="G26" s="294">
        <f t="shared" si="0"/>
        <v>190339587.94999999</v>
      </c>
      <c r="H26" s="13">
        <f t="shared" si="1"/>
        <v>5329508462.6000023</v>
      </c>
    </row>
    <row r="27" spans="1:8" x14ac:dyDescent="0.25">
      <c r="A27" s="6">
        <f>A26+91</f>
        <v>45377</v>
      </c>
      <c r="B27" s="11" t="s">
        <v>10</v>
      </c>
      <c r="C27" s="12">
        <f t="shared" si="2"/>
        <v>190339587.94999999</v>
      </c>
      <c r="D27" s="294">
        <f t="shared" si="5"/>
        <v>132571523.00717506</v>
      </c>
      <c r="E27" s="12"/>
      <c r="F27" s="12"/>
      <c r="G27" s="294">
        <f t="shared" si="0"/>
        <v>190339587.94999999</v>
      </c>
      <c r="H27" s="13">
        <f t="shared" si="1"/>
        <v>5139168874.6500025</v>
      </c>
    </row>
    <row r="28" spans="1:8" x14ac:dyDescent="0.25">
      <c r="A28" s="6">
        <f>A27+92</f>
        <v>45469</v>
      </c>
      <c r="B28" s="11" t="s">
        <v>10</v>
      </c>
      <c r="C28" s="12">
        <f t="shared" si="2"/>
        <v>190339587.94999999</v>
      </c>
      <c r="D28" s="294">
        <f t="shared" si="5"/>
        <v>127836825.75691882</v>
      </c>
      <c r="E28" s="12"/>
      <c r="F28" s="12"/>
      <c r="G28" s="294">
        <f t="shared" si="0"/>
        <v>190339587.94999999</v>
      </c>
      <c r="H28" s="13">
        <f t="shared" si="1"/>
        <v>4948829286.7000027</v>
      </c>
    </row>
    <row r="29" spans="1:8" x14ac:dyDescent="0.25">
      <c r="A29" s="6">
        <f>A28+92</f>
        <v>45561</v>
      </c>
      <c r="B29" s="11" t="s">
        <v>10</v>
      </c>
      <c r="C29" s="12">
        <f t="shared" si="2"/>
        <v>190339587.94999999</v>
      </c>
      <c r="D29" s="294">
        <f t="shared" si="5"/>
        <v>123102128.50666258</v>
      </c>
      <c r="E29" s="12"/>
      <c r="F29" s="12"/>
      <c r="G29" s="294">
        <f t="shared" si="0"/>
        <v>190339587.94999999</v>
      </c>
      <c r="H29" s="13">
        <f t="shared" si="1"/>
        <v>4758489698.7500029</v>
      </c>
    </row>
    <row r="30" spans="1:8" x14ac:dyDescent="0.25">
      <c r="A30" s="6">
        <f>A29+91</f>
        <v>45652</v>
      </c>
      <c r="B30" s="11" t="s">
        <v>10</v>
      </c>
      <c r="C30" s="12">
        <f t="shared" si="2"/>
        <v>190339587.94999999</v>
      </c>
      <c r="D30" s="294">
        <f t="shared" si="5"/>
        <v>118367431.25640632</v>
      </c>
      <c r="E30" s="12"/>
      <c r="F30" s="12"/>
      <c r="G30" s="294">
        <f t="shared" si="0"/>
        <v>190339587.94999999</v>
      </c>
      <c r="H30" s="13">
        <f t="shared" si="1"/>
        <v>4568150110.8000031</v>
      </c>
    </row>
    <row r="31" spans="1:8" x14ac:dyDescent="0.25">
      <c r="A31" s="6">
        <f>A30+90</f>
        <v>45742</v>
      </c>
      <c r="B31" s="11" t="s">
        <v>10</v>
      </c>
      <c r="C31" s="12">
        <f t="shared" si="2"/>
        <v>190339587.94999999</v>
      </c>
      <c r="D31" s="294">
        <f t="shared" si="5"/>
        <v>113632734.00615008</v>
      </c>
      <c r="E31" s="12"/>
      <c r="F31" s="12"/>
      <c r="G31" s="294">
        <f t="shared" si="0"/>
        <v>190339587.94999999</v>
      </c>
      <c r="H31" s="13">
        <f t="shared" si="1"/>
        <v>4377810522.8500032</v>
      </c>
    </row>
    <row r="32" spans="1:8" x14ac:dyDescent="0.25">
      <c r="A32" s="6">
        <f>A31+92</f>
        <v>45834</v>
      </c>
      <c r="B32" s="11" t="s">
        <v>10</v>
      </c>
      <c r="C32" s="12">
        <f t="shared" si="2"/>
        <v>190339587.94999999</v>
      </c>
      <c r="D32" s="294">
        <f t="shared" si="5"/>
        <v>108898036.75589384</v>
      </c>
      <c r="E32" s="12"/>
      <c r="F32" s="12"/>
      <c r="G32" s="294">
        <f t="shared" si="0"/>
        <v>190339587.94999999</v>
      </c>
      <c r="H32" s="13">
        <f t="shared" si="1"/>
        <v>4187470934.9000034</v>
      </c>
    </row>
    <row r="33" spans="1:8" x14ac:dyDescent="0.25">
      <c r="A33" s="6">
        <f>A32+92</f>
        <v>45926</v>
      </c>
      <c r="B33" s="11" t="s">
        <v>10</v>
      </c>
      <c r="C33" s="12">
        <f t="shared" si="2"/>
        <v>190339587.94999999</v>
      </c>
      <c r="D33" s="294">
        <f t="shared" si="5"/>
        <v>104163339.50563759</v>
      </c>
      <c r="E33" s="12"/>
      <c r="F33" s="12"/>
      <c r="G33" s="294">
        <f t="shared" si="0"/>
        <v>190339587.94999999</v>
      </c>
      <c r="H33" s="13">
        <f t="shared" si="1"/>
        <v>3997131346.9500036</v>
      </c>
    </row>
    <row r="34" spans="1:8" x14ac:dyDescent="0.25">
      <c r="A34" s="6">
        <f>A33+91</f>
        <v>46017</v>
      </c>
      <c r="B34" s="11" t="s">
        <v>10</v>
      </c>
      <c r="C34" s="12">
        <f t="shared" si="2"/>
        <v>190339587.94999999</v>
      </c>
      <c r="D34" s="294">
        <f t="shared" si="5"/>
        <v>99428642.255381346</v>
      </c>
      <c r="E34" s="12"/>
      <c r="F34" s="12"/>
      <c r="G34" s="294">
        <f t="shared" si="0"/>
        <v>190339587.94999999</v>
      </c>
      <c r="H34" s="13">
        <f t="shared" si="1"/>
        <v>3806791759.0000038</v>
      </c>
    </row>
    <row r="35" spans="1:8" x14ac:dyDescent="0.25">
      <c r="A35" s="6">
        <f>A34+90</f>
        <v>46107</v>
      </c>
      <c r="B35" s="11" t="s">
        <v>10</v>
      </c>
      <c r="C35" s="12">
        <f t="shared" si="2"/>
        <v>190339587.94999999</v>
      </c>
      <c r="D35" s="294">
        <f t="shared" si="5"/>
        <v>94693945.005125105</v>
      </c>
      <c r="E35" s="12"/>
      <c r="F35" s="12"/>
      <c r="G35" s="294">
        <f t="shared" si="0"/>
        <v>190339587.94999999</v>
      </c>
      <c r="H35" s="13">
        <f t="shared" si="1"/>
        <v>3616452171.050004</v>
      </c>
    </row>
    <row r="36" spans="1:8" x14ac:dyDescent="0.25">
      <c r="A36" s="6">
        <f>A35+92</f>
        <v>46199</v>
      </c>
      <c r="B36" s="11" t="s">
        <v>10</v>
      </c>
      <c r="C36" s="12">
        <f t="shared" si="2"/>
        <v>190339587.94999999</v>
      </c>
      <c r="D36" s="294">
        <f t="shared" si="5"/>
        <v>89959247.75486885</v>
      </c>
      <c r="E36" s="12"/>
      <c r="F36" s="12"/>
      <c r="G36" s="294">
        <f t="shared" si="0"/>
        <v>190339587.94999999</v>
      </c>
      <c r="H36" s="13">
        <f t="shared" si="1"/>
        <v>3426112583.1000042</v>
      </c>
    </row>
    <row r="37" spans="1:8" x14ac:dyDescent="0.25">
      <c r="A37" s="6">
        <f>A36+92</f>
        <v>46291</v>
      </c>
      <c r="B37" s="11" t="s">
        <v>10</v>
      </c>
      <c r="C37" s="12">
        <f t="shared" si="2"/>
        <v>190339587.94999999</v>
      </c>
      <c r="D37" s="294">
        <f t="shared" si="5"/>
        <v>85224550.50461261</v>
      </c>
      <c r="E37" s="12"/>
      <c r="F37" s="12"/>
      <c r="G37" s="294">
        <f t="shared" si="0"/>
        <v>190339587.94999999</v>
      </c>
      <c r="H37" s="13">
        <f t="shared" si="1"/>
        <v>3235772995.1500044</v>
      </c>
    </row>
    <row r="38" spans="1:8" x14ac:dyDescent="0.25">
      <c r="A38" s="6">
        <f>A37+91</f>
        <v>46382</v>
      </c>
      <c r="B38" s="11" t="s">
        <v>10</v>
      </c>
      <c r="C38" s="12">
        <f t="shared" si="2"/>
        <v>190339587.94999999</v>
      </c>
      <c r="D38" s="294">
        <f t="shared" si="5"/>
        <v>80489853.254356369</v>
      </c>
      <c r="E38" s="12"/>
      <c r="F38" s="12"/>
      <c r="G38" s="294">
        <f t="shared" si="0"/>
        <v>190339587.94999999</v>
      </c>
      <c r="H38" s="13">
        <f t="shared" si="1"/>
        <v>3045433407.2000046</v>
      </c>
    </row>
    <row r="39" spans="1:8" x14ac:dyDescent="0.25">
      <c r="A39" s="6">
        <f>A38+90</f>
        <v>46472</v>
      </c>
      <c r="B39" s="11" t="s">
        <v>10</v>
      </c>
      <c r="C39" s="12">
        <f t="shared" si="2"/>
        <v>190339587.94999999</v>
      </c>
      <c r="D39" s="294">
        <f t="shared" si="5"/>
        <v>75755156.004100114</v>
      </c>
      <c r="E39" s="12"/>
      <c r="F39" s="12"/>
      <c r="G39" s="294">
        <f t="shared" si="0"/>
        <v>190339587.94999999</v>
      </c>
      <c r="H39" s="13">
        <f t="shared" si="1"/>
        <v>2855093819.2500048</v>
      </c>
    </row>
    <row r="40" spans="1:8" x14ac:dyDescent="0.25">
      <c r="A40" s="6">
        <f>A39+92</f>
        <v>46564</v>
      </c>
      <c r="B40" s="11" t="s">
        <v>10</v>
      </c>
      <c r="C40" s="12">
        <f t="shared" si="2"/>
        <v>190339587.94999999</v>
      </c>
      <c r="D40" s="294">
        <f t="shared" si="5"/>
        <v>71020458.753843874</v>
      </c>
      <c r="E40" s="12"/>
      <c r="F40" s="12"/>
      <c r="G40" s="294">
        <f t="shared" si="0"/>
        <v>190339587.94999999</v>
      </c>
      <c r="H40" s="13">
        <f t="shared" si="1"/>
        <v>2664754231.300005</v>
      </c>
    </row>
    <row r="41" spans="1:8" x14ac:dyDescent="0.25">
      <c r="A41" s="6">
        <f>A40+92</f>
        <v>46656</v>
      </c>
      <c r="B41" s="11" t="s">
        <v>10</v>
      </c>
      <c r="C41" s="12">
        <f t="shared" si="2"/>
        <v>190339587.94999999</v>
      </c>
      <c r="D41" s="294">
        <f t="shared" si="5"/>
        <v>66285761.503587626</v>
      </c>
      <c r="E41" s="12"/>
      <c r="F41" s="12"/>
      <c r="G41" s="294">
        <f t="shared" si="0"/>
        <v>190339587.94999999</v>
      </c>
      <c r="H41" s="13">
        <f t="shared" si="1"/>
        <v>2474414643.3500051</v>
      </c>
    </row>
    <row r="42" spans="1:8" x14ac:dyDescent="0.25">
      <c r="A42" s="6">
        <f>A41+91</f>
        <v>46747</v>
      </c>
      <c r="B42" s="11" t="s">
        <v>10</v>
      </c>
      <c r="C42" s="12">
        <f t="shared" si="2"/>
        <v>190339587.94999999</v>
      </c>
      <c r="D42" s="294">
        <f t="shared" si="5"/>
        <v>61551064.253331378</v>
      </c>
      <c r="E42" s="12"/>
      <c r="F42" s="12"/>
      <c r="G42" s="294">
        <f t="shared" si="0"/>
        <v>190339587.94999999</v>
      </c>
      <c r="H42" s="13">
        <f t="shared" si="1"/>
        <v>2284075055.4000053</v>
      </c>
    </row>
    <row r="43" spans="1:8" x14ac:dyDescent="0.25">
      <c r="A43" s="6">
        <f>A42+91</f>
        <v>46838</v>
      </c>
      <c r="B43" s="11" t="s">
        <v>10</v>
      </c>
      <c r="C43" s="12">
        <f t="shared" si="2"/>
        <v>190339587.94999999</v>
      </c>
      <c r="D43" s="294">
        <f t="shared" si="5"/>
        <v>56816367.00307513</v>
      </c>
      <c r="E43" s="12"/>
      <c r="F43" s="12"/>
      <c r="G43" s="294">
        <f t="shared" si="0"/>
        <v>190339587.94999999</v>
      </c>
      <c r="H43" s="13">
        <f t="shared" si="1"/>
        <v>2093735467.4500053</v>
      </c>
    </row>
    <row r="44" spans="1:8" x14ac:dyDescent="0.25">
      <c r="A44" s="6">
        <f>A43+92</f>
        <v>46930</v>
      </c>
      <c r="B44" s="11" t="s">
        <v>10</v>
      </c>
      <c r="C44" s="12">
        <f t="shared" si="2"/>
        <v>190339587.94999999</v>
      </c>
      <c r="D44" s="294">
        <f t="shared" si="5"/>
        <v>52081669.752818882</v>
      </c>
      <c r="E44" s="12"/>
      <c r="F44" s="12"/>
      <c r="G44" s="294">
        <f t="shared" si="0"/>
        <v>190339587.94999999</v>
      </c>
      <c r="H44" s="13">
        <f t="shared" si="1"/>
        <v>1903395879.5000052</v>
      </c>
    </row>
    <row r="45" spans="1:8" x14ac:dyDescent="0.25">
      <c r="A45" s="6">
        <f>A44+92</f>
        <v>47022</v>
      </c>
      <c r="B45" s="11" t="s">
        <v>10</v>
      </c>
      <c r="C45" s="12">
        <f t="shared" si="2"/>
        <v>190339587.94999999</v>
      </c>
      <c r="D45" s="294">
        <f t="shared" si="5"/>
        <v>47346972.502562635</v>
      </c>
      <c r="E45" s="12"/>
      <c r="F45" s="12"/>
      <c r="G45" s="294">
        <f t="shared" si="0"/>
        <v>190339587.94999999</v>
      </c>
      <c r="H45" s="13">
        <f t="shared" si="1"/>
        <v>1713056291.5500052</v>
      </c>
    </row>
    <row r="46" spans="1:8" x14ac:dyDescent="0.25">
      <c r="A46" s="6">
        <f>A45+91</f>
        <v>47113</v>
      </c>
      <c r="B46" s="11" t="s">
        <v>10</v>
      </c>
      <c r="C46" s="12">
        <f t="shared" si="2"/>
        <v>190339587.94999999</v>
      </c>
      <c r="D46" s="294">
        <f t="shared" si="5"/>
        <v>42612275.252306379</v>
      </c>
      <c r="E46" s="12"/>
      <c r="F46" s="12"/>
      <c r="G46" s="294">
        <f t="shared" si="0"/>
        <v>190339587.94999999</v>
      </c>
      <c r="H46" s="13">
        <f t="shared" si="1"/>
        <v>1522716703.6000051</v>
      </c>
    </row>
    <row r="47" spans="1:8" x14ac:dyDescent="0.25">
      <c r="A47" s="6">
        <f>A46+90</f>
        <v>47203</v>
      </c>
      <c r="B47" s="11" t="s">
        <v>10</v>
      </c>
      <c r="C47" s="12">
        <f t="shared" si="2"/>
        <v>190339587.94999999</v>
      </c>
      <c r="D47" s="294">
        <f t="shared" si="5"/>
        <v>37877578.002050132</v>
      </c>
      <c r="E47" s="12"/>
      <c r="F47" s="12"/>
      <c r="G47" s="294">
        <f t="shared" si="0"/>
        <v>190339587.94999999</v>
      </c>
      <c r="H47" s="13">
        <f t="shared" si="1"/>
        <v>1332377115.6500051</v>
      </c>
    </row>
    <row r="48" spans="1:8" x14ac:dyDescent="0.25">
      <c r="A48" s="6">
        <f>A47+92</f>
        <v>47295</v>
      </c>
      <c r="B48" s="11" t="s">
        <v>10</v>
      </c>
      <c r="C48" s="12">
        <f t="shared" si="2"/>
        <v>190339587.94999999</v>
      </c>
      <c r="D48" s="294">
        <f t="shared" si="5"/>
        <v>33142880.751793884</v>
      </c>
      <c r="E48" s="12"/>
      <c r="F48" s="12"/>
      <c r="G48" s="294">
        <f t="shared" si="0"/>
        <v>190339587.94999999</v>
      </c>
      <c r="H48" s="13">
        <f t="shared" si="1"/>
        <v>1142037527.7000051</v>
      </c>
    </row>
    <row r="49" spans="1:19" x14ac:dyDescent="0.25">
      <c r="A49" s="6">
        <f>A48+92</f>
        <v>47387</v>
      </c>
      <c r="B49" s="11" t="s">
        <v>10</v>
      </c>
      <c r="C49" s="12">
        <f t="shared" si="2"/>
        <v>190339587.94999999</v>
      </c>
      <c r="D49" s="294">
        <f t="shared" si="5"/>
        <v>28408183.501537628</v>
      </c>
      <c r="E49" s="12"/>
      <c r="F49" s="12"/>
      <c r="G49" s="294">
        <f t="shared" si="0"/>
        <v>190339587.94999999</v>
      </c>
      <c r="H49" s="13">
        <f t="shared" si="1"/>
        <v>951697939.75000501</v>
      </c>
    </row>
    <row r="50" spans="1:19" x14ac:dyDescent="0.25">
      <c r="A50" s="6">
        <f>A49+91</f>
        <v>47478</v>
      </c>
      <c r="B50" s="11" t="s">
        <v>10</v>
      </c>
      <c r="C50" s="12">
        <f t="shared" si="2"/>
        <v>190339587.94999999</v>
      </c>
      <c r="D50" s="294">
        <f t="shared" si="5"/>
        <v>23673486.251281377</v>
      </c>
      <c r="E50" s="12"/>
      <c r="F50" s="12"/>
      <c r="G50" s="294">
        <f t="shared" si="0"/>
        <v>190339587.94999999</v>
      </c>
      <c r="H50" s="13">
        <f t="shared" si="1"/>
        <v>761358351.80000496</v>
      </c>
    </row>
    <row r="51" spans="1:19" x14ac:dyDescent="0.25">
      <c r="A51" s="6">
        <f>A50+90</f>
        <v>47568</v>
      </c>
      <c r="B51" s="11" t="s">
        <v>10</v>
      </c>
      <c r="C51" s="12">
        <f t="shared" si="2"/>
        <v>190339587.94999999</v>
      </c>
      <c r="D51" s="294">
        <f t="shared" si="5"/>
        <v>18938789.001025125</v>
      </c>
      <c r="E51" s="12"/>
      <c r="F51" s="12"/>
      <c r="G51" s="294">
        <f t="shared" si="0"/>
        <v>190339587.94999999</v>
      </c>
      <c r="H51" s="13">
        <f t="shared" si="1"/>
        <v>571018763.85000491</v>
      </c>
    </row>
    <row r="52" spans="1:19" x14ac:dyDescent="0.25">
      <c r="A52" s="6">
        <f>A51+92</f>
        <v>47660</v>
      </c>
      <c r="B52" s="11" t="s">
        <v>10</v>
      </c>
      <c r="C52" s="12">
        <f t="shared" si="2"/>
        <v>190339587.94999999</v>
      </c>
      <c r="D52" s="294">
        <f t="shared" si="5"/>
        <v>14204091.75076887</v>
      </c>
      <c r="E52" s="12"/>
      <c r="F52" s="12"/>
      <c r="G52" s="294">
        <f t="shared" si="0"/>
        <v>190339587.94999999</v>
      </c>
      <c r="H52" s="13">
        <f t="shared" si="1"/>
        <v>380679175.90000492</v>
      </c>
    </row>
    <row r="53" spans="1:19" x14ac:dyDescent="0.25">
      <c r="A53" s="6">
        <f>A52+92</f>
        <v>47752</v>
      </c>
      <c r="B53" s="11" t="s">
        <v>10</v>
      </c>
      <c r="C53" s="12">
        <f t="shared" si="2"/>
        <v>190339587.94999999</v>
      </c>
      <c r="D53" s="294">
        <f t="shared" si="5"/>
        <v>9469394.5005126223</v>
      </c>
      <c r="E53" s="12"/>
      <c r="F53" s="12"/>
      <c r="G53" s="294">
        <f t="shared" si="0"/>
        <v>190339587.94999999</v>
      </c>
      <c r="H53" s="13">
        <f t="shared" si="1"/>
        <v>190339587.95000494</v>
      </c>
    </row>
    <row r="54" spans="1:19" x14ac:dyDescent="0.25">
      <c r="A54" s="6">
        <f>A53+91</f>
        <v>47843</v>
      </c>
      <c r="B54" s="11" t="s">
        <v>10</v>
      </c>
      <c r="C54" s="12">
        <f t="shared" si="2"/>
        <v>190339587.94999999</v>
      </c>
      <c r="D54" s="294">
        <f t="shared" si="5"/>
        <v>4734697.2502563726</v>
      </c>
      <c r="E54" s="12"/>
      <c r="F54" s="12"/>
      <c r="G54" s="294">
        <f t="shared" si="0"/>
        <v>190339587.94999999</v>
      </c>
      <c r="H54" s="14">
        <f t="shared" si="1"/>
        <v>4.9471855163574219E-6</v>
      </c>
    </row>
    <row r="55" spans="1:19" x14ac:dyDescent="0.25">
      <c r="A55" s="15"/>
      <c r="B55" s="16" t="s">
        <v>11</v>
      </c>
      <c r="C55" s="17">
        <f>SUM(C6:C54)</f>
        <v>7613583517.9999952</v>
      </c>
      <c r="D55" s="17">
        <f>SUM(D6:D54)</f>
        <v>5066915967.0641842</v>
      </c>
      <c r="E55" s="17">
        <f>+SUM(E7:E11)+SUM(E14:E54)</f>
        <v>991516981.54914045</v>
      </c>
      <c r="F55" s="17">
        <f>+SUM(F14:F21)</f>
        <v>326782229.49690193</v>
      </c>
      <c r="G55" s="17">
        <f>SUM(G7:G54)</f>
        <v>8931882729.0460377</v>
      </c>
      <c r="H55" s="18"/>
    </row>
    <row r="56" spans="1:19" x14ac:dyDescent="0.25">
      <c r="A56" s="19" t="s">
        <v>42</v>
      </c>
      <c r="B56" s="20"/>
      <c r="C56" s="20"/>
      <c r="D56" s="20"/>
      <c r="E56" s="20"/>
      <c r="F56" s="20"/>
      <c r="G56" s="20"/>
      <c r="H56" s="20"/>
      <c r="I56" s="20"/>
      <c r="J56" s="20"/>
    </row>
    <row r="57" spans="1:19" x14ac:dyDescent="0.25">
      <c r="A57" s="351"/>
      <c r="B57" s="315" t="s">
        <v>3033</v>
      </c>
      <c r="C57" s="315" t="s">
        <v>3034</v>
      </c>
      <c r="D57" s="315" t="s">
        <v>3035</v>
      </c>
      <c r="E57" s="315" t="s">
        <v>3036</v>
      </c>
      <c r="F57" s="315" t="s">
        <v>3037</v>
      </c>
      <c r="G57" s="315" t="s">
        <v>3038</v>
      </c>
      <c r="H57" s="315" t="s">
        <v>3039</v>
      </c>
      <c r="I57" s="315" t="s">
        <v>3040</v>
      </c>
      <c r="J57" s="315" t="s">
        <v>3148</v>
      </c>
      <c r="K57" s="315" t="s">
        <v>3149</v>
      </c>
      <c r="L57" s="315" t="s">
        <v>3150</v>
      </c>
      <c r="M57" s="100"/>
      <c r="N57" s="100"/>
      <c r="O57" s="100"/>
      <c r="P57" s="97"/>
      <c r="Q57" s="97"/>
    </row>
    <row r="58" spans="1:19" ht="25.5" x14ac:dyDescent="0.25">
      <c r="A58" s="39" t="s">
        <v>2781</v>
      </c>
      <c r="B58" s="88">
        <v>4.1480000000000003E-2</v>
      </c>
      <c r="C58" s="88">
        <v>4.1349999999999998E-2</v>
      </c>
      <c r="D58" s="88">
        <v>4.0680000000000001E-2</v>
      </c>
      <c r="E58" s="88">
        <v>4.1270000000000001E-2</v>
      </c>
      <c r="F58" s="88">
        <v>4.1340000000000002E-2</v>
      </c>
      <c r="G58" s="88">
        <v>3.5439999999999999E-2</v>
      </c>
      <c r="H58" s="88">
        <v>2.2679999999999999E-2</v>
      </c>
      <c r="I58" s="33">
        <v>1.78E-2</v>
      </c>
      <c r="J58" s="33">
        <v>0.04</v>
      </c>
      <c r="K58" s="33">
        <v>4.4999999999999998E-2</v>
      </c>
      <c r="L58" s="33">
        <v>0.05</v>
      </c>
      <c r="M58" s="334"/>
      <c r="N58" s="334"/>
      <c r="O58" s="334"/>
      <c r="P58" s="97"/>
      <c r="Q58" s="97"/>
    </row>
    <row r="59" spans="1:19" ht="25.5" x14ac:dyDescent="0.25">
      <c r="A59" s="39" t="s">
        <v>376</v>
      </c>
      <c r="B59" s="33">
        <v>4.9500000000000002E-2</v>
      </c>
      <c r="C59" s="88">
        <v>4.9500000000000002E-2</v>
      </c>
      <c r="D59" s="88">
        <v>4.9500000000000002E-2</v>
      </c>
      <c r="E59" s="88">
        <v>4.9500000000000002E-2</v>
      </c>
      <c r="F59" s="88">
        <v>4.9500000000000002E-2</v>
      </c>
      <c r="G59" s="88">
        <v>4.9500000000000002E-2</v>
      </c>
      <c r="H59" s="88">
        <v>4.9500000000000002E-2</v>
      </c>
      <c r="I59" s="88">
        <v>4.9500000000000002E-2</v>
      </c>
      <c r="J59" s="88">
        <v>4.9500000000000002E-2</v>
      </c>
      <c r="K59" s="88">
        <v>4.9500000000000002E-2</v>
      </c>
      <c r="L59" s="88">
        <v>4.9500000000000002E-2</v>
      </c>
      <c r="M59" s="336"/>
      <c r="N59" s="336"/>
      <c r="O59" s="336"/>
      <c r="P59" s="97"/>
      <c r="Q59" s="97"/>
    </row>
    <row r="60" spans="1:19" x14ac:dyDescent="0.25">
      <c r="A60" s="39" t="s">
        <v>377</v>
      </c>
      <c r="B60" s="67">
        <f>A7-A6</f>
        <v>90</v>
      </c>
      <c r="C60" s="67">
        <v>90</v>
      </c>
      <c r="D60" s="67">
        <v>90</v>
      </c>
      <c r="E60" s="67">
        <v>90</v>
      </c>
      <c r="F60" s="67">
        <v>90</v>
      </c>
      <c r="G60" s="67">
        <v>90</v>
      </c>
      <c r="H60" s="67">
        <v>90</v>
      </c>
      <c r="I60" s="67">
        <v>90</v>
      </c>
      <c r="J60" s="67">
        <v>90</v>
      </c>
      <c r="K60" s="67">
        <v>90</v>
      </c>
      <c r="L60" s="67">
        <v>90</v>
      </c>
      <c r="M60" s="346"/>
      <c r="N60" s="346"/>
      <c r="O60" s="346"/>
      <c r="P60" s="97"/>
      <c r="Q60" s="97"/>
    </row>
    <row r="61" spans="1:19" x14ac:dyDescent="0.25">
      <c r="A61" s="39" t="s">
        <v>3157</v>
      </c>
      <c r="B61" s="142">
        <f>+B58+B59</f>
        <v>9.0980000000000005E-2</v>
      </c>
      <c r="C61" s="142">
        <f t="shared" ref="C61:L61" si="6">+C58+C59</f>
        <v>9.085E-2</v>
      </c>
      <c r="D61" s="142">
        <f t="shared" si="6"/>
        <v>9.018000000000001E-2</v>
      </c>
      <c r="E61" s="142">
        <f t="shared" si="6"/>
        <v>9.0770000000000003E-2</v>
      </c>
      <c r="F61" s="142">
        <f t="shared" si="6"/>
        <v>9.0840000000000004E-2</v>
      </c>
      <c r="G61" s="142">
        <f t="shared" si="6"/>
        <v>8.4940000000000002E-2</v>
      </c>
      <c r="H61" s="142">
        <f t="shared" si="6"/>
        <v>7.2179999999999994E-2</v>
      </c>
      <c r="I61" s="142">
        <f t="shared" si="6"/>
        <v>6.7299999999999999E-2</v>
      </c>
      <c r="J61" s="142">
        <f t="shared" si="6"/>
        <v>8.9499999999999996E-2</v>
      </c>
      <c r="K61" s="142">
        <f t="shared" si="6"/>
        <v>9.4500000000000001E-2</v>
      </c>
      <c r="L61" s="142">
        <f t="shared" si="6"/>
        <v>9.9500000000000005E-2</v>
      </c>
      <c r="M61" s="346"/>
      <c r="N61" s="346"/>
      <c r="O61" s="346"/>
      <c r="P61" s="97"/>
      <c r="Q61" s="97"/>
    </row>
    <row r="62" spans="1:19" s="348" customFormat="1" ht="38.25" x14ac:dyDescent="0.25">
      <c r="A62" s="39" t="s">
        <v>373</v>
      </c>
      <c r="B62" s="347">
        <f t="shared" ref="B62:I62" si="7">EFFECT(B58+B59,4)</f>
        <v>9.4131344926102756E-2</v>
      </c>
      <c r="C62" s="388">
        <f t="shared" si="7"/>
        <v>9.3992277714691541E-2</v>
      </c>
      <c r="D62" s="388">
        <f t="shared" si="7"/>
        <v>9.3275756917648778E-2</v>
      </c>
      <c r="E62" s="388">
        <f t="shared" si="7"/>
        <v>9.3906704481766301E-2</v>
      </c>
      <c r="F62" s="388">
        <f t="shared" si="7"/>
        <v>9.3981580786020924E-2</v>
      </c>
      <c r="G62" s="388">
        <f t="shared" si="7"/>
        <v>8.7684056272169686E-2</v>
      </c>
      <c r="H62" s="388">
        <f t="shared" si="7"/>
        <v>7.4157341577468117E-2</v>
      </c>
      <c r="I62" s="388">
        <f t="shared" si="7"/>
        <v>6.9017615210703154E-2</v>
      </c>
      <c r="J62" s="388">
        <f t="shared" ref="J62:L62" si="8">EFFECT(J58+J59,4)</f>
        <v>9.2548901726973165E-2</v>
      </c>
      <c r="K62" s="388">
        <f t="shared" si="8"/>
        <v>9.7901899560019601E-2</v>
      </c>
      <c r="L62" s="388">
        <f t="shared" si="8"/>
        <v>0.1032745438005862</v>
      </c>
      <c r="M62" s="349"/>
      <c r="N62" s="349"/>
      <c r="O62" s="349"/>
      <c r="P62" s="350"/>
      <c r="Q62" s="350"/>
    </row>
    <row r="63" spans="1:19" x14ac:dyDescent="0.25">
      <c r="A63" s="43" t="s">
        <v>39</v>
      </c>
      <c r="B63" s="44">
        <f>+E7</f>
        <v>173170957.11691013</v>
      </c>
      <c r="C63" s="44">
        <f>+E8</f>
        <v>172923515.65257433</v>
      </c>
      <c r="D63" s="44">
        <f>+E9</f>
        <v>171648240.41331029</v>
      </c>
      <c r="E63" s="44">
        <f>+E10</f>
        <v>172771243.98221505</v>
      </c>
      <c r="F63" s="44">
        <f>+E11</f>
        <v>172904481.69378006</v>
      </c>
      <c r="G63" s="44">
        <f>+E12</f>
        <v>161674446.00472918</v>
      </c>
      <c r="H63" s="44">
        <f>+E13</f>
        <v>137387114.58231068</v>
      </c>
      <c r="I63" s="44">
        <f>+E14</f>
        <v>128098542.69035068</v>
      </c>
      <c r="J63" s="44"/>
      <c r="K63" s="44"/>
      <c r="L63" s="44"/>
      <c r="M63" s="101"/>
      <c r="N63" s="101"/>
      <c r="O63" s="101"/>
      <c r="P63" s="98"/>
      <c r="Q63" s="99"/>
    </row>
    <row r="64" spans="1:19" x14ac:dyDescent="0.25">
      <c r="J64" s="463"/>
      <c r="L64" s="97"/>
      <c r="M64" s="97"/>
      <c r="N64" s="97"/>
      <c r="O64" s="97"/>
      <c r="P64" s="97"/>
      <c r="Q64" s="97"/>
      <c r="S64" s="45">
        <f>SUM(B64:R64)</f>
        <v>0</v>
      </c>
    </row>
    <row r="67" spans="2:19" x14ac:dyDescent="0.25">
      <c r="S67" s="45">
        <f>SUM(B67:R67)</f>
        <v>0</v>
      </c>
    </row>
    <row r="70" spans="2:19" x14ac:dyDescent="0.25">
      <c r="B70" s="50" t="s">
        <v>42</v>
      </c>
      <c r="C70" s="50" t="s">
        <v>42</v>
      </c>
    </row>
  </sheetData>
  <mergeCells count="4">
    <mergeCell ref="A1:H1"/>
    <mergeCell ref="A2:H2"/>
    <mergeCell ref="A3:H3"/>
    <mergeCell ref="A4:H4"/>
  </mergeCells>
  <phoneticPr fontId="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sheetPr>
  <dimension ref="A1:P71"/>
  <sheetViews>
    <sheetView workbookViewId="0">
      <selection activeCell="H5" sqref="H5"/>
    </sheetView>
  </sheetViews>
  <sheetFormatPr baseColWidth="10" defaultColWidth="11.5703125" defaultRowHeight="15" x14ac:dyDescent="0.25"/>
  <cols>
    <col min="1" max="1" width="14.28515625" customWidth="1"/>
    <col min="2" max="2" width="18.5703125" bestFit="1" customWidth="1"/>
    <col min="3" max="3" width="15.28515625" customWidth="1"/>
    <col min="4" max="4" width="18.140625" customWidth="1"/>
    <col min="5" max="5" width="15.85546875" customWidth="1"/>
    <col min="6" max="6" width="14.5703125" customWidth="1"/>
    <col min="7" max="7" width="15.85546875" customWidth="1"/>
    <col min="8" max="8" width="15.28515625" bestFit="1" customWidth="1"/>
    <col min="9" max="9" width="14.140625" bestFit="1" customWidth="1"/>
    <col min="10" max="10" width="19.28515625" bestFit="1" customWidth="1"/>
    <col min="11" max="11" width="25.5703125" bestFit="1" customWidth="1"/>
    <col min="12" max="12" width="19.28515625" bestFit="1" customWidth="1"/>
    <col min="13" max="13" width="20.28515625" bestFit="1" customWidth="1"/>
    <col min="14" max="14" width="18.28515625" bestFit="1" customWidth="1"/>
    <col min="15" max="15" width="19.28515625" bestFit="1" customWidth="1"/>
  </cols>
  <sheetData>
    <row r="1" spans="1:15" ht="15.75" x14ac:dyDescent="0.25">
      <c r="A1" s="517" t="s">
        <v>2</v>
      </c>
      <c r="B1" s="518"/>
      <c r="C1" s="518"/>
      <c r="D1" s="518"/>
      <c r="E1" s="518"/>
      <c r="F1" s="518"/>
      <c r="G1" s="518"/>
      <c r="H1" s="519"/>
    </row>
    <row r="2" spans="1:15" ht="15.75" x14ac:dyDescent="0.25">
      <c r="A2" s="520" t="s">
        <v>3</v>
      </c>
      <c r="B2" s="521"/>
      <c r="C2" s="521"/>
      <c r="D2" s="521"/>
      <c r="E2" s="521"/>
      <c r="F2" s="521"/>
      <c r="G2" s="521"/>
      <c r="H2" s="522"/>
    </row>
    <row r="3" spans="1:15" ht="16.5" thickBot="1" x14ac:dyDescent="0.3">
      <c r="A3" s="523" t="s">
        <v>395</v>
      </c>
      <c r="B3" s="524"/>
      <c r="C3" s="524"/>
      <c r="D3" s="524"/>
      <c r="E3" s="524"/>
      <c r="F3" s="524"/>
      <c r="G3" s="524"/>
      <c r="H3" s="525"/>
    </row>
    <row r="4" spans="1:15" ht="75.75" thickBot="1" x14ac:dyDescent="0.3">
      <c r="A4" s="1" t="s">
        <v>5</v>
      </c>
      <c r="B4" s="2" t="s">
        <v>6</v>
      </c>
      <c r="C4" s="3" t="s">
        <v>7</v>
      </c>
      <c r="D4" s="3" t="s">
        <v>40</v>
      </c>
      <c r="E4" s="4" t="s">
        <v>383</v>
      </c>
      <c r="F4" s="3" t="s">
        <v>41</v>
      </c>
      <c r="G4" s="4" t="s">
        <v>384</v>
      </c>
      <c r="H4" s="5" t="s">
        <v>8</v>
      </c>
      <c r="I4" s="51"/>
    </row>
    <row r="5" spans="1:15" x14ac:dyDescent="0.25">
      <c r="A5" s="6">
        <v>43185</v>
      </c>
      <c r="B5" s="7" t="s">
        <v>359</v>
      </c>
      <c r="C5" s="8">
        <v>0</v>
      </c>
      <c r="D5" s="8">
        <v>0</v>
      </c>
      <c r="E5" s="8"/>
      <c r="F5" s="8"/>
      <c r="G5" s="8">
        <f>+C5+D5</f>
        <v>0</v>
      </c>
      <c r="H5" s="9">
        <v>40000000000</v>
      </c>
      <c r="I5" s="54"/>
    </row>
    <row r="6" spans="1:15" x14ac:dyDescent="0.25">
      <c r="A6" s="10">
        <f>A5+92</f>
        <v>43277</v>
      </c>
      <c r="B6" s="11" t="s">
        <v>9</v>
      </c>
      <c r="C6" s="12">
        <v>0</v>
      </c>
      <c r="D6" s="12">
        <f>H5*((1+$B$68)^(B$67/360)-1)</f>
        <v>960858017.53051043</v>
      </c>
      <c r="E6" s="18">
        <f>D6+C6</f>
        <v>960858017.53051043</v>
      </c>
      <c r="F6" s="12">
        <v>0</v>
      </c>
      <c r="G6" s="12">
        <f>+C6+F6</f>
        <v>0</v>
      </c>
      <c r="H6" s="13">
        <f t="shared" ref="H6:H53" si="0">+H5-C6</f>
        <v>40000000000</v>
      </c>
      <c r="I6" s="12"/>
      <c r="K6" s="75"/>
      <c r="L6" s="77"/>
    </row>
    <row r="7" spans="1:15" x14ac:dyDescent="0.25">
      <c r="A7" s="10">
        <f>A6+92</f>
        <v>43369</v>
      </c>
      <c r="B7" s="11" t="s">
        <v>9</v>
      </c>
      <c r="C7" s="12">
        <v>0</v>
      </c>
      <c r="D7" s="12">
        <f t="shared" ref="D7:D53" si="1">H6*((1+$C$68)^(C$67/360)-1)</f>
        <v>971088654.96843505</v>
      </c>
      <c r="E7" s="18">
        <f t="shared" ref="E7:E53" si="2">D7+C7</f>
        <v>971088654.96843505</v>
      </c>
      <c r="F7" s="12">
        <v>0</v>
      </c>
      <c r="G7" s="12">
        <f t="shared" ref="G7:G53" si="3">+C7+F7</f>
        <v>0</v>
      </c>
      <c r="H7" s="13">
        <f t="shared" si="0"/>
        <v>40000000000</v>
      </c>
      <c r="I7" s="12"/>
    </row>
    <row r="8" spans="1:15" x14ac:dyDescent="0.25">
      <c r="A8" s="10">
        <f>A7+91</f>
        <v>43460</v>
      </c>
      <c r="B8" s="11" t="s">
        <v>9</v>
      </c>
      <c r="C8" s="12">
        <v>0</v>
      </c>
      <c r="D8" s="12">
        <f t="shared" si="1"/>
        <v>971088654.96843505</v>
      </c>
      <c r="E8" s="18">
        <f t="shared" si="2"/>
        <v>971088654.96843505</v>
      </c>
      <c r="F8" s="12">
        <v>0</v>
      </c>
      <c r="G8" s="12">
        <f t="shared" si="3"/>
        <v>0</v>
      </c>
      <c r="H8" s="13">
        <f t="shared" si="0"/>
        <v>40000000000</v>
      </c>
      <c r="I8" s="12"/>
    </row>
    <row r="9" spans="1:15" x14ac:dyDescent="0.25">
      <c r="A9" s="10">
        <f>A8+90</f>
        <v>43550</v>
      </c>
      <c r="B9" s="11" t="s">
        <v>9</v>
      </c>
      <c r="C9" s="12">
        <v>0</v>
      </c>
      <c r="D9" s="12">
        <f t="shared" si="1"/>
        <v>971088654.96843505</v>
      </c>
      <c r="E9" s="12">
        <f t="shared" si="2"/>
        <v>971088654.96843505</v>
      </c>
      <c r="F9" s="12">
        <v>0</v>
      </c>
      <c r="G9" s="12">
        <f t="shared" si="3"/>
        <v>0</v>
      </c>
      <c r="H9" s="13">
        <f t="shared" si="0"/>
        <v>40000000000</v>
      </c>
    </row>
    <row r="10" spans="1:15" x14ac:dyDescent="0.25">
      <c r="A10" s="10">
        <f>A9+92</f>
        <v>43642</v>
      </c>
      <c r="B10" s="11" t="s">
        <v>9</v>
      </c>
      <c r="C10" s="12">
        <v>0</v>
      </c>
      <c r="D10" s="12">
        <f t="shared" si="1"/>
        <v>971088654.96843505</v>
      </c>
      <c r="E10" s="12">
        <f t="shared" si="2"/>
        <v>971088654.96843505</v>
      </c>
      <c r="F10" s="12">
        <v>0</v>
      </c>
      <c r="G10" s="12">
        <f t="shared" si="3"/>
        <v>0</v>
      </c>
      <c r="H10" s="13">
        <f t="shared" si="0"/>
        <v>40000000000</v>
      </c>
      <c r="I10" s="54"/>
    </row>
    <row r="11" spans="1:15" x14ac:dyDescent="0.25">
      <c r="A11" s="10">
        <f>A10+92</f>
        <v>43734</v>
      </c>
      <c r="B11" s="11" t="s">
        <v>9</v>
      </c>
      <c r="C11" s="12">
        <v>0</v>
      </c>
      <c r="D11" s="12">
        <f t="shared" si="1"/>
        <v>971088654.96843505</v>
      </c>
      <c r="E11" s="12">
        <f t="shared" si="2"/>
        <v>971088654.96843505</v>
      </c>
      <c r="F11" s="12">
        <v>0</v>
      </c>
      <c r="G11" s="12">
        <f t="shared" si="3"/>
        <v>0</v>
      </c>
      <c r="H11" s="13">
        <f t="shared" si="0"/>
        <v>40000000000</v>
      </c>
    </row>
    <row r="12" spans="1:15" x14ac:dyDescent="0.25">
      <c r="A12" s="10">
        <f>A11+91</f>
        <v>43825</v>
      </c>
      <c r="B12" s="11" t="s">
        <v>9</v>
      </c>
      <c r="C12" s="12">
        <v>0</v>
      </c>
      <c r="D12" s="12">
        <f t="shared" si="1"/>
        <v>971088654.96843505</v>
      </c>
      <c r="E12" s="12">
        <f t="shared" si="2"/>
        <v>971088654.96843505</v>
      </c>
      <c r="F12" s="12">
        <v>0</v>
      </c>
      <c r="G12" s="12">
        <f t="shared" si="3"/>
        <v>0</v>
      </c>
      <c r="H12" s="13">
        <f t="shared" si="0"/>
        <v>40000000000</v>
      </c>
    </row>
    <row r="13" spans="1:15" x14ac:dyDescent="0.25">
      <c r="A13" s="10">
        <f>A12+91</f>
        <v>43916</v>
      </c>
      <c r="B13" s="11" t="s">
        <v>9</v>
      </c>
      <c r="C13" s="12">
        <v>0</v>
      </c>
      <c r="D13" s="12">
        <f t="shared" si="1"/>
        <v>971088654.96843505</v>
      </c>
      <c r="E13" s="12">
        <f t="shared" si="2"/>
        <v>971088654.96843505</v>
      </c>
      <c r="F13" s="12">
        <v>0</v>
      </c>
      <c r="G13" s="12">
        <f t="shared" si="3"/>
        <v>0</v>
      </c>
      <c r="H13" s="13">
        <f t="shared" si="0"/>
        <v>40000000000</v>
      </c>
      <c r="N13" s="54"/>
      <c r="O13" s="54"/>
    </row>
    <row r="14" spans="1:15" x14ac:dyDescent="0.25">
      <c r="A14" s="10">
        <f>A13+92</f>
        <v>44008</v>
      </c>
      <c r="B14" s="11" t="s">
        <v>10</v>
      </c>
      <c r="C14" s="12">
        <f>+$H$5/40</f>
        <v>1000000000</v>
      </c>
      <c r="D14" s="12">
        <f t="shared" si="1"/>
        <v>971088654.96843505</v>
      </c>
      <c r="E14" s="12">
        <f t="shared" si="2"/>
        <v>1971088654.968435</v>
      </c>
      <c r="F14" s="12"/>
      <c r="G14" s="12">
        <f t="shared" si="3"/>
        <v>1000000000</v>
      </c>
      <c r="H14" s="13">
        <f t="shared" si="0"/>
        <v>39000000000</v>
      </c>
      <c r="K14" s="76"/>
      <c r="L14" s="76"/>
      <c r="M14" s="84"/>
    </row>
    <row r="15" spans="1:15" x14ac:dyDescent="0.25">
      <c r="A15" s="10">
        <f>A14+92</f>
        <v>44100</v>
      </c>
      <c r="B15" s="11" t="s">
        <v>10</v>
      </c>
      <c r="C15" s="12">
        <f t="shared" ref="C15:C53" si="4">+$H$5/40</f>
        <v>1000000000</v>
      </c>
      <c r="D15" s="12">
        <f t="shared" si="1"/>
        <v>946811438.5942241</v>
      </c>
      <c r="E15" s="12">
        <f t="shared" si="2"/>
        <v>1946811438.594224</v>
      </c>
      <c r="F15" s="12"/>
      <c r="G15" s="12">
        <f t="shared" si="3"/>
        <v>1000000000</v>
      </c>
      <c r="H15" s="13">
        <f t="shared" si="0"/>
        <v>38000000000</v>
      </c>
      <c r="K15" s="76"/>
      <c r="L15" s="76"/>
      <c r="M15" s="84"/>
    </row>
    <row r="16" spans="1:15" x14ac:dyDescent="0.25">
      <c r="A16" s="10">
        <f>A15+91</f>
        <v>44191</v>
      </c>
      <c r="B16" s="11" t="s">
        <v>10</v>
      </c>
      <c r="C16" s="12">
        <f t="shared" si="4"/>
        <v>1000000000</v>
      </c>
      <c r="D16" s="12">
        <f t="shared" si="1"/>
        <v>922534222.22001326</v>
      </c>
      <c r="E16" s="12">
        <f t="shared" si="2"/>
        <v>1922534222.2200131</v>
      </c>
      <c r="F16" s="12"/>
      <c r="G16" s="12">
        <f t="shared" si="3"/>
        <v>1000000000</v>
      </c>
      <c r="H16" s="13">
        <f t="shared" si="0"/>
        <v>37000000000</v>
      </c>
    </row>
    <row r="17" spans="1:15" x14ac:dyDescent="0.25">
      <c r="A17" s="10">
        <f>A16+90</f>
        <v>44281</v>
      </c>
      <c r="B17" s="11" t="s">
        <v>10</v>
      </c>
      <c r="C17" s="12">
        <f t="shared" si="4"/>
        <v>1000000000</v>
      </c>
      <c r="D17" s="12">
        <f t="shared" si="1"/>
        <v>898257005.84580243</v>
      </c>
      <c r="E17" s="12">
        <f t="shared" si="2"/>
        <v>1898257005.8458023</v>
      </c>
      <c r="F17" s="12"/>
      <c r="G17" s="12">
        <f t="shared" si="3"/>
        <v>1000000000</v>
      </c>
      <c r="H17" s="13">
        <f t="shared" si="0"/>
        <v>36000000000</v>
      </c>
      <c r="K17" s="54"/>
      <c r="L17" s="76"/>
      <c r="M17" s="84"/>
      <c r="N17" s="84"/>
      <c r="O17" s="84"/>
    </row>
    <row r="18" spans="1:15" x14ac:dyDescent="0.25">
      <c r="A18" s="10">
        <f>A17+92</f>
        <v>44373</v>
      </c>
      <c r="B18" s="11" t="s">
        <v>10</v>
      </c>
      <c r="C18" s="12">
        <f t="shared" si="4"/>
        <v>1000000000</v>
      </c>
      <c r="D18" s="12">
        <f t="shared" si="1"/>
        <v>873979789.47159147</v>
      </c>
      <c r="E18" s="12">
        <f t="shared" si="2"/>
        <v>1873979789.4715915</v>
      </c>
      <c r="F18" s="12"/>
      <c r="G18" s="12">
        <f t="shared" si="3"/>
        <v>1000000000</v>
      </c>
      <c r="H18" s="13">
        <f t="shared" si="0"/>
        <v>35000000000</v>
      </c>
      <c r="M18" s="76"/>
      <c r="N18" s="76"/>
      <c r="O18" s="84"/>
    </row>
    <row r="19" spans="1:15" x14ac:dyDescent="0.25">
      <c r="A19" s="10">
        <f>A18+92</f>
        <v>44465</v>
      </c>
      <c r="B19" s="11" t="s">
        <v>10</v>
      </c>
      <c r="C19" s="12">
        <f t="shared" si="4"/>
        <v>1000000000</v>
      </c>
      <c r="D19" s="12">
        <f t="shared" si="1"/>
        <v>849702573.09738064</v>
      </c>
      <c r="E19" s="12">
        <f t="shared" si="2"/>
        <v>1849702573.0973806</v>
      </c>
      <c r="F19" s="12"/>
      <c r="G19" s="12">
        <f t="shared" si="3"/>
        <v>1000000000</v>
      </c>
      <c r="H19" s="13">
        <f t="shared" si="0"/>
        <v>34000000000</v>
      </c>
    </row>
    <row r="20" spans="1:15" x14ac:dyDescent="0.25">
      <c r="A20" s="10">
        <f>A19+91</f>
        <v>44556</v>
      </c>
      <c r="B20" s="11" t="s">
        <v>10</v>
      </c>
      <c r="C20" s="12">
        <f t="shared" si="4"/>
        <v>1000000000</v>
      </c>
      <c r="D20" s="12">
        <f t="shared" si="1"/>
        <v>825425356.7231698</v>
      </c>
      <c r="E20" s="12">
        <f t="shared" si="2"/>
        <v>1825425356.7231698</v>
      </c>
      <c r="F20" s="12"/>
      <c r="G20" s="12">
        <f t="shared" si="3"/>
        <v>1000000000</v>
      </c>
      <c r="H20" s="13">
        <f t="shared" si="0"/>
        <v>33000000000</v>
      </c>
    </row>
    <row r="21" spans="1:15" x14ac:dyDescent="0.25">
      <c r="A21" s="10">
        <f>A20+90</f>
        <v>44646</v>
      </c>
      <c r="B21" s="11" t="s">
        <v>10</v>
      </c>
      <c r="C21" s="12">
        <f t="shared" si="4"/>
        <v>1000000000</v>
      </c>
      <c r="D21" s="12">
        <f t="shared" si="1"/>
        <v>801148140.34895885</v>
      </c>
      <c r="E21" s="12">
        <f t="shared" si="2"/>
        <v>1801148140.348959</v>
      </c>
      <c r="F21" s="12"/>
      <c r="G21" s="12">
        <f t="shared" si="3"/>
        <v>1000000000</v>
      </c>
      <c r="H21" s="13">
        <f t="shared" si="0"/>
        <v>32000000000</v>
      </c>
    </row>
    <row r="22" spans="1:15" x14ac:dyDescent="0.25">
      <c r="A22" s="10">
        <f>A21+92</f>
        <v>44738</v>
      </c>
      <c r="B22" s="11" t="s">
        <v>10</v>
      </c>
      <c r="C22" s="12">
        <f t="shared" si="4"/>
        <v>1000000000</v>
      </c>
      <c r="D22" s="12">
        <f t="shared" si="1"/>
        <v>776870923.97474802</v>
      </c>
      <c r="E22" s="12">
        <f t="shared" si="2"/>
        <v>1776870923.9747481</v>
      </c>
      <c r="F22" s="12"/>
      <c r="G22" s="12">
        <f t="shared" si="3"/>
        <v>1000000000</v>
      </c>
      <c r="H22" s="13">
        <f t="shared" si="0"/>
        <v>31000000000</v>
      </c>
    </row>
    <row r="23" spans="1:15" x14ac:dyDescent="0.25">
      <c r="A23" s="10">
        <f>A22+92</f>
        <v>44830</v>
      </c>
      <c r="B23" s="11" t="s">
        <v>10</v>
      </c>
      <c r="C23" s="12">
        <f t="shared" si="4"/>
        <v>1000000000</v>
      </c>
      <c r="D23" s="12">
        <f t="shared" si="1"/>
        <v>752593707.60053706</v>
      </c>
      <c r="E23" s="12">
        <f t="shared" si="2"/>
        <v>1752593707.6005371</v>
      </c>
      <c r="F23" s="12"/>
      <c r="G23" s="12">
        <f t="shared" si="3"/>
        <v>1000000000</v>
      </c>
      <c r="H23" s="13">
        <f t="shared" si="0"/>
        <v>30000000000</v>
      </c>
    </row>
    <row r="24" spans="1:15" x14ac:dyDescent="0.25">
      <c r="A24" s="10">
        <f>A23+91</f>
        <v>44921</v>
      </c>
      <c r="B24" s="11" t="s">
        <v>10</v>
      </c>
      <c r="C24" s="12">
        <f t="shared" si="4"/>
        <v>1000000000</v>
      </c>
      <c r="D24" s="12">
        <f t="shared" si="1"/>
        <v>728316491.22632623</v>
      </c>
      <c r="E24" s="12">
        <f t="shared" si="2"/>
        <v>1728316491.2263262</v>
      </c>
      <c r="F24" s="12"/>
      <c r="G24" s="12">
        <f t="shared" si="3"/>
        <v>1000000000</v>
      </c>
      <c r="H24" s="13">
        <f t="shared" si="0"/>
        <v>29000000000</v>
      </c>
    </row>
    <row r="25" spans="1:15" x14ac:dyDescent="0.25">
      <c r="A25" s="10">
        <f>A24+90</f>
        <v>45011</v>
      </c>
      <c r="B25" s="11" t="s">
        <v>10</v>
      </c>
      <c r="C25" s="12">
        <f t="shared" si="4"/>
        <v>1000000000</v>
      </c>
      <c r="D25" s="12">
        <f t="shared" si="1"/>
        <v>704039274.85211539</v>
      </c>
      <c r="E25" s="12">
        <f t="shared" si="2"/>
        <v>1704039274.8521154</v>
      </c>
      <c r="F25" s="12"/>
      <c r="G25" s="12">
        <f t="shared" si="3"/>
        <v>1000000000</v>
      </c>
      <c r="H25" s="13">
        <f t="shared" si="0"/>
        <v>28000000000</v>
      </c>
    </row>
    <row r="26" spans="1:15" x14ac:dyDescent="0.25">
      <c r="A26" s="10">
        <f>A25+92</f>
        <v>45103</v>
      </c>
      <c r="B26" s="11" t="s">
        <v>10</v>
      </c>
      <c r="C26" s="12">
        <f t="shared" si="4"/>
        <v>1000000000</v>
      </c>
      <c r="D26" s="12">
        <f t="shared" si="1"/>
        <v>679762058.47790444</v>
      </c>
      <c r="E26" s="12">
        <f t="shared" si="2"/>
        <v>1679762058.4779043</v>
      </c>
      <c r="F26" s="12"/>
      <c r="G26" s="12">
        <f t="shared" si="3"/>
        <v>1000000000</v>
      </c>
      <c r="H26" s="13">
        <f t="shared" si="0"/>
        <v>27000000000</v>
      </c>
    </row>
    <row r="27" spans="1:15" x14ac:dyDescent="0.25">
      <c r="A27" s="10">
        <f>A26+92</f>
        <v>45195</v>
      </c>
      <c r="B27" s="11" t="s">
        <v>10</v>
      </c>
      <c r="C27" s="12">
        <f t="shared" si="4"/>
        <v>1000000000</v>
      </c>
      <c r="D27" s="12">
        <f t="shared" si="1"/>
        <v>655484842.1036936</v>
      </c>
      <c r="E27" s="12">
        <f t="shared" si="2"/>
        <v>1655484842.1036935</v>
      </c>
      <c r="F27" s="12"/>
      <c r="G27" s="12">
        <f t="shared" si="3"/>
        <v>1000000000</v>
      </c>
      <c r="H27" s="13">
        <f t="shared" si="0"/>
        <v>26000000000</v>
      </c>
    </row>
    <row r="28" spans="1:15" x14ac:dyDescent="0.25">
      <c r="A28" s="10">
        <f>A27+91</f>
        <v>45286</v>
      </c>
      <c r="B28" s="11" t="s">
        <v>10</v>
      </c>
      <c r="C28" s="12">
        <f t="shared" si="4"/>
        <v>1000000000</v>
      </c>
      <c r="D28" s="12">
        <f t="shared" si="1"/>
        <v>631207625.72948277</v>
      </c>
      <c r="E28" s="12">
        <f t="shared" si="2"/>
        <v>1631207625.7294827</v>
      </c>
      <c r="F28" s="12"/>
      <c r="G28" s="12">
        <f t="shared" si="3"/>
        <v>1000000000</v>
      </c>
      <c r="H28" s="13">
        <f t="shared" si="0"/>
        <v>25000000000</v>
      </c>
    </row>
    <row r="29" spans="1:15" x14ac:dyDescent="0.25">
      <c r="A29" s="10">
        <f>A28+91</f>
        <v>45377</v>
      </c>
      <c r="B29" s="11" t="s">
        <v>10</v>
      </c>
      <c r="C29" s="12">
        <f t="shared" si="4"/>
        <v>1000000000</v>
      </c>
      <c r="D29" s="12">
        <f t="shared" si="1"/>
        <v>606930409.35527182</v>
      </c>
      <c r="E29" s="12">
        <f t="shared" si="2"/>
        <v>1606930409.3552718</v>
      </c>
      <c r="F29" s="12"/>
      <c r="G29" s="12">
        <f t="shared" si="3"/>
        <v>1000000000</v>
      </c>
      <c r="H29" s="13">
        <f t="shared" si="0"/>
        <v>24000000000</v>
      </c>
    </row>
    <row r="30" spans="1:15" x14ac:dyDescent="0.25">
      <c r="A30" s="10">
        <f>A29+92</f>
        <v>45469</v>
      </c>
      <c r="B30" s="11" t="s">
        <v>10</v>
      </c>
      <c r="C30" s="12">
        <f t="shared" si="4"/>
        <v>1000000000</v>
      </c>
      <c r="D30" s="12">
        <f t="shared" si="1"/>
        <v>582653192.98106098</v>
      </c>
      <c r="E30" s="12">
        <f t="shared" si="2"/>
        <v>1582653192.981061</v>
      </c>
      <c r="F30" s="12"/>
      <c r="G30" s="12">
        <f t="shared" si="3"/>
        <v>1000000000</v>
      </c>
      <c r="H30" s="13">
        <f t="shared" si="0"/>
        <v>23000000000</v>
      </c>
    </row>
    <row r="31" spans="1:15" x14ac:dyDescent="0.25">
      <c r="A31" s="10">
        <f>A30+92</f>
        <v>45561</v>
      </c>
      <c r="B31" s="11" t="s">
        <v>10</v>
      </c>
      <c r="C31" s="12">
        <f t="shared" si="4"/>
        <v>1000000000</v>
      </c>
      <c r="D31" s="12">
        <f t="shared" si="1"/>
        <v>558375976.60685015</v>
      </c>
      <c r="E31" s="12">
        <f t="shared" si="2"/>
        <v>1558375976.6068501</v>
      </c>
      <c r="F31" s="12"/>
      <c r="G31" s="12">
        <f t="shared" si="3"/>
        <v>1000000000</v>
      </c>
      <c r="H31" s="13">
        <f t="shared" si="0"/>
        <v>22000000000</v>
      </c>
    </row>
    <row r="32" spans="1:15" x14ac:dyDescent="0.25">
      <c r="A32" s="10">
        <f>A31+91</f>
        <v>45652</v>
      </c>
      <c r="B32" s="11" t="s">
        <v>10</v>
      </c>
      <c r="C32" s="12">
        <f t="shared" si="4"/>
        <v>1000000000</v>
      </c>
      <c r="D32" s="12">
        <f t="shared" si="1"/>
        <v>534098760.23263925</v>
      </c>
      <c r="E32" s="12">
        <f t="shared" si="2"/>
        <v>1534098760.2326393</v>
      </c>
      <c r="F32" s="12"/>
      <c r="G32" s="12">
        <f t="shared" si="3"/>
        <v>1000000000</v>
      </c>
      <c r="H32" s="13">
        <f t="shared" si="0"/>
        <v>21000000000</v>
      </c>
    </row>
    <row r="33" spans="1:8" x14ac:dyDescent="0.25">
      <c r="A33" s="10">
        <f>A32+90</f>
        <v>45742</v>
      </c>
      <c r="B33" s="11" t="s">
        <v>10</v>
      </c>
      <c r="C33" s="12">
        <f t="shared" si="4"/>
        <v>1000000000</v>
      </c>
      <c r="D33" s="12">
        <f t="shared" si="1"/>
        <v>509821543.85842836</v>
      </c>
      <c r="E33" s="12">
        <f t="shared" si="2"/>
        <v>1509821543.8584285</v>
      </c>
      <c r="F33" s="12"/>
      <c r="G33" s="12">
        <f t="shared" si="3"/>
        <v>1000000000</v>
      </c>
      <c r="H33" s="13">
        <f t="shared" si="0"/>
        <v>20000000000</v>
      </c>
    </row>
    <row r="34" spans="1:8" x14ac:dyDescent="0.25">
      <c r="A34" s="10">
        <f>A33+92</f>
        <v>45834</v>
      </c>
      <c r="B34" s="11" t="s">
        <v>10</v>
      </c>
      <c r="C34" s="12">
        <f t="shared" si="4"/>
        <v>1000000000</v>
      </c>
      <c r="D34" s="12">
        <f t="shared" si="1"/>
        <v>485544327.48421752</v>
      </c>
      <c r="E34" s="12">
        <f t="shared" si="2"/>
        <v>1485544327.4842176</v>
      </c>
      <c r="F34" s="12"/>
      <c r="G34" s="12">
        <f t="shared" si="3"/>
        <v>1000000000</v>
      </c>
      <c r="H34" s="13">
        <f t="shared" si="0"/>
        <v>19000000000</v>
      </c>
    </row>
    <row r="35" spans="1:8" x14ac:dyDescent="0.25">
      <c r="A35" s="10">
        <f>A34+92</f>
        <v>45926</v>
      </c>
      <c r="B35" s="11" t="s">
        <v>10</v>
      </c>
      <c r="C35" s="12">
        <f t="shared" si="4"/>
        <v>1000000000</v>
      </c>
      <c r="D35" s="12">
        <f t="shared" si="1"/>
        <v>461267111.11000663</v>
      </c>
      <c r="E35" s="12">
        <f t="shared" si="2"/>
        <v>1461267111.1100066</v>
      </c>
      <c r="F35" s="12"/>
      <c r="G35" s="12">
        <f t="shared" si="3"/>
        <v>1000000000</v>
      </c>
      <c r="H35" s="13">
        <f t="shared" si="0"/>
        <v>18000000000</v>
      </c>
    </row>
    <row r="36" spans="1:8" x14ac:dyDescent="0.25">
      <c r="A36" s="10">
        <f>A35+91</f>
        <v>46017</v>
      </c>
      <c r="B36" s="11" t="s">
        <v>10</v>
      </c>
      <c r="C36" s="12">
        <f t="shared" si="4"/>
        <v>1000000000</v>
      </c>
      <c r="D36" s="12">
        <f t="shared" si="1"/>
        <v>436989894.73579574</v>
      </c>
      <c r="E36" s="12">
        <f t="shared" si="2"/>
        <v>1436989894.7357957</v>
      </c>
      <c r="F36" s="12"/>
      <c r="G36" s="12">
        <f t="shared" si="3"/>
        <v>1000000000</v>
      </c>
      <c r="H36" s="13">
        <f t="shared" si="0"/>
        <v>17000000000</v>
      </c>
    </row>
    <row r="37" spans="1:8" x14ac:dyDescent="0.25">
      <c r="A37" s="10">
        <f>A36+90</f>
        <v>46107</v>
      </c>
      <c r="B37" s="11" t="s">
        <v>10</v>
      </c>
      <c r="C37" s="12">
        <f t="shared" si="4"/>
        <v>1000000000</v>
      </c>
      <c r="D37" s="12">
        <f t="shared" si="1"/>
        <v>412712678.3615849</v>
      </c>
      <c r="E37" s="12">
        <f t="shared" si="2"/>
        <v>1412712678.3615849</v>
      </c>
      <c r="F37" s="12"/>
      <c r="G37" s="12">
        <f t="shared" si="3"/>
        <v>1000000000</v>
      </c>
      <c r="H37" s="13">
        <f t="shared" si="0"/>
        <v>16000000000</v>
      </c>
    </row>
    <row r="38" spans="1:8" x14ac:dyDescent="0.25">
      <c r="A38" s="10">
        <f>A37+92</f>
        <v>46199</v>
      </c>
      <c r="B38" s="11" t="s">
        <v>10</v>
      </c>
      <c r="C38" s="12">
        <f t="shared" si="4"/>
        <v>1000000000</v>
      </c>
      <c r="D38" s="12">
        <f t="shared" si="1"/>
        <v>388435461.98737401</v>
      </c>
      <c r="E38" s="12">
        <f t="shared" si="2"/>
        <v>1388435461.9873741</v>
      </c>
      <c r="F38" s="12"/>
      <c r="G38" s="12">
        <f t="shared" si="3"/>
        <v>1000000000</v>
      </c>
      <c r="H38" s="13">
        <f t="shared" si="0"/>
        <v>15000000000</v>
      </c>
    </row>
    <row r="39" spans="1:8" x14ac:dyDescent="0.25">
      <c r="A39" s="10">
        <f>A38+92</f>
        <v>46291</v>
      </c>
      <c r="B39" s="11" t="s">
        <v>10</v>
      </c>
      <c r="C39" s="12">
        <f t="shared" si="4"/>
        <v>1000000000</v>
      </c>
      <c r="D39" s="12">
        <f t="shared" si="1"/>
        <v>364158245.61316311</v>
      </c>
      <c r="E39" s="12">
        <f t="shared" si="2"/>
        <v>1364158245.613163</v>
      </c>
      <c r="F39" s="12"/>
      <c r="G39" s="12">
        <f t="shared" si="3"/>
        <v>1000000000</v>
      </c>
      <c r="H39" s="13">
        <f t="shared" si="0"/>
        <v>14000000000</v>
      </c>
    </row>
    <row r="40" spans="1:8" x14ac:dyDescent="0.25">
      <c r="A40" s="10">
        <f>A39+91</f>
        <v>46382</v>
      </c>
      <c r="B40" s="11" t="s">
        <v>10</v>
      </c>
      <c r="C40" s="12">
        <f t="shared" si="4"/>
        <v>1000000000</v>
      </c>
      <c r="D40" s="12">
        <f t="shared" si="1"/>
        <v>339881029.23895222</v>
      </c>
      <c r="E40" s="12">
        <f t="shared" si="2"/>
        <v>1339881029.2389522</v>
      </c>
      <c r="F40" s="12"/>
      <c r="G40" s="12">
        <f t="shared" si="3"/>
        <v>1000000000</v>
      </c>
      <c r="H40" s="13">
        <f t="shared" si="0"/>
        <v>13000000000</v>
      </c>
    </row>
    <row r="41" spans="1:8" x14ac:dyDescent="0.25">
      <c r="A41" s="10">
        <f>A40+90</f>
        <v>46472</v>
      </c>
      <c r="B41" s="11" t="s">
        <v>10</v>
      </c>
      <c r="C41" s="12">
        <f t="shared" si="4"/>
        <v>1000000000</v>
      </c>
      <c r="D41" s="12">
        <f t="shared" si="1"/>
        <v>315603812.86474138</v>
      </c>
      <c r="E41" s="12">
        <f t="shared" si="2"/>
        <v>1315603812.8647413</v>
      </c>
      <c r="F41" s="12"/>
      <c r="G41" s="12">
        <f t="shared" si="3"/>
        <v>1000000000</v>
      </c>
      <c r="H41" s="13">
        <f t="shared" si="0"/>
        <v>12000000000</v>
      </c>
    </row>
    <row r="42" spans="1:8" x14ac:dyDescent="0.25">
      <c r="A42" s="10">
        <f>A41+92</f>
        <v>46564</v>
      </c>
      <c r="B42" s="11" t="s">
        <v>10</v>
      </c>
      <c r="C42" s="12">
        <f t="shared" si="4"/>
        <v>1000000000</v>
      </c>
      <c r="D42" s="12">
        <f t="shared" si="1"/>
        <v>291326596.49053049</v>
      </c>
      <c r="E42" s="12">
        <f t="shared" si="2"/>
        <v>1291326596.4905305</v>
      </c>
      <c r="F42" s="12"/>
      <c r="G42" s="12">
        <f t="shared" si="3"/>
        <v>1000000000</v>
      </c>
      <c r="H42" s="13">
        <f t="shared" si="0"/>
        <v>11000000000</v>
      </c>
    </row>
    <row r="43" spans="1:8" x14ac:dyDescent="0.25">
      <c r="A43" s="10">
        <f>A42+92</f>
        <v>46656</v>
      </c>
      <c r="B43" s="11" t="s">
        <v>10</v>
      </c>
      <c r="C43" s="12">
        <f t="shared" si="4"/>
        <v>1000000000</v>
      </c>
      <c r="D43" s="12">
        <f t="shared" si="1"/>
        <v>267049380.11631963</v>
      </c>
      <c r="E43" s="12">
        <f t="shared" si="2"/>
        <v>1267049380.1163197</v>
      </c>
      <c r="F43" s="12"/>
      <c r="G43" s="12">
        <f t="shared" si="3"/>
        <v>1000000000</v>
      </c>
      <c r="H43" s="13">
        <f t="shared" si="0"/>
        <v>10000000000</v>
      </c>
    </row>
    <row r="44" spans="1:8" x14ac:dyDescent="0.25">
      <c r="A44" s="10">
        <f>A43+91</f>
        <v>46747</v>
      </c>
      <c r="B44" s="11" t="s">
        <v>10</v>
      </c>
      <c r="C44" s="12">
        <f t="shared" si="4"/>
        <v>1000000000</v>
      </c>
      <c r="D44" s="12">
        <f t="shared" si="1"/>
        <v>242772163.74210876</v>
      </c>
      <c r="E44" s="12">
        <f t="shared" si="2"/>
        <v>1242772163.7421088</v>
      </c>
      <c r="F44" s="12"/>
      <c r="G44" s="12">
        <f t="shared" si="3"/>
        <v>1000000000</v>
      </c>
      <c r="H44" s="13">
        <f t="shared" si="0"/>
        <v>9000000000</v>
      </c>
    </row>
    <row r="45" spans="1:8" x14ac:dyDescent="0.25">
      <c r="A45" s="10">
        <f>A44+91</f>
        <v>46838</v>
      </c>
      <c r="B45" s="11" t="s">
        <v>10</v>
      </c>
      <c r="C45" s="12">
        <f t="shared" si="4"/>
        <v>1000000000</v>
      </c>
      <c r="D45" s="12">
        <f t="shared" si="1"/>
        <v>218494947.36789787</v>
      </c>
      <c r="E45" s="12">
        <f t="shared" si="2"/>
        <v>1218494947.367898</v>
      </c>
      <c r="F45" s="12"/>
      <c r="G45" s="12">
        <f t="shared" si="3"/>
        <v>1000000000</v>
      </c>
      <c r="H45" s="13">
        <f t="shared" si="0"/>
        <v>8000000000</v>
      </c>
    </row>
    <row r="46" spans="1:8" x14ac:dyDescent="0.25">
      <c r="A46" s="10">
        <f>A45+92</f>
        <v>46930</v>
      </c>
      <c r="B46" s="11" t="s">
        <v>10</v>
      </c>
      <c r="C46" s="12">
        <f t="shared" si="4"/>
        <v>1000000000</v>
      </c>
      <c r="D46" s="12">
        <f t="shared" si="1"/>
        <v>194217730.993687</v>
      </c>
      <c r="E46" s="12">
        <f t="shared" si="2"/>
        <v>1194217730.9936869</v>
      </c>
      <c r="F46" s="12"/>
      <c r="G46" s="12">
        <f t="shared" si="3"/>
        <v>1000000000</v>
      </c>
      <c r="H46" s="13">
        <f t="shared" si="0"/>
        <v>7000000000</v>
      </c>
    </row>
    <row r="47" spans="1:8" x14ac:dyDescent="0.25">
      <c r="A47" s="10">
        <f>A46+91</f>
        <v>47021</v>
      </c>
      <c r="B47" s="11" t="s">
        <v>10</v>
      </c>
      <c r="C47" s="12">
        <f t="shared" si="4"/>
        <v>1000000000</v>
      </c>
      <c r="D47" s="12">
        <f t="shared" si="1"/>
        <v>169940514.61947611</v>
      </c>
      <c r="E47" s="12">
        <f t="shared" si="2"/>
        <v>1169940514.6194761</v>
      </c>
      <c r="F47" s="12"/>
      <c r="G47" s="12">
        <f t="shared" si="3"/>
        <v>1000000000</v>
      </c>
      <c r="H47" s="13">
        <f t="shared" si="0"/>
        <v>6000000000</v>
      </c>
    </row>
    <row r="48" spans="1:8" x14ac:dyDescent="0.25">
      <c r="A48" s="10">
        <f>A47+92</f>
        <v>47113</v>
      </c>
      <c r="B48" s="11" t="s">
        <v>10</v>
      </c>
      <c r="C48" s="12">
        <f t="shared" si="4"/>
        <v>1000000000</v>
      </c>
      <c r="D48" s="12">
        <f t="shared" si="1"/>
        <v>145663298.24526525</v>
      </c>
      <c r="E48" s="12">
        <f t="shared" si="2"/>
        <v>1145663298.2452652</v>
      </c>
      <c r="F48" s="12"/>
      <c r="G48" s="12">
        <f t="shared" si="3"/>
        <v>1000000000</v>
      </c>
      <c r="H48" s="13">
        <f t="shared" si="0"/>
        <v>5000000000</v>
      </c>
    </row>
    <row r="49" spans="1:14" x14ac:dyDescent="0.25">
      <c r="A49" s="10">
        <f>A48+90</f>
        <v>47203</v>
      </c>
      <c r="B49" s="11" t="s">
        <v>10</v>
      </c>
      <c r="C49" s="12">
        <f t="shared" si="4"/>
        <v>1000000000</v>
      </c>
      <c r="D49" s="12">
        <f t="shared" si="1"/>
        <v>121386081.87105438</v>
      </c>
      <c r="E49" s="12">
        <f t="shared" si="2"/>
        <v>1121386081.8710544</v>
      </c>
      <c r="F49" s="12"/>
      <c r="G49" s="12">
        <f t="shared" si="3"/>
        <v>1000000000</v>
      </c>
      <c r="H49" s="13">
        <f t="shared" si="0"/>
        <v>4000000000</v>
      </c>
    </row>
    <row r="50" spans="1:14" x14ac:dyDescent="0.25">
      <c r="A50" s="10">
        <f>A49+92</f>
        <v>47295</v>
      </c>
      <c r="B50" s="11" t="s">
        <v>10</v>
      </c>
      <c r="C50" s="12">
        <f t="shared" si="4"/>
        <v>1000000000</v>
      </c>
      <c r="D50" s="12">
        <f t="shared" si="1"/>
        <v>97108865.496843502</v>
      </c>
      <c r="E50" s="12">
        <f t="shared" si="2"/>
        <v>1097108865.4968436</v>
      </c>
      <c r="F50" s="12"/>
      <c r="G50" s="12">
        <f t="shared" si="3"/>
        <v>1000000000</v>
      </c>
      <c r="H50" s="13">
        <f t="shared" si="0"/>
        <v>3000000000</v>
      </c>
    </row>
    <row r="51" spans="1:14" x14ac:dyDescent="0.25">
      <c r="A51" s="10">
        <f>A50+92</f>
        <v>47387</v>
      </c>
      <c r="B51" s="11" t="s">
        <v>10</v>
      </c>
      <c r="C51" s="12">
        <f t="shared" si="4"/>
        <v>1000000000</v>
      </c>
      <c r="D51" s="12">
        <f t="shared" si="1"/>
        <v>72831649.122632623</v>
      </c>
      <c r="E51" s="12">
        <f t="shared" si="2"/>
        <v>1072831649.1226326</v>
      </c>
      <c r="F51" s="12"/>
      <c r="G51" s="12">
        <f t="shared" si="3"/>
        <v>1000000000</v>
      </c>
      <c r="H51" s="13">
        <f t="shared" si="0"/>
        <v>2000000000</v>
      </c>
    </row>
    <row r="52" spans="1:14" x14ac:dyDescent="0.25">
      <c r="A52" s="10">
        <f>A51+91</f>
        <v>47478</v>
      </c>
      <c r="B52" s="11" t="s">
        <v>10</v>
      </c>
      <c r="C52" s="12">
        <f t="shared" si="4"/>
        <v>1000000000</v>
      </c>
      <c r="D52" s="12">
        <f t="shared" si="1"/>
        <v>48554432.748421751</v>
      </c>
      <c r="E52" s="12">
        <f t="shared" si="2"/>
        <v>1048554432.7484218</v>
      </c>
      <c r="F52" s="12"/>
      <c r="G52" s="12">
        <f t="shared" si="3"/>
        <v>1000000000</v>
      </c>
      <c r="H52" s="13">
        <f t="shared" si="0"/>
        <v>1000000000</v>
      </c>
    </row>
    <row r="53" spans="1:14" x14ac:dyDescent="0.25">
      <c r="A53" s="10">
        <f>A52+90</f>
        <v>47568</v>
      </c>
      <c r="B53" s="11" t="s">
        <v>10</v>
      </c>
      <c r="C53" s="12">
        <f t="shared" si="4"/>
        <v>1000000000</v>
      </c>
      <c r="D53" s="12">
        <f t="shared" si="1"/>
        <v>24277216.374210875</v>
      </c>
      <c r="E53" s="12">
        <f t="shared" si="2"/>
        <v>1024277216.3742108</v>
      </c>
      <c r="F53" s="12"/>
      <c r="G53" s="12">
        <f t="shared" si="3"/>
        <v>1000000000</v>
      </c>
      <c r="H53" s="14">
        <f t="shared" si="0"/>
        <v>0</v>
      </c>
    </row>
    <row r="54" spans="1:14" x14ac:dyDescent="0.25">
      <c r="A54" s="15"/>
      <c r="B54" s="16" t="s">
        <v>11</v>
      </c>
      <c r="C54" s="17">
        <f>SUM(C5:C53)</f>
        <v>40000000000</v>
      </c>
      <c r="D54" s="17">
        <f>SUM(D5:D53)</f>
        <v>27665796029.162472</v>
      </c>
      <c r="E54" s="17">
        <f>SUM(E6:E53)</f>
        <v>67665796029.162476</v>
      </c>
      <c r="F54" s="17"/>
      <c r="G54" s="17">
        <f>+C54+D54</f>
        <v>67665796029.162476</v>
      </c>
      <c r="H54" s="18"/>
      <c r="J54" s="76"/>
      <c r="K54" s="84"/>
      <c r="L54" s="84"/>
      <c r="M54" s="84"/>
    </row>
    <row r="55" spans="1:14" x14ac:dyDescent="0.25">
      <c r="A55" s="19" t="s">
        <v>42</v>
      </c>
      <c r="B55" s="20"/>
      <c r="C55" s="20"/>
      <c r="D55" s="20"/>
      <c r="E55" s="20"/>
      <c r="F55" s="20"/>
      <c r="G55" s="20"/>
      <c r="H55" s="20"/>
    </row>
    <row r="56" spans="1:14" ht="15.75" x14ac:dyDescent="0.25">
      <c r="A56" s="52" t="s">
        <v>363</v>
      </c>
      <c r="B56" s="20"/>
      <c r="C56" s="20"/>
      <c r="D56" s="20"/>
      <c r="E56" s="20"/>
      <c r="F56" s="20"/>
      <c r="G56" s="20"/>
      <c r="H56" s="20"/>
    </row>
    <row r="57" spans="1:14" x14ac:dyDescent="0.25">
      <c r="A57" s="19"/>
      <c r="B57" s="20"/>
      <c r="C57" s="20"/>
      <c r="D57" s="20"/>
      <c r="E57" s="20"/>
      <c r="F57" s="20"/>
      <c r="G57" s="20"/>
      <c r="H57" s="20"/>
    </row>
    <row r="58" spans="1:14" ht="15.75" x14ac:dyDescent="0.25">
      <c r="A58" s="53" t="s">
        <v>361</v>
      </c>
      <c r="B58" s="509" t="s">
        <v>42</v>
      </c>
      <c r="C58" s="510"/>
      <c r="D58" s="20"/>
      <c r="E58" s="20"/>
      <c r="F58" s="20"/>
      <c r="G58" s="20"/>
      <c r="H58" s="20"/>
    </row>
    <row r="59" spans="1:14" ht="15.75" thickBot="1" x14ac:dyDescent="0.3">
      <c r="A59" s="19"/>
      <c r="B59" s="20"/>
      <c r="C59" s="20"/>
      <c r="D59" s="20"/>
      <c r="E59" s="20"/>
      <c r="F59" s="20"/>
      <c r="G59" s="20"/>
      <c r="H59" s="20"/>
    </row>
    <row r="60" spans="1:14" ht="26.25" thickBot="1" x14ac:dyDescent="0.3">
      <c r="A60" s="21" t="s">
        <v>13</v>
      </c>
      <c r="B60" s="22" t="s">
        <v>14</v>
      </c>
      <c r="C60" s="22" t="s">
        <v>15</v>
      </c>
      <c r="D60" s="22" t="s">
        <v>16</v>
      </c>
      <c r="E60" s="22" t="s">
        <v>2948</v>
      </c>
      <c r="F60" s="22" t="s">
        <v>2950</v>
      </c>
      <c r="G60" s="22" t="s">
        <v>42</v>
      </c>
      <c r="H60" s="22" t="s">
        <v>42</v>
      </c>
      <c r="I60" s="23" t="s">
        <v>42</v>
      </c>
    </row>
    <row r="61" spans="1:14" ht="25.5" x14ac:dyDescent="0.25">
      <c r="A61" s="24" t="s">
        <v>385</v>
      </c>
      <c r="B61" s="25" t="s">
        <v>18</v>
      </c>
      <c r="C61" s="26"/>
      <c r="D61" s="27">
        <v>40000000000</v>
      </c>
      <c r="E61" s="27" t="s">
        <v>2949</v>
      </c>
      <c r="F61" s="140">
        <v>43137</v>
      </c>
      <c r="G61" s="27" t="s">
        <v>42</v>
      </c>
      <c r="H61" s="59" t="s">
        <v>42</v>
      </c>
      <c r="I61" s="60" t="s">
        <v>42</v>
      </c>
    </row>
    <row r="62" spans="1:14" ht="25.5" x14ac:dyDescent="0.25">
      <c r="A62" s="28" t="s">
        <v>20</v>
      </c>
      <c r="B62" s="61">
        <v>14493747176</v>
      </c>
      <c r="C62" s="139">
        <v>43185</v>
      </c>
      <c r="D62" s="30"/>
      <c r="E62" s="30"/>
      <c r="F62" s="30"/>
      <c r="G62" s="31"/>
      <c r="H62" s="31"/>
      <c r="I62" s="32"/>
    </row>
    <row r="63" spans="1:14" ht="25.5" x14ac:dyDescent="0.25">
      <c r="A63" s="37" t="s">
        <v>374</v>
      </c>
      <c r="B63" s="28" t="s">
        <v>24</v>
      </c>
      <c r="C63" s="28" t="s">
        <v>25</v>
      </c>
      <c r="D63" s="70"/>
      <c r="E63" s="71"/>
      <c r="F63" s="71"/>
      <c r="G63" s="71"/>
      <c r="H63" s="71"/>
      <c r="I63" s="72"/>
    </row>
    <row r="64" spans="1:14" x14ac:dyDescent="0.25">
      <c r="A64" s="39"/>
      <c r="B64" s="40" t="s">
        <v>27</v>
      </c>
      <c r="C64" s="40" t="s">
        <v>28</v>
      </c>
      <c r="D64" s="40" t="s">
        <v>29</v>
      </c>
      <c r="E64" s="40" t="s">
        <v>30</v>
      </c>
      <c r="F64" s="40" t="s">
        <v>31</v>
      </c>
      <c r="G64" s="40" t="s">
        <v>32</v>
      </c>
      <c r="H64" s="40" t="s">
        <v>33</v>
      </c>
      <c r="I64" s="40" t="s">
        <v>34</v>
      </c>
      <c r="J64" s="40" t="s">
        <v>35</v>
      </c>
      <c r="K64" s="40" t="s">
        <v>36</v>
      </c>
      <c r="L64" s="40" t="s">
        <v>37</v>
      </c>
      <c r="M64" s="40" t="s">
        <v>38</v>
      </c>
      <c r="N64" s="40" t="s">
        <v>2734</v>
      </c>
    </row>
    <row r="65" spans="1:16" ht="25.5" x14ac:dyDescent="0.25">
      <c r="A65" s="39" t="s">
        <v>375</v>
      </c>
      <c r="B65" s="33">
        <v>5.5E-2</v>
      </c>
      <c r="C65" s="33">
        <v>5.6000000000000001E-2</v>
      </c>
      <c r="D65" s="33">
        <v>5.6000000000000001E-2</v>
      </c>
      <c r="E65" s="33">
        <v>0.06</v>
      </c>
      <c r="F65" s="33">
        <v>0.06</v>
      </c>
      <c r="G65" s="33">
        <v>0.06</v>
      </c>
      <c r="H65" s="33">
        <v>0.06</v>
      </c>
      <c r="I65" s="33">
        <v>0.06</v>
      </c>
      <c r="J65" s="33">
        <v>0.06</v>
      </c>
      <c r="K65" s="33">
        <v>0.06</v>
      </c>
      <c r="L65" s="33">
        <v>0.06</v>
      </c>
      <c r="M65" s="33">
        <v>0.06</v>
      </c>
      <c r="N65" s="33">
        <v>0.06</v>
      </c>
    </row>
    <row r="66" spans="1:16" ht="25.5" x14ac:dyDescent="0.25">
      <c r="A66" s="39" t="s">
        <v>376</v>
      </c>
      <c r="B66" s="33">
        <v>0.04</v>
      </c>
      <c r="C66" s="33">
        <v>0.04</v>
      </c>
      <c r="D66" s="33">
        <v>0.04</v>
      </c>
      <c r="E66" s="33">
        <v>0.04</v>
      </c>
      <c r="F66" s="33">
        <v>0.04</v>
      </c>
      <c r="G66" s="33">
        <v>0.04</v>
      </c>
      <c r="H66" s="33">
        <v>0.04</v>
      </c>
      <c r="I66" s="33">
        <v>0.04</v>
      </c>
      <c r="J66" s="33">
        <v>0.04</v>
      </c>
      <c r="K66" s="33">
        <v>0.04</v>
      </c>
      <c r="L66" s="33">
        <v>0.04</v>
      </c>
      <c r="M66" s="33">
        <v>0.04</v>
      </c>
      <c r="N66" s="33">
        <v>0.04</v>
      </c>
    </row>
    <row r="67" spans="1:16" x14ac:dyDescent="0.25">
      <c r="A67" s="39" t="s">
        <v>377</v>
      </c>
      <c r="B67" s="67">
        <v>90</v>
      </c>
      <c r="C67" s="67">
        <v>90</v>
      </c>
      <c r="D67" s="67">
        <v>90</v>
      </c>
      <c r="E67" s="67">
        <v>90</v>
      </c>
      <c r="F67" s="67">
        <v>90</v>
      </c>
      <c r="G67" s="67">
        <v>90</v>
      </c>
      <c r="H67" s="67">
        <v>90</v>
      </c>
      <c r="I67" s="67">
        <v>90</v>
      </c>
      <c r="J67" s="67">
        <v>90</v>
      </c>
      <c r="K67" s="67">
        <v>90</v>
      </c>
      <c r="L67" s="67">
        <v>90</v>
      </c>
      <c r="M67" s="67">
        <v>90</v>
      </c>
      <c r="N67" s="67">
        <v>90</v>
      </c>
    </row>
    <row r="68" spans="1:16" ht="38.25" x14ac:dyDescent="0.25">
      <c r="A68" s="39" t="s">
        <v>373</v>
      </c>
      <c r="B68" s="73">
        <f>(1+(B65+B66)/90)^90-1</f>
        <v>9.9603759601696318E-2</v>
      </c>
      <c r="C68" s="73">
        <f>(1+(C65+C66)/90)^90-1</f>
        <v>0.10070274661600465</v>
      </c>
      <c r="D68" s="73">
        <f>(1+(D65+D66)/90)^90-1</f>
        <v>0.10070274661600465</v>
      </c>
      <c r="E68" s="73">
        <f t="shared" ref="E68:N68" si="5">(1+(E65+E66)/90)^90-1</f>
        <v>0.10510956683667949</v>
      </c>
      <c r="F68" s="73">
        <f t="shared" si="5"/>
        <v>0.10510956683667949</v>
      </c>
      <c r="G68" s="73">
        <f t="shared" si="5"/>
        <v>0.10510956683667949</v>
      </c>
      <c r="H68" s="73">
        <f t="shared" si="5"/>
        <v>0.10510956683667949</v>
      </c>
      <c r="I68" s="73">
        <f t="shared" si="5"/>
        <v>0.10510956683667949</v>
      </c>
      <c r="J68" s="73">
        <f t="shared" si="5"/>
        <v>0.10510956683667949</v>
      </c>
      <c r="K68" s="73">
        <f t="shared" si="5"/>
        <v>0.10510956683667949</v>
      </c>
      <c r="L68" s="73">
        <f t="shared" si="5"/>
        <v>0.10510956683667949</v>
      </c>
      <c r="M68" s="73">
        <f t="shared" si="5"/>
        <v>0.10510956683667949</v>
      </c>
      <c r="N68" s="73">
        <f t="shared" si="5"/>
        <v>0.10510956683667949</v>
      </c>
    </row>
    <row r="69" spans="1:16" ht="38.25" x14ac:dyDescent="0.25">
      <c r="A69" s="41" t="s">
        <v>378</v>
      </c>
      <c r="B69" s="42">
        <v>2018</v>
      </c>
      <c r="C69" s="41">
        <f>B69+1</f>
        <v>2019</v>
      </c>
      <c r="D69" s="41">
        <f t="shared" ref="D69:N69" si="6">C69+1</f>
        <v>2020</v>
      </c>
      <c r="E69" s="41">
        <f t="shared" si="6"/>
        <v>2021</v>
      </c>
      <c r="F69" s="41">
        <f t="shared" si="6"/>
        <v>2022</v>
      </c>
      <c r="G69" s="41">
        <f t="shared" si="6"/>
        <v>2023</v>
      </c>
      <c r="H69" s="41">
        <f t="shared" si="6"/>
        <v>2024</v>
      </c>
      <c r="I69" s="41">
        <f t="shared" si="6"/>
        <v>2025</v>
      </c>
      <c r="J69" s="41">
        <f t="shared" si="6"/>
        <v>2026</v>
      </c>
      <c r="K69" s="41">
        <f t="shared" si="6"/>
        <v>2027</v>
      </c>
      <c r="L69" s="41">
        <f t="shared" si="6"/>
        <v>2028</v>
      </c>
      <c r="M69" s="41">
        <f t="shared" si="6"/>
        <v>2029</v>
      </c>
      <c r="N69" s="41">
        <f t="shared" si="6"/>
        <v>2030</v>
      </c>
      <c r="P69" s="46" t="s">
        <v>379</v>
      </c>
    </row>
    <row r="70" spans="1:16" x14ac:dyDescent="0.25">
      <c r="A70" s="43" t="s">
        <v>39</v>
      </c>
      <c r="B70" s="44">
        <f>+D$6+D$7+D$8</f>
        <v>2903035327.4673805</v>
      </c>
      <c r="C70" s="44">
        <f>+D$9+D$10+D$11+D$12</f>
        <v>3884354619.8737402</v>
      </c>
      <c r="D70" s="44">
        <f>+E$13+E$14+E$15+E$16</f>
        <v>6811522970.7511063</v>
      </c>
      <c r="E70" s="44">
        <f>+D19+D20+D21+D22</f>
        <v>3253146994.1442575</v>
      </c>
      <c r="F70" s="44">
        <f>+D23+D24+D25+D26</f>
        <v>2864711532.1568832</v>
      </c>
      <c r="G70" s="44">
        <f>+D27+D28+D29+D30</f>
        <v>2476276070.1695089</v>
      </c>
      <c r="H70" s="44">
        <f>+D31+D32+D33+D34</f>
        <v>2087840608.1821356</v>
      </c>
      <c r="I70" s="44">
        <f>+D35+D36+D37+D38</f>
        <v>1699405146.1947613</v>
      </c>
      <c r="J70" s="44">
        <f>+D39+D40+D41+D42</f>
        <v>1310969684.2073872</v>
      </c>
      <c r="K70" s="44">
        <f>+D43+D44+D45+D46</f>
        <v>922534222.22001326</v>
      </c>
      <c r="L70" s="44">
        <f>+D47+D48+D49+D50</f>
        <v>534098760.23263925</v>
      </c>
      <c r="M70" s="44">
        <f>+D51+D52+D53+D54</f>
        <v>27811459327.407738</v>
      </c>
      <c r="N70" s="44">
        <f>+D55+D56+D57</f>
        <v>0</v>
      </c>
      <c r="O70" s="54">
        <f>SUM(B70:N70)</f>
        <v>56559355263.007553</v>
      </c>
      <c r="P70" s="74">
        <f>+O70-D58</f>
        <v>56559355263.007553</v>
      </c>
    </row>
    <row r="71" spans="1:16" ht="50.25" customHeight="1" x14ac:dyDescent="0.25">
      <c r="A71" s="41" t="s">
        <v>380</v>
      </c>
      <c r="B71" s="42">
        <v>2017</v>
      </c>
      <c r="C71" s="41">
        <v>2018</v>
      </c>
      <c r="D71" s="42">
        <v>2019</v>
      </c>
      <c r="E71" s="41">
        <v>2020</v>
      </c>
      <c r="F71" s="42">
        <v>2021</v>
      </c>
      <c r="G71" s="41">
        <v>2022</v>
      </c>
      <c r="H71" s="42">
        <v>2023</v>
      </c>
      <c r="I71" s="41">
        <v>2024</v>
      </c>
      <c r="J71" s="42">
        <v>2025</v>
      </c>
      <c r="K71" s="41">
        <v>2026</v>
      </c>
      <c r="L71" s="42">
        <v>2027</v>
      </c>
      <c r="M71" s="41">
        <v>2028</v>
      </c>
      <c r="N71" s="42">
        <v>2029</v>
      </c>
      <c r="P71" s="46" t="s">
        <v>381</v>
      </c>
    </row>
  </sheetData>
  <mergeCells count="4">
    <mergeCell ref="A1:H1"/>
    <mergeCell ref="A2:H2"/>
    <mergeCell ref="A3:H3"/>
    <mergeCell ref="B58:C58"/>
  </mergeCells>
  <hyperlinks>
    <hyperlink ref="B58" r:id="rId1" display="CONTRATO DE EMPRESTITO - $40.000MM SEPTIEMBRE 2017.docx" xr:uid="{00000000-0004-0000-14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68EEFC"/>
  </sheetPr>
  <dimension ref="A1:S165"/>
  <sheetViews>
    <sheetView topLeftCell="A7" zoomScale="90" zoomScaleNormal="90" workbookViewId="0">
      <selection activeCell="E20" sqref="E20"/>
    </sheetView>
  </sheetViews>
  <sheetFormatPr baseColWidth="10" defaultColWidth="11.5703125" defaultRowHeight="15" x14ac:dyDescent="0.25"/>
  <cols>
    <col min="1" max="1" width="15" customWidth="1"/>
    <col min="2" max="2" width="19.7109375" customWidth="1"/>
    <col min="3" max="3" width="17.42578125" bestFit="1" customWidth="1"/>
    <col min="4" max="4" width="16.28515625" customWidth="1"/>
    <col min="5" max="5" width="17" customWidth="1"/>
    <col min="6" max="6" width="16.140625" customWidth="1"/>
    <col min="7" max="7" width="19" customWidth="1"/>
    <col min="8" max="8" width="18.28515625" bestFit="1" customWidth="1"/>
    <col min="9" max="9" width="19.28515625" bestFit="1" customWidth="1"/>
    <col min="10" max="10" width="18.28515625" bestFit="1" customWidth="1"/>
    <col min="11" max="11" width="14.140625" bestFit="1" customWidth="1"/>
    <col min="12" max="12" width="19" bestFit="1" customWidth="1"/>
    <col min="13" max="13" width="12.7109375" bestFit="1" customWidth="1"/>
    <col min="14" max="15" width="13.5703125" bestFit="1" customWidth="1"/>
    <col min="16" max="18" width="12.7109375" bestFit="1" customWidth="1"/>
    <col min="19" max="19" width="13.7109375" bestFit="1" customWidth="1"/>
    <col min="261" max="261" width="15" customWidth="1"/>
    <col min="262" max="262" width="19" customWidth="1"/>
    <col min="263" max="263" width="18.5703125" customWidth="1"/>
    <col min="264" max="264" width="16.42578125" customWidth="1"/>
    <col min="265" max="265" width="16.85546875" customWidth="1"/>
    <col min="266" max="266" width="17.7109375" customWidth="1"/>
    <col min="267" max="271" width="13.5703125" bestFit="1" customWidth="1"/>
    <col min="272" max="274" width="12.7109375" bestFit="1" customWidth="1"/>
    <col min="275" max="275" width="13.7109375" bestFit="1" customWidth="1"/>
    <col min="517" max="517" width="15" customWidth="1"/>
    <col min="518" max="518" width="19" customWidth="1"/>
    <col min="519" max="519" width="18.5703125" customWidth="1"/>
    <col min="520" max="520" width="16.42578125" customWidth="1"/>
    <col min="521" max="521" width="16.85546875" customWidth="1"/>
    <col min="522" max="522" width="17.7109375" customWidth="1"/>
    <col min="523" max="527" width="13.5703125" bestFit="1" customWidth="1"/>
    <col min="528" max="530" width="12.7109375" bestFit="1" customWidth="1"/>
    <col min="531" max="531" width="13.7109375" bestFit="1" customWidth="1"/>
    <col min="773" max="773" width="15" customWidth="1"/>
    <col min="774" max="774" width="19" customWidth="1"/>
    <col min="775" max="775" width="18.5703125" customWidth="1"/>
    <col min="776" max="776" width="16.42578125" customWidth="1"/>
    <col min="777" max="777" width="16.85546875" customWidth="1"/>
    <col min="778" max="778" width="17.7109375" customWidth="1"/>
    <col min="779" max="783" width="13.5703125" bestFit="1" customWidth="1"/>
    <col min="784" max="786" width="12.7109375" bestFit="1" customWidth="1"/>
    <col min="787" max="787" width="13.7109375" bestFit="1" customWidth="1"/>
    <col min="1029" max="1029" width="15" customWidth="1"/>
    <col min="1030" max="1030" width="19" customWidth="1"/>
    <col min="1031" max="1031" width="18.5703125" customWidth="1"/>
    <col min="1032" max="1032" width="16.42578125" customWidth="1"/>
    <col min="1033" max="1033" width="16.85546875" customWidth="1"/>
    <col min="1034" max="1034" width="17.7109375" customWidth="1"/>
    <col min="1035" max="1039" width="13.5703125" bestFit="1" customWidth="1"/>
    <col min="1040" max="1042" width="12.7109375" bestFit="1" customWidth="1"/>
    <col min="1043" max="1043" width="13.7109375" bestFit="1" customWidth="1"/>
    <col min="1285" max="1285" width="15" customWidth="1"/>
    <col min="1286" max="1286" width="19" customWidth="1"/>
    <col min="1287" max="1287" width="18.5703125" customWidth="1"/>
    <col min="1288" max="1288" width="16.42578125" customWidth="1"/>
    <col min="1289" max="1289" width="16.85546875" customWidth="1"/>
    <col min="1290" max="1290" width="17.7109375" customWidth="1"/>
    <col min="1291" max="1295" width="13.5703125" bestFit="1" customWidth="1"/>
    <col min="1296" max="1298" width="12.7109375" bestFit="1" customWidth="1"/>
    <col min="1299" max="1299" width="13.7109375" bestFit="1" customWidth="1"/>
    <col min="1541" max="1541" width="15" customWidth="1"/>
    <col min="1542" max="1542" width="19" customWidth="1"/>
    <col min="1543" max="1543" width="18.5703125" customWidth="1"/>
    <col min="1544" max="1544" width="16.42578125" customWidth="1"/>
    <col min="1545" max="1545" width="16.85546875" customWidth="1"/>
    <col min="1546" max="1546" width="17.7109375" customWidth="1"/>
    <col min="1547" max="1551" width="13.5703125" bestFit="1" customWidth="1"/>
    <col min="1552" max="1554" width="12.7109375" bestFit="1" customWidth="1"/>
    <col min="1555" max="1555" width="13.7109375" bestFit="1" customWidth="1"/>
    <col min="1797" max="1797" width="15" customWidth="1"/>
    <col min="1798" max="1798" width="19" customWidth="1"/>
    <col min="1799" max="1799" width="18.5703125" customWidth="1"/>
    <col min="1800" max="1800" width="16.42578125" customWidth="1"/>
    <col min="1801" max="1801" width="16.85546875" customWidth="1"/>
    <col min="1802" max="1802" width="17.7109375" customWidth="1"/>
    <col min="1803" max="1807" width="13.5703125" bestFit="1" customWidth="1"/>
    <col min="1808" max="1810" width="12.7109375" bestFit="1" customWidth="1"/>
    <col min="1811" max="1811" width="13.7109375" bestFit="1" customWidth="1"/>
    <col min="2053" max="2053" width="15" customWidth="1"/>
    <col min="2054" max="2054" width="19" customWidth="1"/>
    <col min="2055" max="2055" width="18.5703125" customWidth="1"/>
    <col min="2056" max="2056" width="16.42578125" customWidth="1"/>
    <col min="2057" max="2057" width="16.85546875" customWidth="1"/>
    <col min="2058" max="2058" width="17.7109375" customWidth="1"/>
    <col min="2059" max="2063" width="13.5703125" bestFit="1" customWidth="1"/>
    <col min="2064" max="2066" width="12.7109375" bestFit="1" customWidth="1"/>
    <col min="2067" max="2067" width="13.7109375" bestFit="1" customWidth="1"/>
    <col min="2309" max="2309" width="15" customWidth="1"/>
    <col min="2310" max="2310" width="19" customWidth="1"/>
    <col min="2311" max="2311" width="18.5703125" customWidth="1"/>
    <col min="2312" max="2312" width="16.42578125" customWidth="1"/>
    <col min="2313" max="2313" width="16.85546875" customWidth="1"/>
    <col min="2314" max="2314" width="17.7109375" customWidth="1"/>
    <col min="2315" max="2319" width="13.5703125" bestFit="1" customWidth="1"/>
    <col min="2320" max="2322" width="12.7109375" bestFit="1" customWidth="1"/>
    <col min="2323" max="2323" width="13.7109375" bestFit="1" customWidth="1"/>
    <col min="2565" max="2565" width="15" customWidth="1"/>
    <col min="2566" max="2566" width="19" customWidth="1"/>
    <col min="2567" max="2567" width="18.5703125" customWidth="1"/>
    <col min="2568" max="2568" width="16.42578125" customWidth="1"/>
    <col min="2569" max="2569" width="16.85546875" customWidth="1"/>
    <col min="2570" max="2570" width="17.7109375" customWidth="1"/>
    <col min="2571" max="2575" width="13.5703125" bestFit="1" customWidth="1"/>
    <col min="2576" max="2578" width="12.7109375" bestFit="1" customWidth="1"/>
    <col min="2579" max="2579" width="13.7109375" bestFit="1" customWidth="1"/>
    <col min="2821" max="2821" width="15" customWidth="1"/>
    <col min="2822" max="2822" width="19" customWidth="1"/>
    <col min="2823" max="2823" width="18.5703125" customWidth="1"/>
    <col min="2824" max="2824" width="16.42578125" customWidth="1"/>
    <col min="2825" max="2825" width="16.85546875" customWidth="1"/>
    <col min="2826" max="2826" width="17.7109375" customWidth="1"/>
    <col min="2827" max="2831" width="13.5703125" bestFit="1" customWidth="1"/>
    <col min="2832" max="2834" width="12.7109375" bestFit="1" customWidth="1"/>
    <col min="2835" max="2835" width="13.7109375" bestFit="1" customWidth="1"/>
    <col min="3077" max="3077" width="15" customWidth="1"/>
    <col min="3078" max="3078" width="19" customWidth="1"/>
    <col min="3079" max="3079" width="18.5703125" customWidth="1"/>
    <col min="3080" max="3080" width="16.42578125" customWidth="1"/>
    <col min="3081" max="3081" width="16.85546875" customWidth="1"/>
    <col min="3082" max="3082" width="17.7109375" customWidth="1"/>
    <col min="3083" max="3087" width="13.5703125" bestFit="1" customWidth="1"/>
    <col min="3088" max="3090" width="12.7109375" bestFit="1" customWidth="1"/>
    <col min="3091" max="3091" width="13.7109375" bestFit="1" customWidth="1"/>
    <col min="3333" max="3333" width="15" customWidth="1"/>
    <col min="3334" max="3334" width="19" customWidth="1"/>
    <col min="3335" max="3335" width="18.5703125" customWidth="1"/>
    <col min="3336" max="3336" width="16.42578125" customWidth="1"/>
    <col min="3337" max="3337" width="16.85546875" customWidth="1"/>
    <col min="3338" max="3338" width="17.7109375" customWidth="1"/>
    <col min="3339" max="3343" width="13.5703125" bestFit="1" customWidth="1"/>
    <col min="3344" max="3346" width="12.7109375" bestFit="1" customWidth="1"/>
    <col min="3347" max="3347" width="13.7109375" bestFit="1" customWidth="1"/>
    <col min="3589" max="3589" width="15" customWidth="1"/>
    <col min="3590" max="3590" width="19" customWidth="1"/>
    <col min="3591" max="3591" width="18.5703125" customWidth="1"/>
    <col min="3592" max="3592" width="16.42578125" customWidth="1"/>
    <col min="3593" max="3593" width="16.85546875" customWidth="1"/>
    <col min="3594" max="3594" width="17.7109375" customWidth="1"/>
    <col min="3595" max="3599" width="13.5703125" bestFit="1" customWidth="1"/>
    <col min="3600" max="3602" width="12.7109375" bestFit="1" customWidth="1"/>
    <col min="3603" max="3603" width="13.7109375" bestFit="1" customWidth="1"/>
    <col min="3845" max="3845" width="15" customWidth="1"/>
    <col min="3846" max="3846" width="19" customWidth="1"/>
    <col min="3847" max="3847" width="18.5703125" customWidth="1"/>
    <col min="3848" max="3848" width="16.42578125" customWidth="1"/>
    <col min="3849" max="3849" width="16.85546875" customWidth="1"/>
    <col min="3850" max="3850" width="17.7109375" customWidth="1"/>
    <col min="3851" max="3855" width="13.5703125" bestFit="1" customWidth="1"/>
    <col min="3856" max="3858" width="12.7109375" bestFit="1" customWidth="1"/>
    <col min="3859" max="3859" width="13.7109375" bestFit="1" customWidth="1"/>
    <col min="4101" max="4101" width="15" customWidth="1"/>
    <col min="4102" max="4102" width="19" customWidth="1"/>
    <col min="4103" max="4103" width="18.5703125" customWidth="1"/>
    <col min="4104" max="4104" width="16.42578125" customWidth="1"/>
    <col min="4105" max="4105" width="16.85546875" customWidth="1"/>
    <col min="4106" max="4106" width="17.7109375" customWidth="1"/>
    <col min="4107" max="4111" width="13.5703125" bestFit="1" customWidth="1"/>
    <col min="4112" max="4114" width="12.7109375" bestFit="1" customWidth="1"/>
    <col min="4115" max="4115" width="13.7109375" bestFit="1" customWidth="1"/>
    <col min="4357" max="4357" width="15" customWidth="1"/>
    <col min="4358" max="4358" width="19" customWidth="1"/>
    <col min="4359" max="4359" width="18.5703125" customWidth="1"/>
    <col min="4360" max="4360" width="16.42578125" customWidth="1"/>
    <col min="4361" max="4361" width="16.85546875" customWidth="1"/>
    <col min="4362" max="4362" width="17.7109375" customWidth="1"/>
    <col min="4363" max="4367" width="13.5703125" bestFit="1" customWidth="1"/>
    <col min="4368" max="4370" width="12.7109375" bestFit="1" customWidth="1"/>
    <col min="4371" max="4371" width="13.7109375" bestFit="1" customWidth="1"/>
    <col min="4613" max="4613" width="15" customWidth="1"/>
    <col min="4614" max="4614" width="19" customWidth="1"/>
    <col min="4615" max="4615" width="18.5703125" customWidth="1"/>
    <col min="4616" max="4616" width="16.42578125" customWidth="1"/>
    <col min="4617" max="4617" width="16.85546875" customWidth="1"/>
    <col min="4618" max="4618" width="17.7109375" customWidth="1"/>
    <col min="4619" max="4623" width="13.5703125" bestFit="1" customWidth="1"/>
    <col min="4624" max="4626" width="12.7109375" bestFit="1" customWidth="1"/>
    <col min="4627" max="4627" width="13.7109375" bestFit="1" customWidth="1"/>
    <col min="4869" max="4869" width="15" customWidth="1"/>
    <col min="4870" max="4870" width="19" customWidth="1"/>
    <col min="4871" max="4871" width="18.5703125" customWidth="1"/>
    <col min="4872" max="4872" width="16.42578125" customWidth="1"/>
    <col min="4873" max="4873" width="16.85546875" customWidth="1"/>
    <col min="4874" max="4874" width="17.7109375" customWidth="1"/>
    <col min="4875" max="4879" width="13.5703125" bestFit="1" customWidth="1"/>
    <col min="4880" max="4882" width="12.7109375" bestFit="1" customWidth="1"/>
    <col min="4883" max="4883" width="13.7109375" bestFit="1" customWidth="1"/>
    <col min="5125" max="5125" width="15" customWidth="1"/>
    <col min="5126" max="5126" width="19" customWidth="1"/>
    <col min="5127" max="5127" width="18.5703125" customWidth="1"/>
    <col min="5128" max="5128" width="16.42578125" customWidth="1"/>
    <col min="5129" max="5129" width="16.85546875" customWidth="1"/>
    <col min="5130" max="5130" width="17.7109375" customWidth="1"/>
    <col min="5131" max="5135" width="13.5703125" bestFit="1" customWidth="1"/>
    <col min="5136" max="5138" width="12.7109375" bestFit="1" customWidth="1"/>
    <col min="5139" max="5139" width="13.7109375" bestFit="1" customWidth="1"/>
    <col min="5381" max="5381" width="15" customWidth="1"/>
    <col min="5382" max="5382" width="19" customWidth="1"/>
    <col min="5383" max="5383" width="18.5703125" customWidth="1"/>
    <col min="5384" max="5384" width="16.42578125" customWidth="1"/>
    <col min="5385" max="5385" width="16.85546875" customWidth="1"/>
    <col min="5386" max="5386" width="17.7109375" customWidth="1"/>
    <col min="5387" max="5391" width="13.5703125" bestFit="1" customWidth="1"/>
    <col min="5392" max="5394" width="12.7109375" bestFit="1" customWidth="1"/>
    <col min="5395" max="5395" width="13.7109375" bestFit="1" customWidth="1"/>
    <col min="5637" max="5637" width="15" customWidth="1"/>
    <col min="5638" max="5638" width="19" customWidth="1"/>
    <col min="5639" max="5639" width="18.5703125" customWidth="1"/>
    <col min="5640" max="5640" width="16.42578125" customWidth="1"/>
    <col min="5641" max="5641" width="16.85546875" customWidth="1"/>
    <col min="5642" max="5642" width="17.7109375" customWidth="1"/>
    <col min="5643" max="5647" width="13.5703125" bestFit="1" customWidth="1"/>
    <col min="5648" max="5650" width="12.7109375" bestFit="1" customWidth="1"/>
    <col min="5651" max="5651" width="13.7109375" bestFit="1" customWidth="1"/>
    <col min="5893" max="5893" width="15" customWidth="1"/>
    <col min="5894" max="5894" width="19" customWidth="1"/>
    <col min="5895" max="5895" width="18.5703125" customWidth="1"/>
    <col min="5896" max="5896" width="16.42578125" customWidth="1"/>
    <col min="5897" max="5897" width="16.85546875" customWidth="1"/>
    <col min="5898" max="5898" width="17.7109375" customWidth="1"/>
    <col min="5899" max="5903" width="13.5703125" bestFit="1" customWidth="1"/>
    <col min="5904" max="5906" width="12.7109375" bestFit="1" customWidth="1"/>
    <col min="5907" max="5907" width="13.7109375" bestFit="1" customWidth="1"/>
    <col min="6149" max="6149" width="15" customWidth="1"/>
    <col min="6150" max="6150" width="19" customWidth="1"/>
    <col min="6151" max="6151" width="18.5703125" customWidth="1"/>
    <col min="6152" max="6152" width="16.42578125" customWidth="1"/>
    <col min="6153" max="6153" width="16.85546875" customWidth="1"/>
    <col min="6154" max="6154" width="17.7109375" customWidth="1"/>
    <col min="6155" max="6159" width="13.5703125" bestFit="1" customWidth="1"/>
    <col min="6160" max="6162" width="12.7109375" bestFit="1" customWidth="1"/>
    <col min="6163" max="6163" width="13.7109375" bestFit="1" customWidth="1"/>
    <col min="6405" max="6405" width="15" customWidth="1"/>
    <col min="6406" max="6406" width="19" customWidth="1"/>
    <col min="6407" max="6407" width="18.5703125" customWidth="1"/>
    <col min="6408" max="6408" width="16.42578125" customWidth="1"/>
    <col min="6409" max="6409" width="16.85546875" customWidth="1"/>
    <col min="6410" max="6410" width="17.7109375" customWidth="1"/>
    <col min="6411" max="6415" width="13.5703125" bestFit="1" customWidth="1"/>
    <col min="6416" max="6418" width="12.7109375" bestFit="1" customWidth="1"/>
    <col min="6419" max="6419" width="13.7109375" bestFit="1" customWidth="1"/>
    <col min="6661" max="6661" width="15" customWidth="1"/>
    <col min="6662" max="6662" width="19" customWidth="1"/>
    <col min="6663" max="6663" width="18.5703125" customWidth="1"/>
    <col min="6664" max="6664" width="16.42578125" customWidth="1"/>
    <col min="6665" max="6665" width="16.85546875" customWidth="1"/>
    <col min="6666" max="6666" width="17.7109375" customWidth="1"/>
    <col min="6667" max="6671" width="13.5703125" bestFit="1" customWidth="1"/>
    <col min="6672" max="6674" width="12.7109375" bestFit="1" customWidth="1"/>
    <col min="6675" max="6675" width="13.7109375" bestFit="1" customWidth="1"/>
    <col min="6917" max="6917" width="15" customWidth="1"/>
    <col min="6918" max="6918" width="19" customWidth="1"/>
    <col min="6919" max="6919" width="18.5703125" customWidth="1"/>
    <col min="6920" max="6920" width="16.42578125" customWidth="1"/>
    <col min="6921" max="6921" width="16.85546875" customWidth="1"/>
    <col min="6922" max="6922" width="17.7109375" customWidth="1"/>
    <col min="6923" max="6927" width="13.5703125" bestFit="1" customWidth="1"/>
    <col min="6928" max="6930" width="12.7109375" bestFit="1" customWidth="1"/>
    <col min="6931" max="6931" width="13.7109375" bestFit="1" customWidth="1"/>
    <col min="7173" max="7173" width="15" customWidth="1"/>
    <col min="7174" max="7174" width="19" customWidth="1"/>
    <col min="7175" max="7175" width="18.5703125" customWidth="1"/>
    <col min="7176" max="7176" width="16.42578125" customWidth="1"/>
    <col min="7177" max="7177" width="16.85546875" customWidth="1"/>
    <col min="7178" max="7178" width="17.7109375" customWidth="1"/>
    <col min="7179" max="7183" width="13.5703125" bestFit="1" customWidth="1"/>
    <col min="7184" max="7186" width="12.7109375" bestFit="1" customWidth="1"/>
    <col min="7187" max="7187" width="13.7109375" bestFit="1" customWidth="1"/>
    <col min="7429" max="7429" width="15" customWidth="1"/>
    <col min="7430" max="7430" width="19" customWidth="1"/>
    <col min="7431" max="7431" width="18.5703125" customWidth="1"/>
    <col min="7432" max="7432" width="16.42578125" customWidth="1"/>
    <col min="7433" max="7433" width="16.85546875" customWidth="1"/>
    <col min="7434" max="7434" width="17.7109375" customWidth="1"/>
    <col min="7435" max="7439" width="13.5703125" bestFit="1" customWidth="1"/>
    <col min="7440" max="7442" width="12.7109375" bestFit="1" customWidth="1"/>
    <col min="7443" max="7443" width="13.7109375" bestFit="1" customWidth="1"/>
    <col min="7685" max="7685" width="15" customWidth="1"/>
    <col min="7686" max="7686" width="19" customWidth="1"/>
    <col min="7687" max="7687" width="18.5703125" customWidth="1"/>
    <col min="7688" max="7688" width="16.42578125" customWidth="1"/>
    <col min="7689" max="7689" width="16.85546875" customWidth="1"/>
    <col min="7690" max="7690" width="17.7109375" customWidth="1"/>
    <col min="7691" max="7695" width="13.5703125" bestFit="1" customWidth="1"/>
    <col min="7696" max="7698" width="12.7109375" bestFit="1" customWidth="1"/>
    <col min="7699" max="7699" width="13.7109375" bestFit="1" customWidth="1"/>
    <col min="7941" max="7941" width="15" customWidth="1"/>
    <col min="7942" max="7942" width="19" customWidth="1"/>
    <col min="7943" max="7943" width="18.5703125" customWidth="1"/>
    <col min="7944" max="7944" width="16.42578125" customWidth="1"/>
    <col min="7945" max="7945" width="16.85546875" customWidth="1"/>
    <col min="7946" max="7946" width="17.7109375" customWidth="1"/>
    <col min="7947" max="7951" width="13.5703125" bestFit="1" customWidth="1"/>
    <col min="7952" max="7954" width="12.7109375" bestFit="1" customWidth="1"/>
    <col min="7955" max="7955" width="13.7109375" bestFit="1" customWidth="1"/>
    <col min="8197" max="8197" width="15" customWidth="1"/>
    <col min="8198" max="8198" width="19" customWidth="1"/>
    <col min="8199" max="8199" width="18.5703125" customWidth="1"/>
    <col min="8200" max="8200" width="16.42578125" customWidth="1"/>
    <col min="8201" max="8201" width="16.85546875" customWidth="1"/>
    <col min="8202" max="8202" width="17.7109375" customWidth="1"/>
    <col min="8203" max="8207" width="13.5703125" bestFit="1" customWidth="1"/>
    <col min="8208" max="8210" width="12.7109375" bestFit="1" customWidth="1"/>
    <col min="8211" max="8211" width="13.7109375" bestFit="1" customWidth="1"/>
    <col min="8453" max="8453" width="15" customWidth="1"/>
    <col min="8454" max="8454" width="19" customWidth="1"/>
    <col min="8455" max="8455" width="18.5703125" customWidth="1"/>
    <col min="8456" max="8456" width="16.42578125" customWidth="1"/>
    <col min="8457" max="8457" width="16.85546875" customWidth="1"/>
    <col min="8458" max="8458" width="17.7109375" customWidth="1"/>
    <col min="8459" max="8463" width="13.5703125" bestFit="1" customWidth="1"/>
    <col min="8464" max="8466" width="12.7109375" bestFit="1" customWidth="1"/>
    <col min="8467" max="8467" width="13.7109375" bestFit="1" customWidth="1"/>
    <col min="8709" max="8709" width="15" customWidth="1"/>
    <col min="8710" max="8710" width="19" customWidth="1"/>
    <col min="8711" max="8711" width="18.5703125" customWidth="1"/>
    <col min="8712" max="8712" width="16.42578125" customWidth="1"/>
    <col min="8713" max="8713" width="16.85546875" customWidth="1"/>
    <col min="8714" max="8714" width="17.7109375" customWidth="1"/>
    <col min="8715" max="8719" width="13.5703125" bestFit="1" customWidth="1"/>
    <col min="8720" max="8722" width="12.7109375" bestFit="1" customWidth="1"/>
    <col min="8723" max="8723" width="13.7109375" bestFit="1" customWidth="1"/>
    <col min="8965" max="8965" width="15" customWidth="1"/>
    <col min="8966" max="8966" width="19" customWidth="1"/>
    <col min="8967" max="8967" width="18.5703125" customWidth="1"/>
    <col min="8968" max="8968" width="16.42578125" customWidth="1"/>
    <col min="8969" max="8969" width="16.85546875" customWidth="1"/>
    <col min="8970" max="8970" width="17.7109375" customWidth="1"/>
    <col min="8971" max="8975" width="13.5703125" bestFit="1" customWidth="1"/>
    <col min="8976" max="8978" width="12.7109375" bestFit="1" customWidth="1"/>
    <col min="8979" max="8979" width="13.7109375" bestFit="1" customWidth="1"/>
    <col min="9221" max="9221" width="15" customWidth="1"/>
    <col min="9222" max="9222" width="19" customWidth="1"/>
    <col min="9223" max="9223" width="18.5703125" customWidth="1"/>
    <col min="9224" max="9224" width="16.42578125" customWidth="1"/>
    <col min="9225" max="9225" width="16.85546875" customWidth="1"/>
    <col min="9226" max="9226" width="17.7109375" customWidth="1"/>
    <col min="9227" max="9231" width="13.5703125" bestFit="1" customWidth="1"/>
    <col min="9232" max="9234" width="12.7109375" bestFit="1" customWidth="1"/>
    <col min="9235" max="9235" width="13.7109375" bestFit="1" customWidth="1"/>
    <col min="9477" max="9477" width="15" customWidth="1"/>
    <col min="9478" max="9478" width="19" customWidth="1"/>
    <col min="9479" max="9479" width="18.5703125" customWidth="1"/>
    <col min="9480" max="9480" width="16.42578125" customWidth="1"/>
    <col min="9481" max="9481" width="16.85546875" customWidth="1"/>
    <col min="9482" max="9482" width="17.7109375" customWidth="1"/>
    <col min="9483" max="9487" width="13.5703125" bestFit="1" customWidth="1"/>
    <col min="9488" max="9490" width="12.7109375" bestFit="1" customWidth="1"/>
    <col min="9491" max="9491" width="13.7109375" bestFit="1" customWidth="1"/>
    <col min="9733" max="9733" width="15" customWidth="1"/>
    <col min="9734" max="9734" width="19" customWidth="1"/>
    <col min="9735" max="9735" width="18.5703125" customWidth="1"/>
    <col min="9736" max="9736" width="16.42578125" customWidth="1"/>
    <col min="9737" max="9737" width="16.85546875" customWidth="1"/>
    <col min="9738" max="9738" width="17.7109375" customWidth="1"/>
    <col min="9739" max="9743" width="13.5703125" bestFit="1" customWidth="1"/>
    <col min="9744" max="9746" width="12.7109375" bestFit="1" customWidth="1"/>
    <col min="9747" max="9747" width="13.7109375" bestFit="1" customWidth="1"/>
    <col min="9989" max="9989" width="15" customWidth="1"/>
    <col min="9990" max="9990" width="19" customWidth="1"/>
    <col min="9991" max="9991" width="18.5703125" customWidth="1"/>
    <col min="9992" max="9992" width="16.42578125" customWidth="1"/>
    <col min="9993" max="9993" width="16.85546875" customWidth="1"/>
    <col min="9994" max="9994" width="17.7109375" customWidth="1"/>
    <col min="9995" max="9999" width="13.5703125" bestFit="1" customWidth="1"/>
    <col min="10000" max="10002" width="12.7109375" bestFit="1" customWidth="1"/>
    <col min="10003" max="10003" width="13.7109375" bestFit="1" customWidth="1"/>
    <col min="10245" max="10245" width="15" customWidth="1"/>
    <col min="10246" max="10246" width="19" customWidth="1"/>
    <col min="10247" max="10247" width="18.5703125" customWidth="1"/>
    <col min="10248" max="10248" width="16.42578125" customWidth="1"/>
    <col min="10249" max="10249" width="16.85546875" customWidth="1"/>
    <col min="10250" max="10250" width="17.7109375" customWidth="1"/>
    <col min="10251" max="10255" width="13.5703125" bestFit="1" customWidth="1"/>
    <col min="10256" max="10258" width="12.7109375" bestFit="1" customWidth="1"/>
    <col min="10259" max="10259" width="13.7109375" bestFit="1" customWidth="1"/>
    <col min="10501" max="10501" width="15" customWidth="1"/>
    <col min="10502" max="10502" width="19" customWidth="1"/>
    <col min="10503" max="10503" width="18.5703125" customWidth="1"/>
    <col min="10504" max="10504" width="16.42578125" customWidth="1"/>
    <col min="10505" max="10505" width="16.85546875" customWidth="1"/>
    <col min="10506" max="10506" width="17.7109375" customWidth="1"/>
    <col min="10507" max="10511" width="13.5703125" bestFit="1" customWidth="1"/>
    <col min="10512" max="10514" width="12.7109375" bestFit="1" customWidth="1"/>
    <col min="10515" max="10515" width="13.7109375" bestFit="1" customWidth="1"/>
    <col min="10757" max="10757" width="15" customWidth="1"/>
    <col min="10758" max="10758" width="19" customWidth="1"/>
    <col min="10759" max="10759" width="18.5703125" customWidth="1"/>
    <col min="10760" max="10760" width="16.42578125" customWidth="1"/>
    <col min="10761" max="10761" width="16.85546875" customWidth="1"/>
    <col min="10762" max="10762" width="17.7109375" customWidth="1"/>
    <col min="10763" max="10767" width="13.5703125" bestFit="1" customWidth="1"/>
    <col min="10768" max="10770" width="12.7109375" bestFit="1" customWidth="1"/>
    <col min="10771" max="10771" width="13.7109375" bestFit="1" customWidth="1"/>
    <col min="11013" max="11013" width="15" customWidth="1"/>
    <col min="11014" max="11014" width="19" customWidth="1"/>
    <col min="11015" max="11015" width="18.5703125" customWidth="1"/>
    <col min="11016" max="11016" width="16.42578125" customWidth="1"/>
    <col min="11017" max="11017" width="16.85546875" customWidth="1"/>
    <col min="11018" max="11018" width="17.7109375" customWidth="1"/>
    <col min="11019" max="11023" width="13.5703125" bestFit="1" customWidth="1"/>
    <col min="11024" max="11026" width="12.7109375" bestFit="1" customWidth="1"/>
    <col min="11027" max="11027" width="13.7109375" bestFit="1" customWidth="1"/>
    <col min="11269" max="11269" width="15" customWidth="1"/>
    <col min="11270" max="11270" width="19" customWidth="1"/>
    <col min="11271" max="11271" width="18.5703125" customWidth="1"/>
    <col min="11272" max="11272" width="16.42578125" customWidth="1"/>
    <col min="11273" max="11273" width="16.85546875" customWidth="1"/>
    <col min="11274" max="11274" width="17.7109375" customWidth="1"/>
    <col min="11275" max="11279" width="13.5703125" bestFit="1" customWidth="1"/>
    <col min="11280" max="11282" width="12.7109375" bestFit="1" customWidth="1"/>
    <col min="11283" max="11283" width="13.7109375" bestFit="1" customWidth="1"/>
    <col min="11525" max="11525" width="15" customWidth="1"/>
    <col min="11526" max="11526" width="19" customWidth="1"/>
    <col min="11527" max="11527" width="18.5703125" customWidth="1"/>
    <col min="11528" max="11528" width="16.42578125" customWidth="1"/>
    <col min="11529" max="11529" width="16.85546875" customWidth="1"/>
    <col min="11530" max="11530" width="17.7109375" customWidth="1"/>
    <col min="11531" max="11535" width="13.5703125" bestFit="1" customWidth="1"/>
    <col min="11536" max="11538" width="12.7109375" bestFit="1" customWidth="1"/>
    <col min="11539" max="11539" width="13.7109375" bestFit="1" customWidth="1"/>
    <col min="11781" max="11781" width="15" customWidth="1"/>
    <col min="11782" max="11782" width="19" customWidth="1"/>
    <col min="11783" max="11783" width="18.5703125" customWidth="1"/>
    <col min="11784" max="11784" width="16.42578125" customWidth="1"/>
    <col min="11785" max="11785" width="16.85546875" customWidth="1"/>
    <col min="11786" max="11786" width="17.7109375" customWidth="1"/>
    <col min="11787" max="11791" width="13.5703125" bestFit="1" customWidth="1"/>
    <col min="11792" max="11794" width="12.7109375" bestFit="1" customWidth="1"/>
    <col min="11795" max="11795" width="13.7109375" bestFit="1" customWidth="1"/>
    <col min="12037" max="12037" width="15" customWidth="1"/>
    <col min="12038" max="12038" width="19" customWidth="1"/>
    <col min="12039" max="12039" width="18.5703125" customWidth="1"/>
    <col min="12040" max="12040" width="16.42578125" customWidth="1"/>
    <col min="12041" max="12041" width="16.85546875" customWidth="1"/>
    <col min="12042" max="12042" width="17.7109375" customWidth="1"/>
    <col min="12043" max="12047" width="13.5703125" bestFit="1" customWidth="1"/>
    <col min="12048" max="12050" width="12.7109375" bestFit="1" customWidth="1"/>
    <col min="12051" max="12051" width="13.7109375" bestFit="1" customWidth="1"/>
    <col min="12293" max="12293" width="15" customWidth="1"/>
    <col min="12294" max="12294" width="19" customWidth="1"/>
    <col min="12295" max="12295" width="18.5703125" customWidth="1"/>
    <col min="12296" max="12296" width="16.42578125" customWidth="1"/>
    <col min="12297" max="12297" width="16.85546875" customWidth="1"/>
    <col min="12298" max="12298" width="17.7109375" customWidth="1"/>
    <col min="12299" max="12303" width="13.5703125" bestFit="1" customWidth="1"/>
    <col min="12304" max="12306" width="12.7109375" bestFit="1" customWidth="1"/>
    <col min="12307" max="12307" width="13.7109375" bestFit="1" customWidth="1"/>
    <col min="12549" max="12549" width="15" customWidth="1"/>
    <col min="12550" max="12550" width="19" customWidth="1"/>
    <col min="12551" max="12551" width="18.5703125" customWidth="1"/>
    <col min="12552" max="12552" width="16.42578125" customWidth="1"/>
    <col min="12553" max="12553" width="16.85546875" customWidth="1"/>
    <col min="12554" max="12554" width="17.7109375" customWidth="1"/>
    <col min="12555" max="12559" width="13.5703125" bestFit="1" customWidth="1"/>
    <col min="12560" max="12562" width="12.7109375" bestFit="1" customWidth="1"/>
    <col min="12563" max="12563" width="13.7109375" bestFit="1" customWidth="1"/>
    <col min="12805" max="12805" width="15" customWidth="1"/>
    <col min="12806" max="12806" width="19" customWidth="1"/>
    <col min="12807" max="12807" width="18.5703125" customWidth="1"/>
    <col min="12808" max="12808" width="16.42578125" customWidth="1"/>
    <col min="12809" max="12809" width="16.85546875" customWidth="1"/>
    <col min="12810" max="12810" width="17.7109375" customWidth="1"/>
    <col min="12811" max="12815" width="13.5703125" bestFit="1" customWidth="1"/>
    <col min="12816" max="12818" width="12.7109375" bestFit="1" customWidth="1"/>
    <col min="12819" max="12819" width="13.7109375" bestFit="1" customWidth="1"/>
    <col min="13061" max="13061" width="15" customWidth="1"/>
    <col min="13062" max="13062" width="19" customWidth="1"/>
    <col min="13063" max="13063" width="18.5703125" customWidth="1"/>
    <col min="13064" max="13064" width="16.42578125" customWidth="1"/>
    <col min="13065" max="13065" width="16.85546875" customWidth="1"/>
    <col min="13066" max="13066" width="17.7109375" customWidth="1"/>
    <col min="13067" max="13071" width="13.5703125" bestFit="1" customWidth="1"/>
    <col min="13072" max="13074" width="12.7109375" bestFit="1" customWidth="1"/>
    <col min="13075" max="13075" width="13.7109375" bestFit="1" customWidth="1"/>
    <col min="13317" max="13317" width="15" customWidth="1"/>
    <col min="13318" max="13318" width="19" customWidth="1"/>
    <col min="13319" max="13319" width="18.5703125" customWidth="1"/>
    <col min="13320" max="13320" width="16.42578125" customWidth="1"/>
    <col min="13321" max="13321" width="16.85546875" customWidth="1"/>
    <col min="13322" max="13322" width="17.7109375" customWidth="1"/>
    <col min="13323" max="13327" width="13.5703125" bestFit="1" customWidth="1"/>
    <col min="13328" max="13330" width="12.7109375" bestFit="1" customWidth="1"/>
    <col min="13331" max="13331" width="13.7109375" bestFit="1" customWidth="1"/>
    <col min="13573" max="13573" width="15" customWidth="1"/>
    <col min="13574" max="13574" width="19" customWidth="1"/>
    <col min="13575" max="13575" width="18.5703125" customWidth="1"/>
    <col min="13576" max="13576" width="16.42578125" customWidth="1"/>
    <col min="13577" max="13577" width="16.85546875" customWidth="1"/>
    <col min="13578" max="13578" width="17.7109375" customWidth="1"/>
    <col min="13579" max="13583" width="13.5703125" bestFit="1" customWidth="1"/>
    <col min="13584" max="13586" width="12.7109375" bestFit="1" customWidth="1"/>
    <col min="13587" max="13587" width="13.7109375" bestFit="1" customWidth="1"/>
    <col min="13829" max="13829" width="15" customWidth="1"/>
    <col min="13830" max="13830" width="19" customWidth="1"/>
    <col min="13831" max="13831" width="18.5703125" customWidth="1"/>
    <col min="13832" max="13832" width="16.42578125" customWidth="1"/>
    <col min="13833" max="13833" width="16.85546875" customWidth="1"/>
    <col min="13834" max="13834" width="17.7109375" customWidth="1"/>
    <col min="13835" max="13839" width="13.5703125" bestFit="1" customWidth="1"/>
    <col min="13840" max="13842" width="12.7109375" bestFit="1" customWidth="1"/>
    <col min="13843" max="13843" width="13.7109375" bestFit="1" customWidth="1"/>
    <col min="14085" max="14085" width="15" customWidth="1"/>
    <col min="14086" max="14086" width="19" customWidth="1"/>
    <col min="14087" max="14087" width="18.5703125" customWidth="1"/>
    <col min="14088" max="14088" width="16.42578125" customWidth="1"/>
    <col min="14089" max="14089" width="16.85546875" customWidth="1"/>
    <col min="14090" max="14090" width="17.7109375" customWidth="1"/>
    <col min="14091" max="14095" width="13.5703125" bestFit="1" customWidth="1"/>
    <col min="14096" max="14098" width="12.7109375" bestFit="1" customWidth="1"/>
    <col min="14099" max="14099" width="13.7109375" bestFit="1" customWidth="1"/>
    <col min="14341" max="14341" width="15" customWidth="1"/>
    <col min="14342" max="14342" width="19" customWidth="1"/>
    <col min="14343" max="14343" width="18.5703125" customWidth="1"/>
    <col min="14344" max="14344" width="16.42578125" customWidth="1"/>
    <col min="14345" max="14345" width="16.85546875" customWidth="1"/>
    <col min="14346" max="14346" width="17.7109375" customWidth="1"/>
    <col min="14347" max="14351" width="13.5703125" bestFit="1" customWidth="1"/>
    <col min="14352" max="14354" width="12.7109375" bestFit="1" customWidth="1"/>
    <col min="14355" max="14355" width="13.7109375" bestFit="1" customWidth="1"/>
    <col min="14597" max="14597" width="15" customWidth="1"/>
    <col min="14598" max="14598" width="19" customWidth="1"/>
    <col min="14599" max="14599" width="18.5703125" customWidth="1"/>
    <col min="14600" max="14600" width="16.42578125" customWidth="1"/>
    <col min="14601" max="14601" width="16.85546875" customWidth="1"/>
    <col min="14602" max="14602" width="17.7109375" customWidth="1"/>
    <col min="14603" max="14607" width="13.5703125" bestFit="1" customWidth="1"/>
    <col min="14608" max="14610" width="12.7109375" bestFit="1" customWidth="1"/>
    <col min="14611" max="14611" width="13.7109375" bestFit="1" customWidth="1"/>
    <col min="14853" max="14853" width="15" customWidth="1"/>
    <col min="14854" max="14854" width="19" customWidth="1"/>
    <col min="14855" max="14855" width="18.5703125" customWidth="1"/>
    <col min="14856" max="14856" width="16.42578125" customWidth="1"/>
    <col min="14857" max="14857" width="16.85546875" customWidth="1"/>
    <col min="14858" max="14858" width="17.7109375" customWidth="1"/>
    <col min="14859" max="14863" width="13.5703125" bestFit="1" customWidth="1"/>
    <col min="14864" max="14866" width="12.7109375" bestFit="1" customWidth="1"/>
    <col min="14867" max="14867" width="13.7109375" bestFit="1" customWidth="1"/>
    <col min="15109" max="15109" width="15" customWidth="1"/>
    <col min="15110" max="15110" width="19" customWidth="1"/>
    <col min="15111" max="15111" width="18.5703125" customWidth="1"/>
    <col min="15112" max="15112" width="16.42578125" customWidth="1"/>
    <col min="15113" max="15113" width="16.85546875" customWidth="1"/>
    <col min="15114" max="15114" width="17.7109375" customWidth="1"/>
    <col min="15115" max="15119" width="13.5703125" bestFit="1" customWidth="1"/>
    <col min="15120" max="15122" width="12.7109375" bestFit="1" customWidth="1"/>
    <col min="15123" max="15123" width="13.7109375" bestFit="1" customWidth="1"/>
    <col min="15365" max="15365" width="15" customWidth="1"/>
    <col min="15366" max="15366" width="19" customWidth="1"/>
    <col min="15367" max="15367" width="18.5703125" customWidth="1"/>
    <col min="15368" max="15368" width="16.42578125" customWidth="1"/>
    <col min="15369" max="15369" width="16.85546875" customWidth="1"/>
    <col min="15370" max="15370" width="17.7109375" customWidth="1"/>
    <col min="15371" max="15375" width="13.5703125" bestFit="1" customWidth="1"/>
    <col min="15376" max="15378" width="12.7109375" bestFit="1" customWidth="1"/>
    <col min="15379" max="15379" width="13.7109375" bestFit="1" customWidth="1"/>
    <col min="15621" max="15621" width="15" customWidth="1"/>
    <col min="15622" max="15622" width="19" customWidth="1"/>
    <col min="15623" max="15623" width="18.5703125" customWidth="1"/>
    <col min="15624" max="15624" width="16.42578125" customWidth="1"/>
    <col min="15625" max="15625" width="16.85546875" customWidth="1"/>
    <col min="15626" max="15626" width="17.7109375" customWidth="1"/>
    <col min="15627" max="15631" width="13.5703125" bestFit="1" customWidth="1"/>
    <col min="15632" max="15634" width="12.7109375" bestFit="1" customWidth="1"/>
    <col min="15635" max="15635" width="13.7109375" bestFit="1" customWidth="1"/>
    <col min="15877" max="15877" width="15" customWidth="1"/>
    <col min="15878" max="15878" width="19" customWidth="1"/>
    <col min="15879" max="15879" width="18.5703125" customWidth="1"/>
    <col min="15880" max="15880" width="16.42578125" customWidth="1"/>
    <col min="15881" max="15881" width="16.85546875" customWidth="1"/>
    <col min="15882" max="15882" width="17.7109375" customWidth="1"/>
    <col min="15883" max="15887" width="13.5703125" bestFit="1" customWidth="1"/>
    <col min="15888" max="15890" width="12.7109375" bestFit="1" customWidth="1"/>
    <col min="15891" max="15891" width="13.7109375" bestFit="1" customWidth="1"/>
    <col min="16133" max="16133" width="15" customWidth="1"/>
    <col min="16134" max="16134" width="19" customWidth="1"/>
    <col min="16135" max="16135" width="18.5703125" customWidth="1"/>
    <col min="16136" max="16136" width="16.42578125" customWidth="1"/>
    <col min="16137" max="16137" width="16.85546875" customWidth="1"/>
    <col min="16138" max="16138" width="17.7109375" customWidth="1"/>
    <col min="16139" max="16143" width="13.5703125" bestFit="1" customWidth="1"/>
    <col min="16144" max="16146" width="12.7109375" bestFit="1" customWidth="1"/>
    <col min="16147" max="16147" width="13.7109375" bestFit="1" customWidth="1"/>
  </cols>
  <sheetData>
    <row r="1" spans="1:13" x14ac:dyDescent="0.25">
      <c r="A1" s="511" t="s">
        <v>2</v>
      </c>
      <c r="B1" s="512"/>
      <c r="C1" s="512"/>
      <c r="D1" s="512"/>
      <c r="E1" s="512"/>
      <c r="F1" s="512"/>
      <c r="G1" s="512"/>
      <c r="H1" s="512"/>
    </row>
    <row r="2" spans="1:13" x14ac:dyDescent="0.25">
      <c r="A2" s="511" t="s">
        <v>3076</v>
      </c>
      <c r="B2" s="512"/>
      <c r="C2" s="512"/>
      <c r="D2" s="512"/>
      <c r="E2" s="512"/>
      <c r="F2" s="512"/>
      <c r="G2" s="512"/>
      <c r="H2" s="512"/>
    </row>
    <row r="3" spans="1:13" x14ac:dyDescent="0.25">
      <c r="A3" s="511" t="s">
        <v>3077</v>
      </c>
      <c r="B3" s="512"/>
      <c r="C3" s="512"/>
      <c r="D3" s="512"/>
      <c r="E3" s="512"/>
      <c r="F3" s="512"/>
      <c r="G3" s="512"/>
      <c r="H3" s="512"/>
    </row>
    <row r="4" spans="1:13" ht="15.75" thickBot="1" x14ac:dyDescent="0.3">
      <c r="A4" s="515" t="s">
        <v>3101</v>
      </c>
      <c r="B4" s="516"/>
      <c r="C4" s="516"/>
      <c r="D4" s="516"/>
      <c r="E4" s="516"/>
      <c r="F4" s="516"/>
      <c r="G4" s="516"/>
      <c r="H4" s="516"/>
    </row>
    <row r="5" spans="1:13" s="348" customFormat="1" ht="30.75" thickBot="1" x14ac:dyDescent="0.3">
      <c r="A5" s="103" t="s">
        <v>5</v>
      </c>
      <c r="B5" s="2" t="s">
        <v>6</v>
      </c>
      <c r="C5" s="3" t="s">
        <v>7</v>
      </c>
      <c r="D5" s="3" t="s">
        <v>3147</v>
      </c>
      <c r="E5" s="3" t="s">
        <v>41</v>
      </c>
      <c r="F5" s="3" t="s">
        <v>3132</v>
      </c>
      <c r="G5" s="3" t="s">
        <v>3078</v>
      </c>
      <c r="H5" s="5" t="s">
        <v>8</v>
      </c>
    </row>
    <row r="6" spans="1:13" x14ac:dyDescent="0.25">
      <c r="A6" s="6">
        <v>43763</v>
      </c>
      <c r="B6" s="7" t="s">
        <v>359</v>
      </c>
      <c r="C6" s="8"/>
      <c r="D6" s="8">
        <v>0</v>
      </c>
      <c r="E6" s="8"/>
      <c r="F6" s="8"/>
      <c r="G6" s="8"/>
      <c r="H6" s="9">
        <v>4233392200</v>
      </c>
      <c r="I6" s="54"/>
    </row>
    <row r="7" spans="1:13" x14ac:dyDescent="0.25">
      <c r="A7" s="6">
        <f>A6+31</f>
        <v>43794</v>
      </c>
      <c r="B7" s="297" t="s">
        <v>9</v>
      </c>
      <c r="C7" s="294"/>
      <c r="D7" s="294">
        <f>H6*$B$157*$B$156/360</f>
        <v>21586772.393166665</v>
      </c>
      <c r="E7" s="294">
        <v>21586772.393166665</v>
      </c>
      <c r="F7" s="294"/>
      <c r="G7" s="294">
        <f>E7+C7+F7</f>
        <v>21586772.393166665</v>
      </c>
      <c r="H7" s="9">
        <v>4233392200</v>
      </c>
      <c r="I7" s="105"/>
    </row>
    <row r="8" spans="1:13" x14ac:dyDescent="0.25">
      <c r="A8" s="6">
        <f>A7+30</f>
        <v>43824</v>
      </c>
      <c r="B8" s="297" t="s">
        <v>9</v>
      </c>
      <c r="C8" s="294"/>
      <c r="D8" s="294">
        <f>H7*$C$157*$C$156/360</f>
        <v>21572661.085833333</v>
      </c>
      <c r="E8" s="294">
        <v>21572661.085833333</v>
      </c>
      <c r="F8" s="294"/>
      <c r="G8" s="294">
        <f t="shared" ref="G8:G11" si="0">E8+C8+F8</f>
        <v>21572661.085833333</v>
      </c>
      <c r="H8" s="9">
        <v>4233392200</v>
      </c>
      <c r="I8" s="54"/>
    </row>
    <row r="9" spans="1:13" x14ac:dyDescent="0.25">
      <c r="A9" s="6">
        <f>A8+31</f>
        <v>43855</v>
      </c>
      <c r="B9" s="297" t="s">
        <v>9</v>
      </c>
      <c r="C9" s="294"/>
      <c r="D9" s="294">
        <f>H8*$D$157*$D$156/360</f>
        <v>21562077.605333332</v>
      </c>
      <c r="E9" s="294">
        <v>21562077.605333332</v>
      </c>
      <c r="F9" s="294"/>
      <c r="G9" s="294">
        <f t="shared" si="0"/>
        <v>21562077.605333332</v>
      </c>
      <c r="H9" s="9">
        <v>4233392200</v>
      </c>
      <c r="I9" s="138"/>
    </row>
    <row r="10" spans="1:13" x14ac:dyDescent="0.25">
      <c r="A10" s="6">
        <f>A9+31</f>
        <v>43886</v>
      </c>
      <c r="B10" s="297" t="s">
        <v>9</v>
      </c>
      <c r="C10" s="294"/>
      <c r="D10" s="294">
        <f>H9*$E$157*$E$156/360</f>
        <v>21572661.085833333</v>
      </c>
      <c r="E10" s="294">
        <v>21572661.085833333</v>
      </c>
      <c r="F10" s="294"/>
      <c r="G10" s="294">
        <f t="shared" si="0"/>
        <v>21572661.085833333</v>
      </c>
      <c r="H10" s="9">
        <v>4233392200</v>
      </c>
    </row>
    <row r="11" spans="1:13" x14ac:dyDescent="0.25">
      <c r="A11" s="6">
        <f>A10+29</f>
        <v>43915</v>
      </c>
      <c r="B11" s="297" t="s">
        <v>9</v>
      </c>
      <c r="C11" s="294"/>
      <c r="D11" s="294">
        <f>H10*$F$157*$F$156/360</f>
        <v>21572661.085833333</v>
      </c>
      <c r="E11" s="294">
        <v>21572661.085833333</v>
      </c>
      <c r="F11" s="294"/>
      <c r="G11" s="294">
        <f t="shared" si="0"/>
        <v>21572661.085833333</v>
      </c>
      <c r="H11" s="9">
        <v>4233392200</v>
      </c>
      <c r="I11" s="76"/>
      <c r="J11" s="138"/>
    </row>
    <row r="12" spans="1:13" x14ac:dyDescent="0.25">
      <c r="A12" s="6">
        <f>A11+31</f>
        <v>43946</v>
      </c>
      <c r="B12" s="297" t="s">
        <v>9</v>
      </c>
      <c r="C12" s="294"/>
      <c r="D12" s="18">
        <f>H11*$G$157*$G$156/360</f>
        <v>21149321.865833335</v>
      </c>
      <c r="E12" s="18">
        <v>21149321.865833335</v>
      </c>
      <c r="F12" s="294"/>
      <c r="G12" s="294"/>
      <c r="H12" s="9">
        <v>4233392200</v>
      </c>
      <c r="I12" s="76"/>
      <c r="J12" s="76"/>
    </row>
    <row r="13" spans="1:13" x14ac:dyDescent="0.25">
      <c r="A13" s="6">
        <f>A12+30</f>
        <v>43976</v>
      </c>
      <c r="B13" s="297" t="s">
        <v>9</v>
      </c>
      <c r="C13" s="294"/>
      <c r="D13" s="18">
        <f>H12*$H$157*$H$156/360</f>
        <v>18207114.286833335</v>
      </c>
      <c r="E13" s="18">
        <v>18207114.286833335</v>
      </c>
      <c r="F13" s="294"/>
      <c r="G13" s="294"/>
      <c r="H13" s="9">
        <v>4233392200</v>
      </c>
      <c r="I13" s="54"/>
      <c r="J13" s="76"/>
    </row>
    <row r="14" spans="1:13" x14ac:dyDescent="0.25">
      <c r="A14" s="6">
        <f>A13+31</f>
        <v>44007</v>
      </c>
      <c r="B14" s="11" t="s">
        <v>9</v>
      </c>
      <c r="C14" s="12"/>
      <c r="D14" s="18">
        <f>H13*$I$157*$I$156/360</f>
        <v>16944152.280500002</v>
      </c>
      <c r="E14" s="18">
        <v>16944152.280500002</v>
      </c>
      <c r="F14" s="294"/>
      <c r="G14" s="294"/>
      <c r="H14" s="9">
        <v>4233392200</v>
      </c>
      <c r="I14" s="76"/>
      <c r="J14" s="439"/>
      <c r="L14" s="54"/>
      <c r="M14" s="54" t="s">
        <v>42</v>
      </c>
    </row>
    <row r="15" spans="1:13" x14ac:dyDescent="0.25">
      <c r="A15" s="6">
        <f>A14+30</f>
        <v>44037</v>
      </c>
      <c r="B15" s="11" t="s">
        <v>9</v>
      </c>
      <c r="C15" s="12"/>
      <c r="D15" s="18">
        <f>H14*J$157*$J$156/360</f>
        <v>15391908.473833336</v>
      </c>
      <c r="E15" s="18">
        <v>15391908.473833336</v>
      </c>
      <c r="F15" s="294"/>
      <c r="G15" s="294"/>
      <c r="H15" s="13">
        <f t="shared" ref="H15:H46" si="1">+H14-C15</f>
        <v>4233392200</v>
      </c>
      <c r="I15" s="54"/>
      <c r="L15" s="76"/>
    </row>
    <row r="16" spans="1:13" x14ac:dyDescent="0.25">
      <c r="A16" s="6">
        <f>A15+31</f>
        <v>44068</v>
      </c>
      <c r="B16" s="11" t="s">
        <v>9</v>
      </c>
      <c r="C16" s="12"/>
      <c r="D16" s="18">
        <f>H15*B$164*$B$163/360</f>
        <v>15035597.963666666</v>
      </c>
      <c r="E16" s="18">
        <v>15035597.963666666</v>
      </c>
      <c r="F16" s="294"/>
      <c r="G16" s="294"/>
      <c r="H16" s="13">
        <f t="shared" si="1"/>
        <v>4233392200</v>
      </c>
      <c r="I16" s="54"/>
      <c r="J16" s="105"/>
    </row>
    <row r="17" spans="1:9" x14ac:dyDescent="0.25">
      <c r="A17" s="6">
        <f>A16+31</f>
        <v>44099</v>
      </c>
      <c r="B17" s="11" t="s">
        <v>9</v>
      </c>
      <c r="C17" s="12"/>
      <c r="D17" s="18">
        <f>H16*C$164*$C$163/360</f>
        <v>14143057.774833335</v>
      </c>
      <c r="E17" s="18">
        <v>14143057.774833335</v>
      </c>
      <c r="F17" s="462">
        <v>128491497</v>
      </c>
      <c r="G17" s="12"/>
      <c r="H17" s="13">
        <f t="shared" si="1"/>
        <v>4233392200</v>
      </c>
      <c r="I17" s="76"/>
    </row>
    <row r="18" spans="1:9" x14ac:dyDescent="0.25">
      <c r="A18" s="6">
        <f>A17+30</f>
        <v>44129</v>
      </c>
      <c r="B18" s="11" t="s">
        <v>9</v>
      </c>
      <c r="C18" s="12"/>
      <c r="D18" s="294">
        <f>H17*D$164*$D$163/360</f>
        <v>13592716.788833335</v>
      </c>
      <c r="E18" s="294">
        <v>13592716.788833335</v>
      </c>
      <c r="F18" s="294">
        <f>+F17/8</f>
        <v>16061437.125</v>
      </c>
      <c r="G18" s="294">
        <f>E18+C18+F18</f>
        <v>29654153.913833335</v>
      </c>
      <c r="H18" s="13">
        <f t="shared" si="1"/>
        <v>4233392200</v>
      </c>
    </row>
    <row r="19" spans="1:9" x14ac:dyDescent="0.25">
      <c r="A19" s="6">
        <f>A18+31</f>
        <v>44160</v>
      </c>
      <c r="B19" s="11" t="s">
        <v>9</v>
      </c>
      <c r="C19" s="12"/>
      <c r="D19" s="294">
        <f>H18*E$164*$E$163/360</f>
        <v>13102348.858999999</v>
      </c>
      <c r="E19" s="294">
        <v>13102348.858999999</v>
      </c>
      <c r="F19" s="294">
        <v>16061437.125</v>
      </c>
      <c r="G19" s="294">
        <f t="shared" ref="G19:G82" si="2">E19+C19+F19</f>
        <v>29163785.983999997</v>
      </c>
      <c r="H19" s="13">
        <f t="shared" si="1"/>
        <v>4233392200</v>
      </c>
    </row>
    <row r="20" spans="1:9" x14ac:dyDescent="0.25">
      <c r="A20" s="6">
        <f>A19+30</f>
        <v>44190</v>
      </c>
      <c r="B20" s="11" t="s">
        <v>9</v>
      </c>
      <c r="C20" s="12"/>
      <c r="D20" s="294">
        <f>H19*F$164*$F$163/360</f>
        <v>13130571.473666668</v>
      </c>
      <c r="E20" s="294">
        <v>13130571.473666668</v>
      </c>
      <c r="F20" s="294">
        <v>16061437</v>
      </c>
      <c r="G20" s="294">
        <f t="shared" si="2"/>
        <v>29192008.473666668</v>
      </c>
      <c r="H20" s="13">
        <f t="shared" si="1"/>
        <v>4233392200</v>
      </c>
    </row>
    <row r="21" spans="1:9" x14ac:dyDescent="0.25">
      <c r="A21" s="6">
        <f>A20+31</f>
        <v>44221</v>
      </c>
      <c r="B21" s="11" t="s">
        <v>9</v>
      </c>
      <c r="C21" s="12"/>
      <c r="D21" s="294">
        <f>H20*G$164*$G$163/360</f>
        <v>13095293.205333333</v>
      </c>
      <c r="E21" s="294">
        <v>13095293</v>
      </c>
      <c r="F21" s="294">
        <v>16061437.125</v>
      </c>
      <c r="G21" s="294">
        <f t="shared" si="2"/>
        <v>29156730.125</v>
      </c>
      <c r="H21" s="13">
        <f t="shared" si="1"/>
        <v>4233392200</v>
      </c>
    </row>
    <row r="22" spans="1:9" x14ac:dyDescent="0.25">
      <c r="A22" s="6">
        <f>A21+31</f>
        <v>44252</v>
      </c>
      <c r="B22" s="11" t="s">
        <v>9</v>
      </c>
      <c r="C22" s="12"/>
      <c r="D22" s="294">
        <f t="shared" ref="D22:D32" si="3">H21*H$164*$H$163/360</f>
        <v>21166961</v>
      </c>
      <c r="E22" s="294"/>
      <c r="F22" s="294">
        <v>16061437.125</v>
      </c>
      <c r="G22" s="294">
        <f t="shared" si="2"/>
        <v>16061437.125</v>
      </c>
      <c r="H22" s="13">
        <f t="shared" si="1"/>
        <v>4233392200</v>
      </c>
    </row>
    <row r="23" spans="1:9" x14ac:dyDescent="0.25">
      <c r="A23" s="6">
        <f>A22+28</f>
        <v>44280</v>
      </c>
      <c r="B23" s="11" t="s">
        <v>9</v>
      </c>
      <c r="C23" s="12"/>
      <c r="D23" s="294">
        <f t="shared" si="3"/>
        <v>21166961</v>
      </c>
      <c r="E23" s="294"/>
      <c r="F23" s="294">
        <v>16061437.125</v>
      </c>
      <c r="G23" s="294">
        <f t="shared" si="2"/>
        <v>16061437.125</v>
      </c>
      <c r="H23" s="13">
        <f t="shared" si="1"/>
        <v>4233392200</v>
      </c>
    </row>
    <row r="24" spans="1:9" x14ac:dyDescent="0.25">
      <c r="A24" s="6">
        <f>A23+31</f>
        <v>44311</v>
      </c>
      <c r="B24" s="11" t="s">
        <v>9</v>
      </c>
      <c r="C24" s="12"/>
      <c r="D24" s="294">
        <f t="shared" si="3"/>
        <v>21166961</v>
      </c>
      <c r="E24" s="294"/>
      <c r="F24" s="294">
        <v>16061437.125</v>
      </c>
      <c r="G24" s="294">
        <f t="shared" si="2"/>
        <v>16061437.125</v>
      </c>
      <c r="H24" s="13">
        <f t="shared" si="1"/>
        <v>4233392200</v>
      </c>
    </row>
    <row r="25" spans="1:9" x14ac:dyDescent="0.25">
      <c r="A25" s="6">
        <f>A24+30</f>
        <v>44341</v>
      </c>
      <c r="B25" s="11" t="s">
        <v>9</v>
      </c>
      <c r="C25" s="12"/>
      <c r="D25" s="294">
        <f t="shared" si="3"/>
        <v>21166961</v>
      </c>
      <c r="E25" s="294"/>
      <c r="F25" s="294">
        <v>16061437.125</v>
      </c>
      <c r="G25" s="294">
        <f t="shared" si="2"/>
        <v>16061437.125</v>
      </c>
      <c r="H25" s="13">
        <f t="shared" si="1"/>
        <v>4233392200</v>
      </c>
    </row>
    <row r="26" spans="1:9" x14ac:dyDescent="0.25">
      <c r="A26" s="6">
        <f>A25+31</f>
        <v>44372</v>
      </c>
      <c r="B26" s="11" t="s">
        <v>9</v>
      </c>
      <c r="C26" s="12"/>
      <c r="D26" s="294">
        <f t="shared" si="3"/>
        <v>21166961</v>
      </c>
      <c r="E26" s="294"/>
      <c r="F26" s="294"/>
      <c r="G26" s="294">
        <f t="shared" si="2"/>
        <v>0</v>
      </c>
      <c r="H26" s="13">
        <f t="shared" si="1"/>
        <v>4233392200</v>
      </c>
    </row>
    <row r="27" spans="1:9" x14ac:dyDescent="0.25">
      <c r="A27" s="6">
        <f>A26+30</f>
        <v>44402</v>
      </c>
      <c r="B27" s="11" t="s">
        <v>9</v>
      </c>
      <c r="C27" s="12"/>
      <c r="D27" s="294">
        <f t="shared" si="3"/>
        <v>21166961</v>
      </c>
      <c r="E27" s="294"/>
      <c r="F27" s="294"/>
      <c r="G27" s="294">
        <f t="shared" si="2"/>
        <v>0</v>
      </c>
      <c r="H27" s="13">
        <f t="shared" si="1"/>
        <v>4233392200</v>
      </c>
    </row>
    <row r="28" spans="1:9" x14ac:dyDescent="0.25">
      <c r="A28" s="6">
        <f>A27+31</f>
        <v>44433</v>
      </c>
      <c r="B28" s="11" t="s">
        <v>9</v>
      </c>
      <c r="C28" s="12"/>
      <c r="D28" s="294">
        <f t="shared" si="3"/>
        <v>21166961</v>
      </c>
      <c r="E28" s="294"/>
      <c r="F28" s="294"/>
      <c r="G28" s="294">
        <f t="shared" si="2"/>
        <v>0</v>
      </c>
      <c r="H28" s="13">
        <f t="shared" si="1"/>
        <v>4233392200</v>
      </c>
    </row>
    <row r="29" spans="1:9" x14ac:dyDescent="0.25">
      <c r="A29" s="6">
        <f>A28+31</f>
        <v>44464</v>
      </c>
      <c r="B29" s="11" t="s">
        <v>9</v>
      </c>
      <c r="C29" s="12"/>
      <c r="D29" s="294">
        <f t="shared" si="3"/>
        <v>21166961</v>
      </c>
      <c r="E29" s="294"/>
      <c r="F29" s="294"/>
      <c r="G29" s="294">
        <f t="shared" si="2"/>
        <v>0</v>
      </c>
      <c r="H29" s="13">
        <f t="shared" si="1"/>
        <v>4233392200</v>
      </c>
    </row>
    <row r="30" spans="1:9" x14ac:dyDescent="0.25">
      <c r="A30" s="6">
        <f>A29+30</f>
        <v>44494</v>
      </c>
      <c r="B30" s="11" t="s">
        <v>9</v>
      </c>
      <c r="C30" s="12"/>
      <c r="D30" s="294">
        <f t="shared" si="3"/>
        <v>21166961</v>
      </c>
      <c r="E30" s="294"/>
      <c r="F30" s="294"/>
      <c r="G30" s="294">
        <f t="shared" si="2"/>
        <v>0</v>
      </c>
      <c r="H30" s="13">
        <f t="shared" si="1"/>
        <v>4233392200</v>
      </c>
    </row>
    <row r="31" spans="1:9" x14ac:dyDescent="0.25">
      <c r="A31" s="6">
        <f>A30+31</f>
        <v>44525</v>
      </c>
      <c r="B31" s="11" t="s">
        <v>3061</v>
      </c>
      <c r="C31" s="12">
        <v>35278268.333333336</v>
      </c>
      <c r="D31" s="294">
        <f t="shared" si="3"/>
        <v>21166961</v>
      </c>
      <c r="E31" s="12"/>
      <c r="F31" s="12"/>
      <c r="G31" s="294">
        <f t="shared" si="2"/>
        <v>35278268.333333336</v>
      </c>
      <c r="H31" s="13">
        <f t="shared" si="1"/>
        <v>4198113931.6666665</v>
      </c>
    </row>
    <row r="32" spans="1:9" x14ac:dyDescent="0.25">
      <c r="A32" s="6">
        <f>A31+30</f>
        <v>44555</v>
      </c>
      <c r="B32" s="11" t="s">
        <v>3061</v>
      </c>
      <c r="C32" s="12">
        <v>35278268.333333336</v>
      </c>
      <c r="D32" s="294">
        <f t="shared" si="3"/>
        <v>20990569.658333331</v>
      </c>
      <c r="E32" s="12"/>
      <c r="F32" s="12"/>
      <c r="G32" s="294">
        <f t="shared" si="2"/>
        <v>35278268.333333336</v>
      </c>
      <c r="H32" s="13">
        <f t="shared" si="1"/>
        <v>4162835663.333333</v>
      </c>
    </row>
    <row r="33" spans="1:8" x14ac:dyDescent="0.25">
      <c r="A33" s="6">
        <f t="shared" ref="A33:A62" si="4">A32+31</f>
        <v>44586</v>
      </c>
      <c r="B33" s="11" t="s">
        <v>3061</v>
      </c>
      <c r="C33" s="12">
        <v>35278268.333333336</v>
      </c>
      <c r="D33" s="294">
        <f t="shared" ref="D33:D44" si="5">H32*I$164*$I$163/360</f>
        <v>22548693.17638889</v>
      </c>
      <c r="E33" s="12"/>
      <c r="F33" s="12"/>
      <c r="G33" s="294">
        <f t="shared" si="2"/>
        <v>35278268.333333336</v>
      </c>
      <c r="H33" s="13">
        <f t="shared" si="1"/>
        <v>4127557394.9999995</v>
      </c>
    </row>
    <row r="34" spans="1:8" x14ac:dyDescent="0.25">
      <c r="A34" s="6">
        <f t="shared" si="4"/>
        <v>44617</v>
      </c>
      <c r="B34" s="11" t="s">
        <v>3061</v>
      </c>
      <c r="C34" s="12">
        <v>35278268.333333336</v>
      </c>
      <c r="D34" s="294">
        <f t="shared" si="5"/>
        <v>22357602.556249999</v>
      </c>
      <c r="E34" s="12"/>
      <c r="F34" s="12"/>
      <c r="G34" s="294">
        <f t="shared" si="2"/>
        <v>35278268.333333336</v>
      </c>
      <c r="H34" s="13">
        <f t="shared" si="1"/>
        <v>4092279126.666666</v>
      </c>
    </row>
    <row r="35" spans="1:8" x14ac:dyDescent="0.25">
      <c r="A35" s="6">
        <f>A34+28</f>
        <v>44645</v>
      </c>
      <c r="B35" s="11" t="s">
        <v>3061</v>
      </c>
      <c r="C35" s="12">
        <v>35278268.333333336</v>
      </c>
      <c r="D35" s="294">
        <f t="shared" si="5"/>
        <v>22166511.936111107</v>
      </c>
      <c r="E35" s="12"/>
      <c r="F35" s="12"/>
      <c r="G35" s="294">
        <f t="shared" si="2"/>
        <v>35278268.333333336</v>
      </c>
      <c r="H35" s="13">
        <f t="shared" si="1"/>
        <v>4057000858.3333325</v>
      </c>
    </row>
    <row r="36" spans="1:8" x14ac:dyDescent="0.25">
      <c r="A36" s="6">
        <f t="shared" si="4"/>
        <v>44676</v>
      </c>
      <c r="B36" s="11" t="s">
        <v>3061</v>
      </c>
      <c r="C36" s="12">
        <v>35278268.333333336</v>
      </c>
      <c r="D36" s="294">
        <f t="shared" si="5"/>
        <v>21975421.31597222</v>
      </c>
      <c r="E36" s="12"/>
      <c r="F36" s="12"/>
      <c r="G36" s="294">
        <f t="shared" si="2"/>
        <v>35278268.333333336</v>
      </c>
      <c r="H36" s="13">
        <f t="shared" si="1"/>
        <v>4021722589.999999</v>
      </c>
    </row>
    <row r="37" spans="1:8" x14ac:dyDescent="0.25">
      <c r="A37" s="6">
        <f>A36+30</f>
        <v>44706</v>
      </c>
      <c r="B37" s="11" t="s">
        <v>10</v>
      </c>
      <c r="C37" s="12">
        <v>35278268.333333336</v>
      </c>
      <c r="D37" s="294">
        <f t="shared" si="5"/>
        <v>21784330.695833329</v>
      </c>
      <c r="E37" s="12"/>
      <c r="F37" s="12"/>
      <c r="G37" s="294">
        <f t="shared" si="2"/>
        <v>35278268.333333336</v>
      </c>
      <c r="H37" s="13">
        <f t="shared" si="1"/>
        <v>3986444321.6666656</v>
      </c>
    </row>
    <row r="38" spans="1:8" x14ac:dyDescent="0.25">
      <c r="A38" s="6">
        <f t="shared" si="4"/>
        <v>44737</v>
      </c>
      <c r="B38" s="11" t="s">
        <v>10</v>
      </c>
      <c r="C38" s="12">
        <v>35278268.333333336</v>
      </c>
      <c r="D38" s="294">
        <f t="shared" si="5"/>
        <v>21593240.075694438</v>
      </c>
      <c r="E38" s="12"/>
      <c r="F38" s="12"/>
      <c r="G38" s="294">
        <f t="shared" si="2"/>
        <v>35278268.333333336</v>
      </c>
      <c r="H38" s="13">
        <f t="shared" si="1"/>
        <v>3951166053.3333321</v>
      </c>
    </row>
    <row r="39" spans="1:8" x14ac:dyDescent="0.25">
      <c r="A39" s="6">
        <f>A38+30</f>
        <v>44767</v>
      </c>
      <c r="B39" s="11" t="s">
        <v>10</v>
      </c>
      <c r="C39" s="12">
        <v>35278268.333333336</v>
      </c>
      <c r="D39" s="294">
        <f t="shared" si="5"/>
        <v>21402149.455555547</v>
      </c>
      <c r="E39" s="12"/>
      <c r="F39" s="12"/>
      <c r="G39" s="294">
        <f t="shared" si="2"/>
        <v>35278268.333333336</v>
      </c>
      <c r="H39" s="13">
        <f t="shared" si="1"/>
        <v>3915887784.9999986</v>
      </c>
    </row>
    <row r="40" spans="1:8" x14ac:dyDescent="0.25">
      <c r="A40" s="6">
        <f t="shared" si="4"/>
        <v>44798</v>
      </c>
      <c r="B40" s="11" t="s">
        <v>10</v>
      </c>
      <c r="C40" s="12">
        <v>35278268.333333336</v>
      </c>
      <c r="D40" s="294">
        <f t="shared" si="5"/>
        <v>21211058.83541666</v>
      </c>
      <c r="E40" s="12"/>
      <c r="F40" s="12"/>
      <c r="G40" s="294">
        <f t="shared" si="2"/>
        <v>35278268.333333336</v>
      </c>
      <c r="H40" s="13">
        <f t="shared" si="1"/>
        <v>3880609516.6666651</v>
      </c>
    </row>
    <row r="41" spans="1:8" x14ac:dyDescent="0.25">
      <c r="A41" s="6">
        <f t="shared" si="4"/>
        <v>44829</v>
      </c>
      <c r="B41" s="11" t="s">
        <v>10</v>
      </c>
      <c r="C41" s="12">
        <v>35278268.333333336</v>
      </c>
      <c r="D41" s="294">
        <f t="shared" si="5"/>
        <v>21019968.215277769</v>
      </c>
      <c r="E41" s="12"/>
      <c r="F41" s="12"/>
      <c r="G41" s="294">
        <f t="shared" si="2"/>
        <v>35278268.333333336</v>
      </c>
      <c r="H41" s="13">
        <f t="shared" si="1"/>
        <v>3845331248.3333316</v>
      </c>
    </row>
    <row r="42" spans="1:8" x14ac:dyDescent="0.25">
      <c r="A42" s="6">
        <f>A41+30</f>
        <v>44859</v>
      </c>
      <c r="B42" s="11" t="s">
        <v>10</v>
      </c>
      <c r="C42" s="12">
        <v>35278268.333333336</v>
      </c>
      <c r="D42" s="294">
        <f t="shared" si="5"/>
        <v>20828877.595138881</v>
      </c>
      <c r="E42" s="12"/>
      <c r="F42" s="12"/>
      <c r="G42" s="294">
        <f t="shared" si="2"/>
        <v>35278268.333333336</v>
      </c>
      <c r="H42" s="13">
        <f t="shared" si="1"/>
        <v>3810052979.9999981</v>
      </c>
    </row>
    <row r="43" spans="1:8" x14ac:dyDescent="0.25">
      <c r="A43" s="6">
        <f t="shared" si="4"/>
        <v>44890</v>
      </c>
      <c r="B43" s="11" t="s">
        <v>10</v>
      </c>
      <c r="C43" s="12">
        <v>35278268.333333336</v>
      </c>
      <c r="D43" s="294">
        <f t="shared" si="5"/>
        <v>20637786.97499999</v>
      </c>
      <c r="E43" s="12"/>
      <c r="F43" s="12"/>
      <c r="G43" s="294">
        <f t="shared" si="2"/>
        <v>35278268.333333336</v>
      </c>
      <c r="H43" s="13">
        <f t="shared" si="1"/>
        <v>3774774711.6666646</v>
      </c>
    </row>
    <row r="44" spans="1:8" x14ac:dyDescent="0.25">
      <c r="A44" s="6">
        <f>A43+30</f>
        <v>44920</v>
      </c>
      <c r="B44" s="11" t="s">
        <v>10</v>
      </c>
      <c r="C44" s="12">
        <v>35278268.333333336</v>
      </c>
      <c r="D44" s="294">
        <f t="shared" si="5"/>
        <v>20446696.354861099</v>
      </c>
      <c r="E44" s="12"/>
      <c r="F44" s="12"/>
      <c r="G44" s="294">
        <f t="shared" si="2"/>
        <v>35278268.333333336</v>
      </c>
      <c r="H44" s="13">
        <f t="shared" si="1"/>
        <v>3739496443.3333311</v>
      </c>
    </row>
    <row r="45" spans="1:8" x14ac:dyDescent="0.25">
      <c r="A45" s="6">
        <f t="shared" si="4"/>
        <v>44951</v>
      </c>
      <c r="B45" s="11" t="s">
        <v>10</v>
      </c>
      <c r="C45" s="12">
        <v>35278268.333333336</v>
      </c>
      <c r="D45" s="294">
        <f t="shared" ref="D45:D76" si="6">H44*J$164*$J$163/360</f>
        <v>21813729.252777766</v>
      </c>
      <c r="E45" s="12"/>
      <c r="F45" s="12"/>
      <c r="G45" s="294">
        <f t="shared" si="2"/>
        <v>35278268.333333336</v>
      </c>
      <c r="H45" s="13">
        <f t="shared" si="1"/>
        <v>3704218174.9999976</v>
      </c>
    </row>
    <row r="46" spans="1:8" x14ac:dyDescent="0.25">
      <c r="A46" s="6">
        <f t="shared" si="4"/>
        <v>44982</v>
      </c>
      <c r="B46" s="11" t="s">
        <v>10</v>
      </c>
      <c r="C46" s="12">
        <v>35278268.333333336</v>
      </c>
      <c r="D46" s="294">
        <f t="shared" si="6"/>
        <v>21607939.354166653</v>
      </c>
      <c r="E46" s="12"/>
      <c r="F46" s="12"/>
      <c r="G46" s="294">
        <f t="shared" si="2"/>
        <v>35278268.333333336</v>
      </c>
      <c r="H46" s="13">
        <f t="shared" si="1"/>
        <v>3668939906.6666641</v>
      </c>
    </row>
    <row r="47" spans="1:8" x14ac:dyDescent="0.25">
      <c r="A47" s="6">
        <f>A46+28</f>
        <v>45010</v>
      </c>
      <c r="B47" s="11" t="s">
        <v>10</v>
      </c>
      <c r="C47" s="12">
        <v>35278268.333333336</v>
      </c>
      <c r="D47" s="294">
        <f t="shared" si="6"/>
        <v>21402149.455555543</v>
      </c>
      <c r="E47" s="12"/>
      <c r="F47" s="12"/>
      <c r="G47" s="294">
        <f t="shared" si="2"/>
        <v>35278268.333333336</v>
      </c>
      <c r="H47" s="13">
        <f t="shared" ref="H47:H78" si="7">+H46-C47</f>
        <v>3633661638.3333306</v>
      </c>
    </row>
    <row r="48" spans="1:8" x14ac:dyDescent="0.25">
      <c r="A48" s="6">
        <f t="shared" si="4"/>
        <v>45041</v>
      </c>
      <c r="B48" s="11" t="s">
        <v>10</v>
      </c>
      <c r="C48" s="12">
        <v>35278268.333333336</v>
      </c>
      <c r="D48" s="294">
        <f t="shared" si="6"/>
        <v>21196359.55694443</v>
      </c>
      <c r="E48" s="12"/>
      <c r="F48" s="12"/>
      <c r="G48" s="294">
        <f t="shared" si="2"/>
        <v>35278268.333333336</v>
      </c>
      <c r="H48" s="13">
        <f t="shared" si="7"/>
        <v>3598383369.9999971</v>
      </c>
    </row>
    <row r="49" spans="1:10" x14ac:dyDescent="0.25">
      <c r="A49" s="6">
        <f>A48+30</f>
        <v>45071</v>
      </c>
      <c r="B49" s="11" t="s">
        <v>10</v>
      </c>
      <c r="C49" s="12">
        <v>35278268.333333336</v>
      </c>
      <c r="D49" s="294">
        <f t="shared" si="6"/>
        <v>20990569.65833332</v>
      </c>
      <c r="E49" s="12"/>
      <c r="F49" s="12"/>
      <c r="G49" s="294">
        <f t="shared" si="2"/>
        <v>35278268.333333336</v>
      </c>
      <c r="H49" s="13">
        <f t="shared" si="7"/>
        <v>3563105101.6666636</v>
      </c>
    </row>
    <row r="50" spans="1:10" x14ac:dyDescent="0.25">
      <c r="A50" s="6">
        <f t="shared" si="4"/>
        <v>45102</v>
      </c>
      <c r="B50" s="11" t="s">
        <v>10</v>
      </c>
      <c r="C50" s="12">
        <v>35278268.333333336</v>
      </c>
      <c r="D50" s="294">
        <f t="shared" si="6"/>
        <v>20784779.759722207</v>
      </c>
      <c r="E50" s="12"/>
      <c r="F50" s="12"/>
      <c r="G50" s="294">
        <f t="shared" si="2"/>
        <v>35278268.333333336</v>
      </c>
      <c r="H50" s="13">
        <f t="shared" si="7"/>
        <v>3527826833.3333302</v>
      </c>
    </row>
    <row r="51" spans="1:10" x14ac:dyDescent="0.25">
      <c r="A51" s="6">
        <f>A50+30</f>
        <v>45132</v>
      </c>
      <c r="B51" s="11" t="s">
        <v>10</v>
      </c>
      <c r="C51" s="12">
        <v>35278268.333333336</v>
      </c>
      <c r="D51" s="294">
        <f t="shared" si="6"/>
        <v>20578989.861111097</v>
      </c>
      <c r="E51" s="12"/>
      <c r="F51" s="12"/>
      <c r="G51" s="294">
        <f t="shared" si="2"/>
        <v>35278268.333333336</v>
      </c>
      <c r="H51" s="13">
        <f t="shared" si="7"/>
        <v>3492548564.9999967</v>
      </c>
    </row>
    <row r="52" spans="1:10" x14ac:dyDescent="0.25">
      <c r="A52" s="6">
        <f t="shared" si="4"/>
        <v>45163</v>
      </c>
      <c r="B52" s="11" t="s">
        <v>10</v>
      </c>
      <c r="C52" s="12">
        <v>35278268.333333336</v>
      </c>
      <c r="D52" s="294">
        <f t="shared" si="6"/>
        <v>20373199.962499984</v>
      </c>
      <c r="E52" s="12"/>
      <c r="F52" s="12"/>
      <c r="G52" s="294">
        <f t="shared" si="2"/>
        <v>35278268.333333336</v>
      </c>
      <c r="H52" s="13">
        <f t="shared" si="7"/>
        <v>3457270296.6666632</v>
      </c>
    </row>
    <row r="53" spans="1:10" x14ac:dyDescent="0.25">
      <c r="A53" s="6">
        <f t="shared" si="4"/>
        <v>45194</v>
      </c>
      <c r="B53" s="11" t="s">
        <v>10</v>
      </c>
      <c r="C53" s="12">
        <v>35278268.333333336</v>
      </c>
      <c r="D53" s="294">
        <f t="shared" si="6"/>
        <v>20167410.06388887</v>
      </c>
      <c r="E53" s="12"/>
      <c r="F53" s="12"/>
      <c r="G53" s="294">
        <f t="shared" si="2"/>
        <v>35278268.333333336</v>
      </c>
      <c r="H53" s="13">
        <f t="shared" si="7"/>
        <v>3421992028.3333297</v>
      </c>
    </row>
    <row r="54" spans="1:10" x14ac:dyDescent="0.25">
      <c r="A54" s="6">
        <f>A53+30</f>
        <v>45224</v>
      </c>
      <c r="B54" s="11" t="s">
        <v>10</v>
      </c>
      <c r="C54" s="12">
        <v>35278268.333333336</v>
      </c>
      <c r="D54" s="294">
        <f t="shared" si="6"/>
        <v>19961620.16527776</v>
      </c>
      <c r="E54" s="12"/>
      <c r="F54" s="12"/>
      <c r="G54" s="294">
        <f t="shared" si="2"/>
        <v>35278268.333333336</v>
      </c>
      <c r="H54" s="13">
        <f t="shared" si="7"/>
        <v>3386713759.9999962</v>
      </c>
    </row>
    <row r="55" spans="1:10" x14ac:dyDescent="0.25">
      <c r="A55" s="6">
        <f t="shared" si="4"/>
        <v>45255</v>
      </c>
      <c r="B55" s="11" t="s">
        <v>10</v>
      </c>
      <c r="C55" s="12">
        <v>35278268.333333336</v>
      </c>
      <c r="D55" s="294">
        <f t="shared" si="6"/>
        <v>19755830.266666647</v>
      </c>
      <c r="E55" s="12"/>
      <c r="F55" s="12"/>
      <c r="G55" s="294">
        <f t="shared" si="2"/>
        <v>35278268.333333336</v>
      </c>
      <c r="H55" s="13">
        <f t="shared" si="7"/>
        <v>3351435491.6666627</v>
      </c>
    </row>
    <row r="56" spans="1:10" x14ac:dyDescent="0.25">
      <c r="A56" s="6">
        <f>A55+30</f>
        <v>45285</v>
      </c>
      <c r="B56" s="11" t="s">
        <v>10</v>
      </c>
      <c r="C56" s="12">
        <v>35278268.333333336</v>
      </c>
      <c r="D56" s="294">
        <f t="shared" si="6"/>
        <v>19550040.368055534</v>
      </c>
      <c r="E56" s="12"/>
      <c r="F56" s="12"/>
      <c r="G56" s="294">
        <f t="shared" si="2"/>
        <v>35278268.333333336</v>
      </c>
      <c r="H56" s="13">
        <f t="shared" si="7"/>
        <v>3316157223.3333292</v>
      </c>
    </row>
    <row r="57" spans="1:10" x14ac:dyDescent="0.25">
      <c r="A57" s="6">
        <f t="shared" si="4"/>
        <v>45316</v>
      </c>
      <c r="B57" s="11" t="s">
        <v>10</v>
      </c>
      <c r="C57" s="12">
        <v>35278268.333333336</v>
      </c>
      <c r="D57" s="294">
        <f t="shared" si="6"/>
        <v>19344250.46944442</v>
      </c>
      <c r="E57" s="12"/>
      <c r="F57" s="12"/>
      <c r="G57" s="294">
        <f t="shared" si="2"/>
        <v>35278268.333333336</v>
      </c>
      <c r="H57" s="13">
        <f t="shared" si="7"/>
        <v>3280878954.9999957</v>
      </c>
    </row>
    <row r="58" spans="1:10" x14ac:dyDescent="0.25">
      <c r="A58" s="6">
        <f t="shared" si="4"/>
        <v>45347</v>
      </c>
      <c r="B58" s="11" t="s">
        <v>10</v>
      </c>
      <c r="C58" s="12">
        <v>35278268.333333336</v>
      </c>
      <c r="D58" s="294">
        <f t="shared" si="6"/>
        <v>19138460.57083331</v>
      </c>
      <c r="E58" s="12"/>
      <c r="F58" s="12"/>
      <c r="G58" s="294">
        <f t="shared" si="2"/>
        <v>35278268.333333336</v>
      </c>
      <c r="H58" s="13">
        <f t="shared" si="7"/>
        <v>3245600686.6666622</v>
      </c>
    </row>
    <row r="59" spans="1:10" x14ac:dyDescent="0.25">
      <c r="A59" s="6">
        <f>A58+29</f>
        <v>45376</v>
      </c>
      <c r="B59" s="11" t="s">
        <v>10</v>
      </c>
      <c r="C59" s="12">
        <v>35278268.333333336</v>
      </c>
      <c r="D59" s="294">
        <f t="shared" si="6"/>
        <v>18932670.672222197</v>
      </c>
      <c r="E59" s="12"/>
      <c r="F59" s="12"/>
      <c r="G59" s="294">
        <f t="shared" si="2"/>
        <v>35278268.333333336</v>
      </c>
      <c r="H59" s="13">
        <f t="shared" si="7"/>
        <v>3210322418.3333287</v>
      </c>
    </row>
    <row r="60" spans="1:10" x14ac:dyDescent="0.25">
      <c r="A60" s="6">
        <f t="shared" si="4"/>
        <v>45407</v>
      </c>
      <c r="B60" s="11" t="s">
        <v>10</v>
      </c>
      <c r="C60" s="12">
        <v>35278268.333333336</v>
      </c>
      <c r="D60" s="294">
        <f t="shared" si="6"/>
        <v>18726880.773611087</v>
      </c>
      <c r="E60" s="12"/>
      <c r="F60" s="12"/>
      <c r="G60" s="294">
        <f t="shared" si="2"/>
        <v>35278268.333333336</v>
      </c>
      <c r="H60" s="13">
        <f t="shared" si="7"/>
        <v>3175044149.9999952</v>
      </c>
    </row>
    <row r="61" spans="1:10" x14ac:dyDescent="0.25">
      <c r="A61" s="6">
        <f>A60+30</f>
        <v>45437</v>
      </c>
      <c r="B61" s="11" t="s">
        <v>10</v>
      </c>
      <c r="C61" s="12">
        <v>35278268.333333336</v>
      </c>
      <c r="D61" s="294">
        <f t="shared" si="6"/>
        <v>18521090.874999978</v>
      </c>
      <c r="E61" s="12"/>
      <c r="F61" s="12"/>
      <c r="G61" s="294">
        <f t="shared" si="2"/>
        <v>35278268.333333336</v>
      </c>
      <c r="H61" s="13">
        <f t="shared" si="7"/>
        <v>3139765881.6666617</v>
      </c>
      <c r="J61" s="76"/>
    </row>
    <row r="62" spans="1:10" x14ac:dyDescent="0.25">
      <c r="A62" s="6">
        <f t="shared" si="4"/>
        <v>45468</v>
      </c>
      <c r="B62" s="11" t="s">
        <v>10</v>
      </c>
      <c r="C62" s="12">
        <v>35278268.333333336</v>
      </c>
      <c r="D62" s="294">
        <f t="shared" si="6"/>
        <v>18315300.976388864</v>
      </c>
      <c r="E62" s="12"/>
      <c r="F62" s="12"/>
      <c r="G62" s="294">
        <f t="shared" si="2"/>
        <v>35278268.333333336</v>
      </c>
      <c r="H62" s="13">
        <f t="shared" si="7"/>
        <v>3104487613.3333282</v>
      </c>
    </row>
    <row r="63" spans="1:10" x14ac:dyDescent="0.25">
      <c r="A63" s="6">
        <f>A62+30</f>
        <v>45498</v>
      </c>
      <c r="B63" s="11" t="s">
        <v>10</v>
      </c>
      <c r="C63" s="12">
        <v>35278268.333333336</v>
      </c>
      <c r="D63" s="294">
        <f t="shared" si="6"/>
        <v>18109511.077777751</v>
      </c>
      <c r="E63" s="12"/>
      <c r="F63" s="12"/>
      <c r="G63" s="294">
        <f t="shared" si="2"/>
        <v>35278268.333333336</v>
      </c>
      <c r="H63" s="13">
        <f t="shared" si="7"/>
        <v>3069209344.9999948</v>
      </c>
    </row>
    <row r="64" spans="1:10" x14ac:dyDescent="0.25">
      <c r="A64" s="6">
        <f>A63+31</f>
        <v>45529</v>
      </c>
      <c r="B64" s="11" t="s">
        <v>10</v>
      </c>
      <c r="C64" s="12">
        <v>35278268.333333336</v>
      </c>
      <c r="D64" s="294">
        <f t="shared" si="6"/>
        <v>17903721.179166637</v>
      </c>
      <c r="E64" s="12"/>
      <c r="F64" s="12"/>
      <c r="G64" s="294">
        <f t="shared" si="2"/>
        <v>35278268.333333336</v>
      </c>
      <c r="H64" s="13">
        <f t="shared" si="7"/>
        <v>3033931076.6666613</v>
      </c>
    </row>
    <row r="65" spans="1:8" x14ac:dyDescent="0.25">
      <c r="A65" s="6">
        <f>A64+31</f>
        <v>45560</v>
      </c>
      <c r="B65" s="11" t="s">
        <v>10</v>
      </c>
      <c r="C65" s="12">
        <v>35278268.333333336</v>
      </c>
      <c r="D65" s="294">
        <f t="shared" si="6"/>
        <v>17697931.280555528</v>
      </c>
      <c r="E65" s="12"/>
      <c r="F65" s="12"/>
      <c r="G65" s="294">
        <f t="shared" si="2"/>
        <v>35278268.333333336</v>
      </c>
      <c r="H65" s="13">
        <f t="shared" si="7"/>
        <v>2998652808.3333278</v>
      </c>
    </row>
    <row r="66" spans="1:8" x14ac:dyDescent="0.25">
      <c r="A66" s="6">
        <f>A65+30</f>
        <v>45590</v>
      </c>
      <c r="B66" s="11" t="s">
        <v>10</v>
      </c>
      <c r="C66" s="12">
        <v>35278268.333333336</v>
      </c>
      <c r="D66" s="294">
        <f t="shared" si="6"/>
        <v>17492141.381944414</v>
      </c>
      <c r="E66" s="12"/>
      <c r="F66" s="12"/>
      <c r="G66" s="294">
        <f t="shared" si="2"/>
        <v>35278268.333333336</v>
      </c>
      <c r="H66" s="13">
        <f t="shared" si="7"/>
        <v>2963374539.9999943</v>
      </c>
    </row>
    <row r="67" spans="1:8" x14ac:dyDescent="0.25">
      <c r="A67" s="6">
        <f>A66+31</f>
        <v>45621</v>
      </c>
      <c r="B67" s="11" t="s">
        <v>10</v>
      </c>
      <c r="C67" s="12">
        <v>35278268.333333336</v>
      </c>
      <c r="D67" s="294">
        <f t="shared" si="6"/>
        <v>17286351.483333301</v>
      </c>
      <c r="E67" s="12"/>
      <c r="F67" s="12"/>
      <c r="G67" s="294">
        <f t="shared" si="2"/>
        <v>35278268.333333336</v>
      </c>
      <c r="H67" s="13">
        <f t="shared" si="7"/>
        <v>2928096271.6666608</v>
      </c>
    </row>
    <row r="68" spans="1:8" x14ac:dyDescent="0.25">
      <c r="A68" s="6">
        <f>A67+30</f>
        <v>45651</v>
      </c>
      <c r="B68" s="11" t="s">
        <v>10</v>
      </c>
      <c r="C68" s="12">
        <v>35278268.333333336</v>
      </c>
      <c r="D68" s="294">
        <f t="shared" si="6"/>
        <v>17080561.584722187</v>
      </c>
      <c r="E68" s="12"/>
      <c r="F68" s="12"/>
      <c r="G68" s="294">
        <f t="shared" si="2"/>
        <v>35278268.333333336</v>
      </c>
      <c r="H68" s="13">
        <f t="shared" si="7"/>
        <v>2892818003.3333273</v>
      </c>
    </row>
    <row r="69" spans="1:8" x14ac:dyDescent="0.25">
      <c r="A69" s="6">
        <f>A68+31</f>
        <v>45682</v>
      </c>
      <c r="B69" s="11" t="s">
        <v>10</v>
      </c>
      <c r="C69" s="12">
        <v>35278268.333333336</v>
      </c>
      <c r="D69" s="294">
        <f t="shared" si="6"/>
        <v>16874771.686111078</v>
      </c>
      <c r="E69" s="12"/>
      <c r="F69" s="12"/>
      <c r="G69" s="294">
        <f t="shared" si="2"/>
        <v>35278268.333333336</v>
      </c>
      <c r="H69" s="13">
        <f t="shared" si="7"/>
        <v>2857539734.9999938</v>
      </c>
    </row>
    <row r="70" spans="1:8" x14ac:dyDescent="0.25">
      <c r="A70" s="6">
        <f>A69+31</f>
        <v>45713</v>
      </c>
      <c r="B70" s="11" t="s">
        <v>10</v>
      </c>
      <c r="C70" s="12">
        <v>35278268.333333336</v>
      </c>
      <c r="D70" s="294">
        <f t="shared" si="6"/>
        <v>16668981.787499962</v>
      </c>
      <c r="E70" s="12"/>
      <c r="F70" s="12"/>
      <c r="G70" s="294">
        <f t="shared" si="2"/>
        <v>35278268.333333336</v>
      </c>
      <c r="H70" s="13">
        <f t="shared" si="7"/>
        <v>2822261466.6666603</v>
      </c>
    </row>
    <row r="71" spans="1:8" x14ac:dyDescent="0.25">
      <c r="A71" s="6">
        <f>A70+28</f>
        <v>45741</v>
      </c>
      <c r="B71" s="11" t="s">
        <v>10</v>
      </c>
      <c r="C71" s="12">
        <v>35278268.333333336</v>
      </c>
      <c r="D71" s="294">
        <f t="shared" si="6"/>
        <v>16463191.888888855</v>
      </c>
      <c r="E71" s="12"/>
      <c r="F71" s="12"/>
      <c r="G71" s="294">
        <f t="shared" si="2"/>
        <v>35278268.333333336</v>
      </c>
      <c r="H71" s="13">
        <f t="shared" si="7"/>
        <v>2786983198.3333268</v>
      </c>
    </row>
    <row r="72" spans="1:8" x14ac:dyDescent="0.25">
      <c r="A72" s="6">
        <f>A71+31</f>
        <v>45772</v>
      </c>
      <c r="B72" s="11" t="s">
        <v>10</v>
      </c>
      <c r="C72" s="12">
        <v>35278268.333333336</v>
      </c>
      <c r="D72" s="294">
        <f t="shared" si="6"/>
        <v>16257401.990277743</v>
      </c>
      <c r="E72" s="12"/>
      <c r="F72" s="12"/>
      <c r="G72" s="294">
        <f t="shared" si="2"/>
        <v>35278268.333333336</v>
      </c>
      <c r="H72" s="13">
        <f t="shared" si="7"/>
        <v>2751704929.9999933</v>
      </c>
    </row>
    <row r="73" spans="1:8" x14ac:dyDescent="0.25">
      <c r="A73" s="6">
        <f>A72+30</f>
        <v>45802</v>
      </c>
      <c r="B73" s="11" t="s">
        <v>10</v>
      </c>
      <c r="C73" s="12">
        <v>35278268.333333336</v>
      </c>
      <c r="D73" s="294">
        <f t="shared" si="6"/>
        <v>16051612.09166663</v>
      </c>
      <c r="E73" s="12"/>
      <c r="F73" s="12"/>
      <c r="G73" s="294">
        <f t="shared" si="2"/>
        <v>35278268.333333336</v>
      </c>
      <c r="H73" s="13">
        <f t="shared" si="7"/>
        <v>2716426661.6666598</v>
      </c>
    </row>
    <row r="74" spans="1:8" x14ac:dyDescent="0.25">
      <c r="A74" s="6">
        <f>A73+31</f>
        <v>45833</v>
      </c>
      <c r="B74" s="11" t="s">
        <v>10</v>
      </c>
      <c r="C74" s="12">
        <v>35278268.333333336</v>
      </c>
      <c r="D74" s="294">
        <f t="shared" si="6"/>
        <v>15845822.193055518</v>
      </c>
      <c r="E74" s="12"/>
      <c r="F74" s="12"/>
      <c r="G74" s="294">
        <f t="shared" si="2"/>
        <v>35278268.333333336</v>
      </c>
      <c r="H74" s="13">
        <f t="shared" si="7"/>
        <v>2681148393.3333263</v>
      </c>
    </row>
    <row r="75" spans="1:8" x14ac:dyDescent="0.25">
      <c r="A75" s="6">
        <f>A74+30</f>
        <v>45863</v>
      </c>
      <c r="B75" s="11" t="s">
        <v>10</v>
      </c>
      <c r="C75" s="12">
        <v>35278268.333333336</v>
      </c>
      <c r="D75" s="294">
        <f t="shared" si="6"/>
        <v>15640032.294444405</v>
      </c>
      <c r="E75" s="12"/>
      <c r="F75" s="12"/>
      <c r="G75" s="294">
        <f t="shared" si="2"/>
        <v>35278268.333333336</v>
      </c>
      <c r="H75" s="13">
        <f t="shared" si="7"/>
        <v>2645870124.9999928</v>
      </c>
    </row>
    <row r="76" spans="1:8" x14ac:dyDescent="0.25">
      <c r="A76" s="6">
        <f>A75+31</f>
        <v>45894</v>
      </c>
      <c r="B76" s="11" t="s">
        <v>10</v>
      </c>
      <c r="C76" s="12">
        <v>35278268.333333336</v>
      </c>
      <c r="D76" s="294">
        <f t="shared" si="6"/>
        <v>15434242.395833293</v>
      </c>
      <c r="E76" s="12"/>
      <c r="F76" s="12"/>
      <c r="G76" s="294">
        <f t="shared" si="2"/>
        <v>35278268.333333336</v>
      </c>
      <c r="H76" s="13">
        <f t="shared" si="7"/>
        <v>2610591856.6666594</v>
      </c>
    </row>
    <row r="77" spans="1:8" x14ac:dyDescent="0.25">
      <c r="A77" s="6">
        <f>A76+31</f>
        <v>45925</v>
      </c>
      <c r="B77" s="11" t="s">
        <v>10</v>
      </c>
      <c r="C77" s="12">
        <v>35278268.333333336</v>
      </c>
      <c r="D77" s="294">
        <f t="shared" ref="D77:D108" si="8">H76*J$164*$J$163/360</f>
        <v>15228452.49722218</v>
      </c>
      <c r="E77" s="12"/>
      <c r="F77" s="12"/>
      <c r="G77" s="294">
        <f t="shared" si="2"/>
        <v>35278268.333333336</v>
      </c>
      <c r="H77" s="13">
        <f t="shared" si="7"/>
        <v>2575313588.3333259</v>
      </c>
    </row>
    <row r="78" spans="1:8" x14ac:dyDescent="0.25">
      <c r="A78" s="6">
        <f>A77+30</f>
        <v>45955</v>
      </c>
      <c r="B78" s="11" t="s">
        <v>10</v>
      </c>
      <c r="C78" s="12">
        <v>35278268.333333336</v>
      </c>
      <c r="D78" s="294">
        <f t="shared" si="8"/>
        <v>15022662.598611068</v>
      </c>
      <c r="E78" s="12"/>
      <c r="F78" s="12"/>
      <c r="G78" s="294">
        <f t="shared" si="2"/>
        <v>35278268.333333336</v>
      </c>
      <c r="H78" s="13">
        <f t="shared" si="7"/>
        <v>2540035319.9999924</v>
      </c>
    </row>
    <row r="79" spans="1:8" x14ac:dyDescent="0.25">
      <c r="A79" s="6">
        <f>A78+31</f>
        <v>45986</v>
      </c>
      <c r="B79" s="11" t="s">
        <v>10</v>
      </c>
      <c r="C79" s="12">
        <v>35278268.333333336</v>
      </c>
      <c r="D79" s="294">
        <f t="shared" si="8"/>
        <v>14816872.699999955</v>
      </c>
      <c r="E79" s="12"/>
      <c r="F79" s="12"/>
      <c r="G79" s="294">
        <f t="shared" si="2"/>
        <v>35278268.333333336</v>
      </c>
      <c r="H79" s="13">
        <f t="shared" ref="H79:H110" si="9">+H78-C79</f>
        <v>2504757051.6666589</v>
      </c>
    </row>
    <row r="80" spans="1:8" x14ac:dyDescent="0.25">
      <c r="A80" s="6">
        <f>A79+30</f>
        <v>46016</v>
      </c>
      <c r="B80" s="11" t="s">
        <v>10</v>
      </c>
      <c r="C80" s="12">
        <v>35278268.333333336</v>
      </c>
      <c r="D80" s="294">
        <f t="shared" si="8"/>
        <v>14611082.801388843</v>
      </c>
      <c r="E80" s="12"/>
      <c r="F80" s="12"/>
      <c r="G80" s="294">
        <f t="shared" si="2"/>
        <v>35278268.333333336</v>
      </c>
      <c r="H80" s="13">
        <f t="shared" si="9"/>
        <v>2469478783.3333254</v>
      </c>
    </row>
    <row r="81" spans="1:8" x14ac:dyDescent="0.25">
      <c r="A81" s="6">
        <f>A80+31</f>
        <v>46047</v>
      </c>
      <c r="B81" s="11" t="s">
        <v>10</v>
      </c>
      <c r="C81" s="12">
        <v>35278268.333333336</v>
      </c>
      <c r="D81" s="294">
        <f t="shared" si="8"/>
        <v>14405292.902777733</v>
      </c>
      <c r="E81" s="12"/>
      <c r="F81" s="12"/>
      <c r="G81" s="294">
        <f t="shared" si="2"/>
        <v>35278268.333333336</v>
      </c>
      <c r="H81" s="13">
        <f t="shared" si="9"/>
        <v>2434200514.9999919</v>
      </c>
    </row>
    <row r="82" spans="1:8" x14ac:dyDescent="0.25">
      <c r="A82" s="6">
        <f>A81+31</f>
        <v>46078</v>
      </c>
      <c r="B82" s="11" t="s">
        <v>10</v>
      </c>
      <c r="C82" s="12">
        <v>35278268.333333336</v>
      </c>
      <c r="D82" s="294">
        <f t="shared" si="8"/>
        <v>14199503.004166622</v>
      </c>
      <c r="E82" s="12"/>
      <c r="F82" s="12"/>
      <c r="G82" s="294">
        <f t="shared" si="2"/>
        <v>35278268.333333336</v>
      </c>
      <c r="H82" s="13">
        <f t="shared" si="9"/>
        <v>2398922246.6666584</v>
      </c>
    </row>
    <row r="83" spans="1:8" x14ac:dyDescent="0.25">
      <c r="A83" s="6">
        <f>A82+28</f>
        <v>46106</v>
      </c>
      <c r="B83" s="11" t="s">
        <v>10</v>
      </c>
      <c r="C83" s="12">
        <v>35278268.333333336</v>
      </c>
      <c r="D83" s="294">
        <f t="shared" si="8"/>
        <v>13993713.10555551</v>
      </c>
      <c r="E83" s="12"/>
      <c r="F83" s="12"/>
      <c r="G83" s="294">
        <f t="shared" ref="G83:G146" si="10">E83+C83+F83</f>
        <v>35278268.333333336</v>
      </c>
      <c r="H83" s="13">
        <f t="shared" si="9"/>
        <v>2363643978.3333249</v>
      </c>
    </row>
    <row r="84" spans="1:8" x14ac:dyDescent="0.25">
      <c r="A84" s="6">
        <f>A83+31</f>
        <v>46137</v>
      </c>
      <c r="B84" s="11" t="s">
        <v>10</v>
      </c>
      <c r="C84" s="12">
        <v>35278268.333333336</v>
      </c>
      <c r="D84" s="294">
        <f t="shared" si="8"/>
        <v>13787923.206944397</v>
      </c>
      <c r="E84" s="12"/>
      <c r="F84" s="12"/>
      <c r="G84" s="294">
        <f t="shared" si="10"/>
        <v>35278268.333333336</v>
      </c>
      <c r="H84" s="13">
        <f t="shared" si="9"/>
        <v>2328365709.9999914</v>
      </c>
    </row>
    <row r="85" spans="1:8" x14ac:dyDescent="0.25">
      <c r="A85" s="6">
        <f>A84+30</f>
        <v>46167</v>
      </c>
      <c r="B85" s="11" t="s">
        <v>10</v>
      </c>
      <c r="C85" s="12">
        <v>35278268.333333336</v>
      </c>
      <c r="D85" s="294">
        <f t="shared" si="8"/>
        <v>13582133.308333285</v>
      </c>
      <c r="E85" s="12"/>
      <c r="F85" s="12"/>
      <c r="G85" s="294">
        <f t="shared" si="10"/>
        <v>35278268.333333336</v>
      </c>
      <c r="H85" s="13">
        <f t="shared" si="9"/>
        <v>2293087441.6666579</v>
      </c>
    </row>
    <row r="86" spans="1:8" x14ac:dyDescent="0.25">
      <c r="A86" s="6">
        <f>A85+31</f>
        <v>46198</v>
      </c>
      <c r="B86" s="11" t="s">
        <v>10</v>
      </c>
      <c r="C86" s="12">
        <v>35278268.333333336</v>
      </c>
      <c r="D86" s="294">
        <f t="shared" si="8"/>
        <v>13376343.409722172</v>
      </c>
      <c r="E86" s="12"/>
      <c r="F86" s="12"/>
      <c r="G86" s="294">
        <f t="shared" si="10"/>
        <v>35278268.333333336</v>
      </c>
      <c r="H86" s="13">
        <f t="shared" si="9"/>
        <v>2257809173.3333244</v>
      </c>
    </row>
    <row r="87" spans="1:8" x14ac:dyDescent="0.25">
      <c r="A87" s="6">
        <f>A86+30</f>
        <v>46228</v>
      </c>
      <c r="B87" s="11" t="s">
        <v>10</v>
      </c>
      <c r="C87" s="12">
        <v>35278268.333333336</v>
      </c>
      <c r="D87" s="294">
        <f t="shared" si="8"/>
        <v>13170553.51111106</v>
      </c>
      <c r="E87" s="12"/>
      <c r="F87" s="12"/>
      <c r="G87" s="294">
        <f t="shared" si="10"/>
        <v>35278268.333333336</v>
      </c>
      <c r="H87" s="13">
        <f t="shared" si="9"/>
        <v>2222530904.9999909</v>
      </c>
    </row>
    <row r="88" spans="1:8" x14ac:dyDescent="0.25">
      <c r="A88" s="6">
        <f>A87+31</f>
        <v>46259</v>
      </c>
      <c r="B88" s="11" t="s">
        <v>10</v>
      </c>
      <c r="C88" s="12">
        <v>35278268.333333336</v>
      </c>
      <c r="D88" s="294">
        <f t="shared" si="8"/>
        <v>12964763.612499947</v>
      </c>
      <c r="E88" s="12"/>
      <c r="F88" s="12"/>
      <c r="G88" s="294">
        <f t="shared" si="10"/>
        <v>35278268.333333336</v>
      </c>
      <c r="H88" s="13">
        <f t="shared" si="9"/>
        <v>2187252636.6666574</v>
      </c>
    </row>
    <row r="89" spans="1:8" x14ac:dyDescent="0.25">
      <c r="A89" s="6">
        <f>A88+31</f>
        <v>46290</v>
      </c>
      <c r="B89" s="11" t="s">
        <v>10</v>
      </c>
      <c r="C89" s="12">
        <v>35278268.333333336</v>
      </c>
      <c r="D89" s="294">
        <f t="shared" si="8"/>
        <v>12758973.713888835</v>
      </c>
      <c r="E89" s="12"/>
      <c r="F89" s="12"/>
      <c r="G89" s="294">
        <f t="shared" si="10"/>
        <v>35278268.333333336</v>
      </c>
      <c r="H89" s="13">
        <f t="shared" si="9"/>
        <v>2151974368.333324</v>
      </c>
    </row>
    <row r="90" spans="1:8" x14ac:dyDescent="0.25">
      <c r="A90" s="6">
        <f>A89+30</f>
        <v>46320</v>
      </c>
      <c r="B90" s="11" t="s">
        <v>10</v>
      </c>
      <c r="C90" s="12">
        <v>35278268.333333336</v>
      </c>
      <c r="D90" s="294">
        <f t="shared" si="8"/>
        <v>12553183.815277725</v>
      </c>
      <c r="E90" s="12"/>
      <c r="F90" s="12"/>
      <c r="G90" s="294">
        <f t="shared" si="10"/>
        <v>35278268.333333336</v>
      </c>
      <c r="H90" s="13">
        <f t="shared" si="9"/>
        <v>2116696099.9999907</v>
      </c>
    </row>
    <row r="91" spans="1:8" x14ac:dyDescent="0.25">
      <c r="A91" s="6">
        <f>A90+31</f>
        <v>46351</v>
      </c>
      <c r="B91" s="11" t="s">
        <v>10</v>
      </c>
      <c r="C91" s="12">
        <v>35278268.333333336</v>
      </c>
      <c r="D91" s="294">
        <f t="shared" si="8"/>
        <v>12347393.916666614</v>
      </c>
      <c r="E91" s="12"/>
      <c r="F91" s="12"/>
      <c r="G91" s="294">
        <f t="shared" si="10"/>
        <v>35278268.333333336</v>
      </c>
      <c r="H91" s="13">
        <f t="shared" si="9"/>
        <v>2081417831.6666574</v>
      </c>
    </row>
    <row r="92" spans="1:8" x14ac:dyDescent="0.25">
      <c r="A92" s="6">
        <f>A91+30</f>
        <v>46381</v>
      </c>
      <c r="B92" s="11" t="s">
        <v>10</v>
      </c>
      <c r="C92" s="12">
        <v>35278268.333333336</v>
      </c>
      <c r="D92" s="294">
        <f t="shared" si="8"/>
        <v>12141604.018055502</v>
      </c>
      <c r="E92" s="12"/>
      <c r="F92" s="12"/>
      <c r="G92" s="294">
        <f t="shared" si="10"/>
        <v>35278268.333333336</v>
      </c>
      <c r="H92" s="13">
        <f t="shared" si="9"/>
        <v>2046139563.3333242</v>
      </c>
    </row>
    <row r="93" spans="1:8" x14ac:dyDescent="0.25">
      <c r="A93" s="6">
        <f>A92+31</f>
        <v>46412</v>
      </c>
      <c r="B93" s="11" t="s">
        <v>10</v>
      </c>
      <c r="C93" s="12">
        <v>35278268.333333336</v>
      </c>
      <c r="D93" s="294">
        <f t="shared" si="8"/>
        <v>11935814.119444391</v>
      </c>
      <c r="E93" s="12"/>
      <c r="F93" s="12"/>
      <c r="G93" s="294">
        <f t="shared" si="10"/>
        <v>35278268.333333336</v>
      </c>
      <c r="H93" s="13">
        <f t="shared" si="9"/>
        <v>2010861294.9999909</v>
      </c>
    </row>
    <row r="94" spans="1:8" x14ac:dyDescent="0.25">
      <c r="A94" s="6">
        <f>A93+31</f>
        <v>46443</v>
      </c>
      <c r="B94" s="11" t="s">
        <v>10</v>
      </c>
      <c r="C94" s="12">
        <v>35278268.333333336</v>
      </c>
      <c r="D94" s="294">
        <f t="shared" si="8"/>
        <v>11730024.220833281</v>
      </c>
      <c r="E94" s="12"/>
      <c r="F94" s="12"/>
      <c r="G94" s="294">
        <f t="shared" si="10"/>
        <v>35278268.333333336</v>
      </c>
      <c r="H94" s="13">
        <f t="shared" si="9"/>
        <v>1975583026.6666577</v>
      </c>
    </row>
    <row r="95" spans="1:8" x14ac:dyDescent="0.25">
      <c r="A95" s="6">
        <f>A94+28</f>
        <v>46471</v>
      </c>
      <c r="B95" s="11" t="s">
        <v>10</v>
      </c>
      <c r="C95" s="12">
        <v>35278268.333333336</v>
      </c>
      <c r="D95" s="294">
        <f t="shared" si="8"/>
        <v>11524234.322222171</v>
      </c>
      <c r="E95" s="12"/>
      <c r="F95" s="12"/>
      <c r="G95" s="294">
        <f t="shared" si="10"/>
        <v>35278268.333333336</v>
      </c>
      <c r="H95" s="13">
        <f t="shared" si="9"/>
        <v>1940304758.3333244</v>
      </c>
    </row>
    <row r="96" spans="1:8" x14ac:dyDescent="0.25">
      <c r="A96" s="6">
        <f>A95+31</f>
        <v>46502</v>
      </c>
      <c r="B96" s="11" t="s">
        <v>10</v>
      </c>
      <c r="C96" s="12">
        <v>35278268.333333336</v>
      </c>
      <c r="D96" s="294">
        <f t="shared" si="8"/>
        <v>11318444.42361106</v>
      </c>
      <c r="E96" s="12"/>
      <c r="F96" s="12"/>
      <c r="G96" s="294">
        <f t="shared" si="10"/>
        <v>35278268.333333336</v>
      </c>
      <c r="H96" s="13">
        <f t="shared" si="9"/>
        <v>1905026489.9999912</v>
      </c>
    </row>
    <row r="97" spans="1:8" x14ac:dyDescent="0.25">
      <c r="A97" s="6">
        <f>A96+30</f>
        <v>46532</v>
      </c>
      <c r="B97" s="11" t="s">
        <v>10</v>
      </c>
      <c r="C97" s="12">
        <v>35278268.333333336</v>
      </c>
      <c r="D97" s="294">
        <f t="shared" si="8"/>
        <v>11112654.52499995</v>
      </c>
      <c r="E97" s="12"/>
      <c r="F97" s="12"/>
      <c r="G97" s="294">
        <f t="shared" si="10"/>
        <v>35278268.333333336</v>
      </c>
      <c r="H97" s="13">
        <f t="shared" si="9"/>
        <v>1869748221.6666579</v>
      </c>
    </row>
    <row r="98" spans="1:8" x14ac:dyDescent="0.25">
      <c r="A98" s="6">
        <f>A97+31</f>
        <v>46563</v>
      </c>
      <c r="B98" s="11" t="s">
        <v>10</v>
      </c>
      <c r="C98" s="12">
        <v>35278268.333333336</v>
      </c>
      <c r="D98" s="294">
        <f t="shared" si="8"/>
        <v>10906864.626388839</v>
      </c>
      <c r="E98" s="12"/>
      <c r="F98" s="12"/>
      <c r="G98" s="294">
        <f t="shared" si="10"/>
        <v>35278268.333333336</v>
      </c>
      <c r="H98" s="13">
        <f t="shared" si="9"/>
        <v>1834469953.3333247</v>
      </c>
    </row>
    <row r="99" spans="1:8" x14ac:dyDescent="0.25">
      <c r="A99" s="6">
        <f>A98+30</f>
        <v>46593</v>
      </c>
      <c r="B99" s="11" t="s">
        <v>10</v>
      </c>
      <c r="C99" s="12">
        <v>35278268.333333336</v>
      </c>
      <c r="D99" s="294">
        <f t="shared" si="8"/>
        <v>10701074.727777729</v>
      </c>
      <c r="E99" s="12"/>
      <c r="F99" s="12"/>
      <c r="G99" s="294">
        <f t="shared" si="10"/>
        <v>35278268.333333336</v>
      </c>
      <c r="H99" s="13">
        <f t="shared" si="9"/>
        <v>1799191684.9999914</v>
      </c>
    </row>
    <row r="100" spans="1:8" x14ac:dyDescent="0.25">
      <c r="A100" s="6">
        <f>A99+31</f>
        <v>46624</v>
      </c>
      <c r="B100" s="11" t="s">
        <v>10</v>
      </c>
      <c r="C100" s="12">
        <v>35278268.333333336</v>
      </c>
      <c r="D100" s="294">
        <f t="shared" si="8"/>
        <v>10495284.829166617</v>
      </c>
      <c r="E100" s="12"/>
      <c r="F100" s="12"/>
      <c r="G100" s="294">
        <f t="shared" si="10"/>
        <v>35278268.333333336</v>
      </c>
      <c r="H100" s="13">
        <f t="shared" si="9"/>
        <v>1763913416.6666582</v>
      </c>
    </row>
    <row r="101" spans="1:8" x14ac:dyDescent="0.25">
      <c r="A101" s="6">
        <f>A100+31</f>
        <v>46655</v>
      </c>
      <c r="B101" s="11" t="s">
        <v>10</v>
      </c>
      <c r="C101" s="12">
        <v>35278268.333333336</v>
      </c>
      <c r="D101" s="294">
        <f t="shared" si="8"/>
        <v>10289494.930555508</v>
      </c>
      <c r="E101" s="12"/>
      <c r="F101" s="12"/>
      <c r="G101" s="294">
        <f t="shared" si="10"/>
        <v>35278268.333333336</v>
      </c>
      <c r="H101" s="13">
        <f t="shared" si="9"/>
        <v>1728635148.3333249</v>
      </c>
    </row>
    <row r="102" spans="1:8" x14ac:dyDescent="0.25">
      <c r="A102" s="6">
        <f>A101+30</f>
        <v>46685</v>
      </c>
      <c r="B102" s="11" t="s">
        <v>10</v>
      </c>
      <c r="C102" s="12">
        <v>35278268.333333336</v>
      </c>
      <c r="D102" s="294">
        <f t="shared" si="8"/>
        <v>10083705.031944396</v>
      </c>
      <c r="E102" s="12"/>
      <c r="F102" s="12"/>
      <c r="G102" s="294">
        <f t="shared" si="10"/>
        <v>35278268.333333336</v>
      </c>
      <c r="H102" s="13">
        <f t="shared" si="9"/>
        <v>1693356879.9999917</v>
      </c>
    </row>
    <row r="103" spans="1:8" x14ac:dyDescent="0.25">
      <c r="A103" s="6">
        <f>A102+31</f>
        <v>46716</v>
      </c>
      <c r="B103" s="11" t="s">
        <v>10</v>
      </c>
      <c r="C103" s="12">
        <v>35278268.333333336</v>
      </c>
      <c r="D103" s="294">
        <f t="shared" si="8"/>
        <v>9877915.1333332863</v>
      </c>
      <c r="E103" s="12"/>
      <c r="F103" s="12"/>
      <c r="G103" s="294">
        <f t="shared" si="10"/>
        <v>35278268.333333336</v>
      </c>
      <c r="H103" s="13">
        <f t="shared" si="9"/>
        <v>1658078611.6666584</v>
      </c>
    </row>
    <row r="104" spans="1:8" x14ac:dyDescent="0.25">
      <c r="A104" s="6">
        <f>A103+30</f>
        <v>46746</v>
      </c>
      <c r="B104" s="11" t="s">
        <v>10</v>
      </c>
      <c r="C104" s="12">
        <v>35278268.333333336</v>
      </c>
      <c r="D104" s="294">
        <f t="shared" si="8"/>
        <v>9672125.2347221747</v>
      </c>
      <c r="E104" s="12"/>
      <c r="F104" s="12"/>
      <c r="G104" s="294">
        <f t="shared" si="10"/>
        <v>35278268.333333336</v>
      </c>
      <c r="H104" s="13">
        <f t="shared" si="9"/>
        <v>1622800343.3333251</v>
      </c>
    </row>
    <row r="105" spans="1:8" x14ac:dyDescent="0.25">
      <c r="A105" s="6">
        <f>A104+31</f>
        <v>46777</v>
      </c>
      <c r="B105" s="11" t="s">
        <v>10</v>
      </c>
      <c r="C105" s="12">
        <v>35278268.333333336</v>
      </c>
      <c r="D105" s="294">
        <f t="shared" si="8"/>
        <v>9466335.3361110631</v>
      </c>
      <c r="E105" s="12"/>
      <c r="F105" s="12"/>
      <c r="G105" s="294">
        <f t="shared" si="10"/>
        <v>35278268.333333336</v>
      </c>
      <c r="H105" s="13">
        <f t="shared" si="9"/>
        <v>1587522074.9999919</v>
      </c>
    </row>
    <row r="106" spans="1:8" x14ac:dyDescent="0.25">
      <c r="A106" s="6">
        <f>A105+31</f>
        <v>46808</v>
      </c>
      <c r="B106" s="11" t="s">
        <v>10</v>
      </c>
      <c r="C106" s="12">
        <v>35278268.333333336</v>
      </c>
      <c r="D106" s="294">
        <f t="shared" si="8"/>
        <v>9260545.4374999534</v>
      </c>
      <c r="E106" s="12"/>
      <c r="F106" s="12"/>
      <c r="G106" s="294">
        <f t="shared" si="10"/>
        <v>35278268.333333336</v>
      </c>
      <c r="H106" s="13">
        <f t="shared" si="9"/>
        <v>1552243806.6666586</v>
      </c>
    </row>
    <row r="107" spans="1:8" x14ac:dyDescent="0.25">
      <c r="A107" s="6">
        <f>A106+29</f>
        <v>46837</v>
      </c>
      <c r="B107" s="11" t="s">
        <v>10</v>
      </c>
      <c r="C107" s="12">
        <v>35278268.333333336</v>
      </c>
      <c r="D107" s="294">
        <f t="shared" si="8"/>
        <v>9054755.5388888419</v>
      </c>
      <c r="E107" s="12"/>
      <c r="F107" s="12"/>
      <c r="G107" s="294">
        <f t="shared" si="10"/>
        <v>35278268.333333336</v>
      </c>
      <c r="H107" s="13">
        <f t="shared" si="9"/>
        <v>1516965538.3333254</v>
      </c>
    </row>
    <row r="108" spans="1:8" x14ac:dyDescent="0.25">
      <c r="A108" s="6">
        <f>A107+31</f>
        <v>46868</v>
      </c>
      <c r="B108" s="11" t="s">
        <v>10</v>
      </c>
      <c r="C108" s="12">
        <v>35278268.333333336</v>
      </c>
      <c r="D108" s="294">
        <f t="shared" si="8"/>
        <v>8848965.6402777322</v>
      </c>
      <c r="E108" s="12"/>
      <c r="F108" s="12"/>
      <c r="G108" s="294">
        <f t="shared" si="10"/>
        <v>35278268.333333336</v>
      </c>
      <c r="H108" s="13">
        <f t="shared" si="9"/>
        <v>1481687269.9999921</v>
      </c>
    </row>
    <row r="109" spans="1:8" x14ac:dyDescent="0.25">
      <c r="A109" s="6">
        <f>A108+30</f>
        <v>46898</v>
      </c>
      <c r="B109" s="11" t="s">
        <v>10</v>
      </c>
      <c r="C109" s="12">
        <v>35278268.333333336</v>
      </c>
      <c r="D109" s="294">
        <f t="shared" ref="D109:D140" si="11">H108*J$164*$J$163/360</f>
        <v>8643175.7416666225</v>
      </c>
      <c r="E109" s="12"/>
      <c r="F109" s="12"/>
      <c r="G109" s="294">
        <f t="shared" si="10"/>
        <v>35278268.333333336</v>
      </c>
      <c r="H109" s="13">
        <f t="shared" si="9"/>
        <v>1446409001.6666589</v>
      </c>
    </row>
    <row r="110" spans="1:8" x14ac:dyDescent="0.25">
      <c r="A110" s="6">
        <f>A109+31</f>
        <v>46929</v>
      </c>
      <c r="B110" s="11" t="s">
        <v>10</v>
      </c>
      <c r="C110" s="12">
        <v>35278268.333333336</v>
      </c>
      <c r="D110" s="294">
        <f t="shared" si="11"/>
        <v>8437385.8430555128</v>
      </c>
      <c r="E110" s="12"/>
      <c r="F110" s="12"/>
      <c r="G110" s="294">
        <f t="shared" si="10"/>
        <v>35278268.333333336</v>
      </c>
      <c r="H110" s="13">
        <f t="shared" si="9"/>
        <v>1411130733.3333256</v>
      </c>
    </row>
    <row r="111" spans="1:8" x14ac:dyDescent="0.25">
      <c r="A111" s="6">
        <f>A110+30</f>
        <v>46959</v>
      </c>
      <c r="B111" s="11" t="s">
        <v>10</v>
      </c>
      <c r="C111" s="12">
        <v>35278268.333333336</v>
      </c>
      <c r="D111" s="294">
        <f t="shared" si="11"/>
        <v>8231595.9444444012</v>
      </c>
      <c r="E111" s="12"/>
      <c r="F111" s="12"/>
      <c r="G111" s="294">
        <f t="shared" si="10"/>
        <v>35278268.333333336</v>
      </c>
      <c r="H111" s="13">
        <f t="shared" ref="H111:H142" si="12">+H110-C111</f>
        <v>1375852464.9999924</v>
      </c>
    </row>
    <row r="112" spans="1:8" x14ac:dyDescent="0.25">
      <c r="A112" s="6">
        <f>A111+31</f>
        <v>46990</v>
      </c>
      <c r="B112" s="11" t="s">
        <v>10</v>
      </c>
      <c r="C112" s="12">
        <v>35278268.333333336</v>
      </c>
      <c r="D112" s="294">
        <f t="shared" si="11"/>
        <v>8025806.0458332896</v>
      </c>
      <c r="E112" s="12"/>
      <c r="F112" s="12"/>
      <c r="G112" s="294">
        <f t="shared" si="10"/>
        <v>35278268.333333336</v>
      </c>
      <c r="H112" s="13">
        <f t="shared" si="12"/>
        <v>1340574196.6666591</v>
      </c>
    </row>
    <row r="113" spans="1:8" x14ac:dyDescent="0.25">
      <c r="A113" s="6">
        <f>A112+31</f>
        <v>47021</v>
      </c>
      <c r="B113" s="11" t="s">
        <v>10</v>
      </c>
      <c r="C113" s="12">
        <v>35278268.333333336</v>
      </c>
      <c r="D113" s="294">
        <f t="shared" si="11"/>
        <v>7820016.1472221781</v>
      </c>
      <c r="E113" s="12"/>
      <c r="F113" s="12"/>
      <c r="G113" s="294">
        <f t="shared" si="10"/>
        <v>35278268.333333336</v>
      </c>
      <c r="H113" s="13">
        <f t="shared" si="12"/>
        <v>1305295928.3333259</v>
      </c>
    </row>
    <row r="114" spans="1:8" x14ac:dyDescent="0.25">
      <c r="A114" s="6">
        <f>A113+31</f>
        <v>47052</v>
      </c>
      <c r="B114" s="11" t="s">
        <v>10</v>
      </c>
      <c r="C114" s="12">
        <v>35278268.333333336</v>
      </c>
      <c r="D114" s="294">
        <f t="shared" si="11"/>
        <v>7614226.2486110674</v>
      </c>
      <c r="E114" s="12"/>
      <c r="F114" s="12"/>
      <c r="G114" s="294">
        <f t="shared" si="10"/>
        <v>35278268.333333336</v>
      </c>
      <c r="H114" s="13">
        <f t="shared" si="12"/>
        <v>1270017659.9999926</v>
      </c>
    </row>
    <row r="115" spans="1:8" x14ac:dyDescent="0.25">
      <c r="A115" s="6">
        <f>A114+30</f>
        <v>47082</v>
      </c>
      <c r="B115" s="11" t="s">
        <v>10</v>
      </c>
      <c r="C115" s="12">
        <v>35278268.333333336</v>
      </c>
      <c r="D115" s="294">
        <f t="shared" si="11"/>
        <v>7408436.3499999577</v>
      </c>
      <c r="E115" s="12"/>
      <c r="F115" s="12"/>
      <c r="G115" s="294">
        <f t="shared" si="10"/>
        <v>35278268.333333336</v>
      </c>
      <c r="H115" s="13">
        <f t="shared" si="12"/>
        <v>1234739391.6666594</v>
      </c>
    </row>
    <row r="116" spans="1:8" x14ac:dyDescent="0.25">
      <c r="A116" s="6">
        <f>A115+30</f>
        <v>47112</v>
      </c>
      <c r="B116" s="11" t="s">
        <v>10</v>
      </c>
      <c r="C116" s="12">
        <v>35278268.333333336</v>
      </c>
      <c r="D116" s="294">
        <f t="shared" si="11"/>
        <v>7202646.4513888462</v>
      </c>
      <c r="E116" s="12"/>
      <c r="F116" s="12"/>
      <c r="G116" s="294">
        <f t="shared" si="10"/>
        <v>35278268.333333336</v>
      </c>
      <c r="H116" s="13">
        <f t="shared" si="12"/>
        <v>1199461123.3333261</v>
      </c>
    </row>
    <row r="117" spans="1:8" x14ac:dyDescent="0.25">
      <c r="A117" s="6">
        <f>A116+31</f>
        <v>47143</v>
      </c>
      <c r="B117" s="11" t="s">
        <v>10</v>
      </c>
      <c r="C117" s="12">
        <v>35278268.333333336</v>
      </c>
      <c r="D117" s="294">
        <f t="shared" si="11"/>
        <v>6996856.5527777364</v>
      </c>
      <c r="E117" s="12"/>
      <c r="F117" s="12"/>
      <c r="G117" s="294">
        <f t="shared" si="10"/>
        <v>35278268.333333336</v>
      </c>
      <c r="H117" s="13">
        <f t="shared" si="12"/>
        <v>1164182854.9999928</v>
      </c>
    </row>
    <row r="118" spans="1:8" x14ac:dyDescent="0.25">
      <c r="A118" s="6">
        <f>A117+31</f>
        <v>47174</v>
      </c>
      <c r="B118" s="11" t="s">
        <v>10</v>
      </c>
      <c r="C118" s="12">
        <v>35278268.333333336</v>
      </c>
      <c r="D118" s="294">
        <f t="shared" si="11"/>
        <v>6791066.6541666258</v>
      </c>
      <c r="E118" s="12"/>
      <c r="F118" s="12"/>
      <c r="G118" s="294">
        <f t="shared" si="10"/>
        <v>35278268.333333336</v>
      </c>
      <c r="H118" s="13">
        <f t="shared" si="12"/>
        <v>1128904586.6666596</v>
      </c>
    </row>
    <row r="119" spans="1:8" x14ac:dyDescent="0.25">
      <c r="A119" s="6">
        <f>A118+28</f>
        <v>47202</v>
      </c>
      <c r="B119" s="11" t="s">
        <v>10</v>
      </c>
      <c r="C119" s="12">
        <v>35278268.333333336</v>
      </c>
      <c r="D119" s="294">
        <f t="shared" si="11"/>
        <v>6585276.7555555161</v>
      </c>
      <c r="E119" s="12"/>
      <c r="F119" s="12"/>
      <c r="G119" s="294">
        <f t="shared" si="10"/>
        <v>35278268.333333336</v>
      </c>
      <c r="H119" s="13">
        <f t="shared" si="12"/>
        <v>1093626318.3333263</v>
      </c>
    </row>
    <row r="120" spans="1:8" x14ac:dyDescent="0.25">
      <c r="A120" s="6">
        <f>A119+31</f>
        <v>47233</v>
      </c>
      <c r="B120" s="11" t="s">
        <v>10</v>
      </c>
      <c r="C120" s="12">
        <v>35278268.333333336</v>
      </c>
      <c r="D120" s="294">
        <f t="shared" si="11"/>
        <v>6379486.8569444045</v>
      </c>
      <c r="E120" s="12"/>
      <c r="F120" s="12"/>
      <c r="G120" s="294">
        <f t="shared" si="10"/>
        <v>35278268.333333336</v>
      </c>
      <c r="H120" s="13">
        <f t="shared" si="12"/>
        <v>1058348049.999993</v>
      </c>
    </row>
    <row r="121" spans="1:8" x14ac:dyDescent="0.25">
      <c r="A121" s="6">
        <f>A120+30</f>
        <v>47263</v>
      </c>
      <c r="B121" s="11" t="s">
        <v>10</v>
      </c>
      <c r="C121" s="12">
        <v>35278268.333333336</v>
      </c>
      <c r="D121" s="294">
        <f t="shared" si="11"/>
        <v>6173696.958333292</v>
      </c>
      <c r="E121" s="12"/>
      <c r="F121" s="12"/>
      <c r="G121" s="294">
        <f t="shared" si="10"/>
        <v>35278268.333333336</v>
      </c>
      <c r="H121" s="13">
        <f t="shared" si="12"/>
        <v>1023069781.6666596</v>
      </c>
    </row>
    <row r="122" spans="1:8" x14ac:dyDescent="0.25">
      <c r="A122" s="6">
        <f>A121+31</f>
        <v>47294</v>
      </c>
      <c r="B122" s="11" t="s">
        <v>10</v>
      </c>
      <c r="C122" s="12">
        <v>35278268.333333336</v>
      </c>
      <c r="D122" s="294">
        <f t="shared" si="11"/>
        <v>5967907.0597221814</v>
      </c>
      <c r="E122" s="12"/>
      <c r="F122" s="12"/>
      <c r="G122" s="294">
        <f t="shared" si="10"/>
        <v>35278268.333333336</v>
      </c>
      <c r="H122" s="13">
        <f t="shared" si="12"/>
        <v>987791513.33332622</v>
      </c>
    </row>
    <row r="123" spans="1:8" x14ac:dyDescent="0.25">
      <c r="A123" s="6">
        <f>A122+30</f>
        <v>47324</v>
      </c>
      <c r="B123" s="11" t="s">
        <v>10</v>
      </c>
      <c r="C123" s="12">
        <v>35278268.333333336</v>
      </c>
      <c r="D123" s="294">
        <f t="shared" si="11"/>
        <v>5762117.1611110708</v>
      </c>
      <c r="E123" s="12"/>
      <c r="F123" s="12"/>
      <c r="G123" s="294">
        <f t="shared" si="10"/>
        <v>35278268.333333336</v>
      </c>
      <c r="H123" s="13">
        <f t="shared" si="12"/>
        <v>952513244.99999285</v>
      </c>
    </row>
    <row r="124" spans="1:8" x14ac:dyDescent="0.25">
      <c r="A124" s="6">
        <f>A123+31</f>
        <v>47355</v>
      </c>
      <c r="B124" s="11" t="s">
        <v>10</v>
      </c>
      <c r="C124" s="12">
        <v>35278268.333333336</v>
      </c>
      <c r="D124" s="294">
        <f t="shared" si="11"/>
        <v>5556327.2624999592</v>
      </c>
      <c r="E124" s="12"/>
      <c r="F124" s="12"/>
      <c r="G124" s="294">
        <f t="shared" si="10"/>
        <v>35278268.333333336</v>
      </c>
      <c r="H124" s="13">
        <f t="shared" si="12"/>
        <v>917234976.66665947</v>
      </c>
    </row>
    <row r="125" spans="1:8" x14ac:dyDescent="0.25">
      <c r="A125" s="6">
        <f>A124+31</f>
        <v>47386</v>
      </c>
      <c r="B125" s="11" t="s">
        <v>10</v>
      </c>
      <c r="C125" s="12">
        <v>35278268.333333336</v>
      </c>
      <c r="D125" s="294">
        <f t="shared" si="11"/>
        <v>5350537.3638888467</v>
      </c>
      <c r="E125" s="12"/>
      <c r="F125" s="12"/>
      <c r="G125" s="294">
        <f t="shared" si="10"/>
        <v>35278268.333333336</v>
      </c>
      <c r="H125" s="13">
        <f t="shared" si="12"/>
        <v>881956708.3333261</v>
      </c>
    </row>
    <row r="126" spans="1:8" x14ac:dyDescent="0.25">
      <c r="A126" s="6">
        <f>A125+30</f>
        <v>47416</v>
      </c>
      <c r="B126" s="11" t="s">
        <v>10</v>
      </c>
      <c r="C126" s="12">
        <v>35278268.333333336</v>
      </c>
      <c r="D126" s="294">
        <f t="shared" si="11"/>
        <v>5144747.465277737</v>
      </c>
      <c r="E126" s="12"/>
      <c r="F126" s="12"/>
      <c r="G126" s="294">
        <f t="shared" si="10"/>
        <v>35278268.333333336</v>
      </c>
      <c r="H126" s="13">
        <f t="shared" si="12"/>
        <v>846678439.99999273</v>
      </c>
    </row>
    <row r="127" spans="1:8" x14ac:dyDescent="0.25">
      <c r="A127" s="6">
        <f>A126+31</f>
        <v>47447</v>
      </c>
      <c r="B127" s="11" t="s">
        <v>10</v>
      </c>
      <c r="C127" s="12">
        <v>35278268.333333336</v>
      </c>
      <c r="D127" s="294">
        <f t="shared" si="11"/>
        <v>4938957.5666666245</v>
      </c>
      <c r="E127" s="12"/>
      <c r="F127" s="12"/>
      <c r="G127" s="294">
        <f t="shared" si="10"/>
        <v>35278268.333333336</v>
      </c>
      <c r="H127" s="13">
        <f t="shared" si="12"/>
        <v>811400171.66665936</v>
      </c>
    </row>
    <row r="128" spans="1:8" x14ac:dyDescent="0.25">
      <c r="A128" s="6">
        <f>A127+30</f>
        <v>47477</v>
      </c>
      <c r="B128" s="11" t="s">
        <v>10</v>
      </c>
      <c r="C128" s="12">
        <v>35278268.333333336</v>
      </c>
      <c r="D128" s="294">
        <f t="shared" si="11"/>
        <v>4733167.6680555129</v>
      </c>
      <c r="E128" s="12"/>
      <c r="F128" s="12"/>
      <c r="G128" s="294">
        <f t="shared" si="10"/>
        <v>35278268.333333336</v>
      </c>
      <c r="H128" s="13">
        <f t="shared" si="12"/>
        <v>776121903.33332598</v>
      </c>
    </row>
    <row r="129" spans="1:8" x14ac:dyDescent="0.25">
      <c r="A129" s="6">
        <f>A128+31</f>
        <v>47508</v>
      </c>
      <c r="B129" s="11" t="s">
        <v>10</v>
      </c>
      <c r="C129" s="12">
        <v>35278268.333333336</v>
      </c>
      <c r="D129" s="294">
        <f t="shared" si="11"/>
        <v>4527377.7694444014</v>
      </c>
      <c r="E129" s="12"/>
      <c r="F129" s="12"/>
      <c r="G129" s="294">
        <f t="shared" si="10"/>
        <v>35278268.333333336</v>
      </c>
      <c r="H129" s="13">
        <f t="shared" si="12"/>
        <v>740843634.99999261</v>
      </c>
    </row>
    <row r="130" spans="1:8" x14ac:dyDescent="0.25">
      <c r="A130" s="6">
        <f>A129+31</f>
        <v>47539</v>
      </c>
      <c r="B130" s="11" t="s">
        <v>10</v>
      </c>
      <c r="C130" s="12">
        <v>35278268.333333336</v>
      </c>
      <c r="D130" s="294">
        <f t="shared" si="11"/>
        <v>4321587.8708332907</v>
      </c>
      <c r="E130" s="12"/>
      <c r="F130" s="12"/>
      <c r="G130" s="294">
        <f t="shared" si="10"/>
        <v>35278268.333333336</v>
      </c>
      <c r="H130" s="13">
        <f t="shared" si="12"/>
        <v>705565366.66665924</v>
      </c>
    </row>
    <row r="131" spans="1:8" x14ac:dyDescent="0.25">
      <c r="A131" s="6">
        <f>A130+28</f>
        <v>47567</v>
      </c>
      <c r="B131" s="11" t="s">
        <v>10</v>
      </c>
      <c r="C131" s="12">
        <v>35278268.333333336</v>
      </c>
      <c r="D131" s="294">
        <f t="shared" si="11"/>
        <v>4115797.9722221792</v>
      </c>
      <c r="E131" s="12"/>
      <c r="F131" s="12"/>
      <c r="G131" s="294">
        <f t="shared" si="10"/>
        <v>35278268.333333336</v>
      </c>
      <c r="H131" s="13">
        <f t="shared" si="12"/>
        <v>670287098.33332586</v>
      </c>
    </row>
    <row r="132" spans="1:8" x14ac:dyDescent="0.25">
      <c r="A132" s="6">
        <f>A131+31</f>
        <v>47598</v>
      </c>
      <c r="B132" s="11" t="s">
        <v>10</v>
      </c>
      <c r="C132" s="12">
        <v>35278268.333333336</v>
      </c>
      <c r="D132" s="294">
        <f t="shared" si="11"/>
        <v>3910008.0736110676</v>
      </c>
      <c r="E132" s="12"/>
      <c r="F132" s="12"/>
      <c r="G132" s="294">
        <f t="shared" si="10"/>
        <v>35278268.333333336</v>
      </c>
      <c r="H132" s="13">
        <f t="shared" si="12"/>
        <v>635008829.99999249</v>
      </c>
    </row>
    <row r="133" spans="1:8" x14ac:dyDescent="0.25">
      <c r="A133" s="6">
        <f>A132+30</f>
        <v>47628</v>
      </c>
      <c r="B133" s="11" t="s">
        <v>10</v>
      </c>
      <c r="C133" s="12">
        <v>35278268.333333336</v>
      </c>
      <c r="D133" s="294">
        <f t="shared" si="11"/>
        <v>3704218.174999957</v>
      </c>
      <c r="E133" s="12"/>
      <c r="F133" s="12"/>
      <c r="G133" s="294">
        <f t="shared" si="10"/>
        <v>35278268.333333336</v>
      </c>
      <c r="H133" s="13">
        <f t="shared" si="12"/>
        <v>599730561.66665912</v>
      </c>
    </row>
    <row r="134" spans="1:8" x14ac:dyDescent="0.25">
      <c r="A134" s="6">
        <f>A133+31</f>
        <v>47659</v>
      </c>
      <c r="B134" s="11" t="s">
        <v>10</v>
      </c>
      <c r="C134" s="12">
        <v>35278268.333333336</v>
      </c>
      <c r="D134" s="294">
        <f t="shared" si="11"/>
        <v>3498428.2763888454</v>
      </c>
      <c r="E134" s="12"/>
      <c r="F134" s="12"/>
      <c r="G134" s="294">
        <f t="shared" si="10"/>
        <v>35278268.333333336</v>
      </c>
      <c r="H134" s="13">
        <f t="shared" si="12"/>
        <v>564452293.33332574</v>
      </c>
    </row>
    <row r="135" spans="1:8" x14ac:dyDescent="0.25">
      <c r="A135" s="6">
        <f>A134+30</f>
        <v>47689</v>
      </c>
      <c r="B135" s="11" t="s">
        <v>10</v>
      </c>
      <c r="C135" s="12">
        <v>35278268.333333336</v>
      </c>
      <c r="D135" s="294">
        <f t="shared" si="11"/>
        <v>3292638.3777777334</v>
      </c>
      <c r="E135" s="12"/>
      <c r="F135" s="12"/>
      <c r="G135" s="294">
        <f t="shared" si="10"/>
        <v>35278268.333333336</v>
      </c>
      <c r="H135" s="13">
        <f t="shared" si="12"/>
        <v>529174024.99999243</v>
      </c>
    </row>
    <row r="136" spans="1:8" x14ac:dyDescent="0.25">
      <c r="A136" s="6">
        <f>A135+31</f>
        <v>47720</v>
      </c>
      <c r="B136" s="11" t="s">
        <v>10</v>
      </c>
      <c r="C136" s="12">
        <v>35278268.333333336</v>
      </c>
      <c r="D136" s="294">
        <f t="shared" si="11"/>
        <v>3086848.4791666223</v>
      </c>
      <c r="E136" s="12"/>
      <c r="F136" s="12"/>
      <c r="G136" s="294">
        <f t="shared" si="10"/>
        <v>35278268.333333336</v>
      </c>
      <c r="H136" s="13">
        <f t="shared" si="12"/>
        <v>493895756.66665912</v>
      </c>
    </row>
    <row r="137" spans="1:8" x14ac:dyDescent="0.25">
      <c r="A137" s="6">
        <f>A136+31</f>
        <v>47751</v>
      </c>
      <c r="B137" s="11" t="s">
        <v>10</v>
      </c>
      <c r="C137" s="12">
        <v>35278268.333333336</v>
      </c>
      <c r="D137" s="294">
        <f t="shared" si="11"/>
        <v>2881058.5805555116</v>
      </c>
      <c r="E137" s="12"/>
      <c r="F137" s="12"/>
      <c r="G137" s="294">
        <f t="shared" si="10"/>
        <v>35278268.333333336</v>
      </c>
      <c r="H137" s="13">
        <f t="shared" si="12"/>
        <v>458617488.3333258</v>
      </c>
    </row>
    <row r="138" spans="1:8" x14ac:dyDescent="0.25">
      <c r="A138" s="6">
        <f>A137+30</f>
        <v>47781</v>
      </c>
      <c r="B138" s="11" t="s">
        <v>10</v>
      </c>
      <c r="C138" s="12">
        <v>35278268.333333336</v>
      </c>
      <c r="D138" s="294">
        <f t="shared" si="11"/>
        <v>2675268.6819444005</v>
      </c>
      <c r="E138" s="12"/>
      <c r="F138" s="12"/>
      <c r="G138" s="294">
        <f t="shared" si="10"/>
        <v>35278268.333333336</v>
      </c>
      <c r="H138" s="13">
        <f t="shared" si="12"/>
        <v>423339219.99999249</v>
      </c>
    </row>
    <row r="139" spans="1:8" x14ac:dyDescent="0.25">
      <c r="A139" s="6">
        <f>A138+31</f>
        <v>47812</v>
      </c>
      <c r="B139" s="11" t="s">
        <v>10</v>
      </c>
      <c r="C139" s="12">
        <v>35278268.333333336</v>
      </c>
      <c r="D139" s="294">
        <f t="shared" si="11"/>
        <v>2469478.7833332894</v>
      </c>
      <c r="E139" s="12"/>
      <c r="F139" s="12"/>
      <c r="G139" s="294">
        <f t="shared" si="10"/>
        <v>35278268.333333336</v>
      </c>
      <c r="H139" s="13">
        <f t="shared" si="12"/>
        <v>388060951.66665918</v>
      </c>
    </row>
    <row r="140" spans="1:8" x14ac:dyDescent="0.25">
      <c r="A140" s="6">
        <f>A139+30</f>
        <v>47842</v>
      </c>
      <c r="B140" s="11" t="s">
        <v>10</v>
      </c>
      <c r="C140" s="12">
        <v>35278268.333333336</v>
      </c>
      <c r="D140" s="294">
        <f t="shared" si="11"/>
        <v>2263688.8847221788</v>
      </c>
      <c r="E140" s="12"/>
      <c r="F140" s="12"/>
      <c r="G140" s="294">
        <f t="shared" si="10"/>
        <v>35278268.333333336</v>
      </c>
      <c r="H140" s="13">
        <f t="shared" si="12"/>
        <v>352782683.33332586</v>
      </c>
    </row>
    <row r="141" spans="1:8" x14ac:dyDescent="0.25">
      <c r="A141" s="6">
        <f>A140+31</f>
        <v>47873</v>
      </c>
      <c r="B141" s="11" t="s">
        <v>10</v>
      </c>
      <c r="C141" s="12">
        <v>35278268.333333336</v>
      </c>
      <c r="D141" s="294">
        <f t="shared" ref="D141:D150" si="13">H140*J$164*$J$163/360</f>
        <v>2057898.9861110677</v>
      </c>
      <c r="E141" s="12"/>
      <c r="F141" s="12"/>
      <c r="G141" s="294">
        <f t="shared" si="10"/>
        <v>35278268.333333336</v>
      </c>
      <c r="H141" s="13">
        <f t="shared" si="12"/>
        <v>317504414.99999255</v>
      </c>
    </row>
    <row r="142" spans="1:8" x14ac:dyDescent="0.25">
      <c r="A142" s="6">
        <f>A141+31</f>
        <v>47904</v>
      </c>
      <c r="B142" s="11" t="s">
        <v>10</v>
      </c>
      <c r="C142" s="12">
        <v>35278268.333333336</v>
      </c>
      <c r="D142" s="294">
        <f t="shared" si="13"/>
        <v>1852109.0874999566</v>
      </c>
      <c r="E142" s="12"/>
      <c r="F142" s="12"/>
      <c r="G142" s="294">
        <f t="shared" si="10"/>
        <v>35278268.333333336</v>
      </c>
      <c r="H142" s="13">
        <f t="shared" si="12"/>
        <v>282226146.66665924</v>
      </c>
    </row>
    <row r="143" spans="1:8" x14ac:dyDescent="0.25">
      <c r="A143" s="6">
        <f>A142+28</f>
        <v>47932</v>
      </c>
      <c r="B143" s="11" t="s">
        <v>10</v>
      </c>
      <c r="C143" s="12">
        <v>35278268.333333336</v>
      </c>
      <c r="D143" s="294">
        <f t="shared" si="13"/>
        <v>1646319.1888888455</v>
      </c>
      <c r="E143" s="12"/>
      <c r="F143" s="12"/>
      <c r="G143" s="294">
        <f t="shared" si="10"/>
        <v>35278268.333333336</v>
      </c>
      <c r="H143" s="13">
        <f t="shared" ref="H143:H150" si="14">+H142-C143</f>
        <v>246947878.33332589</v>
      </c>
    </row>
    <row r="144" spans="1:8" x14ac:dyDescent="0.25">
      <c r="A144" s="6">
        <f>A143+31</f>
        <v>47963</v>
      </c>
      <c r="B144" s="11" t="s">
        <v>10</v>
      </c>
      <c r="C144" s="12">
        <v>35278268.333333336</v>
      </c>
      <c r="D144" s="294">
        <f t="shared" si="13"/>
        <v>1440529.2902777344</v>
      </c>
      <c r="E144" s="12"/>
      <c r="F144" s="12"/>
      <c r="G144" s="294">
        <f t="shared" si="10"/>
        <v>35278268.333333336</v>
      </c>
      <c r="H144" s="13">
        <f t="shared" si="14"/>
        <v>211669609.99999255</v>
      </c>
    </row>
    <row r="145" spans="1:19" x14ac:dyDescent="0.25">
      <c r="A145" s="6">
        <f>A144+30</f>
        <v>47993</v>
      </c>
      <c r="B145" s="11" t="s">
        <v>10</v>
      </c>
      <c r="C145" s="12">
        <v>35278268.333333336</v>
      </c>
      <c r="D145" s="294">
        <f t="shared" si="13"/>
        <v>1234739.3916666233</v>
      </c>
      <c r="E145" s="12"/>
      <c r="F145" s="12"/>
      <c r="G145" s="294">
        <f t="shared" si="10"/>
        <v>35278268.333333336</v>
      </c>
      <c r="H145" s="13">
        <f t="shared" si="14"/>
        <v>176391341.66665921</v>
      </c>
    </row>
    <row r="146" spans="1:19" x14ac:dyDescent="0.25">
      <c r="A146" s="6">
        <f>A145+31</f>
        <v>48024</v>
      </c>
      <c r="B146" s="11" t="s">
        <v>10</v>
      </c>
      <c r="C146" s="12">
        <v>35278268.333333336</v>
      </c>
      <c r="D146" s="294">
        <f t="shared" si="13"/>
        <v>1028949.4930555122</v>
      </c>
      <c r="E146" s="12"/>
      <c r="F146" s="12"/>
      <c r="G146" s="294">
        <f t="shared" si="10"/>
        <v>35278268.333333336</v>
      </c>
      <c r="H146" s="13">
        <f t="shared" si="14"/>
        <v>141113073.33332586</v>
      </c>
    </row>
    <row r="147" spans="1:19" x14ac:dyDescent="0.25">
      <c r="A147" s="6">
        <f>A146+30</f>
        <v>48054</v>
      </c>
      <c r="B147" s="11" t="s">
        <v>10</v>
      </c>
      <c r="C147" s="12">
        <v>35278268.333333336</v>
      </c>
      <c r="D147" s="294">
        <f t="shared" si="13"/>
        <v>823159.59444440086</v>
      </c>
      <c r="E147" s="12"/>
      <c r="F147" s="12"/>
      <c r="G147" s="294">
        <f t="shared" ref="G147:G150" si="15">E147+C147+F147</f>
        <v>35278268.333333336</v>
      </c>
      <c r="H147" s="13">
        <f t="shared" si="14"/>
        <v>105834804.99999252</v>
      </c>
    </row>
    <row r="148" spans="1:19" x14ac:dyDescent="0.25">
      <c r="A148" s="6">
        <f>A147+31</f>
        <v>48085</v>
      </c>
      <c r="B148" s="11" t="s">
        <v>10</v>
      </c>
      <c r="C148" s="12">
        <v>35278268.333333336</v>
      </c>
      <c r="D148" s="294">
        <f t="shared" si="13"/>
        <v>617369.69583328976</v>
      </c>
      <c r="E148" s="12"/>
      <c r="F148" s="12"/>
      <c r="G148" s="294">
        <f t="shared" si="15"/>
        <v>35278268.333333336</v>
      </c>
      <c r="H148" s="13">
        <f t="shared" si="14"/>
        <v>70556536.666659176</v>
      </c>
    </row>
    <row r="149" spans="1:19" x14ac:dyDescent="0.25">
      <c r="A149" s="6">
        <f>A148+31</f>
        <v>48116</v>
      </c>
      <c r="B149" s="11" t="s">
        <v>10</v>
      </c>
      <c r="C149" s="12">
        <v>35278268.333333336</v>
      </c>
      <c r="D149" s="294">
        <f t="shared" si="13"/>
        <v>411579.7972221786</v>
      </c>
      <c r="E149" s="12"/>
      <c r="F149" s="12"/>
      <c r="G149" s="294">
        <f t="shared" si="15"/>
        <v>35278268.333333336</v>
      </c>
      <c r="H149" s="13">
        <f t="shared" si="14"/>
        <v>35278268.333325841</v>
      </c>
    </row>
    <row r="150" spans="1:19" x14ac:dyDescent="0.25">
      <c r="A150" s="6">
        <f>A149+30</f>
        <v>48146</v>
      </c>
      <c r="B150" s="11" t="s">
        <v>10</v>
      </c>
      <c r="C150" s="12">
        <v>35278268.333333336</v>
      </c>
      <c r="D150" s="294">
        <f t="shared" si="13"/>
        <v>205789.89861106739</v>
      </c>
      <c r="E150" s="12"/>
      <c r="F150" s="12"/>
      <c r="G150" s="294">
        <f t="shared" si="15"/>
        <v>35278268.333333336</v>
      </c>
      <c r="H150" s="13">
        <f t="shared" si="14"/>
        <v>-7.4952840805053711E-6</v>
      </c>
    </row>
    <row r="151" spans="1:19" x14ac:dyDescent="0.25">
      <c r="A151" s="15"/>
      <c r="B151" s="16" t="s">
        <v>11</v>
      </c>
      <c r="C151" s="17">
        <f>SUM(C6:C150)</f>
        <v>4233392200.0000076</v>
      </c>
      <c r="D151" s="17">
        <f>SUM(D6:D150)</f>
        <v>1919325948.097774</v>
      </c>
      <c r="E151" s="17">
        <f>+SUM(E7:E11)+SUM(E18:E150)</f>
        <v>160787763.3775</v>
      </c>
      <c r="F151" s="17">
        <f>+SUM(F18:F25)</f>
        <v>128491496.875</v>
      </c>
      <c r="G151" s="17">
        <f>SUM(G7:G150)</f>
        <v>4522671460.2525053</v>
      </c>
      <c r="H151" s="17">
        <v>0</v>
      </c>
      <c r="J151">
        <f>5.093-2</f>
        <v>3.093</v>
      </c>
    </row>
    <row r="152" spans="1:19" x14ac:dyDescent="0.25">
      <c r="A152" s="19" t="s">
        <v>42</v>
      </c>
      <c r="B152" s="20"/>
      <c r="C152" s="20"/>
      <c r="D152" s="20"/>
      <c r="E152" s="20"/>
      <c r="F152" s="20"/>
      <c r="G152" s="20"/>
      <c r="H152" s="20"/>
      <c r="I152" s="20"/>
      <c r="J152" s="20"/>
    </row>
    <row r="153" spans="1:19" x14ac:dyDescent="0.25">
      <c r="A153" s="351"/>
      <c r="B153" s="315" t="s">
        <v>3035</v>
      </c>
      <c r="C153" s="315" t="s">
        <v>3036</v>
      </c>
      <c r="D153" s="315" t="s">
        <v>3037</v>
      </c>
      <c r="E153" s="315" t="s">
        <v>3038</v>
      </c>
      <c r="F153" s="315" t="s">
        <v>3039</v>
      </c>
      <c r="G153" s="315" t="s">
        <v>3040</v>
      </c>
      <c r="H153" s="315" t="s">
        <v>3064</v>
      </c>
      <c r="I153" s="315" t="s">
        <v>3110</v>
      </c>
      <c r="J153" s="315" t="s">
        <v>3111</v>
      </c>
      <c r="K153" s="316"/>
      <c r="L153" s="100"/>
      <c r="M153" s="100"/>
      <c r="N153" s="100"/>
      <c r="O153" s="100"/>
      <c r="P153" s="97"/>
      <c r="Q153" s="97"/>
    </row>
    <row r="154" spans="1:19" ht="25.5" x14ac:dyDescent="0.25">
      <c r="A154" s="39" t="s">
        <v>3151</v>
      </c>
      <c r="B154" s="88">
        <v>4.1189999999999997E-2</v>
      </c>
      <c r="C154" s="88">
        <v>4.1149999999999999E-2</v>
      </c>
      <c r="D154" s="88">
        <v>4.1119999999999997E-2</v>
      </c>
      <c r="E154" s="88">
        <v>4.1149999999999999E-2</v>
      </c>
      <c r="F154" s="88">
        <v>4.1149999999999999E-2</v>
      </c>
      <c r="G154" s="88">
        <v>3.9949999999999999E-2</v>
      </c>
      <c r="H154" s="88">
        <v>3.1609999999999999E-2</v>
      </c>
      <c r="I154" s="88">
        <v>2.8029999999999999E-2</v>
      </c>
      <c r="J154" s="88">
        <v>2.3630000000000002E-2</v>
      </c>
      <c r="K154" s="318"/>
      <c r="L154" s="334"/>
      <c r="M154" s="334"/>
      <c r="N154" s="334"/>
      <c r="O154" s="334"/>
      <c r="P154" s="97"/>
      <c r="Q154" s="97"/>
    </row>
    <row r="155" spans="1:19" ht="25.5" x14ac:dyDescent="0.25">
      <c r="A155" s="39" t="s">
        <v>376</v>
      </c>
      <c r="B155" s="33">
        <v>0.02</v>
      </c>
      <c r="C155" s="88">
        <v>0.02</v>
      </c>
      <c r="D155" s="88">
        <v>0.02</v>
      </c>
      <c r="E155" s="88">
        <v>0.02</v>
      </c>
      <c r="F155" s="88">
        <v>0.02</v>
      </c>
      <c r="G155" s="88">
        <v>0.02</v>
      </c>
      <c r="H155" s="88">
        <v>0.02</v>
      </c>
      <c r="I155" s="88">
        <v>0.02</v>
      </c>
      <c r="J155" s="88">
        <v>0.02</v>
      </c>
      <c r="K155" s="319"/>
      <c r="L155" s="336"/>
      <c r="M155" s="336"/>
      <c r="N155" s="336"/>
      <c r="O155" s="336"/>
      <c r="P155" s="97"/>
      <c r="Q155" s="97"/>
    </row>
    <row r="156" spans="1:19" x14ac:dyDescent="0.25">
      <c r="A156" s="39" t="s">
        <v>377</v>
      </c>
      <c r="B156" s="67">
        <v>30</v>
      </c>
      <c r="C156" s="67">
        <v>30</v>
      </c>
      <c r="D156" s="67">
        <v>30</v>
      </c>
      <c r="E156" s="67">
        <v>30</v>
      </c>
      <c r="F156" s="67">
        <v>30</v>
      </c>
      <c r="G156" s="67">
        <v>30</v>
      </c>
      <c r="H156" s="67">
        <v>30</v>
      </c>
      <c r="I156" s="67">
        <v>30</v>
      </c>
      <c r="J156" s="67">
        <v>30</v>
      </c>
      <c r="K156" s="320"/>
      <c r="L156" s="346"/>
      <c r="M156" s="346"/>
      <c r="N156" s="346"/>
      <c r="O156" s="346"/>
      <c r="P156" s="97"/>
      <c r="Q156" s="97"/>
    </row>
    <row r="157" spans="1:19" x14ac:dyDescent="0.25">
      <c r="A157" s="39" t="s">
        <v>3152</v>
      </c>
      <c r="B157" s="142">
        <f t="shared" ref="B157:H157" si="16">+B154+B155</f>
        <v>6.1189999999999994E-2</v>
      </c>
      <c r="C157" s="142">
        <f t="shared" si="16"/>
        <v>6.1149999999999996E-2</v>
      </c>
      <c r="D157" s="142">
        <f t="shared" si="16"/>
        <v>6.1119999999999994E-2</v>
      </c>
      <c r="E157" s="142">
        <f t="shared" si="16"/>
        <v>6.1149999999999996E-2</v>
      </c>
      <c r="F157" s="142">
        <f t="shared" si="16"/>
        <v>6.1149999999999996E-2</v>
      </c>
      <c r="G157" s="142">
        <f>+G154+G155</f>
        <v>5.9950000000000003E-2</v>
      </c>
      <c r="H157" s="142">
        <f t="shared" si="16"/>
        <v>5.1610000000000003E-2</v>
      </c>
      <c r="I157" s="142">
        <f>+I154+I155</f>
        <v>4.8030000000000003E-2</v>
      </c>
      <c r="J157" s="142">
        <f>+J154+J155</f>
        <v>4.3630000000000002E-2</v>
      </c>
      <c r="K157" s="320"/>
      <c r="L157" s="346"/>
      <c r="M157" s="346"/>
      <c r="N157" s="346"/>
      <c r="O157" s="346"/>
      <c r="P157" s="97"/>
      <c r="Q157" s="97"/>
    </row>
    <row r="158" spans="1:19" x14ac:dyDescent="0.25">
      <c r="A158" s="43" t="s">
        <v>39</v>
      </c>
      <c r="B158" s="44">
        <f>+E7</f>
        <v>21586772.393166665</v>
      </c>
      <c r="C158" s="44">
        <f>+E8</f>
        <v>21572661.085833333</v>
      </c>
      <c r="D158" s="44">
        <f>+E9</f>
        <v>21562077.605333332</v>
      </c>
      <c r="E158" s="44">
        <f>+E10</f>
        <v>21572661.085833333</v>
      </c>
      <c r="F158" s="44">
        <f>+E11</f>
        <v>21572661.085833333</v>
      </c>
      <c r="G158" s="44">
        <f>+E12</f>
        <v>21149321.865833335</v>
      </c>
      <c r="H158" s="44">
        <f>+E13</f>
        <v>18207114.286833335</v>
      </c>
      <c r="I158" s="44">
        <f>+E14</f>
        <v>16944152.280500002</v>
      </c>
      <c r="J158" s="44">
        <f>+E15</f>
        <v>15391908.473833336</v>
      </c>
      <c r="K158" s="323"/>
      <c r="L158" s="101"/>
      <c r="M158" s="101"/>
      <c r="N158" s="101"/>
      <c r="O158" s="101"/>
      <c r="P158" s="98"/>
      <c r="Q158" s="99"/>
    </row>
    <row r="159" spans="1:19" x14ac:dyDescent="0.25">
      <c r="L159" s="97"/>
      <c r="M159" s="97"/>
      <c r="N159" s="97"/>
      <c r="O159" s="97"/>
      <c r="P159" s="97"/>
      <c r="Q159" s="97"/>
      <c r="S159" s="45">
        <f>SUM(B159:R159)</f>
        <v>0</v>
      </c>
    </row>
    <row r="160" spans="1:19" x14ac:dyDescent="0.25">
      <c r="A160" s="351"/>
      <c r="B160" s="315" t="s">
        <v>3114</v>
      </c>
      <c r="C160" s="315" t="s">
        <v>3128</v>
      </c>
      <c r="D160" s="315" t="s">
        <v>3129</v>
      </c>
      <c r="E160" s="315" t="s">
        <v>3130</v>
      </c>
      <c r="F160" s="315" t="s">
        <v>3140</v>
      </c>
      <c r="G160" s="315" t="s">
        <v>3168</v>
      </c>
      <c r="H160" s="315" t="s">
        <v>3148</v>
      </c>
      <c r="I160" s="315" t="s">
        <v>3149</v>
      </c>
      <c r="J160" s="315" t="s">
        <v>3150</v>
      </c>
    </row>
    <row r="161" spans="1:18" ht="25.5" x14ac:dyDescent="0.25">
      <c r="A161" s="39" t="s">
        <v>3151</v>
      </c>
      <c r="B161" s="88">
        <v>2.2620000000000001E-2</v>
      </c>
      <c r="C161" s="88">
        <v>2.009E-2</v>
      </c>
      <c r="D161" s="88">
        <v>1.8530000000000001E-2</v>
      </c>
      <c r="E161" s="88">
        <v>1.7139999999999999E-2</v>
      </c>
      <c r="F161" s="88">
        <v>1.7219999999999999E-2</v>
      </c>
      <c r="G161" s="88">
        <v>1.712E-2</v>
      </c>
      <c r="H161" s="88">
        <v>0.04</v>
      </c>
      <c r="I161" s="88">
        <v>4.4999999999999998E-2</v>
      </c>
      <c r="J161" s="88">
        <v>0.05</v>
      </c>
    </row>
    <row r="162" spans="1:18" ht="25.5" x14ac:dyDescent="0.25">
      <c r="A162" s="39" t="s">
        <v>376</v>
      </c>
      <c r="B162" s="88">
        <v>0.02</v>
      </c>
      <c r="C162" s="88">
        <v>0.02</v>
      </c>
      <c r="D162" s="88">
        <v>0.02</v>
      </c>
      <c r="E162" s="88">
        <v>0.02</v>
      </c>
      <c r="F162" s="88">
        <v>0.02</v>
      </c>
      <c r="G162" s="88">
        <v>0.02</v>
      </c>
      <c r="H162" s="88">
        <v>0.02</v>
      </c>
      <c r="I162" s="88">
        <v>0.02</v>
      </c>
      <c r="J162" s="88">
        <v>0.02</v>
      </c>
      <c r="R162" s="45">
        <f>SUM(B162:Q162)</f>
        <v>0.18</v>
      </c>
    </row>
    <row r="163" spans="1:18" x14ac:dyDescent="0.25">
      <c r="A163" s="39" t="s">
        <v>377</v>
      </c>
      <c r="B163" s="67">
        <v>30</v>
      </c>
      <c r="C163" s="67">
        <v>30</v>
      </c>
      <c r="D163" s="67">
        <v>30</v>
      </c>
      <c r="E163" s="67">
        <v>30</v>
      </c>
      <c r="F163" s="67">
        <v>30</v>
      </c>
      <c r="G163" s="67">
        <v>30</v>
      </c>
      <c r="H163" s="67">
        <v>30</v>
      </c>
      <c r="I163" s="67">
        <v>30</v>
      </c>
      <c r="J163" s="67">
        <v>30</v>
      </c>
    </row>
    <row r="164" spans="1:18" x14ac:dyDescent="0.25">
      <c r="A164" s="39" t="s">
        <v>3152</v>
      </c>
      <c r="B164" s="142">
        <f>+B161+B162</f>
        <v>4.2620000000000005E-2</v>
      </c>
      <c r="C164" s="142">
        <f t="shared" ref="C164:G164" si="17">+C161+C162</f>
        <v>4.0090000000000001E-2</v>
      </c>
      <c r="D164" s="142">
        <f t="shared" si="17"/>
        <v>3.8530000000000002E-2</v>
      </c>
      <c r="E164" s="142">
        <f t="shared" si="17"/>
        <v>3.7139999999999999E-2</v>
      </c>
      <c r="F164" s="142">
        <f t="shared" si="17"/>
        <v>3.7220000000000003E-2</v>
      </c>
      <c r="G164" s="142">
        <f t="shared" si="17"/>
        <v>3.712E-2</v>
      </c>
      <c r="H164" s="142">
        <f t="shared" ref="H164:J164" si="18">+H161+H162</f>
        <v>0.06</v>
      </c>
      <c r="I164" s="142">
        <f t="shared" si="18"/>
        <v>6.5000000000000002E-2</v>
      </c>
      <c r="J164" s="142">
        <f t="shared" si="18"/>
        <v>7.0000000000000007E-2</v>
      </c>
    </row>
    <row r="165" spans="1:18" x14ac:dyDescent="0.25">
      <c r="A165" s="43" t="s">
        <v>39</v>
      </c>
      <c r="B165" s="44">
        <f>+E16</f>
        <v>15035597.963666666</v>
      </c>
      <c r="C165" s="44">
        <f>+E17</f>
        <v>14143057.774833335</v>
      </c>
      <c r="D165" s="44">
        <f>+E18</f>
        <v>13592716.788833335</v>
      </c>
      <c r="E165" s="44">
        <f>+E19</f>
        <v>13102348.858999999</v>
      </c>
      <c r="F165" s="44">
        <f>+E20</f>
        <v>13130571.473666668</v>
      </c>
      <c r="G165" s="44">
        <f>+E21</f>
        <v>13095293</v>
      </c>
      <c r="H165" s="44"/>
      <c r="I165" s="44"/>
      <c r="J165" s="44"/>
    </row>
  </sheetData>
  <mergeCells count="4">
    <mergeCell ref="A1:H1"/>
    <mergeCell ref="A2:H2"/>
    <mergeCell ref="A3:H3"/>
    <mergeCell ref="A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5</vt:i4>
      </vt:variant>
    </vt:vector>
  </HeadingPairs>
  <TitlesOfParts>
    <vt:vector size="39" baseType="lpstr">
      <vt:lpstr>Banco de Occidente I</vt:lpstr>
      <vt:lpstr>Davivienda Cupo</vt:lpstr>
      <vt:lpstr>Banco de Occidente II  Cupo</vt:lpstr>
      <vt:lpstr>Banco de Occidente II D 1</vt:lpstr>
      <vt:lpstr>Banco de Occidente II D 2</vt:lpstr>
      <vt:lpstr>Banco de Occidente II D 3</vt:lpstr>
      <vt:lpstr>Banco de Occidente II D 4</vt:lpstr>
      <vt:lpstr>Banco de Bogotá Cupo</vt:lpstr>
      <vt:lpstr>Banco de Occidente II D 5 REAC</vt:lpstr>
      <vt:lpstr>Banco de Occidente II D 6 REAC</vt:lpstr>
      <vt:lpstr>Banco de Occidente II D 7 REAC</vt:lpstr>
      <vt:lpstr>CUADRO LIQ DEUDA BTA</vt:lpstr>
      <vt:lpstr>Banco BBVA CUPO</vt:lpstr>
      <vt:lpstr>pago marzo BBVA</vt:lpstr>
      <vt:lpstr> BANCO POPULAR CUPO</vt:lpstr>
      <vt:lpstr>BANCO DE OCCIDENTE III CUPO</vt:lpstr>
      <vt:lpstr>Credito - Obras</vt:lpstr>
      <vt:lpstr>IBR</vt:lpstr>
      <vt:lpstr>BANCO DE OCCIDENTE III D1</vt:lpstr>
      <vt:lpstr>Liquidaci occidente II MARZO</vt:lpstr>
      <vt:lpstr>BANCO DE OCCIDENTE III D2</vt:lpstr>
      <vt:lpstr>BANCO DE OCCIDENTE III D3</vt:lpstr>
      <vt:lpstr>BANCO DE OCCIDENTE III D4</vt:lpstr>
      <vt:lpstr>BANCO DE OCC 4 CUPO</vt:lpstr>
      <vt:lpstr>BANCO DE OCCIDENTE III D5</vt:lpstr>
      <vt:lpstr>BANCO DE OCCIDENTE III D6</vt:lpstr>
      <vt:lpstr>BANCO DE OCCIDENTE III D7</vt:lpstr>
      <vt:lpstr>BANCO DE OCCIDENTE IV D1 REACT </vt:lpstr>
      <vt:lpstr>OTROS BANCOS AVVILLAS</vt:lpstr>
      <vt:lpstr>BANCO DE OCCIDENTE IV D2 REACT</vt:lpstr>
      <vt:lpstr>BANCO DE OCCIDENTE IV D3 REACT </vt:lpstr>
      <vt:lpstr>BANCO DE OCCIDENTE IV D4 REAC</vt:lpstr>
      <vt:lpstr>BANCO DE OCCIDENTE IV D5 REAC</vt:lpstr>
      <vt:lpstr>CONSOLIDADO A 2031</vt:lpstr>
      <vt:lpstr>'Banco de Occidente II D 2'!Área_de_impresión</vt:lpstr>
      <vt:lpstr>'Banco de Occidente II D 3'!Área_de_impresión</vt:lpstr>
      <vt:lpstr>'BANCO DE OCCIDENTE III CUPO'!Área_de_impresión</vt:lpstr>
      <vt:lpstr>'CUADRO LIQ DEUDA BTA'!Área_de_impresión</vt:lpstr>
      <vt:lpstr>'Liquidaci occidente II MARZO'!Área_de_impresión</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Lorza Velez</dc:creator>
  <cp:lastModifiedBy>sebastian acosta medina</cp:lastModifiedBy>
  <cp:lastPrinted>2020-10-15T17:31:03Z</cp:lastPrinted>
  <dcterms:created xsi:type="dcterms:W3CDTF">2017-10-11T22:11:47Z</dcterms:created>
  <dcterms:modified xsi:type="dcterms:W3CDTF">2021-02-05T20:00:00Z</dcterms:modified>
</cp:coreProperties>
</file>