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7265" windowHeight="10050"/>
  </bookViews>
  <sheets>
    <sheet name="Sheet1" sheetId="1" r:id="rId1"/>
    <sheet name="Chart1" sheetId="4" r:id="rId2"/>
  </sheets>
  <calcPr calcId="145621"/>
</workbook>
</file>

<file path=xl/calcChain.xml><?xml version="1.0" encoding="utf-8"?>
<calcChain xmlns="http://schemas.openxmlformats.org/spreadsheetml/2006/main">
  <c r="M62" i="1" l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5" i="1"/>
  <c r="M86" i="1"/>
  <c r="M87" i="1"/>
  <c r="M88" i="1"/>
  <c r="M89" i="1"/>
  <c r="M90" i="1"/>
  <c r="M91" i="1"/>
  <c r="M97" i="1"/>
  <c r="M98" i="1"/>
  <c r="M99" i="1"/>
  <c r="M100" i="1"/>
  <c r="M101" i="1"/>
  <c r="M102" i="1"/>
  <c r="M103" i="1"/>
  <c r="M104" i="1"/>
  <c r="M105" i="1"/>
  <c r="M106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61" i="1"/>
  <c r="M58" i="1"/>
  <c r="M57" i="1"/>
  <c r="M47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48" i="1"/>
  <c r="J47" i="1"/>
  <c r="J38" i="1"/>
  <c r="J37" i="1"/>
  <c r="I54" i="1"/>
  <c r="E40" i="1"/>
  <c r="E41" i="1"/>
  <c r="E42" i="1"/>
  <c r="E39" i="1"/>
  <c r="E32" i="1"/>
  <c r="E33" i="1" s="1"/>
  <c r="E34" i="1" s="1"/>
  <c r="E35" i="1" s="1"/>
  <c r="E31" i="1"/>
  <c r="B31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7" i="1"/>
  <c r="F38" i="1"/>
  <c r="F44" i="1"/>
  <c r="F45" i="1"/>
  <c r="F46" i="1"/>
  <c r="F47" i="1"/>
  <c r="F48" i="1"/>
  <c r="F49" i="1"/>
  <c r="F7" i="1"/>
  <c r="B36" i="1"/>
  <c r="B37" i="1"/>
  <c r="B38" i="1"/>
  <c r="B43" i="1"/>
  <c r="B44" i="1"/>
  <c r="E37" i="1"/>
  <c r="E38" i="1"/>
  <c r="E36" i="1"/>
  <c r="B45" i="1"/>
  <c r="B46" i="1"/>
  <c r="B47" i="1"/>
  <c r="B48" i="1"/>
  <c r="B49" i="1"/>
  <c r="B50" i="1" s="1"/>
  <c r="B51" i="1" s="1"/>
  <c r="B52" i="1" s="1"/>
  <c r="B53" i="1" s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17" i="1"/>
  <c r="B54" i="1" l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40" i="1"/>
  <c r="F40" i="1"/>
  <c r="F39" i="1"/>
  <c r="B39" i="1"/>
  <c r="F31" i="1"/>
  <c r="L103" i="1"/>
  <c r="L104" i="1" s="1"/>
  <c r="L91" i="1"/>
  <c r="L62" i="1"/>
  <c r="L61" i="1"/>
  <c r="L60" i="1"/>
  <c r="L58" i="1"/>
  <c r="L57" i="1"/>
  <c r="L56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9" i="1"/>
  <c r="L78" i="1"/>
  <c r="L80" i="1"/>
  <c r="L81" i="1"/>
  <c r="L82" i="1"/>
  <c r="L84" i="1"/>
  <c r="L85" i="1"/>
  <c r="F41" i="1" l="1"/>
  <c r="B41" i="1"/>
  <c r="F32" i="1"/>
  <c r="B32" i="1"/>
  <c r="B42" i="1" l="1"/>
  <c r="F42" i="1"/>
  <c r="F43" i="1"/>
  <c r="F33" i="1"/>
  <c r="B33" i="1"/>
  <c r="F34" i="1" l="1"/>
  <c r="B34" i="1"/>
  <c r="F36" i="1" l="1"/>
  <c r="B35" i="1"/>
  <c r="F35" i="1"/>
</calcChain>
</file>

<file path=xl/sharedStrings.xml><?xml version="1.0" encoding="utf-8"?>
<sst xmlns="http://schemas.openxmlformats.org/spreadsheetml/2006/main" count="314" uniqueCount="85">
  <si>
    <t>Year-end</t>
  </si>
  <si>
    <t>Source</t>
  </si>
  <si>
    <t>Based on average of minimum and maximum price of 1-carat diamonds in 1963</t>
  </si>
  <si>
    <t>Based on average of minimum and maximum price of 1-carat diamonds in 1964</t>
  </si>
  <si>
    <t>Based on average of minimum and maximum price of 1-carat diamonds in 1967</t>
  </si>
  <si>
    <t>Based on average of minimum and maximum price of 1-carat diamonds in 1968</t>
  </si>
  <si>
    <t>Based on median price of 1-carat diamonds in 1969</t>
  </si>
  <si>
    <t>Based on median price of 1-carat diamonds in 1970</t>
  </si>
  <si>
    <t>Based on median price of 1-carat diamonds in 1971</t>
  </si>
  <si>
    <t>Based on median price of 1-carat diamonds in 1972</t>
  </si>
  <si>
    <t>Based on median price of 1-carat diamonds in Jun-1973</t>
  </si>
  <si>
    <t>Based on average of minimum and maximum price of 1-carat diamonds in Oct-1961</t>
  </si>
  <si>
    <t>Based on average of minimum and maximum price of 1-carat diamonds in Jan-1963</t>
  </si>
  <si>
    <t>Based on average of minimum and maximum price of 1-carat diamonds in Jul-1965</t>
  </si>
  <si>
    <t>Based on price of 1-carat diamond (G, VS1) in Dec-1979</t>
  </si>
  <si>
    <t>Based on price of 1-carat diamond (G, VS1) in Dec-1980</t>
  </si>
  <si>
    <t>Based on price of 1-carat diamond (G, VS1) in Dec-1981</t>
  </si>
  <si>
    <t>Based on price of 1-carat diamond (G, VS1) in Jan-1983</t>
  </si>
  <si>
    <t>Based on price of 1-carat diamond (G, VS1) in Dec-1983</t>
  </si>
  <si>
    <t>Based on price of 1-carat diamond (G, VS1) in Nov-1984</t>
  </si>
  <si>
    <t>Based on price of 1-carat diamond (G, VS1) in Aug-1985</t>
  </si>
  <si>
    <t>Based on price of 1-carat diamond (G, VS1) in Jul-1988</t>
  </si>
  <si>
    <t>Based on price of 1-carat diamond (G, VS1) in Jul-1989</t>
  </si>
  <si>
    <t>Based on price of 1-carat diamond (G, VS1) in Jul-1991</t>
  </si>
  <si>
    <t>Based on price of 1-carat diamond (G, VS1) in Jul-1992</t>
  </si>
  <si>
    <t>Based on price of 1-carat diamond (G, VS1) in Jul-1993</t>
  </si>
  <si>
    <t>Based on price of 1-carat diamond (G, VS1) in Jul-1994</t>
  </si>
  <si>
    <t>Based on price of 1-carat diamond (G, VS1) in Jan-1996</t>
  </si>
  <si>
    <t>Based on price of 1-carat diamond (G, VS1) in Dec-1996</t>
  </si>
  <si>
    <t>Based on price of 1-carat diamond (G, VS1) in Dec-1997</t>
  </si>
  <si>
    <t>Based on price of 1-carat diamond (G, VS1) in Dec-1998</t>
  </si>
  <si>
    <t>Based on price of 1-carat diamond (G, VS1) in Dec-1999</t>
  </si>
  <si>
    <t>Based on price of 1-carat diamond (G, VS1) in Dec-2000</t>
  </si>
  <si>
    <t>Based on price of 1-carat diamond (G, VS1) in Dec-2001</t>
  </si>
  <si>
    <t>Based on price of 1-carat diamond (G, VS1) in Dec-2002</t>
  </si>
  <si>
    <t>Based on price of 1-carat diamond (G, VS1) in Dec-2003</t>
  </si>
  <si>
    <t>Based on price of 1-carat diamond (G, VS1) in Dec-2004</t>
  </si>
  <si>
    <t>Based on price of 1-carat diamond (G, VS1) in Dec-2005</t>
  </si>
  <si>
    <t>Based on price of 1-carat diamond (G, VS1) in Dec-2006</t>
  </si>
  <si>
    <t>Based on price of 1-carat diamond (G, VS1) in Dec-2007</t>
  </si>
  <si>
    <t>Based on price of 1-carat diamond (G, VS1) in Dec-2008</t>
  </si>
  <si>
    <t>Notes</t>
  </si>
  <si>
    <t>JCK Annual industry reports</t>
  </si>
  <si>
    <t>USGS Mineral Yearbooks</t>
  </si>
  <si>
    <t>Based on average of minimum and maximum price of 1-carat diamonds in Jan-1961</t>
  </si>
  <si>
    <t>Based on average of minimum and maximum price of 1-carat diamonds in Jan-1960</t>
  </si>
  <si>
    <t>Based on average of minimum and maximum price of 1-carat diamonds in Jan-1959</t>
  </si>
  <si>
    <t>Based on average of minimum and maximum price of 1-carat diamonds in Jan-1958</t>
  </si>
  <si>
    <t>Based on average of minimum and maximum price of 1-carat diamonds in 1956</t>
  </si>
  <si>
    <t>Based on average of minimum and maximum price of 1-carat diamonds in 1955</t>
  </si>
  <si>
    <t>Based on average of minimum and maximum price of 1-carat diamonds in Oct-1954</t>
  </si>
  <si>
    <t>Based on average of minimum and maximum price of 1-carat diamonds in Jan-1954</t>
  </si>
  <si>
    <t>Based on average of minimum and maximum price of 1-carat diamonds in Jan-1953</t>
  </si>
  <si>
    <t>Based on average of minimum and maximum price of 1-carat diamonds in Jan-1951</t>
  </si>
  <si>
    <t>Based on average of minimum and maximum price of 1-carat diamonds in Jan-1952</t>
  </si>
  <si>
    <t>Based on average of minimum and maximum price of 1-carat diamonds in Jan-1949</t>
  </si>
  <si>
    <t>Based on average of minimum and maximum price of 1-carat diamonds in Dec-1949</t>
  </si>
  <si>
    <t>Based on average of minimum and maximum price of 1-carat diamonds in Feb-1948</t>
  </si>
  <si>
    <t>Based on average of minimum and maximum price of 1-carat diamonds in Oct-1946</t>
  </si>
  <si>
    <t>Based on average of minimum and maximum price of 1-carat diamonds in Sep-1945</t>
  </si>
  <si>
    <t>Based on average of minimum and maximum price of 1-carat diamonds in Sep-1943</t>
  </si>
  <si>
    <t>Based on average of minimum and maximum price of 1-carat diamonds in Dec-1944</t>
  </si>
  <si>
    <t>Based on average of minimum and maximum price of 1-carat diamonds in Jan-1942</t>
  </si>
  <si>
    <t>Based on average of minimum and maximum price of 1-carat diamonds in Sep-1940</t>
  </si>
  <si>
    <t>Based on average of minimum and maximum price of 1-carat diamonds in Sep-1939</t>
  </si>
  <si>
    <t>Sutton (1979)</t>
  </si>
  <si>
    <t>Rough diamond price / carat</t>
  </si>
  <si>
    <t>Import value / carat for cut diamond</t>
  </si>
  <si>
    <t>Retail price for 1-carat diamond</t>
  </si>
  <si>
    <t>Hershey (1940)</t>
  </si>
  <si>
    <t>Farrington (1903) &amp; McCarthy (1942)</t>
  </si>
  <si>
    <t>Based on price of 1-carat diamond (G, VS1) in Dec-2009</t>
  </si>
  <si>
    <r>
      <t xml:space="preserve">Based on </t>
    </r>
    <r>
      <rPr>
        <sz val="11"/>
        <color rgb="FFFF0000"/>
        <rFont val="Calibri"/>
        <family val="2"/>
        <scheme val="minor"/>
      </rPr>
      <t>"25% increase"</t>
    </r>
  </si>
  <si>
    <r>
      <t xml:space="preserve">Based on </t>
    </r>
    <r>
      <rPr>
        <sz val="11"/>
        <color rgb="FFFF0000"/>
        <rFont val="Calibri"/>
        <family val="2"/>
        <scheme val="minor"/>
      </rPr>
      <t>1.10 * price of 1-carat diamond (H, VS1)</t>
    </r>
    <r>
      <rPr>
        <sz val="11"/>
        <color theme="1"/>
        <rFont val="Calibri"/>
        <family val="2"/>
        <scheme val="minor"/>
      </rPr>
      <t xml:space="preserve"> in Dec-1977</t>
    </r>
  </si>
  <si>
    <r>
      <t xml:space="preserve">Based on </t>
    </r>
    <r>
      <rPr>
        <sz val="11"/>
        <color rgb="FFFF0000"/>
        <rFont val="Calibri"/>
        <family val="2"/>
        <scheme val="minor"/>
      </rPr>
      <t>5% increase in price of 1-carat diamond (G, VS1) between Jun-1985 and Jun-1986</t>
    </r>
  </si>
  <si>
    <r>
      <t xml:space="preserve">Based on </t>
    </r>
    <r>
      <rPr>
        <sz val="11"/>
        <color rgb="FFFF0000"/>
        <rFont val="Calibri"/>
        <family val="2"/>
        <scheme val="minor"/>
      </rPr>
      <t>3.17% increase in price of 1-carat diamond (G, VS1) between  Jun-1986 and Jun-1987</t>
    </r>
  </si>
  <si>
    <t>Originally in shillings, but transformed to USD.</t>
  </si>
  <si>
    <t xml:space="preserve">© CHRISTOPHE SPAENJERS, ASSISTANT PROFESSOR OF FINANCE AT HEC PARIS. PLEASE DO NOT DISTRIBUTE THE DATA. </t>
  </si>
  <si>
    <t>Based on price of 1-carat diamond (G, VS1) in Dec-2010</t>
  </si>
  <si>
    <t>Based on price of 1-carat diamond (G, VS1) in Dec-2011</t>
  </si>
  <si>
    <t>Based on price of 1-carat diamond (G, VS1) in Dec-2012</t>
  </si>
  <si>
    <t>Diamond prices (USD) 1889-2012</t>
  </si>
  <si>
    <t>INDEX</t>
  </si>
  <si>
    <t>Imputed</t>
  </si>
  <si>
    <t>Interpolated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</si>
</sst>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u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u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 applyBorder="1"/>
    <xf numFmtId="0" fontId="0" fillId="0" borderId="0" xfId="0" applyFont="1" applyBorder="1"/>
    <xf numFmtId="3" fontId="0" fillId="0" borderId="0" xfId="0" applyNumberFormat="1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Border="1"/>
    <xf numFmtId="4" fontId="8" fillId="0" borderId="0" xfId="0" applyNumberFormat="1" applyFont="1" applyBorder="1"/>
    <xf numFmtId="4" fontId="9" fillId="0" borderId="0" xfId="0" applyNumberFormat="1" applyFont="1" applyBorder="1"/>
    <xf numFmtId="4" fontId="8" fillId="0" borderId="0" xfId="0" applyNumberFormat="1" applyFont="1"/>
    <xf numFmtId="0" fontId="12" fillId="0" borderId="0" xfId="0" applyFont="1" applyAlignment="1">
      <alignment horizontal="righ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4" fontId="13" fillId="0" borderId="0" xfId="0" applyNumberFormat="1" applyFont="1"/>
    <xf numFmtId="0" fontId="13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11" fillId="2" borderId="0" xfId="0" applyFont="1" applyFill="1"/>
    <xf numFmtId="0" fontId="2" fillId="2" borderId="0" xfId="0" applyFont="1" applyFill="1"/>
    <xf numFmtId="0" fontId="15" fillId="2" borderId="0" xfId="0" applyFont="1" applyFill="1"/>
    <xf numFmtId="0" fontId="2" fillId="2" borderId="0" xfId="0" applyFont="1" applyFill="1" applyAlignment="1">
      <alignment horizontal="left"/>
    </xf>
    <xf numFmtId="0" fontId="14" fillId="2" borderId="0" xfId="0" applyFont="1" applyFill="1"/>
    <xf numFmtId="0" fontId="16" fillId="2" borderId="0" xfId="0" applyFont="1" applyFill="1"/>
    <xf numFmtId="0" fontId="6" fillId="0" borderId="1" xfId="0" applyFont="1" applyBorder="1" applyAlignment="1">
      <alignment horizontal="right"/>
    </xf>
    <xf numFmtId="2" fontId="7" fillId="0" borderId="1" xfId="0" applyNumberFormat="1" applyFont="1" applyBorder="1" applyAlignment="1">
      <alignment horizontal="right"/>
    </xf>
    <xf numFmtId="0" fontId="7" fillId="0" borderId="1" xfId="0" applyFont="1" applyBorder="1"/>
    <xf numFmtId="0" fontId="4" fillId="0" borderId="2" xfId="0" applyFont="1" applyBorder="1"/>
    <xf numFmtId="0" fontId="0" fillId="0" borderId="2" xfId="0" applyFont="1" applyBorder="1"/>
    <xf numFmtId="0" fontId="5" fillId="0" borderId="1" xfId="0" applyFont="1" applyBorder="1" applyAlignment="1">
      <alignment horizontal="right" wrapText="1"/>
    </xf>
    <xf numFmtId="0" fontId="3" fillId="0" borderId="0" xfId="0" applyFont="1" applyBorder="1"/>
    <xf numFmtId="0" fontId="3" fillId="0" borderId="2" xfId="0" applyFont="1" applyBorder="1"/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2" fillId="0" borderId="0" xfId="0" applyFont="1"/>
    <xf numFmtId="0" fontId="0" fillId="0" borderId="0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" fontId="0" fillId="0" borderId="1" xfId="0" applyNumberFormat="1" applyFont="1" applyBorder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4" fillId="3" borderId="2" xfId="0" applyFont="1" applyFill="1" applyBorder="1"/>
    <xf numFmtId="2" fontId="17" fillId="3" borderId="1" xfId="0" applyNumberFormat="1" applyFont="1" applyFill="1" applyBorder="1" applyAlignment="1">
      <alignment horizontal="right"/>
    </xf>
    <xf numFmtId="0" fontId="0" fillId="3" borderId="0" xfId="0" applyFont="1" applyFill="1" applyBorder="1"/>
    <xf numFmtId="4" fontId="18" fillId="3" borderId="0" xfId="0" applyNumberFormat="1" applyFont="1" applyFill="1" applyBorder="1"/>
    <xf numFmtId="0" fontId="5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164" fontId="7" fillId="0" borderId="0" xfId="0" applyNumberFormat="1" applyFont="1" applyBorder="1" applyAlignment="1">
      <alignment horizontal="right"/>
    </xf>
    <xf numFmtId="164" fontId="8" fillId="0" borderId="0" xfId="0" applyNumberFormat="1" applyFont="1" applyBorder="1"/>
    <xf numFmtId="164" fontId="1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Sheet1!$E$4</c:f>
              <c:strCache>
                <c:ptCount val="1"/>
                <c:pt idx="0">
                  <c:v>Rough diamond price / carat</c:v>
                </c:pt>
              </c:strCache>
            </c:strRef>
          </c:tx>
          <c:cat>
            <c:numRef>
              <c:f>Sheet1!$A$6:$A$126</c:f>
              <c:numCache>
                <c:formatCode>General</c:formatCode>
                <c:ptCount val="121"/>
                <c:pt idx="0">
                  <c:v>1889</c:v>
                </c:pt>
                <c:pt idx="1">
                  <c:v>1890</c:v>
                </c:pt>
                <c:pt idx="2">
                  <c:v>1891</c:v>
                </c:pt>
                <c:pt idx="3">
                  <c:v>1892</c:v>
                </c:pt>
                <c:pt idx="4">
                  <c:v>1893</c:v>
                </c:pt>
                <c:pt idx="5">
                  <c:v>1894</c:v>
                </c:pt>
                <c:pt idx="6">
                  <c:v>1895</c:v>
                </c:pt>
                <c:pt idx="7">
                  <c:v>1896</c:v>
                </c:pt>
                <c:pt idx="8">
                  <c:v>1897</c:v>
                </c:pt>
                <c:pt idx="9">
                  <c:v>1898</c:v>
                </c:pt>
                <c:pt idx="10">
                  <c:v>1899</c:v>
                </c:pt>
                <c:pt idx="11">
                  <c:v>1900</c:v>
                </c:pt>
                <c:pt idx="12">
                  <c:v>1901</c:v>
                </c:pt>
                <c:pt idx="13">
                  <c:v>1902</c:v>
                </c:pt>
                <c:pt idx="14">
                  <c:v>1903</c:v>
                </c:pt>
                <c:pt idx="15">
                  <c:v>1904</c:v>
                </c:pt>
                <c:pt idx="16">
                  <c:v>1905</c:v>
                </c:pt>
                <c:pt idx="17">
                  <c:v>1906</c:v>
                </c:pt>
                <c:pt idx="18">
                  <c:v>1907</c:v>
                </c:pt>
                <c:pt idx="19">
                  <c:v>1908</c:v>
                </c:pt>
                <c:pt idx="20">
                  <c:v>1909</c:v>
                </c:pt>
                <c:pt idx="21">
                  <c:v>1910</c:v>
                </c:pt>
                <c:pt idx="22">
                  <c:v>1911</c:v>
                </c:pt>
                <c:pt idx="23">
                  <c:v>1912</c:v>
                </c:pt>
                <c:pt idx="24">
                  <c:v>1913</c:v>
                </c:pt>
                <c:pt idx="25">
                  <c:v>1914</c:v>
                </c:pt>
                <c:pt idx="26">
                  <c:v>1915</c:v>
                </c:pt>
                <c:pt idx="27">
                  <c:v>1916</c:v>
                </c:pt>
                <c:pt idx="28">
                  <c:v>1917</c:v>
                </c:pt>
                <c:pt idx="29">
                  <c:v>1918</c:v>
                </c:pt>
                <c:pt idx="30">
                  <c:v>1919</c:v>
                </c:pt>
                <c:pt idx="31">
                  <c:v>1920</c:v>
                </c:pt>
                <c:pt idx="32">
                  <c:v>1921</c:v>
                </c:pt>
                <c:pt idx="33">
                  <c:v>1922</c:v>
                </c:pt>
                <c:pt idx="34">
                  <c:v>1923</c:v>
                </c:pt>
                <c:pt idx="35">
                  <c:v>1924</c:v>
                </c:pt>
                <c:pt idx="36">
                  <c:v>1925</c:v>
                </c:pt>
                <c:pt idx="37">
                  <c:v>1926</c:v>
                </c:pt>
                <c:pt idx="38">
                  <c:v>1927</c:v>
                </c:pt>
                <c:pt idx="39">
                  <c:v>1928</c:v>
                </c:pt>
                <c:pt idx="40">
                  <c:v>1929</c:v>
                </c:pt>
                <c:pt idx="41">
                  <c:v>1930</c:v>
                </c:pt>
                <c:pt idx="42">
                  <c:v>1931</c:v>
                </c:pt>
                <c:pt idx="43">
                  <c:v>1932</c:v>
                </c:pt>
                <c:pt idx="44">
                  <c:v>1933</c:v>
                </c:pt>
                <c:pt idx="45">
                  <c:v>1934</c:v>
                </c:pt>
                <c:pt idx="46">
                  <c:v>1935</c:v>
                </c:pt>
                <c:pt idx="47">
                  <c:v>1936</c:v>
                </c:pt>
                <c:pt idx="48">
                  <c:v>1937</c:v>
                </c:pt>
                <c:pt idx="49">
                  <c:v>1938</c:v>
                </c:pt>
                <c:pt idx="50">
                  <c:v>1939</c:v>
                </c:pt>
                <c:pt idx="51">
                  <c:v>1940</c:v>
                </c:pt>
                <c:pt idx="52">
                  <c:v>1941</c:v>
                </c:pt>
                <c:pt idx="53">
                  <c:v>1942</c:v>
                </c:pt>
                <c:pt idx="54">
                  <c:v>1943</c:v>
                </c:pt>
                <c:pt idx="55">
                  <c:v>1944</c:v>
                </c:pt>
                <c:pt idx="56">
                  <c:v>1945</c:v>
                </c:pt>
                <c:pt idx="57">
                  <c:v>1946</c:v>
                </c:pt>
                <c:pt idx="58">
                  <c:v>1947</c:v>
                </c:pt>
                <c:pt idx="59">
                  <c:v>1948</c:v>
                </c:pt>
                <c:pt idx="60">
                  <c:v>1949</c:v>
                </c:pt>
                <c:pt idx="61">
                  <c:v>1950</c:v>
                </c:pt>
                <c:pt idx="62">
                  <c:v>1951</c:v>
                </c:pt>
                <c:pt idx="63">
                  <c:v>1952</c:v>
                </c:pt>
                <c:pt idx="64">
                  <c:v>1953</c:v>
                </c:pt>
                <c:pt idx="65">
                  <c:v>1954</c:v>
                </c:pt>
                <c:pt idx="66">
                  <c:v>1955</c:v>
                </c:pt>
                <c:pt idx="67">
                  <c:v>1956</c:v>
                </c:pt>
                <c:pt idx="68">
                  <c:v>1957</c:v>
                </c:pt>
                <c:pt idx="69">
                  <c:v>1958</c:v>
                </c:pt>
                <c:pt idx="70">
                  <c:v>1959</c:v>
                </c:pt>
                <c:pt idx="71">
                  <c:v>1960</c:v>
                </c:pt>
                <c:pt idx="72">
                  <c:v>1961</c:v>
                </c:pt>
                <c:pt idx="73">
                  <c:v>1962</c:v>
                </c:pt>
                <c:pt idx="74">
                  <c:v>1963</c:v>
                </c:pt>
                <c:pt idx="75">
                  <c:v>1964</c:v>
                </c:pt>
                <c:pt idx="76">
                  <c:v>1965</c:v>
                </c:pt>
                <c:pt idx="77">
                  <c:v>1966</c:v>
                </c:pt>
                <c:pt idx="78">
                  <c:v>1967</c:v>
                </c:pt>
                <c:pt idx="79">
                  <c:v>1968</c:v>
                </c:pt>
                <c:pt idx="80">
                  <c:v>1969</c:v>
                </c:pt>
                <c:pt idx="81">
                  <c:v>1970</c:v>
                </c:pt>
                <c:pt idx="82">
                  <c:v>1971</c:v>
                </c:pt>
                <c:pt idx="83">
                  <c:v>1972</c:v>
                </c:pt>
                <c:pt idx="84">
                  <c:v>1973</c:v>
                </c:pt>
                <c:pt idx="85">
                  <c:v>1974</c:v>
                </c:pt>
                <c:pt idx="86">
                  <c:v>1975</c:v>
                </c:pt>
                <c:pt idx="87">
                  <c:v>1976</c:v>
                </c:pt>
                <c:pt idx="88">
                  <c:v>1977</c:v>
                </c:pt>
                <c:pt idx="89">
                  <c:v>1978</c:v>
                </c:pt>
                <c:pt idx="90">
                  <c:v>1979</c:v>
                </c:pt>
                <c:pt idx="91">
                  <c:v>1980</c:v>
                </c:pt>
                <c:pt idx="92">
                  <c:v>1981</c:v>
                </c:pt>
                <c:pt idx="93">
                  <c:v>1982</c:v>
                </c:pt>
                <c:pt idx="94">
                  <c:v>1983</c:v>
                </c:pt>
                <c:pt idx="95">
                  <c:v>1984</c:v>
                </c:pt>
                <c:pt idx="96">
                  <c:v>1985</c:v>
                </c:pt>
                <c:pt idx="97">
                  <c:v>1986</c:v>
                </c:pt>
                <c:pt idx="98">
                  <c:v>1987</c:v>
                </c:pt>
                <c:pt idx="99">
                  <c:v>1988</c:v>
                </c:pt>
                <c:pt idx="100">
                  <c:v>1989</c:v>
                </c:pt>
                <c:pt idx="101">
                  <c:v>1990</c:v>
                </c:pt>
                <c:pt idx="102">
                  <c:v>1991</c:v>
                </c:pt>
                <c:pt idx="103">
                  <c:v>1992</c:v>
                </c:pt>
                <c:pt idx="104">
                  <c:v>1993</c:v>
                </c:pt>
                <c:pt idx="105">
                  <c:v>1994</c:v>
                </c:pt>
                <c:pt idx="106">
                  <c:v>1995</c:v>
                </c:pt>
                <c:pt idx="107">
                  <c:v>1996</c:v>
                </c:pt>
                <c:pt idx="108">
                  <c:v>1997</c:v>
                </c:pt>
                <c:pt idx="109">
                  <c:v>1998</c:v>
                </c:pt>
                <c:pt idx="110">
                  <c:v>1999</c:v>
                </c:pt>
                <c:pt idx="111">
                  <c:v>2000</c:v>
                </c:pt>
                <c:pt idx="112">
                  <c:v>2001</c:v>
                </c:pt>
                <c:pt idx="113">
                  <c:v>2002</c:v>
                </c:pt>
                <c:pt idx="114">
                  <c:v>2003</c:v>
                </c:pt>
                <c:pt idx="115">
                  <c:v>2004</c:v>
                </c:pt>
                <c:pt idx="116">
                  <c:v>2005</c:v>
                </c:pt>
                <c:pt idx="117">
                  <c:v>2006</c:v>
                </c:pt>
                <c:pt idx="118">
                  <c:v>2007</c:v>
                </c:pt>
                <c:pt idx="119">
                  <c:v>2008</c:v>
                </c:pt>
                <c:pt idx="120">
                  <c:v>2009</c:v>
                </c:pt>
              </c:numCache>
            </c:numRef>
          </c:cat>
          <c:val>
            <c:numRef>
              <c:f>Sheet1!$E$6:$E$129</c:f>
              <c:numCache>
                <c:formatCode>0.00</c:formatCode>
                <c:ptCount val="124"/>
                <c:pt idx="0">
                  <c:v>4.7888333333333328</c:v>
                </c:pt>
                <c:pt idx="1">
                  <c:v>7.8975000000000009</c:v>
                </c:pt>
                <c:pt idx="2">
                  <c:v>7.1684999999999999</c:v>
                </c:pt>
                <c:pt idx="3">
                  <c:v>6.2092499999999999</c:v>
                </c:pt>
                <c:pt idx="4">
                  <c:v>7.0470000000000006</c:v>
                </c:pt>
                <c:pt idx="5">
                  <c:v>5.9576666666666656</c:v>
                </c:pt>
                <c:pt idx="6">
                  <c:v>6.2347499999999991</c:v>
                </c:pt>
                <c:pt idx="7">
                  <c:v>6.5136250000000011</c:v>
                </c:pt>
                <c:pt idx="8">
                  <c:v>6.5205000000000011</c:v>
                </c:pt>
                <c:pt idx="9">
                  <c:v>6.4262499999999996</c:v>
                </c:pt>
                <c:pt idx="10">
                  <c:v>7.1887499999999998</c:v>
                </c:pt>
                <c:pt idx="11">
                  <c:v>8.7254166666666677</c:v>
                </c:pt>
                <c:pt idx="12">
                  <c:v>9.6385416666666668</c:v>
                </c:pt>
                <c:pt idx="13">
                  <c:v>11.302458333333334</c:v>
                </c:pt>
                <c:pt idx="14">
                  <c:v>11.785500000000001</c:v>
                </c:pt>
                <c:pt idx="15">
                  <c:v>11.911208333333333</c:v>
                </c:pt>
                <c:pt idx="16">
                  <c:v>12.864916666666666</c:v>
                </c:pt>
                <c:pt idx="17">
                  <c:v>14.792499999999999</c:v>
                </c:pt>
                <c:pt idx="18">
                  <c:v>15.734250000000003</c:v>
                </c:pt>
                <c:pt idx="19">
                  <c:v>14.122999999999999</c:v>
                </c:pt>
                <c:pt idx="20">
                  <c:v>11.343041666666666</c:v>
                </c:pt>
                <c:pt idx="21">
                  <c:v>11.603250000000001</c:v>
                </c:pt>
                <c:pt idx="22">
                  <c:v>12.5145</c:v>
                </c:pt>
                <c:pt idx="23">
                  <c:v>13.128708333333334</c:v>
                </c:pt>
                <c:pt idx="24">
                  <c:v>16.375375000000002</c:v>
                </c:pt>
                <c:pt idx="25">
                  <c:v>17.423473930505772</c:v>
                </c:pt>
                <c:pt idx="26">
                  <c:v>18.538655988459144</c:v>
                </c:pt>
                <c:pt idx="27">
                  <c:v>19.725214800976012</c:v>
                </c:pt>
                <c:pt idx="28">
                  <c:v>20.987718806954472</c:v>
                </c:pt>
                <c:pt idx="29">
                  <c:v>22.331028846286383</c:v>
                </c:pt>
                <c:pt idx="30">
                  <c:v>23.760316874858937</c:v>
                </c:pt>
                <c:pt idx="31">
                  <c:v>29.059452673186691</c:v>
                </c:pt>
                <c:pt idx="32">
                  <c:v>20.04259596730531</c:v>
                </c:pt>
                <c:pt idx="33">
                  <c:v>19.339901162352479</c:v>
                </c:pt>
                <c:pt idx="34">
                  <c:v>18.661842886006681</c:v>
                </c:pt>
                <c:pt idx="35">
                  <c:v>18.007557379865936</c:v>
                </c:pt>
                <c:pt idx="36">
                  <c:v>17.376211168957756</c:v>
                </c:pt>
                <c:pt idx="37">
                  <c:v>16.767000000000003</c:v>
                </c:pt>
                <c:pt idx="38">
                  <c:v>13.505940000000001</c:v>
                </c:pt>
                <c:pt idx="39">
                  <c:v>14.651395000000001</c:v>
                </c:pt>
                <c:pt idx="40">
                  <c:v>19.602810000000002</c:v>
                </c:pt>
                <c:pt idx="41">
                  <c:v>15.350310000000002</c:v>
                </c:pt>
                <c:pt idx="42">
                  <c:v>9.7995900000000002</c:v>
                </c:pt>
                <c:pt idx="43">
                  <c:v>6.1565399999999997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Sheet1!$L$4</c:f>
              <c:strCache>
                <c:ptCount val="1"/>
                <c:pt idx="0">
                  <c:v>Retail price for 1-carat diamond</c:v>
                </c:pt>
              </c:strCache>
            </c:strRef>
          </c:tx>
          <c:cat>
            <c:numRef>
              <c:f>Sheet1!$A$6:$A$126</c:f>
              <c:numCache>
                <c:formatCode>General</c:formatCode>
                <c:ptCount val="121"/>
                <c:pt idx="0">
                  <c:v>1889</c:v>
                </c:pt>
                <c:pt idx="1">
                  <c:v>1890</c:v>
                </c:pt>
                <c:pt idx="2">
                  <c:v>1891</c:v>
                </c:pt>
                <c:pt idx="3">
                  <c:v>1892</c:v>
                </c:pt>
                <c:pt idx="4">
                  <c:v>1893</c:v>
                </c:pt>
                <c:pt idx="5">
                  <c:v>1894</c:v>
                </c:pt>
                <c:pt idx="6">
                  <c:v>1895</c:v>
                </c:pt>
                <c:pt idx="7">
                  <c:v>1896</c:v>
                </c:pt>
                <c:pt idx="8">
                  <c:v>1897</c:v>
                </c:pt>
                <c:pt idx="9">
                  <c:v>1898</c:v>
                </c:pt>
                <c:pt idx="10">
                  <c:v>1899</c:v>
                </c:pt>
                <c:pt idx="11">
                  <c:v>1900</c:v>
                </c:pt>
                <c:pt idx="12">
                  <c:v>1901</c:v>
                </c:pt>
                <c:pt idx="13">
                  <c:v>1902</c:v>
                </c:pt>
                <c:pt idx="14">
                  <c:v>1903</c:v>
                </c:pt>
                <c:pt idx="15">
                  <c:v>1904</c:v>
                </c:pt>
                <c:pt idx="16">
                  <c:v>1905</c:v>
                </c:pt>
                <c:pt idx="17">
                  <c:v>1906</c:v>
                </c:pt>
                <c:pt idx="18">
                  <c:v>1907</c:v>
                </c:pt>
                <c:pt idx="19">
                  <c:v>1908</c:v>
                </c:pt>
                <c:pt idx="20">
                  <c:v>1909</c:v>
                </c:pt>
                <c:pt idx="21">
                  <c:v>1910</c:v>
                </c:pt>
                <c:pt idx="22">
                  <c:v>1911</c:v>
                </c:pt>
                <c:pt idx="23">
                  <c:v>1912</c:v>
                </c:pt>
                <c:pt idx="24">
                  <c:v>1913</c:v>
                </c:pt>
                <c:pt idx="25">
                  <c:v>1914</c:v>
                </c:pt>
                <c:pt idx="26">
                  <c:v>1915</c:v>
                </c:pt>
                <c:pt idx="27">
                  <c:v>1916</c:v>
                </c:pt>
                <c:pt idx="28">
                  <c:v>1917</c:v>
                </c:pt>
                <c:pt idx="29">
                  <c:v>1918</c:v>
                </c:pt>
                <c:pt idx="30">
                  <c:v>1919</c:v>
                </c:pt>
                <c:pt idx="31">
                  <c:v>1920</c:v>
                </c:pt>
                <c:pt idx="32">
                  <c:v>1921</c:v>
                </c:pt>
                <c:pt idx="33">
                  <c:v>1922</c:v>
                </c:pt>
                <c:pt idx="34">
                  <c:v>1923</c:v>
                </c:pt>
                <c:pt idx="35">
                  <c:v>1924</c:v>
                </c:pt>
                <c:pt idx="36">
                  <c:v>1925</c:v>
                </c:pt>
                <c:pt idx="37">
                  <c:v>1926</c:v>
                </c:pt>
                <c:pt idx="38">
                  <c:v>1927</c:v>
                </c:pt>
                <c:pt idx="39">
                  <c:v>1928</c:v>
                </c:pt>
                <c:pt idx="40">
                  <c:v>1929</c:v>
                </c:pt>
                <c:pt idx="41">
                  <c:v>1930</c:v>
                </c:pt>
                <c:pt idx="42">
                  <c:v>1931</c:v>
                </c:pt>
                <c:pt idx="43">
                  <c:v>1932</c:v>
                </c:pt>
                <c:pt idx="44">
                  <c:v>1933</c:v>
                </c:pt>
                <c:pt idx="45">
                  <c:v>1934</c:v>
                </c:pt>
                <c:pt idx="46">
                  <c:v>1935</c:v>
                </c:pt>
                <c:pt idx="47">
                  <c:v>1936</c:v>
                </c:pt>
                <c:pt idx="48">
                  <c:v>1937</c:v>
                </c:pt>
                <c:pt idx="49">
                  <c:v>1938</c:v>
                </c:pt>
                <c:pt idx="50">
                  <c:v>1939</c:v>
                </c:pt>
                <c:pt idx="51">
                  <c:v>1940</c:v>
                </c:pt>
                <c:pt idx="52">
                  <c:v>1941</c:v>
                </c:pt>
                <c:pt idx="53">
                  <c:v>1942</c:v>
                </c:pt>
                <c:pt idx="54">
                  <c:v>1943</c:v>
                </c:pt>
                <c:pt idx="55">
                  <c:v>1944</c:v>
                </c:pt>
                <c:pt idx="56">
                  <c:v>1945</c:v>
                </c:pt>
                <c:pt idx="57">
                  <c:v>1946</c:v>
                </c:pt>
                <c:pt idx="58">
                  <c:v>1947</c:v>
                </c:pt>
                <c:pt idx="59">
                  <c:v>1948</c:v>
                </c:pt>
                <c:pt idx="60">
                  <c:v>1949</c:v>
                </c:pt>
                <c:pt idx="61">
                  <c:v>1950</c:v>
                </c:pt>
                <c:pt idx="62">
                  <c:v>1951</c:v>
                </c:pt>
                <c:pt idx="63">
                  <c:v>1952</c:v>
                </c:pt>
                <c:pt idx="64">
                  <c:v>1953</c:v>
                </c:pt>
                <c:pt idx="65">
                  <c:v>1954</c:v>
                </c:pt>
                <c:pt idx="66">
                  <c:v>1955</c:v>
                </c:pt>
                <c:pt idx="67">
                  <c:v>1956</c:v>
                </c:pt>
                <c:pt idx="68">
                  <c:v>1957</c:v>
                </c:pt>
                <c:pt idx="69">
                  <c:v>1958</c:v>
                </c:pt>
                <c:pt idx="70">
                  <c:v>1959</c:v>
                </c:pt>
                <c:pt idx="71">
                  <c:v>1960</c:v>
                </c:pt>
                <c:pt idx="72">
                  <c:v>1961</c:v>
                </c:pt>
                <c:pt idx="73">
                  <c:v>1962</c:v>
                </c:pt>
                <c:pt idx="74">
                  <c:v>1963</c:v>
                </c:pt>
                <c:pt idx="75">
                  <c:v>1964</c:v>
                </c:pt>
                <c:pt idx="76">
                  <c:v>1965</c:v>
                </c:pt>
                <c:pt idx="77">
                  <c:v>1966</c:v>
                </c:pt>
                <c:pt idx="78">
                  <c:v>1967</c:v>
                </c:pt>
                <c:pt idx="79">
                  <c:v>1968</c:v>
                </c:pt>
                <c:pt idx="80">
                  <c:v>1969</c:v>
                </c:pt>
                <c:pt idx="81">
                  <c:v>1970</c:v>
                </c:pt>
                <c:pt idx="82">
                  <c:v>1971</c:v>
                </c:pt>
                <c:pt idx="83">
                  <c:v>1972</c:v>
                </c:pt>
                <c:pt idx="84">
                  <c:v>1973</c:v>
                </c:pt>
                <c:pt idx="85">
                  <c:v>1974</c:v>
                </c:pt>
                <c:pt idx="86">
                  <c:v>1975</c:v>
                </c:pt>
                <c:pt idx="87">
                  <c:v>1976</c:v>
                </c:pt>
                <c:pt idx="88">
                  <c:v>1977</c:v>
                </c:pt>
                <c:pt idx="89">
                  <c:v>1978</c:v>
                </c:pt>
                <c:pt idx="90">
                  <c:v>1979</c:v>
                </c:pt>
                <c:pt idx="91">
                  <c:v>1980</c:v>
                </c:pt>
                <c:pt idx="92">
                  <c:v>1981</c:v>
                </c:pt>
                <c:pt idx="93">
                  <c:v>1982</c:v>
                </c:pt>
                <c:pt idx="94">
                  <c:v>1983</c:v>
                </c:pt>
                <c:pt idx="95">
                  <c:v>1984</c:v>
                </c:pt>
                <c:pt idx="96">
                  <c:v>1985</c:v>
                </c:pt>
                <c:pt idx="97">
                  <c:v>1986</c:v>
                </c:pt>
                <c:pt idx="98">
                  <c:v>1987</c:v>
                </c:pt>
                <c:pt idx="99">
                  <c:v>1988</c:v>
                </c:pt>
                <c:pt idx="100">
                  <c:v>1989</c:v>
                </c:pt>
                <c:pt idx="101">
                  <c:v>1990</c:v>
                </c:pt>
                <c:pt idx="102">
                  <c:v>1991</c:v>
                </c:pt>
                <c:pt idx="103">
                  <c:v>1992</c:v>
                </c:pt>
                <c:pt idx="104">
                  <c:v>1993</c:v>
                </c:pt>
                <c:pt idx="105">
                  <c:v>1994</c:v>
                </c:pt>
                <c:pt idx="106">
                  <c:v>1995</c:v>
                </c:pt>
                <c:pt idx="107">
                  <c:v>1996</c:v>
                </c:pt>
                <c:pt idx="108">
                  <c:v>1997</c:v>
                </c:pt>
                <c:pt idx="109">
                  <c:v>1998</c:v>
                </c:pt>
                <c:pt idx="110">
                  <c:v>1999</c:v>
                </c:pt>
                <c:pt idx="111">
                  <c:v>2000</c:v>
                </c:pt>
                <c:pt idx="112">
                  <c:v>2001</c:v>
                </c:pt>
                <c:pt idx="113">
                  <c:v>2002</c:v>
                </c:pt>
                <c:pt idx="114">
                  <c:v>2003</c:v>
                </c:pt>
                <c:pt idx="115">
                  <c:v>2004</c:v>
                </c:pt>
                <c:pt idx="116">
                  <c:v>2005</c:v>
                </c:pt>
                <c:pt idx="117">
                  <c:v>2006</c:v>
                </c:pt>
                <c:pt idx="118">
                  <c:v>2007</c:v>
                </c:pt>
                <c:pt idx="119">
                  <c:v>2008</c:v>
                </c:pt>
                <c:pt idx="120">
                  <c:v>2009</c:v>
                </c:pt>
              </c:numCache>
            </c:numRef>
          </c:cat>
          <c:val>
            <c:numRef>
              <c:f>Sheet1!$L$6:$L$129</c:f>
              <c:numCache>
                <c:formatCode>General</c:formatCode>
                <c:ptCount val="124"/>
                <c:pt idx="14" formatCode="0.00">
                  <c:v>100</c:v>
                </c:pt>
                <c:pt idx="40">
                  <c:v>750</c:v>
                </c:pt>
                <c:pt idx="41">
                  <c:v>500</c:v>
                </c:pt>
                <c:pt idx="45">
                  <c:v>650</c:v>
                </c:pt>
                <c:pt idx="50" formatCode="#,##0.00">
                  <c:v>462.5</c:v>
                </c:pt>
                <c:pt idx="51" formatCode="#,##0.00">
                  <c:v>462.5</c:v>
                </c:pt>
                <c:pt idx="52" formatCode="#,##0.00">
                  <c:v>477.29999999999995</c:v>
                </c:pt>
                <c:pt idx="54" formatCode="#,##0.00">
                  <c:v>545.45000000000005</c:v>
                </c:pt>
                <c:pt idx="55" formatCode="#,##0.00">
                  <c:v>687.5</c:v>
                </c:pt>
                <c:pt idx="56" formatCode="#,##0.00">
                  <c:v>712.5</c:v>
                </c:pt>
                <c:pt idx="57" formatCode="#,##0.00">
                  <c:v>957.5</c:v>
                </c:pt>
                <c:pt idx="58" formatCode="#,##0.00">
                  <c:v>977.5</c:v>
                </c:pt>
                <c:pt idx="59" formatCode="#,##0.00">
                  <c:v>892.5</c:v>
                </c:pt>
                <c:pt idx="60" formatCode="#,##0.00">
                  <c:v>937.5</c:v>
                </c:pt>
                <c:pt idx="61" formatCode="#,##0.00">
                  <c:v>842.5</c:v>
                </c:pt>
                <c:pt idx="62" formatCode="#,##0.00">
                  <c:v>867.5</c:v>
                </c:pt>
                <c:pt idx="63" formatCode="#,##0.00">
                  <c:v>870</c:v>
                </c:pt>
                <c:pt idx="64" formatCode="#,##0.00">
                  <c:v>825</c:v>
                </c:pt>
                <c:pt idx="65" formatCode="#,##0.00">
                  <c:v>912.5</c:v>
                </c:pt>
                <c:pt idx="66" formatCode="#,##0.00">
                  <c:v>855</c:v>
                </c:pt>
                <c:pt idx="67" formatCode="#,##0.00">
                  <c:v>875</c:v>
                </c:pt>
                <c:pt idx="68" formatCode="#,##0.00">
                  <c:v>855</c:v>
                </c:pt>
                <c:pt idx="69" formatCode="#,##0.00">
                  <c:v>1270</c:v>
                </c:pt>
                <c:pt idx="70" formatCode="#,##0.00">
                  <c:v>1022.5</c:v>
                </c:pt>
                <c:pt idx="71" formatCode="#,##0.00">
                  <c:v>1020.5</c:v>
                </c:pt>
                <c:pt idx="72" formatCode="#,##0.00">
                  <c:v>1040</c:v>
                </c:pt>
                <c:pt idx="73" formatCode="#,##0.00">
                  <c:v>1012.5</c:v>
                </c:pt>
                <c:pt idx="74" formatCode="#,##0.00">
                  <c:v>1112.5</c:v>
                </c:pt>
                <c:pt idx="75" formatCode="#,##0.00">
                  <c:v>1150</c:v>
                </c:pt>
                <c:pt idx="76" formatCode="#,##0.00">
                  <c:v>1150</c:v>
                </c:pt>
                <c:pt idx="78" formatCode="#,##0.00">
                  <c:v>1500</c:v>
                </c:pt>
                <c:pt idx="79" formatCode="#,##0.00">
                  <c:v>1575</c:v>
                </c:pt>
                <c:pt idx="80" formatCode="#,##0.00">
                  <c:v>1600</c:v>
                </c:pt>
                <c:pt idx="81" formatCode="#,##0.00">
                  <c:v>1550</c:v>
                </c:pt>
                <c:pt idx="82" formatCode="#,##0.00">
                  <c:v>1600</c:v>
                </c:pt>
                <c:pt idx="83" formatCode="#,##0.00">
                  <c:v>1675</c:v>
                </c:pt>
                <c:pt idx="84" formatCode="#,##0.00">
                  <c:v>2000</c:v>
                </c:pt>
                <c:pt idx="85" formatCode="#,##0.00">
                  <c:v>2500</c:v>
                </c:pt>
                <c:pt idx="88" formatCode="#,##0.00">
                  <c:v>4851</c:v>
                </c:pt>
                <c:pt idx="90" formatCode="#,##0.00">
                  <c:v>6100</c:v>
                </c:pt>
                <c:pt idx="91" formatCode="#,##0.00">
                  <c:v>8600</c:v>
                </c:pt>
                <c:pt idx="92" formatCode="#,##0.00">
                  <c:v>5075</c:v>
                </c:pt>
                <c:pt idx="93" formatCode="#,##0.00">
                  <c:v>3900</c:v>
                </c:pt>
                <c:pt idx="94" formatCode="#,##0.00">
                  <c:v>4200</c:v>
                </c:pt>
                <c:pt idx="95" formatCode="#,##0.00">
                  <c:v>4200</c:v>
                </c:pt>
                <c:pt idx="96" formatCode="#,##0.00">
                  <c:v>4120</c:v>
                </c:pt>
                <c:pt idx="97" formatCode="#,##0.00">
                  <c:v>4326</c:v>
                </c:pt>
                <c:pt idx="98" formatCode="#,##0.00">
                  <c:v>4463.1342000000004</c:v>
                </c:pt>
                <c:pt idx="99" formatCode="#,##0.00">
                  <c:v>4600</c:v>
                </c:pt>
                <c:pt idx="100" formatCode="#,##0.00">
                  <c:v>4600</c:v>
                </c:pt>
                <c:pt idx="102" formatCode="#,##0.00">
                  <c:v>4600</c:v>
                </c:pt>
                <c:pt idx="103" formatCode="#,##0.00">
                  <c:v>4600</c:v>
                </c:pt>
                <c:pt idx="104" formatCode="#,##0.00">
                  <c:v>4750</c:v>
                </c:pt>
                <c:pt idx="105" formatCode="#,##0.00">
                  <c:v>4800</c:v>
                </c:pt>
                <c:pt idx="106" formatCode="#,##0.00">
                  <c:v>4900</c:v>
                </c:pt>
                <c:pt idx="107" formatCode="#,##0.00">
                  <c:v>5400</c:v>
                </c:pt>
                <c:pt idx="108" formatCode="#,##0.00">
                  <c:v>5500</c:v>
                </c:pt>
                <c:pt idx="109" formatCode="#,##0.00">
                  <c:v>5700</c:v>
                </c:pt>
                <c:pt idx="110" formatCode="#,##0.00">
                  <c:v>5700</c:v>
                </c:pt>
                <c:pt idx="111" formatCode="#,##0.00">
                  <c:v>5900</c:v>
                </c:pt>
                <c:pt idx="112" formatCode="#,##0.00">
                  <c:v>5800</c:v>
                </c:pt>
                <c:pt idx="113" formatCode="#,##0.00">
                  <c:v>5800</c:v>
                </c:pt>
                <c:pt idx="114" formatCode="#,##0.00">
                  <c:v>5800</c:v>
                </c:pt>
                <c:pt idx="115" formatCode="#,##0.00">
                  <c:v>5800</c:v>
                </c:pt>
                <c:pt idx="116" formatCode="#,##0.00">
                  <c:v>5800</c:v>
                </c:pt>
                <c:pt idx="117" formatCode="#,##0.00">
                  <c:v>6500</c:v>
                </c:pt>
                <c:pt idx="118" formatCode="#,##0.00">
                  <c:v>6500</c:v>
                </c:pt>
                <c:pt idx="119" formatCode="#,##0.00">
                  <c:v>6500</c:v>
                </c:pt>
                <c:pt idx="120" formatCode="#,##0.00">
                  <c:v>6075</c:v>
                </c:pt>
                <c:pt idx="121" formatCode="#,##0.00">
                  <c:v>6400</c:v>
                </c:pt>
                <c:pt idx="122" formatCode="#,##0.00">
                  <c:v>8500</c:v>
                </c:pt>
                <c:pt idx="123" formatCode="#,##0.00">
                  <c:v>7810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Sheet1!$I$4</c:f>
              <c:strCache>
                <c:ptCount val="1"/>
                <c:pt idx="0">
                  <c:v>Import value / carat for cut diamond</c:v>
                </c:pt>
              </c:strCache>
            </c:strRef>
          </c:tx>
          <c:cat>
            <c:numRef>
              <c:f>Sheet1!$A$6:$A$126</c:f>
              <c:numCache>
                <c:formatCode>General</c:formatCode>
                <c:ptCount val="121"/>
                <c:pt idx="0">
                  <c:v>1889</c:v>
                </c:pt>
                <c:pt idx="1">
                  <c:v>1890</c:v>
                </c:pt>
                <c:pt idx="2">
                  <c:v>1891</c:v>
                </c:pt>
                <c:pt idx="3">
                  <c:v>1892</c:v>
                </c:pt>
                <c:pt idx="4">
                  <c:v>1893</c:v>
                </c:pt>
                <c:pt idx="5">
                  <c:v>1894</c:v>
                </c:pt>
                <c:pt idx="6">
                  <c:v>1895</c:v>
                </c:pt>
                <c:pt idx="7">
                  <c:v>1896</c:v>
                </c:pt>
                <c:pt idx="8">
                  <c:v>1897</c:v>
                </c:pt>
                <c:pt idx="9">
                  <c:v>1898</c:v>
                </c:pt>
                <c:pt idx="10">
                  <c:v>1899</c:v>
                </c:pt>
                <c:pt idx="11">
                  <c:v>1900</c:v>
                </c:pt>
                <c:pt idx="12">
                  <c:v>1901</c:v>
                </c:pt>
                <c:pt idx="13">
                  <c:v>1902</c:v>
                </c:pt>
                <c:pt idx="14">
                  <c:v>1903</c:v>
                </c:pt>
                <c:pt idx="15">
                  <c:v>1904</c:v>
                </c:pt>
                <c:pt idx="16">
                  <c:v>1905</c:v>
                </c:pt>
                <c:pt idx="17">
                  <c:v>1906</c:v>
                </c:pt>
                <c:pt idx="18">
                  <c:v>1907</c:v>
                </c:pt>
                <c:pt idx="19">
                  <c:v>1908</c:v>
                </c:pt>
                <c:pt idx="20">
                  <c:v>1909</c:v>
                </c:pt>
                <c:pt idx="21">
                  <c:v>1910</c:v>
                </c:pt>
                <c:pt idx="22">
                  <c:v>1911</c:v>
                </c:pt>
                <c:pt idx="23">
                  <c:v>1912</c:v>
                </c:pt>
                <c:pt idx="24">
                  <c:v>1913</c:v>
                </c:pt>
                <c:pt idx="25">
                  <c:v>1914</c:v>
                </c:pt>
                <c:pt idx="26">
                  <c:v>1915</c:v>
                </c:pt>
                <c:pt idx="27">
                  <c:v>1916</c:v>
                </c:pt>
                <c:pt idx="28">
                  <c:v>1917</c:v>
                </c:pt>
                <c:pt idx="29">
                  <c:v>1918</c:v>
                </c:pt>
                <c:pt idx="30">
                  <c:v>1919</c:v>
                </c:pt>
                <c:pt idx="31">
                  <c:v>1920</c:v>
                </c:pt>
                <c:pt idx="32">
                  <c:v>1921</c:v>
                </c:pt>
                <c:pt idx="33">
                  <c:v>1922</c:v>
                </c:pt>
                <c:pt idx="34">
                  <c:v>1923</c:v>
                </c:pt>
                <c:pt idx="35">
                  <c:v>1924</c:v>
                </c:pt>
                <c:pt idx="36">
                  <c:v>1925</c:v>
                </c:pt>
                <c:pt idx="37">
                  <c:v>1926</c:v>
                </c:pt>
                <c:pt idx="38">
                  <c:v>1927</c:v>
                </c:pt>
                <c:pt idx="39">
                  <c:v>1928</c:v>
                </c:pt>
                <c:pt idx="40">
                  <c:v>1929</c:v>
                </c:pt>
                <c:pt idx="41">
                  <c:v>1930</c:v>
                </c:pt>
                <c:pt idx="42">
                  <c:v>1931</c:v>
                </c:pt>
                <c:pt idx="43">
                  <c:v>1932</c:v>
                </c:pt>
                <c:pt idx="44">
                  <c:v>1933</c:v>
                </c:pt>
                <c:pt idx="45">
                  <c:v>1934</c:v>
                </c:pt>
                <c:pt idx="46">
                  <c:v>1935</c:v>
                </c:pt>
                <c:pt idx="47">
                  <c:v>1936</c:v>
                </c:pt>
                <c:pt idx="48">
                  <c:v>1937</c:v>
                </c:pt>
                <c:pt idx="49">
                  <c:v>1938</c:v>
                </c:pt>
                <c:pt idx="50">
                  <c:v>1939</c:v>
                </c:pt>
                <c:pt idx="51">
                  <c:v>1940</c:v>
                </c:pt>
                <c:pt idx="52">
                  <c:v>1941</c:v>
                </c:pt>
                <c:pt idx="53">
                  <c:v>1942</c:v>
                </c:pt>
                <c:pt idx="54">
                  <c:v>1943</c:v>
                </c:pt>
                <c:pt idx="55">
                  <c:v>1944</c:v>
                </c:pt>
                <c:pt idx="56">
                  <c:v>1945</c:v>
                </c:pt>
                <c:pt idx="57">
                  <c:v>1946</c:v>
                </c:pt>
                <c:pt idx="58">
                  <c:v>1947</c:v>
                </c:pt>
                <c:pt idx="59">
                  <c:v>1948</c:v>
                </c:pt>
                <c:pt idx="60">
                  <c:v>1949</c:v>
                </c:pt>
                <c:pt idx="61">
                  <c:v>1950</c:v>
                </c:pt>
                <c:pt idx="62">
                  <c:v>1951</c:v>
                </c:pt>
                <c:pt idx="63">
                  <c:v>1952</c:v>
                </c:pt>
                <c:pt idx="64">
                  <c:v>1953</c:v>
                </c:pt>
                <c:pt idx="65">
                  <c:v>1954</c:v>
                </c:pt>
                <c:pt idx="66">
                  <c:v>1955</c:v>
                </c:pt>
                <c:pt idx="67">
                  <c:v>1956</c:v>
                </c:pt>
                <c:pt idx="68">
                  <c:v>1957</c:v>
                </c:pt>
                <c:pt idx="69">
                  <c:v>1958</c:v>
                </c:pt>
                <c:pt idx="70">
                  <c:v>1959</c:v>
                </c:pt>
                <c:pt idx="71">
                  <c:v>1960</c:v>
                </c:pt>
                <c:pt idx="72">
                  <c:v>1961</c:v>
                </c:pt>
                <c:pt idx="73">
                  <c:v>1962</c:v>
                </c:pt>
                <c:pt idx="74">
                  <c:v>1963</c:v>
                </c:pt>
                <c:pt idx="75">
                  <c:v>1964</c:v>
                </c:pt>
                <c:pt idx="76">
                  <c:v>1965</c:v>
                </c:pt>
                <c:pt idx="77">
                  <c:v>1966</c:v>
                </c:pt>
                <c:pt idx="78">
                  <c:v>1967</c:v>
                </c:pt>
                <c:pt idx="79">
                  <c:v>1968</c:v>
                </c:pt>
                <c:pt idx="80">
                  <c:v>1969</c:v>
                </c:pt>
                <c:pt idx="81">
                  <c:v>1970</c:v>
                </c:pt>
                <c:pt idx="82">
                  <c:v>1971</c:v>
                </c:pt>
                <c:pt idx="83">
                  <c:v>1972</c:v>
                </c:pt>
                <c:pt idx="84">
                  <c:v>1973</c:v>
                </c:pt>
                <c:pt idx="85">
                  <c:v>1974</c:v>
                </c:pt>
                <c:pt idx="86">
                  <c:v>1975</c:v>
                </c:pt>
                <c:pt idx="87">
                  <c:v>1976</c:v>
                </c:pt>
                <c:pt idx="88">
                  <c:v>1977</c:v>
                </c:pt>
                <c:pt idx="89">
                  <c:v>1978</c:v>
                </c:pt>
                <c:pt idx="90">
                  <c:v>1979</c:v>
                </c:pt>
                <c:pt idx="91">
                  <c:v>1980</c:v>
                </c:pt>
                <c:pt idx="92">
                  <c:v>1981</c:v>
                </c:pt>
                <c:pt idx="93">
                  <c:v>1982</c:v>
                </c:pt>
                <c:pt idx="94">
                  <c:v>1983</c:v>
                </c:pt>
                <c:pt idx="95">
                  <c:v>1984</c:v>
                </c:pt>
                <c:pt idx="96">
                  <c:v>1985</c:v>
                </c:pt>
                <c:pt idx="97">
                  <c:v>1986</c:v>
                </c:pt>
                <c:pt idx="98">
                  <c:v>1987</c:v>
                </c:pt>
                <c:pt idx="99">
                  <c:v>1988</c:v>
                </c:pt>
                <c:pt idx="100">
                  <c:v>1989</c:v>
                </c:pt>
                <c:pt idx="101">
                  <c:v>1990</c:v>
                </c:pt>
                <c:pt idx="102">
                  <c:v>1991</c:v>
                </c:pt>
                <c:pt idx="103">
                  <c:v>1992</c:v>
                </c:pt>
                <c:pt idx="104">
                  <c:v>1993</c:v>
                </c:pt>
                <c:pt idx="105">
                  <c:v>1994</c:v>
                </c:pt>
                <c:pt idx="106">
                  <c:v>1995</c:v>
                </c:pt>
                <c:pt idx="107">
                  <c:v>1996</c:v>
                </c:pt>
                <c:pt idx="108">
                  <c:v>1997</c:v>
                </c:pt>
                <c:pt idx="109">
                  <c:v>1998</c:v>
                </c:pt>
                <c:pt idx="110">
                  <c:v>1999</c:v>
                </c:pt>
                <c:pt idx="111">
                  <c:v>2000</c:v>
                </c:pt>
                <c:pt idx="112">
                  <c:v>2001</c:v>
                </c:pt>
                <c:pt idx="113">
                  <c:v>2002</c:v>
                </c:pt>
                <c:pt idx="114">
                  <c:v>2003</c:v>
                </c:pt>
                <c:pt idx="115">
                  <c:v>2004</c:v>
                </c:pt>
                <c:pt idx="116">
                  <c:v>2005</c:v>
                </c:pt>
                <c:pt idx="117">
                  <c:v>2006</c:v>
                </c:pt>
                <c:pt idx="118">
                  <c:v>2007</c:v>
                </c:pt>
                <c:pt idx="119">
                  <c:v>2008</c:v>
                </c:pt>
                <c:pt idx="120">
                  <c:v>2009</c:v>
                </c:pt>
              </c:numCache>
            </c:numRef>
          </c:cat>
          <c:val>
            <c:numRef>
              <c:f>Sheet1!$I$6:$I$129</c:f>
              <c:numCache>
                <c:formatCode>#,##0.00</c:formatCode>
                <c:ptCount val="124"/>
                <c:pt idx="30">
                  <c:v>122.19930968739951</c:v>
                </c:pt>
                <c:pt idx="31">
                  <c:v>149.45276509819914</c:v>
                </c:pt>
                <c:pt idx="32">
                  <c:v>103.0790710598512</c:v>
                </c:pt>
                <c:pt idx="40">
                  <c:v>100.81994244174275</c:v>
                </c:pt>
                <c:pt idx="41">
                  <c:v>78.789398208460838</c:v>
                </c:pt>
                <c:pt idx="42">
                  <c:v>59.216798928677711</c:v>
                </c:pt>
                <c:pt idx="43">
                  <c:v>42.714106158226357</c:v>
                </c:pt>
                <c:pt idx="44">
                  <c:v>46.721935653330505</c:v>
                </c:pt>
                <c:pt idx="45">
                  <c:v>47.391774684562215</c:v>
                </c:pt>
                <c:pt idx="46">
                  <c:v>46.999706609158032</c:v>
                </c:pt>
                <c:pt idx="47">
                  <c:v>50.958692578712323</c:v>
                </c:pt>
                <c:pt idx="48">
                  <c:v>51.18984717396112</c:v>
                </c:pt>
                <c:pt idx="49">
                  <c:v>51.42205031351515</c:v>
                </c:pt>
                <c:pt idx="50">
                  <c:v>56.165212207623007</c:v>
                </c:pt>
                <c:pt idx="51">
                  <c:v>68.440758264353548</c:v>
                </c:pt>
                <c:pt idx="52">
                  <c:v>74.296919825679439</c:v>
                </c:pt>
                <c:pt idx="53">
                  <c:v>116.04987043543234</c:v>
                </c:pt>
                <c:pt idx="54">
                  <c:v>162.38346730269848</c:v>
                </c:pt>
                <c:pt idx="55">
                  <c:v>173.05523456950743</c:v>
                </c:pt>
                <c:pt idx="56">
                  <c:v>170.14339828704576</c:v>
                </c:pt>
                <c:pt idx="57">
                  <c:v>195.10551106612553</c:v>
                </c:pt>
                <c:pt idx="58">
                  <c:v>153.73778499755613</c:v>
                </c:pt>
                <c:pt idx="59">
                  <c:v>144.47190185814023</c:v>
                </c:pt>
                <c:pt idx="60">
                  <c:v>123.48531537734696</c:v>
                </c:pt>
                <c:pt idx="61">
                  <c:v>118.79104310990499</c:v>
                </c:pt>
                <c:pt idx="62">
                  <c:v>128.73245219722131</c:v>
                </c:pt>
                <c:pt idx="63">
                  <c:v>117.82491004364422</c:v>
                </c:pt>
                <c:pt idx="64">
                  <c:v>113.78791978336376</c:v>
                </c:pt>
                <c:pt idx="65">
                  <c:v>105.51665007767683</c:v>
                </c:pt>
                <c:pt idx="66">
                  <c:v>105.71815855982618</c:v>
                </c:pt>
                <c:pt idx="67">
                  <c:v>109.35107957676782</c:v>
                </c:pt>
                <c:pt idx="68">
                  <c:v>107.28282891230371</c:v>
                </c:pt>
                <c:pt idx="69">
                  <c:v>94.74236590750283</c:v>
                </c:pt>
                <c:pt idx="70">
                  <c:v>92.996762137140237</c:v>
                </c:pt>
                <c:pt idx="71">
                  <c:v>97.309665874841798</c:v>
                </c:pt>
                <c:pt idx="72">
                  <c:v>93.67216826550677</c:v>
                </c:pt>
                <c:pt idx="73">
                  <c:v>90.79710631817062</c:v>
                </c:pt>
                <c:pt idx="74">
                  <c:v>92.349796584186635</c:v>
                </c:pt>
                <c:pt idx="75">
                  <c:v>99.202676890394287</c:v>
                </c:pt>
                <c:pt idx="76">
                  <c:v>104.72971094224803</c:v>
                </c:pt>
                <c:pt idx="77">
                  <c:v>114.14393939393939</c:v>
                </c:pt>
                <c:pt idx="78">
                  <c:v>119.97938144329896</c:v>
                </c:pt>
                <c:pt idx="79">
                  <c:v>121.30752453653217</c:v>
                </c:pt>
                <c:pt idx="80">
                  <c:v>123.48179749715585</c:v>
                </c:pt>
                <c:pt idx="81">
                  <c:v>116.15895249695494</c:v>
                </c:pt>
                <c:pt idx="82">
                  <c:v>108.39844155844156</c:v>
                </c:pt>
                <c:pt idx="83">
                  <c:v>119.52489626556017</c:v>
                </c:pt>
                <c:pt idx="84">
                  <c:v>152.92033898305084</c:v>
                </c:pt>
                <c:pt idx="85">
                  <c:v>166.76044167066732</c:v>
                </c:pt>
                <c:pt idx="86">
                  <c:v>167.36896243291591</c:v>
                </c:pt>
                <c:pt idx="87">
                  <c:v>177.90152251376742</c:v>
                </c:pt>
                <c:pt idx="88">
                  <c:v>230.24900057110221</c:v>
                </c:pt>
                <c:pt idx="89">
                  <c:v>348.34731438587704</c:v>
                </c:pt>
                <c:pt idx="90">
                  <c:v>384.72799896689855</c:v>
                </c:pt>
                <c:pt idx="91">
                  <c:v>489.30654821500502</c:v>
                </c:pt>
                <c:pt idx="92">
                  <c:v>517.27190165788954</c:v>
                </c:pt>
                <c:pt idx="93">
                  <c:v>438.29027796844844</c:v>
                </c:pt>
                <c:pt idx="94">
                  <c:v>378.46605096340198</c:v>
                </c:pt>
                <c:pt idx="95">
                  <c:v>361.13258570931367</c:v>
                </c:pt>
                <c:pt idx="96">
                  <c:v>378.3099837483287</c:v>
                </c:pt>
                <c:pt idx="97">
                  <c:v>383.63857388267121</c:v>
                </c:pt>
                <c:pt idx="98">
                  <c:v>387.41034419546918</c:v>
                </c:pt>
                <c:pt idx="99">
                  <c:v>424.66856898505102</c:v>
                </c:pt>
                <c:pt idx="100">
                  <c:v>429.02657022259098</c:v>
                </c:pt>
                <c:pt idx="101">
                  <c:v>536.78382365373034</c:v>
                </c:pt>
                <c:pt idx="102">
                  <c:v>517.21000389183882</c:v>
                </c:pt>
                <c:pt idx="103">
                  <c:v>472.39241960803355</c:v>
                </c:pt>
                <c:pt idx="104">
                  <c:v>462.34074766626753</c:v>
                </c:pt>
                <c:pt idx="105">
                  <c:v>462.92134831460675</c:v>
                </c:pt>
                <c:pt idx="106">
                  <c:v>445.9346186085499</c:v>
                </c:pt>
                <c:pt idx="107">
                  <c:v>475.53017944535071</c:v>
                </c:pt>
                <c:pt idx="108">
                  <c:v>515.57863501483678</c:v>
                </c:pt>
                <c:pt idx="109">
                  <c:v>482.27383863080684</c:v>
                </c:pt>
                <c:pt idx="110">
                  <c:v>478.82906429691582</c:v>
                </c:pt>
                <c:pt idx="111">
                  <c:v>576.2538382804504</c:v>
                </c:pt>
                <c:pt idx="112">
                  <c:v>619.37075879086979</c:v>
                </c:pt>
                <c:pt idx="113">
                  <c:v>575.78789394697344</c:v>
                </c:pt>
                <c:pt idx="114">
                  <c:v>635.1774530271399</c:v>
                </c:pt>
                <c:pt idx="115">
                  <c:v>754.21424687330068</c:v>
                </c:pt>
                <c:pt idx="116">
                  <c:v>904.0047114252061</c:v>
                </c:pt>
                <c:pt idx="117">
                  <c:v>964.89174956114687</c:v>
                </c:pt>
                <c:pt idx="118">
                  <c:v>1180.7542262678803</c:v>
                </c:pt>
                <c:pt idx="119">
                  <c:v>1470.5882352941176</c:v>
                </c:pt>
                <c:pt idx="120">
                  <c:v>1149.5844875346261</c:v>
                </c:pt>
                <c:pt idx="121">
                  <c:v>1340.74</c:v>
                </c:pt>
                <c:pt idx="122">
                  <c:v>1631.58</c:v>
                </c:pt>
                <c:pt idx="123">
                  <c:v>1633.33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84704"/>
        <c:axId val="55394688"/>
      </c:lineChart>
      <c:catAx>
        <c:axId val="5538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5394688"/>
        <c:crosses val="autoZero"/>
        <c:auto val="1"/>
        <c:lblAlgn val="ctr"/>
        <c:lblOffset val="100"/>
        <c:noMultiLvlLbl val="0"/>
      </c:catAx>
      <c:valAx>
        <c:axId val="55394688"/>
        <c:scaling>
          <c:logBase val="10"/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55384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4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showGridLines="0" tabSelected="1" topLeftCell="A27" zoomScale="75" zoomScaleNormal="75" workbookViewId="0">
      <selection activeCell="K129" sqref="K129"/>
    </sheetView>
  </sheetViews>
  <sheetFormatPr defaultRowHeight="15" x14ac:dyDescent="0.25"/>
  <cols>
    <col min="1" max="1" width="10" style="8" customWidth="1"/>
    <col min="2" max="2" width="10" style="44" customWidth="1"/>
    <col min="3" max="4" width="10" style="8" customWidth="1"/>
    <col min="5" max="5" width="21.7109375" style="9" bestFit="1" customWidth="1"/>
    <col min="6" max="6" width="8.7109375" style="9" customWidth="1"/>
    <col min="7" max="7" width="13.28515625" style="2" bestFit="1" customWidth="1"/>
    <col min="8" max="8" width="43.42578125" style="2" bestFit="1" customWidth="1"/>
    <col min="9" max="9" width="22.28515625" style="10" bestFit="1" customWidth="1"/>
    <col min="10" max="10" width="8.7109375" style="10" customWidth="1"/>
    <col min="11" max="11" width="23.42578125" style="2" bestFit="1" customWidth="1"/>
    <col min="12" max="12" width="21.7109375" style="19" bestFit="1" customWidth="1"/>
    <col min="13" max="13" width="8.7109375" style="19" customWidth="1"/>
    <col min="14" max="14" width="34.5703125" style="2" bestFit="1" customWidth="1"/>
    <col min="15" max="15" width="87.7109375" style="2" bestFit="1" customWidth="1"/>
    <col min="16" max="16" width="25.28515625" style="2" customWidth="1"/>
    <col min="17" max="16384" width="9.140625" style="2"/>
  </cols>
  <sheetData>
    <row r="1" spans="1:15" s="23" customFormat="1" x14ac:dyDescent="0.25">
      <c r="A1" s="20" t="s">
        <v>81</v>
      </c>
      <c r="B1" s="40"/>
      <c r="C1" s="20"/>
      <c r="D1" s="20"/>
      <c r="E1" s="21"/>
      <c r="F1" s="21"/>
      <c r="I1" s="24"/>
      <c r="J1" s="24"/>
      <c r="L1" s="22"/>
      <c r="M1" s="22"/>
    </row>
    <row r="2" spans="1:15" s="23" customFormat="1" x14ac:dyDescent="0.25">
      <c r="A2" s="25" t="s">
        <v>77</v>
      </c>
      <c r="B2" s="41"/>
      <c r="C2" s="25"/>
      <c r="D2" s="25"/>
      <c r="E2" s="26"/>
      <c r="F2" s="26"/>
      <c r="I2" s="24"/>
      <c r="J2" s="24"/>
      <c r="L2" s="27"/>
      <c r="M2" s="27"/>
    </row>
    <row r="4" spans="1:15" s="38" customFormat="1" ht="30" x14ac:dyDescent="0.25">
      <c r="A4" s="6" t="s">
        <v>0</v>
      </c>
      <c r="B4" s="42" t="s">
        <v>82</v>
      </c>
      <c r="C4" s="6"/>
      <c r="D4" s="6"/>
      <c r="E4" s="33" t="s">
        <v>66</v>
      </c>
      <c r="F4" s="51"/>
      <c r="G4" s="34" t="s">
        <v>1</v>
      </c>
      <c r="H4" s="35" t="s">
        <v>41</v>
      </c>
      <c r="I4" s="36" t="s">
        <v>67</v>
      </c>
      <c r="J4" s="36"/>
      <c r="K4" s="35" t="s">
        <v>1</v>
      </c>
      <c r="L4" s="37" t="s">
        <v>68</v>
      </c>
      <c r="M4" s="37"/>
      <c r="N4" s="1" t="s">
        <v>1</v>
      </c>
      <c r="O4" s="34" t="s">
        <v>41</v>
      </c>
    </row>
    <row r="5" spans="1:15" x14ac:dyDescent="0.25">
      <c r="A5" s="7"/>
      <c r="B5" s="43"/>
      <c r="C5" s="7"/>
      <c r="D5" s="7"/>
      <c r="E5" s="28"/>
      <c r="F5" s="52"/>
      <c r="G5" s="3"/>
      <c r="H5" s="31"/>
      <c r="I5" s="11"/>
      <c r="J5" s="11"/>
      <c r="K5" s="31"/>
      <c r="L5" s="15"/>
      <c r="M5" s="15"/>
    </row>
    <row r="6" spans="1:15" x14ac:dyDescent="0.25">
      <c r="A6" s="8">
        <v>1889</v>
      </c>
      <c r="E6" s="29">
        <v>4.7888333333333328</v>
      </c>
      <c r="F6" s="53"/>
      <c r="G6" s="4" t="s">
        <v>65</v>
      </c>
      <c r="H6" s="32" t="s">
        <v>76</v>
      </c>
      <c r="I6" s="12"/>
      <c r="J6" s="12"/>
      <c r="K6" s="32"/>
      <c r="L6" s="15"/>
      <c r="M6" s="15"/>
    </row>
    <row r="7" spans="1:15" x14ac:dyDescent="0.25">
      <c r="A7" s="8">
        <v>1890</v>
      </c>
      <c r="E7" s="29">
        <v>7.8975000000000009</v>
      </c>
      <c r="F7" s="55">
        <f>E7/E6-1</f>
        <v>0.64914906205408451</v>
      </c>
      <c r="G7" s="4" t="s">
        <v>65</v>
      </c>
      <c r="H7" s="32" t="s">
        <v>76</v>
      </c>
      <c r="I7" s="12"/>
      <c r="J7" s="12"/>
      <c r="K7" s="32"/>
      <c r="L7" s="15"/>
      <c r="M7" s="15"/>
    </row>
    <row r="8" spans="1:15" x14ac:dyDescent="0.25">
      <c r="A8" s="8">
        <v>1891</v>
      </c>
      <c r="E8" s="29">
        <v>7.1684999999999999</v>
      </c>
      <c r="F8" s="55">
        <f t="shared" ref="F8:F49" si="0">E8/E7-1</f>
        <v>-9.2307692307692424E-2</v>
      </c>
      <c r="G8" s="4" t="s">
        <v>65</v>
      </c>
      <c r="H8" s="32" t="s">
        <v>76</v>
      </c>
      <c r="I8" s="12"/>
      <c r="J8" s="12"/>
      <c r="K8" s="32"/>
      <c r="L8" s="15"/>
      <c r="M8" s="15"/>
    </row>
    <row r="9" spans="1:15" x14ac:dyDescent="0.25">
      <c r="A9" s="8">
        <v>1892</v>
      </c>
      <c r="E9" s="29">
        <v>6.2092499999999999</v>
      </c>
      <c r="F9" s="55">
        <f t="shared" si="0"/>
        <v>-0.13381460556601799</v>
      </c>
      <c r="G9" s="4" t="s">
        <v>65</v>
      </c>
      <c r="H9" s="32" t="s">
        <v>76</v>
      </c>
      <c r="I9" s="12"/>
      <c r="J9" s="12"/>
      <c r="K9" s="32"/>
      <c r="L9" s="15"/>
      <c r="M9" s="15"/>
    </row>
    <row r="10" spans="1:15" x14ac:dyDescent="0.25">
      <c r="A10" s="8">
        <v>1893</v>
      </c>
      <c r="E10" s="29">
        <v>7.0470000000000006</v>
      </c>
      <c r="F10" s="55">
        <f t="shared" si="0"/>
        <v>0.13491967628940693</v>
      </c>
      <c r="G10" s="4" t="s">
        <v>65</v>
      </c>
      <c r="H10" s="32" t="s">
        <v>76</v>
      </c>
      <c r="I10" s="12"/>
      <c r="J10" s="12"/>
      <c r="K10" s="32"/>
      <c r="L10" s="15"/>
      <c r="M10" s="15"/>
    </row>
    <row r="11" spans="1:15" x14ac:dyDescent="0.25">
      <c r="A11" s="8">
        <v>1894</v>
      </c>
      <c r="E11" s="29">
        <v>5.9576666666666656</v>
      </c>
      <c r="F11" s="55">
        <f t="shared" si="0"/>
        <v>-0.15458114564117142</v>
      </c>
      <c r="G11" s="4" t="s">
        <v>65</v>
      </c>
      <c r="H11" s="32" t="s">
        <v>76</v>
      </c>
      <c r="I11" s="12"/>
      <c r="J11" s="12"/>
      <c r="K11" s="32"/>
      <c r="L11" s="15"/>
      <c r="M11" s="15"/>
    </row>
    <row r="12" spans="1:15" x14ac:dyDescent="0.25">
      <c r="A12" s="8">
        <v>1895</v>
      </c>
      <c r="E12" s="29">
        <v>6.2347499999999991</v>
      </c>
      <c r="F12" s="55">
        <f t="shared" si="0"/>
        <v>4.6508700274156656E-2</v>
      </c>
      <c r="G12" s="4" t="s">
        <v>65</v>
      </c>
      <c r="H12" s="32" t="s">
        <v>76</v>
      </c>
      <c r="I12" s="12"/>
      <c r="J12" s="12"/>
      <c r="K12" s="32"/>
      <c r="L12" s="15"/>
      <c r="M12" s="15"/>
    </row>
    <row r="13" spans="1:15" x14ac:dyDescent="0.25">
      <c r="A13" s="8">
        <v>1896</v>
      </c>
      <c r="E13" s="29">
        <v>6.5136250000000011</v>
      </c>
      <c r="F13" s="55">
        <f t="shared" si="0"/>
        <v>4.4729139099402904E-2</v>
      </c>
      <c r="G13" s="4" t="s">
        <v>65</v>
      </c>
      <c r="H13" s="32" t="s">
        <v>76</v>
      </c>
      <c r="I13" s="12"/>
      <c r="J13" s="12"/>
      <c r="K13" s="32"/>
      <c r="L13" s="15"/>
      <c r="M13" s="15"/>
    </row>
    <row r="14" spans="1:15" x14ac:dyDescent="0.25">
      <c r="A14" s="8">
        <v>1897</v>
      </c>
      <c r="E14" s="29">
        <v>6.5205000000000011</v>
      </c>
      <c r="F14" s="55">
        <f t="shared" si="0"/>
        <v>1.0554798595252546E-3</v>
      </c>
      <c r="G14" s="4" t="s">
        <v>65</v>
      </c>
      <c r="H14" s="32" t="s">
        <v>76</v>
      </c>
      <c r="I14" s="12"/>
      <c r="J14" s="12"/>
      <c r="K14" s="32"/>
      <c r="L14" s="15"/>
      <c r="M14" s="15"/>
    </row>
    <row r="15" spans="1:15" x14ac:dyDescent="0.25">
      <c r="A15" s="8">
        <v>1898</v>
      </c>
      <c r="E15" s="29">
        <v>6.4262499999999996</v>
      </c>
      <c r="F15" s="55">
        <f t="shared" si="0"/>
        <v>-1.4454413005137834E-2</v>
      </c>
      <c r="G15" s="4" t="s">
        <v>65</v>
      </c>
      <c r="H15" s="32" t="s">
        <v>76</v>
      </c>
      <c r="I15" s="12"/>
      <c r="J15" s="12"/>
      <c r="K15" s="32"/>
      <c r="L15" s="15"/>
      <c r="M15" s="15"/>
    </row>
    <row r="16" spans="1:15" x14ac:dyDescent="0.25">
      <c r="A16" s="8">
        <v>1899</v>
      </c>
      <c r="E16" s="29">
        <v>7.1887499999999998</v>
      </c>
      <c r="F16" s="55">
        <f t="shared" si="0"/>
        <v>0.11865395837385728</v>
      </c>
      <c r="G16" s="4" t="s">
        <v>65</v>
      </c>
      <c r="H16" s="32" t="s">
        <v>76</v>
      </c>
      <c r="I16" s="12"/>
      <c r="J16" s="12"/>
      <c r="K16" s="32"/>
      <c r="L16" s="15"/>
      <c r="M16" s="15"/>
    </row>
    <row r="17" spans="1:14" x14ac:dyDescent="0.25">
      <c r="A17" s="8">
        <v>1900</v>
      </c>
      <c r="B17" s="45">
        <f>E17/E$17</f>
        <v>1</v>
      </c>
      <c r="E17" s="29">
        <v>8.7254166666666677</v>
      </c>
      <c r="F17" s="55">
        <f t="shared" si="0"/>
        <v>0.21375992581000425</v>
      </c>
      <c r="G17" s="4" t="s">
        <v>65</v>
      </c>
      <c r="H17" s="32" t="s">
        <v>76</v>
      </c>
      <c r="I17" s="12"/>
      <c r="J17" s="12"/>
      <c r="K17" s="32"/>
      <c r="L17" s="15"/>
      <c r="M17" s="15"/>
    </row>
    <row r="18" spans="1:14" x14ac:dyDescent="0.25">
      <c r="A18" s="8">
        <v>1901</v>
      </c>
      <c r="B18" s="45">
        <f t="shared" ref="B18:B49" si="1">E18/E$17</f>
        <v>1.1046511627906976</v>
      </c>
      <c r="E18" s="29">
        <v>9.6385416666666668</v>
      </c>
      <c r="F18" s="55">
        <f t="shared" si="0"/>
        <v>0.10465116279069764</v>
      </c>
      <c r="G18" s="4" t="s">
        <v>65</v>
      </c>
      <c r="H18" s="32" t="s">
        <v>76</v>
      </c>
      <c r="I18" s="12"/>
      <c r="J18" s="12"/>
      <c r="K18" s="32"/>
      <c r="L18" s="15"/>
      <c r="M18" s="15"/>
    </row>
    <row r="19" spans="1:14" x14ac:dyDescent="0.25">
      <c r="A19" s="8">
        <v>1902</v>
      </c>
      <c r="B19" s="45">
        <f t="shared" si="1"/>
        <v>1.2953488372093023</v>
      </c>
      <c r="E19" s="29">
        <v>11.302458333333334</v>
      </c>
      <c r="F19" s="55">
        <f t="shared" si="0"/>
        <v>0.17263157894736847</v>
      </c>
      <c r="G19" s="4" t="s">
        <v>65</v>
      </c>
      <c r="H19" s="32" t="s">
        <v>76</v>
      </c>
      <c r="I19" s="12"/>
      <c r="J19" s="12"/>
      <c r="K19" s="32"/>
      <c r="L19" s="15"/>
      <c r="M19" s="15"/>
    </row>
    <row r="20" spans="1:14" x14ac:dyDescent="0.25">
      <c r="A20" s="8">
        <v>1903</v>
      </c>
      <c r="B20" s="45">
        <f t="shared" si="1"/>
        <v>1.3507091351893414</v>
      </c>
      <c r="E20" s="29">
        <v>11.785500000000001</v>
      </c>
      <c r="F20" s="55">
        <f t="shared" si="0"/>
        <v>4.2737752480102031E-2</v>
      </c>
      <c r="G20" s="4" t="s">
        <v>65</v>
      </c>
      <c r="H20" s="32" t="s">
        <v>76</v>
      </c>
      <c r="I20" s="12"/>
      <c r="J20" s="12"/>
      <c r="K20" s="32"/>
      <c r="L20" s="16">
        <v>100</v>
      </c>
      <c r="M20" s="16"/>
      <c r="N20" s="2" t="s">
        <v>70</v>
      </c>
    </row>
    <row r="21" spans="1:14" x14ac:dyDescent="0.25">
      <c r="A21" s="8">
        <v>1904</v>
      </c>
      <c r="B21" s="45">
        <f t="shared" si="1"/>
        <v>1.3651162790697673</v>
      </c>
      <c r="E21" s="29">
        <v>11.911208333333333</v>
      </c>
      <c r="F21" s="55">
        <f t="shared" si="0"/>
        <v>1.0666355549898698E-2</v>
      </c>
      <c r="G21" s="4" t="s">
        <v>65</v>
      </c>
      <c r="H21" s="32" t="s">
        <v>76</v>
      </c>
      <c r="I21" s="12"/>
      <c r="J21" s="12"/>
      <c r="K21" s="32"/>
      <c r="L21" s="15"/>
      <c r="M21" s="15"/>
    </row>
    <row r="22" spans="1:14" x14ac:dyDescent="0.25">
      <c r="A22" s="8">
        <v>1905</v>
      </c>
      <c r="B22" s="45">
        <f t="shared" si="1"/>
        <v>1.4744186046511625</v>
      </c>
      <c r="E22" s="29">
        <v>12.864916666666666</v>
      </c>
      <c r="F22" s="55">
        <f t="shared" si="0"/>
        <v>8.0068143100511024E-2</v>
      </c>
      <c r="G22" s="4" t="s">
        <v>65</v>
      </c>
      <c r="H22" s="32" t="s">
        <v>76</v>
      </c>
      <c r="I22" s="12"/>
      <c r="J22" s="12"/>
      <c r="K22" s="32"/>
      <c r="L22" s="15"/>
      <c r="M22" s="15"/>
    </row>
    <row r="23" spans="1:14" x14ac:dyDescent="0.25">
      <c r="A23" s="8">
        <v>1906</v>
      </c>
      <c r="B23" s="45">
        <f t="shared" si="1"/>
        <v>1.6953345112458809</v>
      </c>
      <c r="E23" s="29">
        <v>14.792499999999999</v>
      </c>
      <c r="F23" s="55">
        <f t="shared" si="0"/>
        <v>0.14983255494594472</v>
      </c>
      <c r="G23" s="4" t="s">
        <v>65</v>
      </c>
      <c r="H23" s="32" t="s">
        <v>76</v>
      </c>
      <c r="I23" s="12"/>
      <c r="J23" s="12"/>
      <c r="K23" s="32"/>
      <c r="L23" s="15"/>
      <c r="M23" s="15"/>
    </row>
    <row r="24" spans="1:14" x14ac:dyDescent="0.25">
      <c r="A24" s="8">
        <v>1907</v>
      </c>
      <c r="B24" s="45">
        <f t="shared" si="1"/>
        <v>1.8032663196599972</v>
      </c>
      <c r="E24" s="29">
        <v>15.734250000000003</v>
      </c>
      <c r="F24" s="55">
        <f t="shared" si="0"/>
        <v>6.3664018928511368E-2</v>
      </c>
      <c r="G24" s="4" t="s">
        <v>65</v>
      </c>
      <c r="H24" s="32" t="s">
        <v>76</v>
      </c>
      <c r="I24" s="12"/>
      <c r="J24" s="12"/>
      <c r="K24" s="32"/>
      <c r="L24" s="15"/>
      <c r="M24" s="15"/>
    </row>
    <row r="25" spans="1:14" x14ac:dyDescent="0.25">
      <c r="A25" s="8">
        <v>1908</v>
      </c>
      <c r="B25" s="45">
        <f t="shared" si="1"/>
        <v>1.6186046511627905</v>
      </c>
      <c r="E25" s="29">
        <v>14.122999999999999</v>
      </c>
      <c r="F25" s="55">
        <f t="shared" si="0"/>
        <v>-0.10240399129288036</v>
      </c>
      <c r="G25" s="4" t="s">
        <v>65</v>
      </c>
      <c r="H25" s="32" t="s">
        <v>76</v>
      </c>
      <c r="I25" s="12"/>
      <c r="J25" s="12"/>
      <c r="K25" s="32"/>
      <c r="L25" s="15"/>
      <c r="M25" s="15"/>
    </row>
    <row r="26" spans="1:14" x14ac:dyDescent="0.25">
      <c r="A26" s="8">
        <v>1909</v>
      </c>
      <c r="B26" s="45">
        <f t="shared" si="1"/>
        <v>1.2999999999999998</v>
      </c>
      <c r="E26" s="29">
        <v>11.343041666666666</v>
      </c>
      <c r="F26" s="55">
        <f t="shared" si="0"/>
        <v>-0.19683908045977005</v>
      </c>
      <c r="G26" s="4" t="s">
        <v>65</v>
      </c>
      <c r="H26" s="32" t="s">
        <v>76</v>
      </c>
      <c r="I26" s="12"/>
      <c r="J26" s="12"/>
      <c r="K26" s="32"/>
      <c r="L26" s="15"/>
      <c r="M26" s="15"/>
    </row>
    <row r="27" spans="1:14" x14ac:dyDescent="0.25">
      <c r="A27" s="8">
        <v>1910</v>
      </c>
      <c r="B27" s="45">
        <f t="shared" si="1"/>
        <v>1.329821880521465</v>
      </c>
      <c r="E27" s="29">
        <v>11.603250000000001</v>
      </c>
      <c r="F27" s="55">
        <f t="shared" si="0"/>
        <v>2.2939908093434713E-2</v>
      </c>
      <c r="G27" s="4" t="s">
        <v>65</v>
      </c>
      <c r="H27" s="32" t="s">
        <v>76</v>
      </c>
      <c r="I27" s="12"/>
      <c r="J27" s="12"/>
      <c r="K27" s="32"/>
      <c r="L27" s="15"/>
      <c r="M27" s="15"/>
    </row>
    <row r="28" spans="1:14" x14ac:dyDescent="0.25">
      <c r="A28" s="8">
        <v>1911</v>
      </c>
      <c r="B28" s="45">
        <f t="shared" si="1"/>
        <v>1.434258153860847</v>
      </c>
      <c r="E28" s="29">
        <v>12.5145</v>
      </c>
      <c r="F28" s="55">
        <f t="shared" si="0"/>
        <v>7.8534031413612482E-2</v>
      </c>
      <c r="G28" s="4" t="s">
        <v>65</v>
      </c>
      <c r="H28" s="32" t="s">
        <v>76</v>
      </c>
      <c r="I28" s="12"/>
      <c r="J28" s="12"/>
      <c r="K28" s="32"/>
      <c r="L28" s="15"/>
      <c r="M28" s="15"/>
    </row>
    <row r="29" spans="1:14" x14ac:dyDescent="0.25">
      <c r="A29" s="8">
        <v>1912</v>
      </c>
      <c r="B29" s="45">
        <f t="shared" si="1"/>
        <v>1.5046511627906975</v>
      </c>
      <c r="E29" s="29">
        <v>13.128708333333334</v>
      </c>
      <c r="F29" s="55">
        <f t="shared" si="0"/>
        <v>4.9079734175023759E-2</v>
      </c>
      <c r="G29" s="4" t="s">
        <v>65</v>
      </c>
      <c r="H29" s="32" t="s">
        <v>76</v>
      </c>
      <c r="I29" s="12"/>
      <c r="J29" s="12"/>
      <c r="K29" s="32"/>
      <c r="L29" s="15"/>
      <c r="M29" s="15"/>
    </row>
    <row r="30" spans="1:14" x14ac:dyDescent="0.25">
      <c r="A30" s="8">
        <v>1913</v>
      </c>
      <c r="B30" s="45">
        <f t="shared" si="1"/>
        <v>1.8767441860465117</v>
      </c>
      <c r="E30" s="29">
        <v>16.375375000000002</v>
      </c>
      <c r="F30" s="55">
        <f t="shared" si="0"/>
        <v>0.24729520865533239</v>
      </c>
      <c r="G30" s="4" t="s">
        <v>65</v>
      </c>
      <c r="H30" s="32" t="s">
        <v>76</v>
      </c>
      <c r="I30" s="12"/>
      <c r="J30" s="12"/>
      <c r="K30" s="32"/>
      <c r="L30" s="15"/>
      <c r="M30" s="15"/>
    </row>
    <row r="31" spans="1:14" x14ac:dyDescent="0.25">
      <c r="A31" s="8">
        <v>1914</v>
      </c>
      <c r="B31" s="45">
        <f t="shared" si="1"/>
        <v>1.9968644015669665</v>
      </c>
      <c r="E31" s="48">
        <f>E30*(E$36/E$30)^(1/6)</f>
        <v>17.423473930505772</v>
      </c>
      <c r="F31" s="55">
        <f t="shared" si="0"/>
        <v>6.4004575803959796E-2</v>
      </c>
      <c r="G31" s="49" t="s">
        <v>84</v>
      </c>
      <c r="H31" s="47"/>
      <c r="I31" s="13"/>
      <c r="J31" s="13"/>
      <c r="K31" s="31"/>
      <c r="L31" s="15"/>
      <c r="M31" s="15"/>
    </row>
    <row r="32" spans="1:14" x14ac:dyDescent="0.25">
      <c r="A32" s="8">
        <v>1915</v>
      </c>
      <c r="B32" s="45">
        <f t="shared" si="1"/>
        <v>2.124672860527288</v>
      </c>
      <c r="E32" s="48">
        <f t="shared" ref="E32:E35" si="2">E31*(E$36/E$30)^(1/6)</f>
        <v>18.538655988459144</v>
      </c>
      <c r="F32" s="55">
        <f t="shared" si="0"/>
        <v>6.4004575803959796E-2</v>
      </c>
      <c r="G32" s="49" t="s">
        <v>84</v>
      </c>
      <c r="H32" s="47"/>
      <c r="I32" s="13"/>
      <c r="J32" s="13"/>
      <c r="K32" s="31"/>
      <c r="L32" s="15"/>
      <c r="M32" s="15"/>
    </row>
    <row r="33" spans="1:14" x14ac:dyDescent="0.25">
      <c r="A33" s="8">
        <v>1916</v>
      </c>
      <c r="B33" s="45">
        <f t="shared" si="1"/>
        <v>2.2606616456875233</v>
      </c>
      <c r="E33" s="48">
        <f t="shared" si="2"/>
        <v>19.725214800976012</v>
      </c>
      <c r="F33" s="55">
        <f t="shared" si="0"/>
        <v>6.4004575803959796E-2</v>
      </c>
      <c r="G33" s="49" t="s">
        <v>84</v>
      </c>
      <c r="H33" s="47"/>
      <c r="I33" s="13"/>
      <c r="J33" s="13"/>
      <c r="K33" s="31"/>
      <c r="L33" s="15"/>
      <c r="M33" s="15"/>
    </row>
    <row r="34" spans="1:14" x14ac:dyDescent="0.25">
      <c r="A34" s="8">
        <v>1917</v>
      </c>
      <c r="B34" s="45">
        <f t="shared" si="1"/>
        <v>2.4053543353560349</v>
      </c>
      <c r="E34" s="48">
        <f t="shared" si="2"/>
        <v>20.987718806954472</v>
      </c>
      <c r="F34" s="55">
        <f t="shared" si="0"/>
        <v>6.4004575803959796E-2</v>
      </c>
      <c r="G34" s="49" t="s">
        <v>84</v>
      </c>
      <c r="H34" s="47"/>
      <c r="I34" s="13"/>
      <c r="J34" s="13"/>
      <c r="K34" s="31"/>
      <c r="L34" s="15"/>
      <c r="M34" s="15"/>
    </row>
    <row r="35" spans="1:14" x14ac:dyDescent="0.25">
      <c r="A35" s="8">
        <v>1918</v>
      </c>
      <c r="B35" s="45">
        <f t="shared" si="1"/>
        <v>2.5593080192487139</v>
      </c>
      <c r="E35" s="48">
        <f t="shared" si="2"/>
        <v>22.331028846286383</v>
      </c>
      <c r="F35" s="55">
        <f t="shared" si="0"/>
        <v>6.4004575803959796E-2</v>
      </c>
      <c r="G35" s="49" t="s">
        <v>84</v>
      </c>
      <c r="H35" s="47"/>
      <c r="I35" s="13"/>
      <c r="J35" s="13"/>
      <c r="K35" s="31"/>
      <c r="L35" s="15"/>
      <c r="M35" s="15"/>
    </row>
    <row r="36" spans="1:14" x14ac:dyDescent="0.25">
      <c r="A36" s="8">
        <v>1919</v>
      </c>
      <c r="B36" s="45">
        <f t="shared" si="1"/>
        <v>2.7231154433724005</v>
      </c>
      <c r="E36" s="48">
        <f>I36/5.143</f>
        <v>23.760316874858937</v>
      </c>
      <c r="F36" s="55">
        <f t="shared" si="0"/>
        <v>6.4004575803960018E-2</v>
      </c>
      <c r="G36" s="49" t="s">
        <v>83</v>
      </c>
      <c r="H36" s="47"/>
      <c r="I36" s="12">
        <v>122.19930968739951</v>
      </c>
      <c r="J36" s="12"/>
      <c r="K36" s="32" t="s">
        <v>43</v>
      </c>
      <c r="L36" s="15"/>
      <c r="M36" s="15"/>
    </row>
    <row r="37" spans="1:14" x14ac:dyDescent="0.25">
      <c r="A37" s="8">
        <v>1920</v>
      </c>
      <c r="B37" s="45">
        <f t="shared" si="1"/>
        <v>3.3304372482521392</v>
      </c>
      <c r="E37" s="48">
        <f t="shared" ref="E37:E38" si="3">I37/5.143</f>
        <v>29.059452673186691</v>
      </c>
      <c r="F37" s="55">
        <f t="shared" si="0"/>
        <v>0.22302462657536481</v>
      </c>
      <c r="G37" s="49" t="s">
        <v>83</v>
      </c>
      <c r="H37" s="47"/>
      <c r="I37" s="12">
        <v>149.45276509819914</v>
      </c>
      <c r="J37" s="56">
        <f>I37/I36-1</f>
        <v>0.22302462657536481</v>
      </c>
      <c r="K37" s="32" t="s">
        <v>43</v>
      </c>
      <c r="L37" s="15"/>
      <c r="M37" s="15"/>
    </row>
    <row r="38" spans="1:14" x14ac:dyDescent="0.25">
      <c r="A38" s="8">
        <v>1921</v>
      </c>
      <c r="B38" s="45">
        <f t="shared" si="1"/>
        <v>2.2970359735224077</v>
      </c>
      <c r="E38" s="48">
        <f t="shared" si="3"/>
        <v>20.04259596730531</v>
      </c>
      <c r="F38" s="55">
        <f t="shared" si="0"/>
        <v>-0.31028997026503813</v>
      </c>
      <c r="G38" s="49" t="s">
        <v>83</v>
      </c>
      <c r="H38" s="47"/>
      <c r="I38" s="12">
        <v>103.0790710598512</v>
      </c>
      <c r="J38" s="56">
        <f>I38/I37-1</f>
        <v>-0.31028997026503813</v>
      </c>
      <c r="K38" s="32" t="s">
        <v>43</v>
      </c>
      <c r="L38" s="15"/>
      <c r="M38" s="15"/>
    </row>
    <row r="39" spans="1:14" x14ac:dyDescent="0.25">
      <c r="A39" s="8">
        <v>1922</v>
      </c>
      <c r="B39" s="45">
        <f t="shared" si="1"/>
        <v>2.2165017329471346</v>
      </c>
      <c r="E39" s="48">
        <f>E38*(E$43/E$38)^(1/5)</f>
        <v>19.339901162352479</v>
      </c>
      <c r="F39" s="55">
        <f t="shared" si="0"/>
        <v>-3.506006936921291E-2</v>
      </c>
      <c r="G39" s="49" t="s">
        <v>84</v>
      </c>
      <c r="H39" s="47"/>
      <c r="I39" s="12"/>
      <c r="J39" s="12"/>
      <c r="K39" s="31"/>
      <c r="L39" s="15"/>
      <c r="M39" s="15"/>
    </row>
    <row r="40" spans="1:14" x14ac:dyDescent="0.25">
      <c r="A40" s="8">
        <v>1923</v>
      </c>
      <c r="B40" s="45">
        <f t="shared" si="1"/>
        <v>2.1387910284330274</v>
      </c>
      <c r="E40" s="48">
        <f t="shared" ref="E40:E42" si="4">E39*(E$43/E$38)^(1/5)</f>
        <v>18.661842886006681</v>
      </c>
      <c r="F40" s="55">
        <f t="shared" si="0"/>
        <v>-3.5060069369212798E-2</v>
      </c>
      <c r="G40" s="49" t="s">
        <v>84</v>
      </c>
      <c r="H40" s="47"/>
      <c r="I40" s="12"/>
      <c r="J40" s="12"/>
      <c r="K40" s="31"/>
      <c r="L40" s="15"/>
      <c r="M40" s="15"/>
    </row>
    <row r="41" spans="1:14" x14ac:dyDescent="0.25">
      <c r="A41" s="8">
        <v>1924</v>
      </c>
      <c r="B41" s="45">
        <f t="shared" si="1"/>
        <v>2.0638048666099156</v>
      </c>
      <c r="E41" s="48">
        <f t="shared" si="4"/>
        <v>18.007557379865936</v>
      </c>
      <c r="F41" s="55">
        <f t="shared" si="0"/>
        <v>-3.5060069369212798E-2</v>
      </c>
      <c r="G41" s="49" t="s">
        <v>84</v>
      </c>
      <c r="H41" s="47"/>
      <c r="I41" s="12"/>
      <c r="J41" s="12"/>
      <c r="K41" s="31"/>
      <c r="L41" s="15"/>
      <c r="M41" s="15"/>
    </row>
    <row r="42" spans="1:14" x14ac:dyDescent="0.25">
      <c r="A42" s="8">
        <v>1925</v>
      </c>
      <c r="B42" s="45">
        <f t="shared" si="1"/>
        <v>1.9914477248220528</v>
      </c>
      <c r="E42" s="48">
        <f t="shared" si="4"/>
        <v>17.376211168957756</v>
      </c>
      <c r="F42" s="55">
        <f t="shared" si="0"/>
        <v>-3.5060069369212798E-2</v>
      </c>
      <c r="G42" s="49" t="s">
        <v>84</v>
      </c>
      <c r="H42" s="47"/>
      <c r="I42" s="12"/>
      <c r="J42" s="12"/>
      <c r="K42" s="31"/>
      <c r="L42" s="15"/>
      <c r="M42" s="15"/>
    </row>
    <row r="43" spans="1:14" x14ac:dyDescent="0.25">
      <c r="A43" s="8">
        <v>1926</v>
      </c>
      <c r="B43" s="45">
        <f t="shared" si="1"/>
        <v>1.9216274294446303</v>
      </c>
      <c r="E43" s="29">
        <v>16.767000000000003</v>
      </c>
      <c r="F43" s="55">
        <f t="shared" si="0"/>
        <v>-3.5060069369213021E-2</v>
      </c>
      <c r="G43" s="4" t="s">
        <v>65</v>
      </c>
      <c r="H43" s="32" t="s">
        <v>76</v>
      </c>
      <c r="I43" s="12"/>
      <c r="J43" s="12"/>
      <c r="K43" s="32"/>
      <c r="L43" s="15"/>
      <c r="M43" s="15"/>
    </row>
    <row r="44" spans="1:14" x14ac:dyDescent="0.25">
      <c r="A44" s="8">
        <v>1927</v>
      </c>
      <c r="B44" s="45">
        <f t="shared" si="1"/>
        <v>1.5478848192540948</v>
      </c>
      <c r="E44" s="29">
        <v>13.505940000000001</v>
      </c>
      <c r="F44" s="55">
        <f t="shared" si="0"/>
        <v>-0.19449275362318852</v>
      </c>
      <c r="G44" s="4" t="s">
        <v>65</v>
      </c>
      <c r="H44" s="32" t="s">
        <v>76</v>
      </c>
      <c r="I44" s="12"/>
      <c r="J44" s="12"/>
      <c r="K44" s="32"/>
      <c r="L44" s="15"/>
      <c r="M44" s="15"/>
    </row>
    <row r="45" spans="1:14" x14ac:dyDescent="0.25">
      <c r="A45" s="8">
        <v>1928</v>
      </c>
      <c r="B45" s="45">
        <f t="shared" si="1"/>
        <v>1.6791627906976743</v>
      </c>
      <c r="E45" s="29">
        <v>14.651395000000001</v>
      </c>
      <c r="F45" s="55">
        <f t="shared" si="0"/>
        <v>8.481120158981903E-2</v>
      </c>
      <c r="G45" s="4" t="s">
        <v>65</v>
      </c>
      <c r="H45" s="32" t="s">
        <v>76</v>
      </c>
      <c r="I45" s="12"/>
      <c r="J45" s="12"/>
      <c r="K45" s="32"/>
      <c r="L45" s="15"/>
      <c r="M45" s="15"/>
    </row>
    <row r="46" spans="1:14" x14ac:dyDescent="0.25">
      <c r="A46" s="8">
        <v>1929</v>
      </c>
      <c r="B46" s="45">
        <f t="shared" si="1"/>
        <v>2.2466331120767871</v>
      </c>
      <c r="E46" s="29">
        <v>19.602810000000002</v>
      </c>
      <c r="F46" s="55">
        <f t="shared" si="0"/>
        <v>0.33794836600883404</v>
      </c>
      <c r="G46" s="4" t="s">
        <v>65</v>
      </c>
      <c r="H46" s="32" t="s">
        <v>76</v>
      </c>
      <c r="I46" s="12">
        <v>100.81994244174275</v>
      </c>
      <c r="J46" s="12"/>
      <c r="K46" s="32" t="s">
        <v>43</v>
      </c>
      <c r="L46" s="17">
        <v>750</v>
      </c>
      <c r="M46" s="17"/>
      <c r="N46" s="2" t="s">
        <v>69</v>
      </c>
    </row>
    <row r="47" spans="1:14" x14ac:dyDescent="0.25">
      <c r="A47" s="8">
        <v>1930</v>
      </c>
      <c r="B47" s="45">
        <f t="shared" si="1"/>
        <v>1.7592638364930042</v>
      </c>
      <c r="E47" s="29">
        <v>15.350310000000002</v>
      </c>
      <c r="F47" s="55">
        <f t="shared" si="0"/>
        <v>-0.21693318457914956</v>
      </c>
      <c r="G47" s="4" t="s">
        <v>65</v>
      </c>
      <c r="H47" s="32" t="s">
        <v>76</v>
      </c>
      <c r="I47" s="12">
        <v>78.789398208460838</v>
      </c>
      <c r="J47" s="56">
        <f>I47/I46-1</f>
        <v>-0.21851375531197037</v>
      </c>
      <c r="K47" s="32" t="s">
        <v>43</v>
      </c>
      <c r="L47" s="17">
        <v>500</v>
      </c>
      <c r="M47" s="57">
        <f>(L47/L46)-1</f>
        <v>-0.33333333333333337</v>
      </c>
      <c r="N47" s="2" t="s">
        <v>69</v>
      </c>
    </row>
    <row r="48" spans="1:14" x14ac:dyDescent="0.25">
      <c r="A48" s="8">
        <v>1931</v>
      </c>
      <c r="B48" s="45">
        <f t="shared" si="1"/>
        <v>1.12310854304952</v>
      </c>
      <c r="E48" s="29">
        <v>9.7995900000000002</v>
      </c>
      <c r="F48" s="55">
        <f t="shared" si="0"/>
        <v>-0.36160312071873479</v>
      </c>
      <c r="G48" s="4" t="s">
        <v>65</v>
      </c>
      <c r="H48" s="32" t="s">
        <v>76</v>
      </c>
      <c r="I48" s="12">
        <v>59.216798928677711</v>
      </c>
      <c r="J48" s="56">
        <f>I48/I47-1</f>
        <v>-0.24841666169346766</v>
      </c>
      <c r="K48" s="32" t="s">
        <v>43</v>
      </c>
      <c r="L48" s="17"/>
      <c r="M48" s="17"/>
    </row>
    <row r="49" spans="1:15" x14ac:dyDescent="0.25">
      <c r="A49" s="8">
        <v>1932</v>
      </c>
      <c r="B49" s="45">
        <f t="shared" si="1"/>
        <v>0.70558693472135992</v>
      </c>
      <c r="E49" s="29">
        <v>6.1565399999999997</v>
      </c>
      <c r="F49" s="55">
        <f t="shared" si="0"/>
        <v>-0.37175534894827234</v>
      </c>
      <c r="G49" s="4" t="s">
        <v>65</v>
      </c>
      <c r="H49" s="32" t="s">
        <v>76</v>
      </c>
      <c r="I49" s="12">
        <v>42.714106158226357</v>
      </c>
      <c r="J49" s="56">
        <f t="shared" ref="J49:J112" si="5">I49/I48-1</f>
        <v>-0.27868262163795166</v>
      </c>
      <c r="K49" s="32" t="s">
        <v>43</v>
      </c>
      <c r="L49" s="17"/>
      <c r="M49" s="17"/>
    </row>
    <row r="50" spans="1:15" x14ac:dyDescent="0.25">
      <c r="A50" s="8">
        <v>1933</v>
      </c>
      <c r="B50" s="46">
        <f t="shared" ref="B50:B81" si="6">B49*I50/I49</f>
        <v>0.77179157723128566</v>
      </c>
      <c r="E50" s="29"/>
      <c r="F50" s="53"/>
      <c r="G50" s="3"/>
      <c r="H50" s="31"/>
      <c r="I50" s="12">
        <v>46.721935653330505</v>
      </c>
      <c r="J50" s="56">
        <f t="shared" si="5"/>
        <v>9.3829178591678719E-2</v>
      </c>
      <c r="K50" s="32" t="s">
        <v>43</v>
      </c>
      <c r="L50" s="17"/>
      <c r="M50" s="17"/>
    </row>
    <row r="51" spans="1:15" x14ac:dyDescent="0.25">
      <c r="A51" s="8">
        <v>1934</v>
      </c>
      <c r="B51" s="46">
        <f t="shared" si="6"/>
        <v>0.78285653237871955</v>
      </c>
      <c r="E51" s="29"/>
      <c r="F51" s="53"/>
      <c r="G51" s="3"/>
      <c r="H51" s="31"/>
      <c r="I51" s="12">
        <v>47.391774684562215</v>
      </c>
      <c r="J51" s="56">
        <f t="shared" si="5"/>
        <v>1.4336714048018395E-2</v>
      </c>
      <c r="K51" s="32" t="s">
        <v>43</v>
      </c>
      <c r="L51" s="17">
        <v>650</v>
      </c>
      <c r="M51" s="17"/>
      <c r="N51" s="2" t="s">
        <v>69</v>
      </c>
    </row>
    <row r="52" spans="1:15" x14ac:dyDescent="0.25">
      <c r="A52" s="8">
        <v>1935</v>
      </c>
      <c r="B52" s="46">
        <f t="shared" si="6"/>
        <v>0.77638002762636005</v>
      </c>
      <c r="E52" s="29"/>
      <c r="F52" s="53"/>
      <c r="G52" s="3"/>
      <c r="H52" s="31"/>
      <c r="I52" s="12">
        <v>46.999706609158032</v>
      </c>
      <c r="J52" s="56">
        <f t="shared" si="5"/>
        <v>-8.2729139816724029E-3</v>
      </c>
      <c r="K52" s="32" t="s">
        <v>43</v>
      </c>
      <c r="L52" s="17"/>
      <c r="M52" s="17"/>
    </row>
    <row r="53" spans="1:15" x14ac:dyDescent="0.25">
      <c r="A53" s="8">
        <v>1936</v>
      </c>
      <c r="B53" s="46">
        <f t="shared" si="6"/>
        <v>0.84177783238235859</v>
      </c>
      <c r="E53" s="29"/>
      <c r="F53" s="53"/>
      <c r="G53" s="3"/>
      <c r="H53" s="31"/>
      <c r="I53" s="12">
        <v>50.958692578712323</v>
      </c>
      <c r="J53" s="56">
        <f t="shared" si="5"/>
        <v>8.4234269853566968E-2</v>
      </c>
      <c r="K53" s="32" t="s">
        <v>43</v>
      </c>
      <c r="L53" s="15"/>
      <c r="M53" s="15"/>
    </row>
    <row r="54" spans="1:15" x14ac:dyDescent="0.25">
      <c r="A54" s="8">
        <v>1937</v>
      </c>
      <c r="B54" s="46">
        <f t="shared" si="6"/>
        <v>0.84559623517660609</v>
      </c>
      <c r="E54" s="28"/>
      <c r="F54" s="52"/>
      <c r="G54" s="3"/>
      <c r="H54" s="31"/>
      <c r="I54" s="50">
        <f>I53*(I55/I53)^(1/2)</f>
        <v>51.18984717396112</v>
      </c>
      <c r="J54" s="56">
        <f t="shared" si="5"/>
        <v>4.5361170695608077E-3</v>
      </c>
      <c r="K54" s="49" t="s">
        <v>84</v>
      </c>
      <c r="L54" s="15"/>
      <c r="M54" s="15"/>
    </row>
    <row r="55" spans="1:15" x14ac:dyDescent="0.25">
      <c r="A55" s="8">
        <v>1938</v>
      </c>
      <c r="B55" s="46">
        <f t="shared" si="6"/>
        <v>0.84943195869294741</v>
      </c>
      <c r="E55" s="28"/>
      <c r="F55" s="52"/>
      <c r="G55" s="3"/>
      <c r="H55" s="31"/>
      <c r="I55" s="12">
        <v>51.42205031351515</v>
      </c>
      <c r="J55" s="56">
        <f t="shared" si="5"/>
        <v>4.5361170695610298E-3</v>
      </c>
      <c r="K55" s="32" t="s">
        <v>43</v>
      </c>
      <c r="L55" s="15"/>
      <c r="M55" s="15"/>
    </row>
    <row r="56" spans="1:15" x14ac:dyDescent="0.25">
      <c r="A56" s="8">
        <v>1939</v>
      </c>
      <c r="B56" s="46">
        <f t="shared" si="6"/>
        <v>0.92778342996928531</v>
      </c>
      <c r="E56" s="30"/>
      <c r="F56" s="54"/>
      <c r="G56" s="4"/>
      <c r="H56" s="32"/>
      <c r="I56" s="14">
        <v>56.165212207623007</v>
      </c>
      <c r="J56" s="56">
        <f t="shared" si="5"/>
        <v>9.2239843903330732E-2</v>
      </c>
      <c r="K56" s="32" t="s">
        <v>43</v>
      </c>
      <c r="L56" s="18">
        <f>(325+600)/2</f>
        <v>462.5</v>
      </c>
      <c r="M56" s="18"/>
      <c r="N56" s="2" t="s">
        <v>42</v>
      </c>
      <c r="O56" s="2" t="s">
        <v>64</v>
      </c>
    </row>
    <row r="57" spans="1:15" x14ac:dyDescent="0.25">
      <c r="A57" s="8">
        <v>1940</v>
      </c>
      <c r="B57" s="46">
        <f t="shared" si="6"/>
        <v>1.1305610529427035</v>
      </c>
      <c r="E57" s="30"/>
      <c r="F57" s="54"/>
      <c r="G57" s="4"/>
      <c r="H57" s="32"/>
      <c r="I57" s="14">
        <v>68.440758264353548</v>
      </c>
      <c r="J57" s="56">
        <f t="shared" si="5"/>
        <v>0.21856137588071722</v>
      </c>
      <c r="K57" s="32" t="s">
        <v>43</v>
      </c>
      <c r="L57" s="18">
        <f>(325+600)/2</f>
        <v>462.5</v>
      </c>
      <c r="M57" s="57">
        <f>(L57/L56)-1</f>
        <v>0</v>
      </c>
      <c r="N57" s="2" t="s">
        <v>42</v>
      </c>
      <c r="O57" s="2" t="s">
        <v>63</v>
      </c>
    </row>
    <row r="58" spans="1:15" x14ac:dyDescent="0.25">
      <c r="A58" s="8">
        <v>1941</v>
      </c>
      <c r="B58" s="46">
        <f t="shared" si="6"/>
        <v>1.2272979732936211</v>
      </c>
      <c r="E58" s="30"/>
      <c r="F58" s="54"/>
      <c r="G58" s="4"/>
      <c r="H58" s="32"/>
      <c r="I58" s="14">
        <v>74.296919825679439</v>
      </c>
      <c r="J58" s="56">
        <f t="shared" si="5"/>
        <v>8.5565410288214183E-2</v>
      </c>
      <c r="K58" s="32" t="s">
        <v>43</v>
      </c>
      <c r="L58" s="18">
        <f>(318.2+636.4)/2</f>
        <v>477.29999999999995</v>
      </c>
      <c r="M58" s="57">
        <f>(L58/L57)-1</f>
        <v>3.1999999999999806E-2</v>
      </c>
      <c r="N58" s="2" t="s">
        <v>42</v>
      </c>
      <c r="O58" s="2" t="s">
        <v>62</v>
      </c>
    </row>
    <row r="59" spans="1:15" x14ac:dyDescent="0.25">
      <c r="A59" s="8">
        <v>1942</v>
      </c>
      <c r="B59" s="46">
        <f t="shared" si="6"/>
        <v>1.9170077456853838</v>
      </c>
      <c r="E59" s="30"/>
      <c r="F59" s="54"/>
      <c r="G59" s="4"/>
      <c r="H59" s="32"/>
      <c r="I59" s="14">
        <v>116.04987043543234</v>
      </c>
      <c r="J59" s="56">
        <f t="shared" si="5"/>
        <v>0.5619741801910032</v>
      </c>
      <c r="K59" s="32" t="s">
        <v>43</v>
      </c>
      <c r="L59" s="18"/>
      <c r="M59" s="18"/>
    </row>
    <row r="60" spans="1:15" x14ac:dyDescent="0.25">
      <c r="A60" s="8">
        <v>1943</v>
      </c>
      <c r="B60" s="46">
        <f t="shared" si="6"/>
        <v>2.682384421650152</v>
      </c>
      <c r="E60" s="30"/>
      <c r="F60" s="54"/>
      <c r="G60" s="4"/>
      <c r="H60" s="32"/>
      <c r="I60" s="14">
        <v>162.38346730269848</v>
      </c>
      <c r="J60" s="56">
        <f t="shared" si="5"/>
        <v>0.39925591207829192</v>
      </c>
      <c r="K60" s="32" t="s">
        <v>43</v>
      </c>
      <c r="L60" s="18">
        <f>(363.6+727.3)/2</f>
        <v>545.45000000000005</v>
      </c>
      <c r="M60" s="18"/>
      <c r="N60" s="2" t="s">
        <v>42</v>
      </c>
      <c r="O60" s="2" t="s">
        <v>60</v>
      </c>
    </row>
    <row r="61" spans="1:15" x14ac:dyDescent="0.25">
      <c r="A61" s="8">
        <v>1944</v>
      </c>
      <c r="B61" s="46">
        <f t="shared" si="6"/>
        <v>2.8586695000725948</v>
      </c>
      <c r="E61" s="30"/>
      <c r="F61" s="54"/>
      <c r="G61" s="4"/>
      <c r="H61" s="32"/>
      <c r="I61" s="14">
        <v>173.05523456950743</v>
      </c>
      <c r="J61" s="56">
        <f t="shared" si="5"/>
        <v>6.5719543030299699E-2</v>
      </c>
      <c r="K61" s="32" t="s">
        <v>43</v>
      </c>
      <c r="L61" s="18">
        <f>(540+835)/2</f>
        <v>687.5</v>
      </c>
      <c r="M61" s="57">
        <f>(L61/L60)-1</f>
        <v>0.26042717022641848</v>
      </c>
      <c r="N61" s="2" t="s">
        <v>42</v>
      </c>
      <c r="O61" s="2" t="s">
        <v>61</v>
      </c>
    </row>
    <row r="62" spans="1:15" x14ac:dyDescent="0.25">
      <c r="A62" s="8">
        <v>1945</v>
      </c>
      <c r="B62" s="46">
        <f t="shared" si="6"/>
        <v>2.8105693799543867</v>
      </c>
      <c r="E62" s="30"/>
      <c r="F62" s="54"/>
      <c r="G62" s="4"/>
      <c r="H62" s="32"/>
      <c r="I62" s="14">
        <v>170.14339828704576</v>
      </c>
      <c r="J62" s="56">
        <f t="shared" si="5"/>
        <v>-1.6826051460998359E-2</v>
      </c>
      <c r="K62" s="32" t="s">
        <v>43</v>
      </c>
      <c r="L62" s="18">
        <f>(450+975)/2</f>
        <v>712.5</v>
      </c>
      <c r="M62" s="57">
        <f t="shared" ref="M62:M125" si="7">(L62/L61)-1</f>
        <v>3.6363636363636376E-2</v>
      </c>
      <c r="N62" s="2" t="s">
        <v>42</v>
      </c>
      <c r="O62" s="2" t="s">
        <v>59</v>
      </c>
    </row>
    <row r="63" spans="1:15" x14ac:dyDescent="0.25">
      <c r="A63" s="8">
        <v>1946</v>
      </c>
      <c r="B63" s="46">
        <f t="shared" si="6"/>
        <v>3.222914205214594</v>
      </c>
      <c r="E63" s="30"/>
      <c r="F63" s="54"/>
      <c r="G63" s="4"/>
      <c r="H63" s="32"/>
      <c r="I63" s="14">
        <v>195.10551106612553</v>
      </c>
      <c r="J63" s="56">
        <f t="shared" si="5"/>
        <v>0.14671220294405218</v>
      </c>
      <c r="K63" s="32" t="s">
        <v>43</v>
      </c>
      <c r="L63" s="18">
        <f>(665+1250)/2</f>
        <v>957.5</v>
      </c>
      <c r="M63" s="57">
        <f t="shared" si="7"/>
        <v>0.34385964912280698</v>
      </c>
      <c r="N63" s="2" t="s">
        <v>42</v>
      </c>
      <c r="O63" s="2" t="s">
        <v>58</v>
      </c>
    </row>
    <row r="64" spans="1:15" x14ac:dyDescent="0.25">
      <c r="A64" s="8">
        <v>1947</v>
      </c>
      <c r="B64" s="46">
        <f t="shared" si="6"/>
        <v>2.5395678904165884</v>
      </c>
      <c r="E64" s="30"/>
      <c r="F64" s="54"/>
      <c r="G64" s="4"/>
      <c r="H64" s="32"/>
      <c r="I64" s="14">
        <v>153.73778499755613</v>
      </c>
      <c r="J64" s="56">
        <f t="shared" si="5"/>
        <v>-0.21202746064179068</v>
      </c>
      <c r="K64" s="32" t="s">
        <v>43</v>
      </c>
      <c r="L64" s="18">
        <f>(705+1250)/2</f>
        <v>977.5</v>
      </c>
      <c r="M64" s="57">
        <f t="shared" si="7"/>
        <v>2.088772845953013E-2</v>
      </c>
      <c r="N64" s="2" t="s">
        <v>42</v>
      </c>
      <c r="O64" s="2" t="s">
        <v>57</v>
      </c>
    </row>
    <row r="65" spans="1:15" x14ac:dyDescent="0.25">
      <c r="A65" s="8">
        <v>1948</v>
      </c>
      <c r="B65" s="46">
        <f t="shared" si="6"/>
        <v>2.3865063688291195</v>
      </c>
      <c r="E65" s="30"/>
      <c r="F65" s="54"/>
      <c r="G65" s="4"/>
      <c r="H65" s="32"/>
      <c r="I65" s="14">
        <v>144.47190185814023</v>
      </c>
      <c r="J65" s="56">
        <f t="shared" si="5"/>
        <v>-6.0270694933995506E-2</v>
      </c>
      <c r="K65" s="32" t="s">
        <v>43</v>
      </c>
      <c r="L65" s="18">
        <f>(600+1185)/2</f>
        <v>892.5</v>
      </c>
      <c r="M65" s="57">
        <f t="shared" si="7"/>
        <v>-8.6956521739130488E-2</v>
      </c>
      <c r="N65" s="2" t="s">
        <v>42</v>
      </c>
      <c r="O65" s="2" t="s">
        <v>55</v>
      </c>
    </row>
    <row r="66" spans="1:15" x14ac:dyDescent="0.25">
      <c r="A66" s="8">
        <v>1949</v>
      </c>
      <c r="B66" s="46">
        <f t="shared" si="6"/>
        <v>2.0398325751555562</v>
      </c>
      <c r="E66" s="30"/>
      <c r="F66" s="54"/>
      <c r="G66" s="4"/>
      <c r="H66" s="32"/>
      <c r="I66" s="14">
        <v>123.48531537734696</v>
      </c>
      <c r="J66" s="56">
        <f t="shared" si="5"/>
        <v>-0.14526413933001592</v>
      </c>
      <c r="K66" s="32" t="s">
        <v>43</v>
      </c>
      <c r="L66" s="18">
        <f>(625+1250)/2</f>
        <v>937.5</v>
      </c>
      <c r="M66" s="57">
        <f t="shared" si="7"/>
        <v>5.0420168067226934E-2</v>
      </c>
      <c r="N66" s="2" t="s">
        <v>42</v>
      </c>
      <c r="O66" s="2" t="s">
        <v>56</v>
      </c>
    </row>
    <row r="67" spans="1:15" x14ac:dyDescent="0.25">
      <c r="A67" s="8">
        <v>1950</v>
      </c>
      <c r="B67" s="46">
        <f t="shared" si="6"/>
        <v>1.9622887031695107</v>
      </c>
      <c r="E67" s="30"/>
      <c r="F67" s="54"/>
      <c r="G67" s="4"/>
      <c r="H67" s="32"/>
      <c r="I67" s="14">
        <v>118.79104310990499</v>
      </c>
      <c r="J67" s="56">
        <f t="shared" si="5"/>
        <v>-3.8014821868472382E-2</v>
      </c>
      <c r="K67" s="32" t="s">
        <v>43</v>
      </c>
      <c r="L67" s="18">
        <f>(520+1165)/2</f>
        <v>842.5</v>
      </c>
      <c r="M67" s="57">
        <f t="shared" si="7"/>
        <v>-0.10133333333333339</v>
      </c>
      <c r="N67" s="2" t="s">
        <v>42</v>
      </c>
      <c r="O67" s="2" t="s">
        <v>53</v>
      </c>
    </row>
    <row r="68" spans="1:15" x14ac:dyDescent="0.25">
      <c r="A68" s="8">
        <v>1951</v>
      </c>
      <c r="B68" s="46">
        <f t="shared" si="6"/>
        <v>2.1265091210976443</v>
      </c>
      <c r="E68" s="30"/>
      <c r="F68" s="54"/>
      <c r="G68" s="4"/>
      <c r="H68" s="32"/>
      <c r="I68" s="14">
        <v>128.73245219722131</v>
      </c>
      <c r="J68" s="56">
        <f t="shared" si="5"/>
        <v>8.3688204321251458E-2</v>
      </c>
      <c r="K68" s="32" t="s">
        <v>43</v>
      </c>
      <c r="L68" s="18">
        <f>(585+1150)/2</f>
        <v>867.5</v>
      </c>
      <c r="M68" s="57">
        <f t="shared" si="7"/>
        <v>2.9673590504450953E-2</v>
      </c>
      <c r="N68" s="2" t="s">
        <v>42</v>
      </c>
      <c r="O68" s="2" t="s">
        <v>54</v>
      </c>
    </row>
    <row r="69" spans="1:15" x14ac:dyDescent="0.25">
      <c r="A69" s="8">
        <v>1952</v>
      </c>
      <c r="B69" s="46">
        <f t="shared" si="6"/>
        <v>1.9463293180841557</v>
      </c>
      <c r="E69" s="30"/>
      <c r="F69" s="54"/>
      <c r="G69" s="4"/>
      <c r="H69" s="32"/>
      <c r="I69" s="14">
        <v>117.82491004364422</v>
      </c>
      <c r="J69" s="56">
        <f t="shared" si="5"/>
        <v>-8.4730322210179398E-2</v>
      </c>
      <c r="K69" s="32" t="s">
        <v>43</v>
      </c>
      <c r="L69" s="18">
        <f>(540+1200)/2</f>
        <v>870</v>
      </c>
      <c r="M69" s="57">
        <f t="shared" si="7"/>
        <v>2.8818443804035088E-3</v>
      </c>
      <c r="N69" s="2" t="s">
        <v>42</v>
      </c>
      <c r="O69" s="2" t="s">
        <v>52</v>
      </c>
    </row>
    <row r="70" spans="1:15" x14ac:dyDescent="0.25">
      <c r="A70" s="8">
        <v>1953</v>
      </c>
      <c r="B70" s="46">
        <f t="shared" si="6"/>
        <v>1.8796429739359313</v>
      </c>
      <c r="E70" s="30"/>
      <c r="F70" s="54"/>
      <c r="G70" s="4"/>
      <c r="H70" s="32"/>
      <c r="I70" s="14">
        <v>113.78791978336376</v>
      </c>
      <c r="J70" s="56">
        <f t="shared" si="5"/>
        <v>-3.4262621196019527E-2</v>
      </c>
      <c r="K70" s="32" t="s">
        <v>43</v>
      </c>
      <c r="L70" s="18">
        <f>(520+1130)/2</f>
        <v>825</v>
      </c>
      <c r="M70" s="57">
        <f t="shared" si="7"/>
        <v>-5.1724137931034475E-2</v>
      </c>
      <c r="N70" s="2" t="s">
        <v>42</v>
      </c>
      <c r="O70" s="2" t="s">
        <v>51</v>
      </c>
    </row>
    <row r="71" spans="1:15" x14ac:dyDescent="0.25">
      <c r="A71" s="8">
        <v>1954</v>
      </c>
      <c r="B71" s="46">
        <f t="shared" si="6"/>
        <v>1.7430112997000111</v>
      </c>
      <c r="E71" s="30"/>
      <c r="F71" s="54"/>
      <c r="G71" s="4"/>
      <c r="H71" s="32"/>
      <c r="I71" s="14">
        <v>105.51665007767683</v>
      </c>
      <c r="J71" s="56">
        <f t="shared" si="5"/>
        <v>-7.2690226883787568E-2</v>
      </c>
      <c r="K71" s="32" t="s">
        <v>43</v>
      </c>
      <c r="L71" s="18">
        <f>(600+1225)/2</f>
        <v>912.5</v>
      </c>
      <c r="M71" s="57">
        <f t="shared" si="7"/>
        <v>0.10606060606060597</v>
      </c>
      <c r="N71" s="2" t="s">
        <v>42</v>
      </c>
      <c r="O71" s="2" t="s">
        <v>50</v>
      </c>
    </row>
    <row r="72" spans="1:15" x14ac:dyDescent="0.25">
      <c r="A72" s="8">
        <v>1955</v>
      </c>
      <c r="B72" s="46">
        <f t="shared" si="6"/>
        <v>1.7463399834775299</v>
      </c>
      <c r="E72" s="30"/>
      <c r="F72" s="54"/>
      <c r="G72" s="4"/>
      <c r="H72" s="32"/>
      <c r="I72" s="14">
        <v>105.71815855982618</v>
      </c>
      <c r="J72" s="56">
        <f t="shared" si="5"/>
        <v>1.9097316110869844E-3</v>
      </c>
      <c r="K72" s="32" t="s">
        <v>43</v>
      </c>
      <c r="L72" s="18">
        <f>(540+1170)/2</f>
        <v>855</v>
      </c>
      <c r="M72" s="57">
        <f t="shared" si="7"/>
        <v>-6.3013698630136949E-2</v>
      </c>
      <c r="N72" s="2" t="s">
        <v>42</v>
      </c>
      <c r="O72" s="2" t="s">
        <v>49</v>
      </c>
    </row>
    <row r="73" spans="1:15" x14ac:dyDescent="0.25">
      <c r="A73" s="8">
        <v>1956</v>
      </c>
      <c r="B73" s="46">
        <f t="shared" si="6"/>
        <v>1.8063515776551826</v>
      </c>
      <c r="E73" s="30"/>
      <c r="F73" s="54"/>
      <c r="G73" s="4"/>
      <c r="H73" s="32"/>
      <c r="I73" s="14">
        <v>109.35107957676782</v>
      </c>
      <c r="J73" s="56">
        <f t="shared" si="5"/>
        <v>3.4364210145466645E-2</v>
      </c>
      <c r="K73" s="32" t="s">
        <v>43</v>
      </c>
      <c r="L73" s="18">
        <f>(570+1180)/2</f>
        <v>875</v>
      </c>
      <c r="M73" s="57">
        <f t="shared" si="7"/>
        <v>2.3391812865497075E-2</v>
      </c>
      <c r="N73" s="2" t="s">
        <v>42</v>
      </c>
      <c r="O73" s="2" t="s">
        <v>48</v>
      </c>
    </row>
    <row r="74" spans="1:15" x14ac:dyDescent="0.25">
      <c r="A74" s="8">
        <v>1957</v>
      </c>
      <c r="B74" s="46">
        <f t="shared" si="6"/>
        <v>1.7721865025118839</v>
      </c>
      <c r="E74" s="30"/>
      <c r="F74" s="54"/>
      <c r="G74" s="4"/>
      <c r="H74" s="32"/>
      <c r="I74" s="14">
        <v>107.28282891230371</v>
      </c>
      <c r="J74" s="56">
        <f t="shared" si="5"/>
        <v>-1.8913856840454213E-2</v>
      </c>
      <c r="K74" s="32" t="s">
        <v>43</v>
      </c>
      <c r="L74" s="18">
        <f>(500+1210)/2</f>
        <v>855</v>
      </c>
      <c r="M74" s="57">
        <f t="shared" si="7"/>
        <v>-2.2857142857142909E-2</v>
      </c>
      <c r="N74" s="2" t="s">
        <v>42</v>
      </c>
      <c r="O74" s="2" t="s">
        <v>47</v>
      </c>
    </row>
    <row r="75" spans="1:15" x14ac:dyDescent="0.25">
      <c r="A75" s="8">
        <v>1958</v>
      </c>
      <c r="B75" s="46">
        <f t="shared" si="6"/>
        <v>1.5650327622751834</v>
      </c>
      <c r="E75" s="30"/>
      <c r="F75" s="54"/>
      <c r="G75" s="4"/>
      <c r="H75" s="32"/>
      <c r="I75" s="14">
        <v>94.74236590750283</v>
      </c>
      <c r="J75" s="56">
        <f t="shared" si="5"/>
        <v>-0.11689161380197988</v>
      </c>
      <c r="K75" s="32" t="s">
        <v>43</v>
      </c>
      <c r="L75" s="18">
        <f>(540+2000)/2</f>
        <v>1270</v>
      </c>
      <c r="M75" s="57">
        <f t="shared" si="7"/>
        <v>0.48538011695906436</v>
      </c>
      <c r="N75" s="2" t="s">
        <v>42</v>
      </c>
      <c r="O75" s="2" t="s">
        <v>46</v>
      </c>
    </row>
    <row r="76" spans="1:15" x14ac:dyDescent="0.25">
      <c r="A76" s="8">
        <v>1959</v>
      </c>
      <c r="B76" s="46">
        <f t="shared" si="6"/>
        <v>1.5361974353926382</v>
      </c>
      <c r="E76" s="30"/>
      <c r="F76" s="54"/>
      <c r="G76" s="4"/>
      <c r="H76" s="32"/>
      <c r="I76" s="14">
        <v>92.996762137140237</v>
      </c>
      <c r="J76" s="56">
        <f t="shared" si="5"/>
        <v>-1.8424743288201539E-2</v>
      </c>
      <c r="K76" s="32" t="s">
        <v>43</v>
      </c>
      <c r="L76" s="18">
        <f>(500+1545)/2</f>
        <v>1022.5</v>
      </c>
      <c r="M76" s="57">
        <f t="shared" si="7"/>
        <v>-0.19488188976377951</v>
      </c>
      <c r="N76" s="2" t="s">
        <v>42</v>
      </c>
      <c r="O76" s="2" t="s">
        <v>45</v>
      </c>
    </row>
    <row r="77" spans="1:15" x14ac:dyDescent="0.25">
      <c r="A77" s="8">
        <v>1960</v>
      </c>
      <c r="B77" s="46">
        <f t="shared" si="6"/>
        <v>1.6074415465712837</v>
      </c>
      <c r="E77" s="30"/>
      <c r="F77" s="54"/>
      <c r="G77" s="4"/>
      <c r="H77" s="32"/>
      <c r="I77" s="14">
        <v>97.309665874841798</v>
      </c>
      <c r="J77" s="56">
        <f t="shared" si="5"/>
        <v>4.6376923653980828E-2</v>
      </c>
      <c r="K77" s="32" t="s">
        <v>43</v>
      </c>
      <c r="L77" s="18">
        <f>(450+1591)/2</f>
        <v>1020.5</v>
      </c>
      <c r="M77" s="57">
        <f t="shared" si="7"/>
        <v>-1.9559902200488866E-3</v>
      </c>
      <c r="N77" s="2" t="s">
        <v>42</v>
      </c>
      <c r="O77" s="2" t="s">
        <v>44</v>
      </c>
    </row>
    <row r="78" spans="1:15" x14ac:dyDescent="0.25">
      <c r="A78" s="8">
        <v>1961</v>
      </c>
      <c r="B78" s="46">
        <f t="shared" si="6"/>
        <v>1.5473543524551385</v>
      </c>
      <c r="E78" s="30"/>
      <c r="F78" s="54"/>
      <c r="G78" s="4"/>
      <c r="H78" s="32"/>
      <c r="I78" s="14">
        <v>93.67216826550677</v>
      </c>
      <c r="J78" s="56">
        <f t="shared" si="5"/>
        <v>-3.738064021320886E-2</v>
      </c>
      <c r="K78" s="32" t="s">
        <v>43</v>
      </c>
      <c r="L78" s="18">
        <f>(400+1680)/2</f>
        <v>1040</v>
      </c>
      <c r="M78" s="57">
        <f t="shared" si="7"/>
        <v>1.9108280254777066E-2</v>
      </c>
      <c r="N78" s="2" t="s">
        <v>43</v>
      </c>
      <c r="O78" s="2" t="s">
        <v>11</v>
      </c>
    </row>
    <row r="79" spans="1:15" x14ac:dyDescent="0.25">
      <c r="A79" s="8">
        <v>1962</v>
      </c>
      <c r="B79" s="46">
        <f t="shared" si="6"/>
        <v>1.4998617012208988</v>
      </c>
      <c r="E79" s="30"/>
      <c r="F79" s="54"/>
      <c r="G79" s="4"/>
      <c r="H79" s="32"/>
      <c r="I79" s="14">
        <v>90.79710631817062</v>
      </c>
      <c r="J79" s="56">
        <f t="shared" si="5"/>
        <v>-3.0692808766708657E-2</v>
      </c>
      <c r="K79" s="32" t="s">
        <v>43</v>
      </c>
      <c r="L79" s="18">
        <f>(525+1500)/2</f>
        <v>1012.5</v>
      </c>
      <c r="M79" s="57">
        <f t="shared" si="7"/>
        <v>-2.6442307692307709E-2</v>
      </c>
      <c r="N79" s="2" t="s">
        <v>43</v>
      </c>
      <c r="O79" s="2" t="s">
        <v>12</v>
      </c>
    </row>
    <row r="80" spans="1:15" x14ac:dyDescent="0.25">
      <c r="A80" s="8">
        <v>1963</v>
      </c>
      <c r="B80" s="46">
        <f t="shared" si="6"/>
        <v>1.5255103232782501</v>
      </c>
      <c r="E80" s="30"/>
      <c r="F80" s="54"/>
      <c r="G80" s="4"/>
      <c r="H80" s="32"/>
      <c r="I80" s="14">
        <v>92.349796584186635</v>
      </c>
      <c r="J80" s="56">
        <f t="shared" si="5"/>
        <v>1.7100658038319949E-2</v>
      </c>
      <c r="K80" s="32" t="s">
        <v>43</v>
      </c>
      <c r="L80" s="18">
        <f>(575+1650)/2</f>
        <v>1112.5</v>
      </c>
      <c r="M80" s="57">
        <f t="shared" si="7"/>
        <v>9.8765432098765427E-2</v>
      </c>
      <c r="N80" s="2" t="s">
        <v>43</v>
      </c>
      <c r="O80" s="2" t="s">
        <v>2</v>
      </c>
    </row>
    <row r="81" spans="1:15" x14ac:dyDescent="0.25">
      <c r="A81" s="8">
        <v>1964</v>
      </c>
      <c r="B81" s="46">
        <f t="shared" si="6"/>
        <v>1.638711868251659</v>
      </c>
      <c r="E81" s="30"/>
      <c r="F81" s="54"/>
      <c r="G81" s="4"/>
      <c r="H81" s="32"/>
      <c r="I81" s="14">
        <v>99.202676890394287</v>
      </c>
      <c r="J81" s="56">
        <f t="shared" si="5"/>
        <v>7.4205689234632111E-2</v>
      </c>
      <c r="K81" s="32" t="s">
        <v>43</v>
      </c>
      <c r="L81" s="18">
        <f>(500+1800)/2</f>
        <v>1150</v>
      </c>
      <c r="M81" s="57">
        <f t="shared" si="7"/>
        <v>3.3707865168539408E-2</v>
      </c>
      <c r="N81" s="2" t="s">
        <v>43</v>
      </c>
      <c r="O81" s="2" t="s">
        <v>3</v>
      </c>
    </row>
    <row r="82" spans="1:15" x14ac:dyDescent="0.25">
      <c r="A82" s="8">
        <v>1965</v>
      </c>
      <c r="B82" s="46">
        <f t="shared" ref="B82:B114" si="8">B81*I82/I81</f>
        <v>1.7300119881769591</v>
      </c>
      <c r="E82" s="30"/>
      <c r="F82" s="54"/>
      <c r="G82" s="4"/>
      <c r="H82" s="32"/>
      <c r="I82" s="14">
        <v>104.72971094224803</v>
      </c>
      <c r="J82" s="56">
        <f t="shared" si="5"/>
        <v>5.571456562568744E-2</v>
      </c>
      <c r="K82" s="32" t="s">
        <v>43</v>
      </c>
      <c r="L82" s="18">
        <f>(400+1900)/2</f>
        <v>1150</v>
      </c>
      <c r="M82" s="57">
        <f t="shared" si="7"/>
        <v>0</v>
      </c>
      <c r="N82" s="2" t="s">
        <v>43</v>
      </c>
      <c r="O82" s="2" t="s">
        <v>13</v>
      </c>
    </row>
    <row r="83" spans="1:15" x14ac:dyDescent="0.25">
      <c r="A83" s="8">
        <v>1966</v>
      </c>
      <c r="B83" s="46">
        <f t="shared" si="8"/>
        <v>1.8855240003302609</v>
      </c>
      <c r="E83" s="30"/>
      <c r="F83" s="54"/>
      <c r="G83" s="4"/>
      <c r="H83" s="32"/>
      <c r="I83" s="14">
        <v>114.14393939393939</v>
      </c>
      <c r="J83" s="56">
        <f t="shared" si="5"/>
        <v>8.9890713599722671E-2</v>
      </c>
      <c r="K83" s="32" t="s">
        <v>43</v>
      </c>
      <c r="L83" s="18"/>
      <c r="M83" s="57"/>
    </row>
    <row r="84" spans="1:15" x14ac:dyDescent="0.25">
      <c r="A84" s="8">
        <v>1967</v>
      </c>
      <c r="B84" s="46">
        <f t="shared" si="8"/>
        <v>1.9819186586452346</v>
      </c>
      <c r="E84" s="30"/>
      <c r="F84" s="54"/>
      <c r="G84" s="4"/>
      <c r="H84" s="32"/>
      <c r="I84" s="14">
        <v>119.97938144329896</v>
      </c>
      <c r="J84" s="56">
        <f t="shared" si="5"/>
        <v>5.112353823026905E-2</v>
      </c>
      <c r="K84" s="32" t="s">
        <v>43</v>
      </c>
      <c r="L84" s="18">
        <f>(500+2500)/2</f>
        <v>1500</v>
      </c>
      <c r="M84" s="57"/>
      <c r="N84" s="2" t="s">
        <v>43</v>
      </c>
      <c r="O84" s="2" t="s">
        <v>4</v>
      </c>
    </row>
    <row r="85" spans="1:15" x14ac:dyDescent="0.25">
      <c r="A85" s="8">
        <v>1968</v>
      </c>
      <c r="B85" s="46">
        <f t="shared" si="8"/>
        <v>2.0038580247776872</v>
      </c>
      <c r="E85" s="30"/>
      <c r="F85" s="54"/>
      <c r="G85" s="4"/>
      <c r="H85" s="32"/>
      <c r="I85" s="14">
        <v>121.30752453653217</v>
      </c>
      <c r="J85" s="56">
        <f t="shared" si="5"/>
        <v>1.1069761131089706E-2</v>
      </c>
      <c r="K85" s="32" t="s">
        <v>43</v>
      </c>
      <c r="L85" s="18">
        <f>(650+2500)/2</f>
        <v>1575</v>
      </c>
      <c r="M85" s="57">
        <f t="shared" si="7"/>
        <v>5.0000000000000044E-2</v>
      </c>
      <c r="N85" s="2" t="s">
        <v>43</v>
      </c>
      <c r="O85" s="2" t="s">
        <v>5</v>
      </c>
    </row>
    <row r="86" spans="1:15" x14ac:dyDescent="0.25">
      <c r="A86" s="8">
        <v>1969</v>
      </c>
      <c r="B86" s="46">
        <f t="shared" si="8"/>
        <v>2.039774463900891</v>
      </c>
      <c r="E86" s="30"/>
      <c r="F86" s="54"/>
      <c r="G86" s="4"/>
      <c r="H86" s="32"/>
      <c r="I86" s="14">
        <v>123.48179749715585</v>
      </c>
      <c r="J86" s="56">
        <f t="shared" si="5"/>
        <v>1.7923644629059154E-2</v>
      </c>
      <c r="K86" s="32" t="s">
        <v>43</v>
      </c>
      <c r="L86" s="18">
        <v>1600</v>
      </c>
      <c r="M86" s="57">
        <f t="shared" si="7"/>
        <v>1.5873015873015817E-2</v>
      </c>
      <c r="N86" s="2" t="s">
        <v>43</v>
      </c>
      <c r="O86" s="2" t="s">
        <v>6</v>
      </c>
    </row>
    <row r="87" spans="1:15" x14ac:dyDescent="0.25">
      <c r="A87" s="8">
        <v>1970</v>
      </c>
      <c r="B87" s="46">
        <f t="shared" si="8"/>
        <v>1.9188096534003136</v>
      </c>
      <c r="E87" s="30"/>
      <c r="F87" s="54"/>
      <c r="G87" s="4"/>
      <c r="H87" s="32"/>
      <c r="I87" s="14">
        <v>116.15895249695494</v>
      </c>
      <c r="J87" s="56">
        <f t="shared" si="5"/>
        <v>-5.9303032095638031E-2</v>
      </c>
      <c r="K87" s="32" t="s">
        <v>43</v>
      </c>
      <c r="L87" s="18">
        <v>1550</v>
      </c>
      <c r="M87" s="57">
        <f t="shared" si="7"/>
        <v>-3.125E-2</v>
      </c>
      <c r="N87" s="2" t="s">
        <v>43</v>
      </c>
      <c r="O87" s="2" t="s">
        <v>7</v>
      </c>
    </row>
    <row r="88" spans="1:15" x14ac:dyDescent="0.25">
      <c r="A88" s="8">
        <v>1971</v>
      </c>
      <c r="B88" s="46">
        <f t="shared" si="8"/>
        <v>1.7906151149334781</v>
      </c>
      <c r="E88" s="30"/>
      <c r="F88" s="54"/>
      <c r="G88" s="4"/>
      <c r="H88" s="32"/>
      <c r="I88" s="14">
        <v>108.39844155844156</v>
      </c>
      <c r="J88" s="56">
        <f t="shared" si="5"/>
        <v>-6.680940876009378E-2</v>
      </c>
      <c r="K88" s="32" t="s">
        <v>43</v>
      </c>
      <c r="L88" s="18">
        <v>1600</v>
      </c>
      <c r="M88" s="57">
        <f t="shared" si="7"/>
        <v>3.2258064516129004E-2</v>
      </c>
      <c r="N88" s="2" t="s">
        <v>43</v>
      </c>
      <c r="O88" s="2" t="s">
        <v>8</v>
      </c>
    </row>
    <row r="89" spans="1:15" x14ac:dyDescent="0.25">
      <c r="A89" s="8">
        <v>1972</v>
      </c>
      <c r="B89" s="46">
        <f t="shared" si="8"/>
        <v>1.9744110965707973</v>
      </c>
      <c r="E89" s="30"/>
      <c r="F89" s="54"/>
      <c r="G89" s="4"/>
      <c r="H89" s="32"/>
      <c r="I89" s="14">
        <v>119.52489626556017</v>
      </c>
      <c r="J89" s="56">
        <f t="shared" si="5"/>
        <v>0.10264404678843952</v>
      </c>
      <c r="K89" s="32" t="s">
        <v>43</v>
      </c>
      <c r="L89" s="18">
        <v>1675</v>
      </c>
      <c r="M89" s="57">
        <f t="shared" si="7"/>
        <v>4.6875E-2</v>
      </c>
      <c r="N89" s="2" t="s">
        <v>43</v>
      </c>
      <c r="O89" s="2" t="s">
        <v>9</v>
      </c>
    </row>
    <row r="90" spans="1:15" x14ac:dyDescent="0.25">
      <c r="A90" s="8">
        <v>1973</v>
      </c>
      <c r="B90" s="46">
        <f t="shared" si="8"/>
        <v>2.5260646410324532</v>
      </c>
      <c r="E90" s="30"/>
      <c r="F90" s="54"/>
      <c r="G90" s="4"/>
      <c r="H90" s="32"/>
      <c r="I90" s="14">
        <v>152.92033898305084</v>
      </c>
      <c r="J90" s="56">
        <f t="shared" si="5"/>
        <v>0.27940156202514288</v>
      </c>
      <c r="K90" s="32" t="s">
        <v>43</v>
      </c>
      <c r="L90" s="18">
        <v>2000</v>
      </c>
      <c r="M90" s="57">
        <f t="shared" si="7"/>
        <v>0.19402985074626855</v>
      </c>
      <c r="N90" s="2" t="s">
        <v>43</v>
      </c>
      <c r="O90" s="2" t="s">
        <v>10</v>
      </c>
    </row>
    <row r="91" spans="1:15" x14ac:dyDescent="0.25">
      <c r="A91" s="8">
        <v>1974</v>
      </c>
      <c r="B91" s="46">
        <f t="shared" si="8"/>
        <v>2.7546869044929152</v>
      </c>
      <c r="E91" s="30"/>
      <c r="F91" s="54"/>
      <c r="G91" s="4"/>
      <c r="H91" s="32"/>
      <c r="I91" s="14">
        <v>166.76044167066732</v>
      </c>
      <c r="J91" s="56">
        <f t="shared" si="5"/>
        <v>9.0505310017331864E-2</v>
      </c>
      <c r="K91" s="32" t="s">
        <v>43</v>
      </c>
      <c r="L91" s="18">
        <f>2500</f>
        <v>2500</v>
      </c>
      <c r="M91" s="57">
        <f t="shared" si="7"/>
        <v>0.25</v>
      </c>
      <c r="N91" s="2" t="s">
        <v>43</v>
      </c>
      <c r="O91" s="2" t="s">
        <v>72</v>
      </c>
    </row>
    <row r="92" spans="1:15" x14ac:dyDescent="0.25">
      <c r="A92" s="8">
        <v>1975</v>
      </c>
      <c r="B92" s="46">
        <f t="shared" si="8"/>
        <v>2.7647389537564253</v>
      </c>
      <c r="E92" s="30"/>
      <c r="F92" s="54"/>
      <c r="G92" s="4"/>
      <c r="H92" s="32"/>
      <c r="I92" s="14">
        <v>167.36896243291591</v>
      </c>
      <c r="J92" s="56">
        <f t="shared" si="5"/>
        <v>3.649071423367678E-3</v>
      </c>
      <c r="K92" s="32" t="s">
        <v>43</v>
      </c>
      <c r="L92" s="18"/>
      <c r="M92" s="57"/>
    </row>
    <row r="93" spans="1:15" x14ac:dyDescent="0.25">
      <c r="A93" s="8">
        <v>1976</v>
      </c>
      <c r="B93" s="46">
        <f t="shared" si="8"/>
        <v>2.9387244927417777</v>
      </c>
      <c r="E93" s="30"/>
      <c r="F93" s="54"/>
      <c r="G93" s="4"/>
      <c r="H93" s="32"/>
      <c r="I93" s="14">
        <v>177.90152251376742</v>
      </c>
      <c r="J93" s="56">
        <f t="shared" si="5"/>
        <v>6.2930186862293125E-2</v>
      </c>
      <c r="K93" s="32" t="s">
        <v>43</v>
      </c>
      <c r="L93" s="18"/>
      <c r="M93" s="57"/>
    </row>
    <row r="94" spans="1:15" x14ac:dyDescent="0.25">
      <c r="A94" s="8">
        <v>1977</v>
      </c>
      <c r="B94" s="46">
        <f t="shared" si="8"/>
        <v>3.8034434323362807</v>
      </c>
      <c r="E94" s="30"/>
      <c r="F94" s="54"/>
      <c r="G94" s="4"/>
      <c r="H94" s="32"/>
      <c r="I94" s="14">
        <v>230.24900057110221</v>
      </c>
      <c r="J94" s="56">
        <f t="shared" si="5"/>
        <v>0.29424974737517351</v>
      </c>
      <c r="K94" s="32" t="s">
        <v>43</v>
      </c>
      <c r="L94" s="18">
        <v>4851</v>
      </c>
      <c r="M94" s="57"/>
      <c r="N94" s="2" t="s">
        <v>43</v>
      </c>
      <c r="O94" s="2" t="s">
        <v>73</v>
      </c>
    </row>
    <row r="95" spans="1:15" x14ac:dyDescent="0.25">
      <c r="A95" s="8">
        <v>1978</v>
      </c>
      <c r="B95" s="46">
        <f t="shared" si="8"/>
        <v>5.7542890600465517</v>
      </c>
      <c r="E95" s="30"/>
      <c r="F95" s="54"/>
      <c r="G95" s="4"/>
      <c r="H95" s="32"/>
      <c r="I95" s="14">
        <v>348.34731438587704</v>
      </c>
      <c r="J95" s="56">
        <f t="shared" si="5"/>
        <v>0.51291564142231927</v>
      </c>
      <c r="K95" s="32" t="s">
        <v>43</v>
      </c>
      <c r="L95" s="18"/>
      <c r="M95" s="57"/>
    </row>
    <row r="96" spans="1:15" x14ac:dyDescent="0.25">
      <c r="A96" s="8">
        <v>1979</v>
      </c>
      <c r="B96" s="46">
        <f t="shared" si="8"/>
        <v>6.3552552987288955</v>
      </c>
      <c r="E96" s="30"/>
      <c r="F96" s="54"/>
      <c r="G96" s="4"/>
      <c r="H96" s="32"/>
      <c r="I96" s="14">
        <v>384.72799896689855</v>
      </c>
      <c r="J96" s="56">
        <f t="shared" si="5"/>
        <v>0.10443796486606849</v>
      </c>
      <c r="K96" s="32" t="s">
        <v>43</v>
      </c>
      <c r="L96" s="18">
        <v>6100</v>
      </c>
      <c r="M96" s="57"/>
      <c r="N96" s="2" t="s">
        <v>43</v>
      </c>
      <c r="O96" s="2" t="s">
        <v>14</v>
      </c>
    </row>
    <row r="97" spans="1:15" x14ac:dyDescent="0.25">
      <c r="A97" s="8">
        <v>1980</v>
      </c>
      <c r="B97" s="46">
        <f t="shared" si="8"/>
        <v>8.0827702730149049</v>
      </c>
      <c r="E97" s="30"/>
      <c r="F97" s="54"/>
      <c r="G97" s="4"/>
      <c r="H97" s="32"/>
      <c r="I97" s="14">
        <v>489.30654821500502</v>
      </c>
      <c r="J97" s="56">
        <f t="shared" si="5"/>
        <v>0.27182463852105609</v>
      </c>
      <c r="K97" s="32" t="s">
        <v>43</v>
      </c>
      <c r="L97" s="18">
        <v>8600</v>
      </c>
      <c r="M97" s="57">
        <f t="shared" si="7"/>
        <v>0.4098360655737705</v>
      </c>
      <c r="N97" s="2" t="s">
        <v>43</v>
      </c>
      <c r="O97" s="2" t="s">
        <v>15</v>
      </c>
    </row>
    <row r="98" spans="1:15" x14ac:dyDescent="0.25">
      <c r="A98" s="8">
        <v>1981</v>
      </c>
      <c r="B98" s="46">
        <f t="shared" si="8"/>
        <v>8.5447251115656844</v>
      </c>
      <c r="E98" s="30"/>
      <c r="F98" s="54"/>
      <c r="G98" s="4"/>
      <c r="H98" s="32"/>
      <c r="I98" s="14">
        <v>517.27190165788954</v>
      </c>
      <c r="J98" s="56">
        <f t="shared" si="5"/>
        <v>5.715303329763799E-2</v>
      </c>
      <c r="K98" s="32" t="s">
        <v>43</v>
      </c>
      <c r="L98" s="18">
        <v>5075</v>
      </c>
      <c r="M98" s="57">
        <f t="shared" si="7"/>
        <v>-0.40988372093023251</v>
      </c>
      <c r="N98" s="2" t="s">
        <v>43</v>
      </c>
      <c r="O98" s="2" t="s">
        <v>16</v>
      </c>
    </row>
    <row r="99" spans="1:15" x14ac:dyDescent="0.25">
      <c r="A99" s="8">
        <v>1982</v>
      </c>
      <c r="B99" s="46">
        <f t="shared" si="8"/>
        <v>7.2400413250921156</v>
      </c>
      <c r="E99" s="30"/>
      <c r="F99" s="54"/>
      <c r="G99" s="4"/>
      <c r="H99" s="32"/>
      <c r="I99" s="14">
        <v>438.29027796844844</v>
      </c>
      <c r="J99" s="56">
        <f t="shared" si="5"/>
        <v>-0.15268879565331106</v>
      </c>
      <c r="K99" s="32" t="s">
        <v>43</v>
      </c>
      <c r="L99" s="18">
        <v>3900</v>
      </c>
      <c r="M99" s="57">
        <f t="shared" si="7"/>
        <v>-0.23152709359605916</v>
      </c>
      <c r="N99" s="2" t="s">
        <v>43</v>
      </c>
      <c r="O99" s="2" t="s">
        <v>17</v>
      </c>
    </row>
    <row r="100" spans="1:15" x14ac:dyDescent="0.25">
      <c r="A100" s="8">
        <v>1983</v>
      </c>
      <c r="B100" s="46">
        <f t="shared" si="8"/>
        <v>6.2518152622967911</v>
      </c>
      <c r="E100" s="30"/>
      <c r="F100" s="54"/>
      <c r="G100" s="4"/>
      <c r="H100" s="32"/>
      <c r="I100" s="14">
        <v>378.46605096340198</v>
      </c>
      <c r="J100" s="56">
        <f t="shared" si="5"/>
        <v>-0.1364945334456017</v>
      </c>
      <c r="K100" s="32" t="s">
        <v>43</v>
      </c>
      <c r="L100" s="18">
        <v>4200</v>
      </c>
      <c r="M100" s="57">
        <f t="shared" si="7"/>
        <v>7.6923076923076872E-2</v>
      </c>
      <c r="N100" s="2" t="s">
        <v>43</v>
      </c>
      <c r="O100" s="2" t="s">
        <v>18</v>
      </c>
    </row>
    <row r="101" spans="1:15" x14ac:dyDescent="0.25">
      <c r="A101" s="8">
        <v>1984</v>
      </c>
      <c r="B101" s="46">
        <f t="shared" si="8"/>
        <v>5.9654867465735162</v>
      </c>
      <c r="E101" s="30"/>
      <c r="F101" s="54"/>
      <c r="G101" s="4"/>
      <c r="H101" s="32"/>
      <c r="I101" s="14">
        <v>361.13258570931367</v>
      </c>
      <c r="J101" s="56">
        <f t="shared" si="5"/>
        <v>-4.5799260488398441E-2</v>
      </c>
      <c r="K101" s="32" t="s">
        <v>43</v>
      </c>
      <c r="L101" s="18">
        <v>4200</v>
      </c>
      <c r="M101" s="57">
        <f t="shared" si="7"/>
        <v>0</v>
      </c>
      <c r="N101" s="2" t="s">
        <v>43</v>
      </c>
      <c r="O101" s="2" t="s">
        <v>19</v>
      </c>
    </row>
    <row r="102" spans="1:15" x14ac:dyDescent="0.25">
      <c r="A102" s="8">
        <v>1985</v>
      </c>
      <c r="B102" s="46">
        <f t="shared" si="8"/>
        <v>6.249237214953693</v>
      </c>
      <c r="E102" s="30"/>
      <c r="F102" s="54"/>
      <c r="G102" s="4"/>
      <c r="H102" s="32"/>
      <c r="I102" s="14">
        <v>378.3099837483287</v>
      </c>
      <c r="J102" s="56">
        <f t="shared" si="5"/>
        <v>4.7565350563079978E-2</v>
      </c>
      <c r="K102" s="32" t="s">
        <v>43</v>
      </c>
      <c r="L102" s="18">
        <v>4120</v>
      </c>
      <c r="M102" s="57">
        <f t="shared" si="7"/>
        <v>-1.9047619047619091E-2</v>
      </c>
      <c r="N102" s="2" t="s">
        <v>43</v>
      </c>
      <c r="O102" s="2" t="s">
        <v>20</v>
      </c>
    </row>
    <row r="103" spans="1:15" x14ac:dyDescent="0.25">
      <c r="A103" s="8">
        <v>1986</v>
      </c>
      <c r="B103" s="46">
        <f t="shared" si="8"/>
        <v>6.337259274114893</v>
      </c>
      <c r="E103" s="30"/>
      <c r="F103" s="54"/>
      <c r="G103" s="4"/>
      <c r="H103" s="32"/>
      <c r="I103" s="14">
        <v>383.63857388267121</v>
      </c>
      <c r="J103" s="56">
        <f t="shared" si="5"/>
        <v>1.4085248508501902E-2</v>
      </c>
      <c r="K103" s="32" t="s">
        <v>43</v>
      </c>
      <c r="L103" s="18">
        <f>L102*1.05</f>
        <v>4326</v>
      </c>
      <c r="M103" s="57">
        <f t="shared" si="7"/>
        <v>5.0000000000000044E-2</v>
      </c>
      <c r="N103" s="2" t="s">
        <v>43</v>
      </c>
      <c r="O103" s="2" t="s">
        <v>74</v>
      </c>
    </row>
    <row r="104" spans="1:15" x14ac:dyDescent="0.25">
      <c r="A104" s="8">
        <v>1987</v>
      </c>
      <c r="B104" s="46">
        <f t="shared" si="8"/>
        <v>6.399564495804932</v>
      </c>
      <c r="E104" s="30"/>
      <c r="F104" s="54"/>
      <c r="G104" s="4"/>
      <c r="H104" s="32"/>
      <c r="I104" s="14">
        <v>387.41034419546918</v>
      </c>
      <c r="J104" s="56">
        <f t="shared" si="5"/>
        <v>9.831572134744393E-3</v>
      </c>
      <c r="K104" s="32" t="s">
        <v>43</v>
      </c>
      <c r="L104" s="18">
        <f>L103*1.0317</f>
        <v>4463.1342000000004</v>
      </c>
      <c r="M104" s="57">
        <f t="shared" si="7"/>
        <v>3.1700000000000061E-2</v>
      </c>
      <c r="O104" s="2" t="s">
        <v>75</v>
      </c>
    </row>
    <row r="105" spans="1:15" x14ac:dyDescent="0.25">
      <c r="A105" s="8">
        <v>1988</v>
      </c>
      <c r="B105" s="46">
        <f t="shared" si="8"/>
        <v>7.0150266694732313</v>
      </c>
      <c r="E105" s="30"/>
      <c r="F105" s="54"/>
      <c r="G105" s="4"/>
      <c r="H105" s="32"/>
      <c r="I105" s="14">
        <v>424.66856898505102</v>
      </c>
      <c r="J105" s="56">
        <f t="shared" si="5"/>
        <v>9.617250893740481E-2</v>
      </c>
      <c r="K105" s="32" t="s">
        <v>43</v>
      </c>
      <c r="L105" s="18">
        <v>4600</v>
      </c>
      <c r="M105" s="57">
        <f t="shared" si="7"/>
        <v>3.0665849124590361E-2</v>
      </c>
      <c r="N105" s="2" t="s">
        <v>43</v>
      </c>
      <c r="O105" s="2" t="s">
        <v>21</v>
      </c>
    </row>
    <row r="106" spans="1:15" x14ac:dyDescent="0.25">
      <c r="A106" s="8">
        <v>1989</v>
      </c>
      <c r="B106" s="46">
        <f t="shared" si="8"/>
        <v>7.087015738454733</v>
      </c>
      <c r="E106" s="30"/>
      <c r="F106" s="54"/>
      <c r="G106" s="4"/>
      <c r="H106" s="32"/>
      <c r="I106" s="14">
        <v>429.02657022259098</v>
      </c>
      <c r="J106" s="56">
        <f t="shared" si="5"/>
        <v>1.0262123349405128E-2</v>
      </c>
      <c r="K106" s="32" t="s">
        <v>43</v>
      </c>
      <c r="L106" s="18">
        <v>4600</v>
      </c>
      <c r="M106" s="57">
        <f t="shared" si="7"/>
        <v>0</v>
      </c>
      <c r="N106" s="2" t="s">
        <v>43</v>
      </c>
      <c r="O106" s="2" t="s">
        <v>22</v>
      </c>
    </row>
    <row r="107" spans="1:15" x14ac:dyDescent="0.25">
      <c r="A107" s="8">
        <v>1990</v>
      </c>
      <c r="B107" s="46">
        <f t="shared" si="8"/>
        <v>8.8670391775692909</v>
      </c>
      <c r="E107" s="30"/>
      <c r="F107" s="54"/>
      <c r="G107" s="4"/>
      <c r="H107" s="32"/>
      <c r="I107" s="14">
        <v>536.78382365373034</v>
      </c>
      <c r="J107" s="56">
        <f t="shared" si="5"/>
        <v>0.25116685284837237</v>
      </c>
      <c r="K107" s="32" t="s">
        <v>43</v>
      </c>
      <c r="L107" s="18"/>
      <c r="M107" s="57"/>
    </row>
    <row r="108" spans="1:15" x14ac:dyDescent="0.25">
      <c r="A108" s="8">
        <v>1991</v>
      </c>
      <c r="B108" s="46">
        <f t="shared" si="8"/>
        <v>8.5437026330698913</v>
      </c>
      <c r="E108" s="30"/>
      <c r="F108" s="54"/>
      <c r="G108" s="4"/>
      <c r="H108" s="32"/>
      <c r="I108" s="14">
        <v>517.21000389183882</v>
      </c>
      <c r="J108" s="56">
        <f t="shared" si="5"/>
        <v>-3.6464995589208016E-2</v>
      </c>
      <c r="K108" s="32" t="s">
        <v>43</v>
      </c>
      <c r="L108" s="18">
        <v>4600</v>
      </c>
      <c r="M108" s="57"/>
      <c r="N108" s="2" t="s">
        <v>43</v>
      </c>
      <c r="O108" s="2" t="s">
        <v>23</v>
      </c>
    </row>
    <row r="109" spans="1:15" x14ac:dyDescent="0.25">
      <c r="A109" s="8">
        <v>1992</v>
      </c>
      <c r="B109" s="46">
        <f t="shared" si="8"/>
        <v>7.8033687068656059</v>
      </c>
      <c r="E109" s="30"/>
      <c r="F109" s="54"/>
      <c r="G109" s="4"/>
      <c r="H109" s="32"/>
      <c r="I109" s="14">
        <v>472.39241960803355</v>
      </c>
      <c r="J109" s="56">
        <f t="shared" si="5"/>
        <v>-8.6652585886907385E-2</v>
      </c>
      <c r="K109" s="32" t="s">
        <v>43</v>
      </c>
      <c r="L109" s="18">
        <v>4600</v>
      </c>
      <c r="M109" s="57">
        <f t="shared" si="7"/>
        <v>0</v>
      </c>
      <c r="N109" s="2" t="s">
        <v>43</v>
      </c>
      <c r="O109" s="2" t="s">
        <v>24</v>
      </c>
    </row>
    <row r="110" spans="1:15" x14ac:dyDescent="0.25">
      <c r="A110" s="8">
        <v>1993</v>
      </c>
      <c r="B110" s="46">
        <f t="shared" si="8"/>
        <v>7.6373268759083297</v>
      </c>
      <c r="E110" s="30"/>
      <c r="F110" s="54"/>
      <c r="G110" s="4"/>
      <c r="H110" s="32"/>
      <c r="I110" s="14">
        <v>462.34074766626753</v>
      </c>
      <c r="J110" s="56">
        <f t="shared" si="5"/>
        <v>-2.1278224468771922E-2</v>
      </c>
      <c r="K110" s="32" t="s">
        <v>43</v>
      </c>
      <c r="L110" s="18">
        <v>4750</v>
      </c>
      <c r="M110" s="57">
        <f t="shared" si="7"/>
        <v>3.2608695652173836E-2</v>
      </c>
      <c r="N110" s="2" t="s">
        <v>43</v>
      </c>
      <c r="O110" s="2" t="s">
        <v>25</v>
      </c>
    </row>
    <row r="111" spans="1:15" x14ac:dyDescent="0.25">
      <c r="A111" s="8">
        <v>1994</v>
      </c>
      <c r="B111" s="46">
        <f t="shared" si="8"/>
        <v>7.6469177176373213</v>
      </c>
      <c r="E111" s="30"/>
      <c r="F111" s="54"/>
      <c r="G111" s="4"/>
      <c r="H111" s="32"/>
      <c r="I111" s="14">
        <v>462.92134831460675</v>
      </c>
      <c r="J111" s="56">
        <f t="shared" si="5"/>
        <v>1.2557851568781864E-3</v>
      </c>
      <c r="K111" s="32" t="s">
        <v>43</v>
      </c>
      <c r="L111" s="18">
        <v>4800</v>
      </c>
      <c r="M111" s="57">
        <f t="shared" si="7"/>
        <v>1.0526315789473717E-2</v>
      </c>
      <c r="N111" s="2" t="s">
        <v>43</v>
      </c>
      <c r="O111" s="2" t="s">
        <v>26</v>
      </c>
    </row>
    <row r="112" spans="1:15" x14ac:dyDescent="0.25">
      <c r="A112" s="8">
        <v>1995</v>
      </c>
      <c r="B112" s="46">
        <f t="shared" si="8"/>
        <v>7.366316866484345</v>
      </c>
      <c r="E112" s="30"/>
      <c r="F112" s="54"/>
      <c r="G112" s="4"/>
      <c r="H112" s="32"/>
      <c r="I112" s="14">
        <v>445.9346186085499</v>
      </c>
      <c r="J112" s="56">
        <f t="shared" si="5"/>
        <v>-3.6694634559200523E-2</v>
      </c>
      <c r="K112" s="32" t="s">
        <v>43</v>
      </c>
      <c r="L112" s="18">
        <v>4900</v>
      </c>
      <c r="M112" s="57">
        <f t="shared" si="7"/>
        <v>2.0833333333333259E-2</v>
      </c>
      <c r="N112" s="2" t="s">
        <v>43</v>
      </c>
      <c r="O112" s="2" t="s">
        <v>27</v>
      </c>
    </row>
    <row r="113" spans="1:15" x14ac:dyDescent="0.25">
      <c r="A113" s="8">
        <v>1996</v>
      </c>
      <c r="B113" s="46">
        <f t="shared" si="8"/>
        <v>7.8552008191262068</v>
      </c>
      <c r="E113" s="30"/>
      <c r="F113" s="54"/>
      <c r="G113" s="4"/>
      <c r="H113" s="32"/>
      <c r="I113" s="14">
        <v>475.53017944535071</v>
      </c>
      <c r="J113" s="56">
        <f t="shared" ref="J113:J129" si="9">I113/I112-1</f>
        <v>6.6367488868991353E-2</v>
      </c>
      <c r="K113" s="32" t="s">
        <v>43</v>
      </c>
      <c r="L113" s="18">
        <v>5400</v>
      </c>
      <c r="M113" s="57">
        <f t="shared" si="7"/>
        <v>0.1020408163265305</v>
      </c>
      <c r="N113" s="2" t="s">
        <v>43</v>
      </c>
      <c r="O113" s="2" t="s">
        <v>28</v>
      </c>
    </row>
    <row r="114" spans="1:15" x14ac:dyDescent="0.25">
      <c r="A114" s="8">
        <v>1997</v>
      </c>
      <c r="B114" s="46">
        <f t="shared" si="8"/>
        <v>8.5167543326405255</v>
      </c>
      <c r="E114" s="30"/>
      <c r="F114" s="54"/>
      <c r="G114" s="4"/>
      <c r="H114" s="32"/>
      <c r="I114" s="14">
        <v>515.57863501483678</v>
      </c>
      <c r="J114" s="56">
        <f t="shared" si="9"/>
        <v>8.4218536068936478E-2</v>
      </c>
      <c r="K114" s="32" t="s">
        <v>43</v>
      </c>
      <c r="L114" s="18">
        <v>5500</v>
      </c>
      <c r="M114" s="57">
        <f t="shared" si="7"/>
        <v>1.8518518518518601E-2</v>
      </c>
      <c r="N114" s="2" t="s">
        <v>43</v>
      </c>
      <c r="O114" s="2" t="s">
        <v>29</v>
      </c>
    </row>
    <row r="115" spans="1:15" x14ac:dyDescent="0.25">
      <c r="A115" s="8">
        <v>1998</v>
      </c>
      <c r="B115" s="46">
        <f t="shared" ref="B115:B129" si="10">B114*I115/I114</f>
        <v>7.9665981592893251</v>
      </c>
      <c r="E115" s="30"/>
      <c r="F115" s="54"/>
      <c r="G115" s="4"/>
      <c r="H115" s="32"/>
      <c r="I115" s="14">
        <v>482.27383863080684</v>
      </c>
      <c r="J115" s="56">
        <f t="shared" si="9"/>
        <v>-6.4596928813917098E-2</v>
      </c>
      <c r="K115" s="32" t="s">
        <v>43</v>
      </c>
      <c r="L115" s="18">
        <v>5700</v>
      </c>
      <c r="M115" s="57">
        <f t="shared" si="7"/>
        <v>3.6363636363636376E-2</v>
      </c>
      <c r="N115" s="2" t="s">
        <v>43</v>
      </c>
      <c r="O115" s="2" t="s">
        <v>30</v>
      </c>
    </row>
    <row r="116" spans="1:15" x14ac:dyDescent="0.25">
      <c r="A116" s="8">
        <v>1999</v>
      </c>
      <c r="B116" s="46">
        <f t="shared" si="10"/>
        <v>7.9096945276400206</v>
      </c>
      <c r="E116" s="30"/>
      <c r="F116" s="54"/>
      <c r="G116" s="4"/>
      <c r="H116" s="32"/>
      <c r="I116" s="14">
        <v>478.82906429691582</v>
      </c>
      <c r="J116" s="56">
        <f t="shared" si="9"/>
        <v>-7.1427766923266578E-3</v>
      </c>
      <c r="K116" s="32" t="s">
        <v>43</v>
      </c>
      <c r="L116" s="18">
        <v>5700</v>
      </c>
      <c r="M116" s="57">
        <f t="shared" si="7"/>
        <v>0</v>
      </c>
      <c r="N116" s="2" t="s">
        <v>43</v>
      </c>
      <c r="O116" s="2" t="s">
        <v>31</v>
      </c>
    </row>
    <row r="117" spans="1:15" x14ac:dyDescent="0.25">
      <c r="A117" s="8">
        <v>2000</v>
      </c>
      <c r="B117" s="46">
        <f t="shared" si="10"/>
        <v>9.5190375251575858</v>
      </c>
      <c r="E117" s="30"/>
      <c r="F117" s="54"/>
      <c r="G117" s="4"/>
      <c r="H117" s="32"/>
      <c r="I117" s="14">
        <v>576.2538382804504</v>
      </c>
      <c r="J117" s="56">
        <f t="shared" si="9"/>
        <v>0.20346462077565675</v>
      </c>
      <c r="K117" s="32" t="s">
        <v>43</v>
      </c>
      <c r="L117" s="18">
        <v>5900</v>
      </c>
      <c r="M117" s="57">
        <f t="shared" si="7"/>
        <v>3.5087719298245723E-2</v>
      </c>
      <c r="N117" s="2" t="s">
        <v>43</v>
      </c>
      <c r="O117" s="2" t="s">
        <v>32</v>
      </c>
    </row>
    <row r="118" spans="1:15" x14ac:dyDescent="0.25">
      <c r="A118" s="8">
        <v>2001</v>
      </c>
      <c r="B118" s="46">
        <f t="shared" si="10"/>
        <v>10.231278480519642</v>
      </c>
      <c r="E118" s="30"/>
      <c r="F118" s="54"/>
      <c r="G118" s="4"/>
      <c r="H118" s="32"/>
      <c r="I118" s="14">
        <v>619.37075879086979</v>
      </c>
      <c r="J118" s="56">
        <f t="shared" si="9"/>
        <v>7.4822791010088263E-2</v>
      </c>
      <c r="K118" s="32" t="s">
        <v>43</v>
      </c>
      <c r="L118" s="18">
        <v>5800</v>
      </c>
      <c r="M118" s="57">
        <f t="shared" si="7"/>
        <v>-1.6949152542372836E-2</v>
      </c>
      <c r="N118" s="2" t="s">
        <v>43</v>
      </c>
      <c r="O118" s="2" t="s">
        <v>33</v>
      </c>
    </row>
    <row r="119" spans="1:15" x14ac:dyDescent="0.25">
      <c r="A119" s="8">
        <v>2002</v>
      </c>
      <c r="B119" s="46">
        <f t="shared" si="10"/>
        <v>9.5113406712707</v>
      </c>
      <c r="E119" s="30"/>
      <c r="F119" s="54"/>
      <c r="G119" s="4"/>
      <c r="H119" s="32"/>
      <c r="I119" s="14">
        <v>575.78789394697344</v>
      </c>
      <c r="J119" s="56">
        <f t="shared" si="9"/>
        <v>-7.0366358478043844E-2</v>
      </c>
      <c r="K119" s="32" t="s">
        <v>43</v>
      </c>
      <c r="L119" s="18">
        <v>5800</v>
      </c>
      <c r="M119" s="57">
        <f t="shared" si="7"/>
        <v>0</v>
      </c>
      <c r="N119" s="2" t="s">
        <v>43</v>
      </c>
      <c r="O119" s="2" t="s">
        <v>34</v>
      </c>
    </row>
    <row r="120" spans="1:15" x14ac:dyDescent="0.25">
      <c r="A120" s="8">
        <v>2003</v>
      </c>
      <c r="B120" s="46">
        <f t="shared" si="10"/>
        <v>10.492386529765326</v>
      </c>
      <c r="E120" s="30"/>
      <c r="F120" s="54"/>
      <c r="G120" s="4"/>
      <c r="H120" s="32"/>
      <c r="I120" s="14">
        <v>635.1774530271399</v>
      </c>
      <c r="J120" s="56">
        <f t="shared" si="9"/>
        <v>0.10314485543114915</v>
      </c>
      <c r="K120" s="32" t="s">
        <v>43</v>
      </c>
      <c r="L120" s="18">
        <v>5800</v>
      </c>
      <c r="M120" s="57">
        <f t="shared" si="7"/>
        <v>0</v>
      </c>
      <c r="N120" s="2" t="s">
        <v>43</v>
      </c>
      <c r="O120" s="2" t="s">
        <v>35</v>
      </c>
    </row>
    <row r="121" spans="1:15" x14ac:dyDescent="0.25">
      <c r="A121" s="8">
        <v>2004</v>
      </c>
      <c r="B121" s="46">
        <f t="shared" si="10"/>
        <v>12.458734746858831</v>
      </c>
      <c r="E121" s="30"/>
      <c r="F121" s="54"/>
      <c r="G121" s="4"/>
      <c r="H121" s="32"/>
      <c r="I121" s="14">
        <v>754.21424687330068</v>
      </c>
      <c r="J121" s="56">
        <f t="shared" si="9"/>
        <v>0.18740714626889399</v>
      </c>
      <c r="K121" s="32" t="s">
        <v>43</v>
      </c>
      <c r="L121" s="18">
        <v>5800</v>
      </c>
      <c r="M121" s="57">
        <f t="shared" si="7"/>
        <v>0</v>
      </c>
      <c r="N121" s="2" t="s">
        <v>43</v>
      </c>
      <c r="O121" s="2" t="s">
        <v>36</v>
      </c>
    </row>
    <row r="122" spans="1:15" x14ac:dyDescent="0.25">
      <c r="A122" s="8">
        <v>2005</v>
      </c>
      <c r="B122" s="46">
        <f t="shared" si="10"/>
        <v>14.933097533291914</v>
      </c>
      <c r="E122" s="30"/>
      <c r="F122" s="54"/>
      <c r="G122" s="4"/>
      <c r="H122" s="32"/>
      <c r="I122" s="14">
        <v>904.0047114252061</v>
      </c>
      <c r="J122" s="56">
        <f t="shared" si="9"/>
        <v>0.1986046606423606</v>
      </c>
      <c r="K122" s="32" t="s">
        <v>43</v>
      </c>
      <c r="L122" s="18">
        <v>5800</v>
      </c>
      <c r="M122" s="57">
        <f t="shared" si="7"/>
        <v>0</v>
      </c>
      <c r="N122" s="2" t="s">
        <v>43</v>
      </c>
      <c r="O122" s="2" t="s">
        <v>37</v>
      </c>
    </row>
    <row r="123" spans="1:15" x14ac:dyDescent="0.25">
      <c r="A123" s="8">
        <v>2006</v>
      </c>
      <c r="B123" s="46">
        <f t="shared" si="10"/>
        <v>15.938879989407457</v>
      </c>
      <c r="E123" s="30"/>
      <c r="F123" s="54"/>
      <c r="G123" s="4"/>
      <c r="H123" s="32"/>
      <c r="I123" s="14">
        <v>964.89174956114687</v>
      </c>
      <c r="J123" s="56">
        <f t="shared" si="9"/>
        <v>6.7352567266988572E-2</v>
      </c>
      <c r="K123" s="32" t="s">
        <v>43</v>
      </c>
      <c r="L123" s="18">
        <v>6500</v>
      </c>
      <c r="M123" s="57">
        <f t="shared" si="7"/>
        <v>0.1206896551724137</v>
      </c>
      <c r="N123" s="2" t="s">
        <v>43</v>
      </c>
      <c r="O123" s="2" t="s">
        <v>38</v>
      </c>
    </row>
    <row r="124" spans="1:15" x14ac:dyDescent="0.25">
      <c r="A124" s="8">
        <v>2007</v>
      </c>
      <c r="B124" s="46">
        <f t="shared" si="10"/>
        <v>19.504674921336086</v>
      </c>
      <c r="E124" s="30"/>
      <c r="F124" s="54"/>
      <c r="G124" s="4"/>
      <c r="H124" s="32"/>
      <c r="I124" s="14">
        <v>1180.7542262678803</v>
      </c>
      <c r="J124" s="56">
        <f t="shared" si="9"/>
        <v>0.22371678149897356</v>
      </c>
      <c r="K124" s="32" t="s">
        <v>43</v>
      </c>
      <c r="L124" s="18">
        <v>6500</v>
      </c>
      <c r="M124" s="57">
        <f t="shared" si="7"/>
        <v>0</v>
      </c>
      <c r="N124" s="2" t="s">
        <v>43</v>
      </c>
      <c r="O124" s="2" t="s">
        <v>39</v>
      </c>
    </row>
    <row r="125" spans="1:15" x14ac:dyDescent="0.25">
      <c r="A125" s="8">
        <v>2008</v>
      </c>
      <c r="B125" s="46">
        <f t="shared" si="10"/>
        <v>24.29239280660056</v>
      </c>
      <c r="E125" s="30"/>
      <c r="F125" s="54"/>
      <c r="G125" s="4"/>
      <c r="H125" s="32"/>
      <c r="I125" s="14">
        <v>1470.5882352941176</v>
      </c>
      <c r="J125" s="56">
        <f t="shared" si="9"/>
        <v>0.24546514641098738</v>
      </c>
      <c r="K125" s="32" t="s">
        <v>43</v>
      </c>
      <c r="L125" s="18">
        <v>6500</v>
      </c>
      <c r="M125" s="57">
        <f t="shared" si="7"/>
        <v>0</v>
      </c>
      <c r="N125" s="2" t="s">
        <v>43</v>
      </c>
      <c r="O125" s="2" t="s">
        <v>40</v>
      </c>
    </row>
    <row r="126" spans="1:15" x14ac:dyDescent="0.25">
      <c r="A126" s="8">
        <v>2009</v>
      </c>
      <c r="B126" s="46">
        <f t="shared" si="10"/>
        <v>18.989787396184706</v>
      </c>
      <c r="E126" s="30"/>
      <c r="F126" s="54"/>
      <c r="G126" s="4"/>
      <c r="H126" s="32"/>
      <c r="I126" s="14">
        <v>1149.5844875346261</v>
      </c>
      <c r="J126" s="56">
        <f t="shared" si="9"/>
        <v>-0.21828254847645423</v>
      </c>
      <c r="K126" s="32" t="s">
        <v>43</v>
      </c>
      <c r="L126" s="18">
        <v>6075</v>
      </c>
      <c r="M126" s="57">
        <f t="shared" ref="M126:M129" si="11">(L126/L125)-1</f>
        <v>-6.5384615384615374E-2</v>
      </c>
      <c r="N126" s="2" t="s">
        <v>43</v>
      </c>
      <c r="O126" s="2" t="s">
        <v>71</v>
      </c>
    </row>
    <row r="127" spans="1:15" x14ac:dyDescent="0.25">
      <c r="A127" s="39">
        <v>2010</v>
      </c>
      <c r="B127" s="46">
        <f t="shared" si="10"/>
        <v>22.147452257434711</v>
      </c>
      <c r="C127" s="39"/>
      <c r="D127" s="39"/>
      <c r="G127" s="5"/>
      <c r="H127" s="32"/>
      <c r="I127" s="14">
        <v>1340.74</v>
      </c>
      <c r="J127" s="56">
        <f t="shared" si="9"/>
        <v>0.16628226506024091</v>
      </c>
      <c r="K127" s="32" t="s">
        <v>43</v>
      </c>
      <c r="L127" s="18">
        <v>6400</v>
      </c>
      <c r="M127" s="57">
        <f t="shared" si="11"/>
        <v>5.3497942386831365E-2</v>
      </c>
      <c r="N127" s="2" t="s">
        <v>43</v>
      </c>
      <c r="O127" s="2" t="s">
        <v>78</v>
      </c>
    </row>
    <row r="128" spans="1:15" x14ac:dyDescent="0.25">
      <c r="A128" s="39">
        <v>2011</v>
      </c>
      <c r="B128" s="46">
        <f t="shared" si="10"/>
        <v>26.951787933667468</v>
      </c>
      <c r="C128" s="39"/>
      <c r="D128" s="39"/>
      <c r="G128" s="5"/>
      <c r="H128" s="32"/>
      <c r="I128" s="14">
        <v>1631.58</v>
      </c>
      <c r="J128" s="56">
        <f t="shared" si="9"/>
        <v>0.21692498172650909</v>
      </c>
      <c r="K128" s="32" t="s">
        <v>43</v>
      </c>
      <c r="L128" s="18">
        <v>8500</v>
      </c>
      <c r="M128" s="57">
        <f t="shared" si="11"/>
        <v>0.328125</v>
      </c>
      <c r="N128" s="2" t="s">
        <v>43</v>
      </c>
      <c r="O128" s="2" t="s">
        <v>79</v>
      </c>
    </row>
    <row r="129" spans="1:15" x14ac:dyDescent="0.25">
      <c r="A129" s="39">
        <v>2012</v>
      </c>
      <c r="B129" s="46">
        <f t="shared" si="10"/>
        <v>26.980695881107323</v>
      </c>
      <c r="C129" s="39"/>
      <c r="D129" s="39"/>
      <c r="G129" s="5"/>
      <c r="H129" s="32"/>
      <c r="I129" s="14">
        <v>1633.33</v>
      </c>
      <c r="J129" s="56">
        <f t="shared" si="9"/>
        <v>1.0725799531741131E-3</v>
      </c>
      <c r="K129" s="32" t="s">
        <v>43</v>
      </c>
      <c r="L129" s="18">
        <v>7810</v>
      </c>
      <c r="M129" s="57">
        <f t="shared" si="11"/>
        <v>-8.1176470588235294E-2</v>
      </c>
      <c r="N129" s="2" t="s">
        <v>43</v>
      </c>
      <c r="O129" s="2" t="s">
        <v>80</v>
      </c>
    </row>
    <row r="131" spans="1:15" x14ac:dyDescent="0.25">
      <c r="L1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Tilburg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 user</dc:creator>
  <cp:lastModifiedBy>Christophe Spaenjers</cp:lastModifiedBy>
  <dcterms:created xsi:type="dcterms:W3CDTF">2011-04-13T10:54:11Z</dcterms:created>
  <dcterms:modified xsi:type="dcterms:W3CDTF">2015-07-08T09:10:06Z</dcterms:modified>
</cp:coreProperties>
</file>