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<sst xmlns="http://schemas.openxmlformats.org/spreadsheetml/2006/main" count="99" uniqueCount="91">
  <si>
    <t>t</t>
  </si>
  <si>
    <t>🛴</t>
  </si>
  <si>
    <t>Battery</t>
  </si>
  <si>
    <t>kg CO2 per 28 kwh</t>
  </si>
  <si>
    <t>kg CO2 per kwh</t>
  </si>
  <si>
    <t>https://www.researchgate.net/publication/316254101_GHG_Emissions_from_the_production_of_lithium-ion_batteries_for_electric_vehicles_in_China</t>
  </si>
  <si>
    <t>lower bound of 150-200 kg CO2/kwh estimate, page iii</t>
  </si>
  <si>
    <t>https://www.ivl.se/download/18.5922281715bdaebede9559/1496046218976/C243+The+life+cycle+energy+consumption+and+CO2+emissions+from+lithium+ion+batteries+.pdf</t>
  </si>
  <si>
    <t>wh per Ninebot ES4 battery</t>
  </si>
  <si>
    <t>http://www.segway.com/media/2491/es4-factsheet_083117.pdf</t>
  </si>
  <si>
    <t>kg CO2 per ES4 battery</t>
  </si>
  <si>
    <t>Frame</t>
  </si>
  <si>
    <t>kg frame (3kg assumed for battery)</t>
  </si>
  <si>
    <t>ibid; carbon footprint of actual components is very likely higher, due to components like motors and rare earth magnets.</t>
  </si>
  <si>
    <t>kg CO2 per kg of Aluminum</t>
  </si>
  <si>
    <t>http://www.world-aluminium.org/media/filer_public/2013/01/15/fl0000336.pdf</t>
  </si>
  <si>
    <t>kg CO2 from aluminum frame</t>
  </si>
  <si>
    <t>KG CO2, vehicle manufacturing</t>
  </si>
  <si>
    <t>Charging</t>
  </si>
  <si>
    <t>lbs of CO2 per mwh generated, grid average</t>
  </si>
  <si>
    <t>https://www.epa.gov/energy/greenhouse-gases-equivalencies-calculator-calculations-and-references</t>
  </si>
  <si>
    <t>wh/mi</t>
  </si>
  <si>
    <t>Segway spec sheet, capacity/range</t>
  </si>
  <si>
    <t>kwh for 80.3 miles</t>
  </si>
  <si>
    <t>kg CO2 for average US grid electricity</t>
  </si>
  <si>
    <t>kg CO2 per mile traveled on scooter, from grid electricity</t>
  </si>
  <si>
    <t>Transporting</t>
  </si>
  <si>
    <t>miles between charges (guess)</t>
  </si>
  <si>
    <t>charges</t>
  </si>
  <si>
    <t>kg CO2 per charge event, midpoint value</t>
  </si>
  <si>
    <t>https://chesterenergyandpolicy.com/2018/06/11/the-electric-scooter-fallacy-just-because-theyre-electric-doesnt-mean-theyre-green/</t>
  </si>
  <si>
    <t>kg CO2 emissions from charging</t>
  </si>
  <si>
    <t>kg CO2 per mile traveled</t>
  </si>
  <si>
    <t>Total kg/CO2 per mile traveled, recurring</t>
  </si>
  <si>
    <t>Rough Order of Magnitude Lifetime emissions from a ES4-like scooter</t>
  </si>
  <si>
    <t>kg CO2</t>
  </si>
  <si>
    <t>mean distance per defunct scooter (miles)</t>
  </si>
  <si>
    <t>Austin open data</t>
  </si>
  <si>
    <t>https://data.austintexas.gov/</t>
  </si>
  <si>
    <t>lifetime kg CO2 emissions per mile</t>
  </si>
  <si>
    <t>🚗</t>
  </si>
  <si>
    <t>Car</t>
  </si>
  <si>
    <t>kilograms CO2 per gallon of gasoline</t>
  </si>
  <si>
    <t>EPA</t>
  </si>
  <si>
    <t>https://nepis.epa.gov/Exe/ZyNET.exe/P100JPPH.TXT?ZyActionD=ZyDocument&amp;Client=EPA&amp;Index=2011+Thru+2015&amp;Docs=&amp;Query=&amp;Time=&amp;EndTime=&amp;SearchMethod=1&amp;TocRestrict=n&amp;Toc=&amp;TocEntry=&amp;QField=&amp;QFieldYear=&amp;QFieldMonth=&amp;QFieldDay=&amp;IntQFieldOp=0&amp;ExtQFieldOp=0&amp;XmlQuery=&amp;File=D%3A%5Czyfiles%5CIndex%20Data%5C11thru15%5CTxt%5C00000011%5CP100JPPH.txt&amp;User=ANONYMOUS&amp;Password=anonymous&amp;SortMethod=h%7C-&amp;MaximumDocuments=1&amp;FuzzyDegree=0&amp;ImageQuality=r75g8/r75g8/x150y150g16/i425&amp;Display=hpfr&amp;DefSeekPage=x&amp;SearchBack=ZyActionL&amp;Back=ZyActionS&amp;BackDesc=Results%20page&amp;MaximumPages=1&amp;ZyEntry=1&amp;SeekPage=x&amp;ZyPURL</t>
  </si>
  <si>
    <t>miles per gallon, assumed car fuel economy</t>
  </si>
  <si>
    <t>Bureau of Transportation Statistics</t>
  </si>
  <si>
    <t>https://www.bts.gov/content/average-fuel-efficiency-us-light-duty-vehicles</t>
  </si>
  <si>
    <t>kg CO2 per mile from combustion</t>
  </si>
  <si>
    <t>kg CO2 from 80.3 miles</t>
  </si>
  <si>
    <t>kg CO2 from manufacture</t>
  </si>
  <si>
    <t>Guardian, medium spec Ford Mondeo</t>
  </si>
  <si>
    <t>https://www.theguardian.com/environment/green-living-blog/2010/sep/23/carbon-footprint-new-car</t>
  </si>
  <si>
    <t>mile lifespan of car, assumed</t>
  </si>
  <si>
    <t>NYT piece about cars reaching 200k mile lifespans</t>
  </si>
  <si>
    <t>https://www.nytimes.com/2012/03/18/automobiles/as-cars-are-kept-longer-200000-is-new-100000.html?_r=2&amp;ref=business&amp;pagewanted=all&amp;</t>
  </si>
  <si>
    <t>kg CO2 emissions per mile from manufacture</t>
  </si>
  <si>
    <t>kg CO2 emissions total per mile</t>
  </si>
  <si>
    <t>Proportion of Scooter Trips Replacing Car Trips</t>
  </si>
  <si>
    <t>Portland Survey respondents saying they'd have used their car</t>
  </si>
  <si>
    <t>https://www.portlandoregon.gov/transportation/article/700917</t>
  </si>
  <si>
    <t>Survey respondents saying they'd use a cab/TNC</t>
  </si>
  <si>
    <t>ibid</t>
  </si>
  <si>
    <t>additional miles from deadheading for cabs/TNCs</t>
  </si>
  <si>
    <t>http://www.schallerconsult.com/rideservices/automobility.pdf</t>
  </si>
  <si>
    <t>https://nyc.streetsblog.org/2018/07/25/uber-and-lyft-are-overwhelming-urban-streets-and-cities-need-to-act-fast/</t>
  </si>
  <si>
    <t>proportion of scooter miles that are replacing car miles</t>
  </si>
  <si>
    <t>Scooter vs Car</t>
  </si>
  <si>
    <t>Car miles replaced by a single scooter</t>
  </si>
  <si>
    <t>Kg CO2 from driving averted</t>
  </si>
  <si>
    <t>Kg CO2 lifetime scooter emissions</t>
  </si>
  <si>
    <t>Net change in kg CO2 emissions from a single scooter replacing car miles</t>
  </si>
  <si>
    <t>ratio of scooter lifetime emissions to car emissions for the same distance</t>
  </si>
  <si>
    <t>Scooter distance at which scooter and car emissions are equal, when considering only scooter trips that replace car trips</t>
  </si>
  <si>
    <t>Growth in lifetime miles per shared scooter needed to reach parity with cars</t>
  </si>
  <si>
    <t>kg/mile of CO2 of scooters, vs cars</t>
  </si>
  <si>
    <t>kg/mile of CO2 of scooters, vs cars, after accounting for non-car trips substituted</t>
  </si>
  <si>
    <t>Scooter / car</t>
  </si>
  <si>
    <t>Distance (mi)</t>
  </si>
  <si>
    <t>scooter</t>
  </si>
  <si>
    <t>car</t>
  </si>
  <si>
    <t>Current scooter lifetime distance, +56% emissions vs car</t>
  </si>
  <si>
    <t>Current scooter lifetime distance, +56% emissions vs car, after accounting for 1 scooter replacing 0.57 non-scooter miles</t>
  </si>
  <si>
    <t>distance at which scooter and car emissions are equal, after accounting for 1 scooter replacing 0.57 non-scooter miles</t>
  </si>
  <si>
    <t>distance at which scooter and car emissions are equal, after accounting for 1 scooter replacing 0.57 non-scooter miles, and considering auto vehicle manufacture emissions</t>
  </si>
  <si>
    <t>distance at which scooter and car emissions are equal</t>
  </si>
  <si>
    <t>Notes:</t>
  </si>
  <si>
    <t>Lifetime emissions of scooters is likely higher, since emissions from disposal are not included, 
nor is a separate estimate made for vehicle components like the motors and electronics,
which likely have higher emissions per lb than the aluminum frame</t>
  </si>
  <si>
    <t>Additionally, the scooters are deployed in urban areas where cars may be newer and/or smaller than the average, 
and thus have higher fuel economy, and lower carbon emissions per mile traveled, especially for ridehail vehicles</t>
  </si>
  <si>
    <t>Analysis above assumes batteries will not be recycled, since the batteries are fairly small and require a technician to remove them</t>
  </si>
  <si>
    <t>Scooter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</si>
</sst>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0.0000"/>
    <numFmt numFmtId="166" formatCode="+0.0%"/>
    <numFmt numFmtId="167" formatCode="+0.0;-0.0"/>
    <numFmt numFmtId="168" formatCode="#&quot; miles&quot;"/>
  </numFmts>
  <fonts count="11">
    <font>
      <sz val="10.0"/>
      <color rgb="FF000000"/>
      <name val="Arial"/>
    </font>
    <font/>
    <font>
      <sz val="16.0"/>
      <color rgb="FF660099"/>
      <name val="Arial"/>
    </font>
    <font>
      <b/>
      <name val="Arial"/>
    </font>
    <font>
      <name val="Arial"/>
    </font>
    <font>
      <strike/>
      <name val="Arial"/>
    </font>
    <font>
      <u/>
      <color rgb="FF1155CC"/>
      <name val="Arial"/>
    </font>
    <font>
      <u/>
      <color rgb="FF0000FF"/>
    </font>
    <font>
      <b/>
    </font>
    <font>
      <sz val="18.0"/>
    </font>
    <font>
      <strike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1" fillId="0" fontId="6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2" fontId="2" numFmtId="0" xfId="0" applyAlignment="1" applyFont="1">
      <alignment horizontal="left" readingOrder="0"/>
    </xf>
    <xf borderId="0" fillId="0" fontId="4" numFmtId="164" xfId="0" applyAlignment="1" applyFont="1" applyNumberFormat="1">
      <alignment horizontal="righ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1" numFmtId="1" xfId="0" applyAlignment="1" applyFont="1" applyNumberFormat="1">
      <alignment readingOrder="0"/>
    </xf>
    <xf borderId="0" fillId="0" fontId="1" numFmtId="2" xfId="0" applyFont="1" applyNumberFormat="1"/>
    <xf borderId="0" fillId="0" fontId="4" numFmtId="165" xfId="0" applyAlignment="1" applyFont="1" applyNumberFormat="1">
      <alignment vertical="bottom"/>
    </xf>
    <xf borderId="0" fillId="0" fontId="8" numFmtId="0" xfId="0" applyAlignment="1" applyFont="1">
      <alignment readingOrder="0"/>
    </xf>
    <xf borderId="0" fillId="0" fontId="1" numFmtId="164" xfId="0" applyFont="1" applyNumberFormat="1"/>
    <xf borderId="0" fillId="0" fontId="4" numFmtId="2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2" xfId="0" applyAlignment="1" applyFont="1" applyNumberFormat="1">
      <alignment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vertical="bottom"/>
    </xf>
    <xf borderId="0" fillId="0" fontId="4" numFmtId="2" xfId="0" applyAlignment="1" applyFont="1" applyNumberFormat="1">
      <alignment vertical="bottom"/>
    </xf>
    <xf borderId="0" fillId="0" fontId="9" numFmtId="0" xfId="0" applyAlignment="1" applyFont="1">
      <alignment readingOrder="0"/>
    </xf>
    <xf borderId="0" fillId="0" fontId="4" numFmtId="0" xfId="0" applyAlignment="1" applyFont="1">
      <alignment horizontal="right" readingOrder="0" vertical="bottom"/>
    </xf>
    <xf borderId="0" fillId="0" fontId="4" numFmtId="2" xfId="0" applyAlignment="1" applyFont="1" applyNumberFormat="1">
      <alignment horizontal="right" vertical="bottom"/>
    </xf>
    <xf borderId="0" fillId="0" fontId="1" numFmtId="3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4" numFmtId="166" xfId="0" applyAlignment="1" applyFont="1" applyNumberFormat="1">
      <alignment horizontal="right" vertical="bottom"/>
    </xf>
    <xf borderId="0" fillId="0" fontId="1" numFmtId="9" xfId="0" applyFont="1" applyNumberFormat="1"/>
    <xf borderId="0" fillId="0" fontId="1" numFmtId="167" xfId="0" applyFont="1" applyNumberFormat="1"/>
    <xf borderId="0" fillId="0" fontId="3" numFmtId="166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10" numFmtId="0" xfId="0" applyFont="1"/>
    <xf borderId="0" fillId="0" fontId="10" numFmtId="0" xfId="0" applyAlignment="1" applyFont="1">
      <alignment readingOrder="0"/>
    </xf>
    <xf borderId="0" fillId="0" fontId="10" numFmtId="164" xfId="0" applyFont="1" applyNumberFormat="1"/>
    <xf borderId="0" fillId="0" fontId="10" numFmtId="2" xfId="0" applyFont="1" applyNumberFormat="1"/>
    <xf borderId="0" fillId="0" fontId="1" numFmtId="168" xfId="0" applyFont="1" applyNumberForma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latin typeface="serif"/>
              </a:defRPr>
            </a:pPr>
            <a:r>
              <a:t>CO2 emissions (kg CO2), Scooters vs Cars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Sheet1!$D$90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Sheet1!$C$91:$C$92</c:f>
            </c:strRef>
          </c:cat>
          <c:val>
            <c:numRef>
              <c:f>Sheet1!$D$91:$D$92</c:f>
            </c:numRef>
          </c:val>
        </c:ser>
        <c:ser>
          <c:idx val="1"/>
          <c:order val="1"/>
          <c:tx>
            <c:strRef>
              <c:f>Sheet1!$E$90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Sheet1!$C$91:$C$92</c:f>
            </c:strRef>
          </c:cat>
          <c:val>
            <c:numRef>
              <c:f>Sheet1!$E$91:$E$92</c:f>
            </c:numRef>
          </c:val>
        </c:ser>
        <c:axId val="1957184092"/>
        <c:axId val="512218662"/>
      </c:barChart>
      <c:catAx>
        <c:axId val="1957184092"/>
        <c:scaling>
          <c:orientation val="minMax"/>
        </c:scaling>
        <c:delete val="0"/>
        <c:axPos val="b"/>
        <c:txPr>
          <a:bodyPr/>
          <a:lstStyle/>
          <a:p>
            <a:pPr lvl="0">
              <a:defRPr b="0" sz="1200">
                <a:latin typeface="serif"/>
              </a:defRPr>
            </a:pPr>
          </a:p>
        </c:txPr>
        <c:crossAx val="512218662"/>
      </c:catAx>
      <c:valAx>
        <c:axId val="512218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serif"/>
              </a:defRPr>
            </a:pPr>
          </a:p>
        </c:txPr>
        <c:crossAx val="1957184092"/>
      </c:valAx>
    </c:plotArea>
    <c:legend>
      <c:legendPos val="b"/>
      <c:overlay val="0"/>
      <c:txPr>
        <a:bodyPr/>
        <a:lstStyle/>
        <a:p>
          <a:pPr lvl="0">
            <a:defRPr>
              <a:latin typeface="serif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571500</xdr:colOff>
      <xdr:row>95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bts.gov/content/average-fuel-efficiency-us-light-duty-vehicles" TargetMode="External"/><Relationship Id="rId10" Type="http://schemas.openxmlformats.org/officeDocument/2006/relationships/hyperlink" Target="https://nepis.epa.gov/Exe/ZyNET.exe/P100JPPH.TXT?ZyActionD=ZyDocument&amp;Client=EPA&amp;Index=2011+Thru+2015&amp;Docs=&amp;Query=&amp;Time=&amp;EndTime=&amp;SearchMethod=1&amp;TocRestrict=n&amp;Toc=&amp;TocEntry=&amp;QField=&amp;QFieldYear=&amp;QFieldMonth=&amp;QFieldDay=&amp;IntQFieldOp=0&amp;ExtQFieldOp=0&amp;XmlQuery=&amp;File=D%3A%5Czyfiles%5CIndex%20Data%5C11thru15%5CTxt%5C00000011%5CP100JPPH.txt&amp;User=ANONYMOUS&amp;Password=anonymous&amp;SortMethod=h%7C-&amp;MaximumDocuments=1&amp;FuzzyDegree=0&amp;ImageQuality=r75g8/r75g8/x150y150g16/i425&amp;Display=hpfr&amp;DefSeekPage=x&amp;SearchBack=ZyActionL&amp;Back=ZyActionS&amp;BackDesc=Results%20page&amp;MaximumPages=1&amp;ZyEntry=1&amp;SeekPage=x&amp;ZyPURL" TargetMode="External"/><Relationship Id="rId13" Type="http://schemas.openxmlformats.org/officeDocument/2006/relationships/hyperlink" Target="https://www.nytimes.com/2012/03/18/automobiles/as-cars-are-kept-longer-200000-is-new-100000.html?_r=2&amp;ref=business&amp;pagewanted=all&amp;" TargetMode="External"/><Relationship Id="rId12" Type="http://schemas.openxmlformats.org/officeDocument/2006/relationships/hyperlink" Target="https://www.theguardian.com/environment/green-living-blog/2010/sep/23/carbon-footprint-new-car" TargetMode="External"/><Relationship Id="rId1" Type="http://schemas.openxmlformats.org/officeDocument/2006/relationships/hyperlink" Target="https://emojipedia.org/scooter/" TargetMode="External"/><Relationship Id="rId2" Type="http://schemas.openxmlformats.org/officeDocument/2006/relationships/hyperlink" Target="https://www.researchgate.net/publication/316254101_GHG_Emissions_from_the_production_of_lithium-ion_batteries_for_electric_vehicles_in_China" TargetMode="External"/><Relationship Id="rId3" Type="http://schemas.openxmlformats.org/officeDocument/2006/relationships/hyperlink" Target="https://www.ivl.se/download/18.5922281715bdaebede9559/1496046218976/C243+The+life+cycle+energy+consumption+and+CO2+emissions+from+lithium+ion+batteries+.pdf" TargetMode="External"/><Relationship Id="rId4" Type="http://schemas.openxmlformats.org/officeDocument/2006/relationships/hyperlink" Target="http://www.segway.com/media/2491/es4-factsheet_083117.pdf" TargetMode="External"/><Relationship Id="rId9" Type="http://schemas.openxmlformats.org/officeDocument/2006/relationships/hyperlink" Target="https://data.austintexas.gov/" TargetMode="External"/><Relationship Id="rId15" Type="http://schemas.openxmlformats.org/officeDocument/2006/relationships/hyperlink" Target="http://www.schallerconsult.com/rideservices/automobility.pdf" TargetMode="External"/><Relationship Id="rId14" Type="http://schemas.openxmlformats.org/officeDocument/2006/relationships/hyperlink" Target="https://www.portlandoregon.gov/transportation/article/700917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nyc.streetsblog.org/2018/07/25/uber-and-lyft-are-overwhelming-urban-streets-and-cities-need-to-act-fast/" TargetMode="External"/><Relationship Id="rId5" Type="http://schemas.openxmlformats.org/officeDocument/2006/relationships/hyperlink" Target="http://www.world-aluminium.org/media/filer_public/2013/01/15/fl0000336.pdf" TargetMode="External"/><Relationship Id="rId6" Type="http://schemas.openxmlformats.org/officeDocument/2006/relationships/hyperlink" Target="https://www.epa.gov/energy/greenhouse-gases-equivalencies-calculator-calculations-and-references" TargetMode="External"/><Relationship Id="rId7" Type="http://schemas.openxmlformats.org/officeDocument/2006/relationships/hyperlink" Target="http://www.segway.com/media/2491/es4-factsheet_083117.pdf" TargetMode="External"/><Relationship Id="rId8" Type="http://schemas.openxmlformats.org/officeDocument/2006/relationships/hyperlink" Target="https://chesterenergyandpolicy.com/2018/06/11/the-electric-scooter-fallacy-just-because-theyre-electric-doesnt-mean-theyre-gre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7.14"/>
    <col customWidth="1" min="4" max="4" width="37.43"/>
    <col customWidth="1" min="5" max="5" width="45.29"/>
  </cols>
  <sheetData>
    <row r="1">
      <c r="A1" s="1" t="s">
        <v>0</v>
      </c>
    </row>
    <row r="7">
      <c r="B7" s="2" t="s">
        <v>1</v>
      </c>
      <c r="C7" s="3" t="s">
        <v>2</v>
      </c>
      <c r="D7" s="4"/>
      <c r="E7" s="4"/>
    </row>
    <row r="8">
      <c r="C8" s="5">
        <f>average(2705,3061,2912)</f>
        <v>2892.666667</v>
      </c>
      <c r="D8" s="6" t="s">
        <v>3</v>
      </c>
    </row>
    <row r="9">
      <c r="C9" s="7">
        <f>C8/28</f>
        <v>103.3095238</v>
      </c>
      <c r="D9" s="4" t="s">
        <v>4</v>
      </c>
      <c r="E9" s="8" t="s">
        <v>5</v>
      </c>
      <c r="F9" s="1"/>
      <c r="G9" s="1"/>
    </row>
    <row r="10">
      <c r="C10" s="7">
        <f>150</f>
        <v>150</v>
      </c>
      <c r="D10" s="4" t="s">
        <v>4</v>
      </c>
      <c r="E10" s="9" t="s">
        <v>6</v>
      </c>
      <c r="F10" s="10" t="s">
        <v>7</v>
      </c>
    </row>
    <row r="11">
      <c r="C11" s="11">
        <v>374.0</v>
      </c>
      <c r="D11" s="4" t="s">
        <v>8</v>
      </c>
      <c r="E11" s="8" t="s">
        <v>9</v>
      </c>
    </row>
    <row r="12">
      <c r="C12" s="7">
        <f>C10*C11/1000</f>
        <v>56.1</v>
      </c>
      <c r="D12" s="4" t="s">
        <v>10</v>
      </c>
      <c r="E12" s="4"/>
    </row>
    <row r="14">
      <c r="C14" s="4"/>
      <c r="D14" s="4"/>
      <c r="E14" s="4"/>
    </row>
    <row r="15">
      <c r="B15" s="12" t="s">
        <v>1</v>
      </c>
      <c r="C15" s="3" t="s">
        <v>11</v>
      </c>
      <c r="D15" s="4"/>
      <c r="E15" s="4"/>
    </row>
    <row r="16">
      <c r="C16" s="11">
        <f>14-3</f>
        <v>11</v>
      </c>
      <c r="D16" s="4" t="s">
        <v>12</v>
      </c>
      <c r="E16" s="9" t="s">
        <v>13</v>
      </c>
    </row>
    <row r="17">
      <c r="C17" s="11">
        <f>15/40</f>
        <v>0.375</v>
      </c>
      <c r="D17" s="4" t="s">
        <v>14</v>
      </c>
      <c r="E17" s="8" t="s">
        <v>15</v>
      </c>
    </row>
    <row r="18">
      <c r="C18" s="11">
        <f>C17*C16</f>
        <v>4.125</v>
      </c>
      <c r="D18" s="4" t="s">
        <v>16</v>
      </c>
      <c r="E18" s="4"/>
    </row>
    <row r="19">
      <c r="C19" s="13">
        <f>C18+C12</f>
        <v>60.225</v>
      </c>
      <c r="D19" s="9" t="s">
        <v>17</v>
      </c>
      <c r="E19" s="4"/>
    </row>
    <row r="20">
      <c r="C20" s="14"/>
      <c r="D20" s="4"/>
      <c r="E20" s="4"/>
    </row>
    <row r="21">
      <c r="C21" s="14"/>
      <c r="D21" s="4"/>
      <c r="E21" s="4"/>
    </row>
    <row r="22">
      <c r="C22" s="14"/>
      <c r="D22" s="4"/>
      <c r="E22" s="4"/>
    </row>
    <row r="23">
      <c r="B23" s="12" t="s">
        <v>1</v>
      </c>
      <c r="C23" s="14" t="s">
        <v>18</v>
      </c>
      <c r="D23" s="4"/>
      <c r="E23" s="4"/>
    </row>
    <row r="24">
      <c r="C24" s="15">
        <v>1074.7</v>
      </c>
      <c r="D24" s="1" t="s">
        <v>19</v>
      </c>
      <c r="E24" s="10" t="s">
        <v>20</v>
      </c>
    </row>
    <row r="25">
      <c r="C25" s="16">
        <f>convert(C24,"lbm","kg")/1000</f>
        <v>0.48747572</v>
      </c>
      <c r="D25" s="1" t="s">
        <v>4</v>
      </c>
    </row>
    <row r="26">
      <c r="C26" s="1">
        <v>13.35</v>
      </c>
      <c r="D26" s="1" t="s">
        <v>21</v>
      </c>
      <c r="E26" s="1" t="s">
        <v>22</v>
      </c>
      <c r="F26" s="10" t="s">
        <v>9</v>
      </c>
    </row>
    <row r="27">
      <c r="C27" s="16">
        <f>C26*C43/1000</f>
        <v>1.072005</v>
      </c>
      <c r="D27" s="1" t="s">
        <v>23</v>
      </c>
    </row>
    <row r="28">
      <c r="C28" s="16">
        <f>C25*C27</f>
        <v>0.5225764093</v>
      </c>
      <c r="D28" s="1" t="s">
        <v>24</v>
      </c>
    </row>
    <row r="29">
      <c r="C29" s="17">
        <f>(C26/1000)*C25</f>
        <v>0.006507800863</v>
      </c>
      <c r="D29" s="9" t="s">
        <v>25</v>
      </c>
      <c r="E29" s="4"/>
    </row>
    <row r="30">
      <c r="C30" s="4"/>
      <c r="D30" s="4"/>
      <c r="E30" s="4"/>
    </row>
    <row r="31">
      <c r="C31" s="4"/>
      <c r="D31" s="4"/>
      <c r="E31" s="4"/>
    </row>
    <row r="32">
      <c r="B32" s="12" t="s">
        <v>1</v>
      </c>
      <c r="C32" s="18" t="s">
        <v>26</v>
      </c>
    </row>
    <row r="33">
      <c r="C33" s="1">
        <v>15.0</v>
      </c>
      <c r="D33" s="1" t="s">
        <v>27</v>
      </c>
      <c r="E33" s="4"/>
    </row>
    <row r="34">
      <c r="C34" s="19">
        <f>C43/C33</f>
        <v>5.353333333</v>
      </c>
      <c r="D34" s="1" t="s">
        <v>28</v>
      </c>
      <c r="E34" s="4"/>
    </row>
    <row r="35">
      <c r="C35">
        <f>0.23</f>
        <v>0.23</v>
      </c>
      <c r="D35" s="1" t="s">
        <v>29</v>
      </c>
      <c r="E35" s="10" t="s">
        <v>30</v>
      </c>
    </row>
    <row r="36">
      <c r="C36" s="20">
        <f>C34*C35</f>
        <v>1.231266667</v>
      </c>
      <c r="D36" s="9" t="s">
        <v>31</v>
      </c>
      <c r="E36" s="4"/>
    </row>
    <row r="37">
      <c r="C37" s="20">
        <f>C35/C33</f>
        <v>0.01533333333</v>
      </c>
      <c r="D37" s="9" t="s">
        <v>32</v>
      </c>
      <c r="E37" s="4"/>
    </row>
    <row r="38">
      <c r="C38" s="21"/>
      <c r="D38" s="4"/>
      <c r="E38" s="4"/>
    </row>
    <row r="39">
      <c r="C39" s="22">
        <f>C37+C29</f>
        <v>0.0218411342</v>
      </c>
      <c r="D39" s="9" t="s">
        <v>33</v>
      </c>
      <c r="E39" s="4"/>
    </row>
    <row r="40">
      <c r="C40" s="21"/>
      <c r="D40" s="4"/>
      <c r="E40" s="4"/>
    </row>
    <row r="41">
      <c r="B41" s="12" t="s">
        <v>1</v>
      </c>
      <c r="C41" s="23" t="s">
        <v>34</v>
      </c>
      <c r="D41" s="24"/>
      <c r="E41" s="4"/>
    </row>
    <row r="42">
      <c r="C42" s="7">
        <f>C18+C12+C28+C36</f>
        <v>61.97884308</v>
      </c>
      <c r="D42" s="9" t="s">
        <v>35</v>
      </c>
      <c r="E42" s="4"/>
    </row>
    <row r="43">
      <c r="C43" s="11">
        <v>80.3</v>
      </c>
      <c r="D43" s="4" t="s">
        <v>36</v>
      </c>
      <c r="E43" s="4" t="s">
        <v>37</v>
      </c>
      <c r="F43" s="10" t="s">
        <v>38</v>
      </c>
    </row>
    <row r="44">
      <c r="C44" s="25">
        <f>C42/C43</f>
        <v>0.7718411342</v>
      </c>
      <c r="D44" s="9" t="s">
        <v>39</v>
      </c>
      <c r="E44" s="4"/>
    </row>
    <row r="45">
      <c r="C45" s="3"/>
      <c r="D45" s="4"/>
      <c r="E45" s="4"/>
    </row>
    <row r="46">
      <c r="B46" s="26" t="s">
        <v>40</v>
      </c>
      <c r="C46" s="3" t="s">
        <v>41</v>
      </c>
      <c r="D46" s="4"/>
      <c r="E46" s="4"/>
    </row>
    <row r="47">
      <c r="C47" s="7">
        <f>8887/1000</f>
        <v>8.887</v>
      </c>
      <c r="D47" s="4" t="s">
        <v>42</v>
      </c>
      <c r="E47" s="4" t="s">
        <v>43</v>
      </c>
      <c r="F47" s="10" t="s">
        <v>44</v>
      </c>
    </row>
    <row r="48">
      <c r="C48" s="27">
        <v>24.0</v>
      </c>
      <c r="D48" s="4" t="s">
        <v>45</v>
      </c>
      <c r="E48" s="9" t="s">
        <v>46</v>
      </c>
      <c r="F48" s="10" t="s">
        <v>47</v>
      </c>
    </row>
    <row r="49">
      <c r="C49" s="16">
        <f>C47/C48</f>
        <v>0.3702916667</v>
      </c>
      <c r="D49" s="1" t="s">
        <v>48</v>
      </c>
      <c r="E49" s="4"/>
    </row>
    <row r="50">
      <c r="C50" s="28">
        <f>C49*C43</f>
        <v>29.73442083</v>
      </c>
      <c r="D50" s="9" t="s">
        <v>49</v>
      </c>
      <c r="E50" s="4"/>
    </row>
    <row r="51">
      <c r="C51" s="1">
        <v>17000.0</v>
      </c>
      <c r="D51" s="1" t="s">
        <v>50</v>
      </c>
      <c r="E51" s="1" t="s">
        <v>51</v>
      </c>
      <c r="F51" s="10" t="s">
        <v>52</v>
      </c>
    </row>
    <row r="52">
      <c r="C52" s="29">
        <v>150000.0</v>
      </c>
      <c r="D52" s="1" t="s">
        <v>53</v>
      </c>
      <c r="E52" s="1" t="s">
        <v>54</v>
      </c>
      <c r="F52" s="10" t="s">
        <v>55</v>
      </c>
    </row>
    <row r="53">
      <c r="C53" s="16">
        <f>C51/C52</f>
        <v>0.1133333333</v>
      </c>
      <c r="D53" s="1" t="s">
        <v>56</v>
      </c>
    </row>
    <row r="54">
      <c r="C54" s="16">
        <f>C53+C49</f>
        <v>0.483625</v>
      </c>
      <c r="D54" s="1" t="s">
        <v>57</v>
      </c>
    </row>
    <row r="56">
      <c r="C56" s="18" t="s">
        <v>58</v>
      </c>
    </row>
    <row r="57">
      <c r="C57" s="30">
        <f>0.1882</f>
        <v>0.1882</v>
      </c>
      <c r="D57" s="1" t="s">
        <v>59</v>
      </c>
      <c r="F57" s="10" t="s">
        <v>60</v>
      </c>
    </row>
    <row r="58">
      <c r="C58" s="30">
        <f>0.1537</f>
        <v>0.1537</v>
      </c>
      <c r="D58" s="1" t="s">
        <v>61</v>
      </c>
      <c r="F58" s="1" t="s">
        <v>62</v>
      </c>
    </row>
    <row r="59">
      <c r="C59" s="31">
        <f>58%</f>
        <v>0.58</v>
      </c>
      <c r="D59" s="1" t="s">
        <v>63</v>
      </c>
      <c r="F59" s="10" t="s">
        <v>64</v>
      </c>
      <c r="H59" s="10" t="s">
        <v>65</v>
      </c>
    </row>
    <row r="60">
      <c r="C60" s="32">
        <f>C57+(1+C59)*C58</f>
        <v>0.431046</v>
      </c>
      <c r="D60" s="1" t="s">
        <v>66</v>
      </c>
    </row>
    <row r="62">
      <c r="C62" s="18" t="s">
        <v>67</v>
      </c>
    </row>
    <row r="63">
      <c r="C63" s="19"/>
    </row>
    <row r="64">
      <c r="C64" s="19">
        <f>C60*C43</f>
        <v>34.6129938</v>
      </c>
      <c r="D64" s="1" t="s">
        <v>68</v>
      </c>
    </row>
    <row r="65">
      <c r="C65" s="19">
        <f>C64*C49</f>
        <v>12.81690316</v>
      </c>
      <c r="D65" s="1" t="s">
        <v>69</v>
      </c>
    </row>
    <row r="66">
      <c r="C66" s="19">
        <f>C42</f>
        <v>61.97884308</v>
      </c>
      <c r="D66" s="1" t="s">
        <v>70</v>
      </c>
    </row>
    <row r="67">
      <c r="C67" s="33">
        <f>C66-C65</f>
        <v>49.16193991</v>
      </c>
      <c r="D67" s="1" t="s">
        <v>71</v>
      </c>
    </row>
    <row r="68">
      <c r="C68" s="19">
        <f>C66/C65</f>
        <v>4.83571127</v>
      </c>
      <c r="D68" s="1" t="s">
        <v>72</v>
      </c>
    </row>
    <row r="69">
      <c r="C69" s="19"/>
      <c r="D69" s="1"/>
    </row>
    <row r="70">
      <c r="C70" s="19"/>
    </row>
    <row r="71">
      <c r="C71" s="19">
        <f>C80</f>
        <v>437</v>
      </c>
      <c r="D71" s="1" t="s">
        <v>73</v>
      </c>
    </row>
    <row r="72">
      <c r="C72" s="31">
        <f>C71/C43-1</f>
        <v>4.442092154</v>
      </c>
      <c r="D72" s="1" t="s">
        <v>74</v>
      </c>
    </row>
    <row r="74">
      <c r="C74" s="31">
        <f t="shared" ref="C74:C75" si="1">D78/E78-1</f>
        <v>1.092009364</v>
      </c>
      <c r="D74" s="1" t="s">
        <v>75</v>
      </c>
    </row>
    <row r="75">
      <c r="C75" s="34">
        <f t="shared" si="1"/>
        <v>3.853332044</v>
      </c>
      <c r="D75" s="18" t="s">
        <v>76</v>
      </c>
    </row>
    <row r="77">
      <c r="A77" s="1" t="s">
        <v>77</v>
      </c>
      <c r="C77" s="1" t="s">
        <v>78</v>
      </c>
      <c r="D77" s="1" t="s">
        <v>79</v>
      </c>
      <c r="E77" s="1" t="s">
        <v>80</v>
      </c>
    </row>
    <row r="78">
      <c r="A78">
        <f t="shared" ref="A78:A82" si="2">D78/E78</f>
        <v>2.092009364</v>
      </c>
      <c r="C78" s="35">
        <v>80.0</v>
      </c>
      <c r="D78" s="19">
        <f t="shared" ref="D78:D79" si="3">$C$19+C78*$C$39</f>
        <v>61.97229074</v>
      </c>
      <c r="E78" s="19">
        <f>C78*$C$49</f>
        <v>29.62333333</v>
      </c>
      <c r="F78" s="1" t="s">
        <v>81</v>
      </c>
    </row>
    <row r="79">
      <c r="A79">
        <f t="shared" si="2"/>
        <v>4.853332044</v>
      </c>
      <c r="C79" s="35">
        <v>80.0</v>
      </c>
      <c r="D79" s="19">
        <f t="shared" si="3"/>
        <v>61.97229074</v>
      </c>
      <c r="E79" s="19">
        <f>C79*$C$49*C60</f>
        <v>12.76901934</v>
      </c>
      <c r="F79" s="1" t="s">
        <v>82</v>
      </c>
    </row>
    <row r="80">
      <c r="A80">
        <f t="shared" si="2"/>
        <v>1.000269639</v>
      </c>
      <c r="C80" s="35">
        <v>437.0</v>
      </c>
      <c r="D80" s="19">
        <f t="shared" ref="D80:D81" si="4">($C$19+C80*$C$39)</f>
        <v>69.76957564</v>
      </c>
      <c r="E80" s="19">
        <f>C80*$C$49*C$60</f>
        <v>69.75076814</v>
      </c>
      <c r="F80" s="1" t="s">
        <v>83</v>
      </c>
    </row>
    <row r="81">
      <c r="A81">
        <f t="shared" si="2"/>
        <v>0.9991922889</v>
      </c>
      <c r="C81" s="35">
        <v>323.0</v>
      </c>
      <c r="D81" s="19">
        <f t="shared" si="4"/>
        <v>67.27968635</v>
      </c>
      <c r="E81" s="19">
        <f>C81*$C$54*C$60</f>
        <v>67.33407283</v>
      </c>
      <c r="F81" s="1" t="s">
        <v>84</v>
      </c>
    </row>
    <row r="82">
      <c r="A82" s="36">
        <f t="shared" si="2"/>
        <v>1.384509769</v>
      </c>
      <c r="B82" s="36"/>
      <c r="C82" s="37">
        <v>122.7</v>
      </c>
      <c r="D82" s="38">
        <f>$C$19+C82*$C$39</f>
        <v>62.90490717</v>
      </c>
      <c r="E82" s="39">
        <f>C82*$C$49</f>
        <v>45.4347875</v>
      </c>
      <c r="F82" s="37" t="s">
        <v>85</v>
      </c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5">
      <c r="C85" s="1" t="s">
        <v>86</v>
      </c>
      <c r="D85" s="1" t="s">
        <v>87</v>
      </c>
    </row>
    <row r="86">
      <c r="D86" s="1" t="s">
        <v>88</v>
      </c>
    </row>
    <row r="87">
      <c r="D87" s="1" t="s">
        <v>89</v>
      </c>
    </row>
    <row r="90">
      <c r="C90" t="str">
        <f>C77</f>
        <v>Distance (mi)</v>
      </c>
      <c r="D90" s="1" t="s">
        <v>90</v>
      </c>
      <c r="E90" s="1" t="s">
        <v>41</v>
      </c>
    </row>
    <row r="91">
      <c r="C91" s="40">
        <f t="shared" ref="C91:E91" si="5">C79</f>
        <v>80</v>
      </c>
      <c r="D91" s="41">
        <f t="shared" si="5"/>
        <v>61.97229074</v>
      </c>
      <c r="E91" s="41">
        <f t="shared" si="5"/>
        <v>12.76901934</v>
      </c>
    </row>
    <row r="92">
      <c r="C92" s="40">
        <f t="shared" ref="C92:E92" si="6">C80</f>
        <v>437</v>
      </c>
      <c r="D92" s="41">
        <f t="shared" si="6"/>
        <v>69.76957564</v>
      </c>
      <c r="E92" s="41">
        <f t="shared" si="6"/>
        <v>69.75076814</v>
      </c>
    </row>
  </sheetData>
  <hyperlinks>
    <hyperlink r:id="rId1" ref="B7"/>
    <hyperlink r:id="rId2" ref="E9"/>
    <hyperlink r:id="rId3" ref="F10"/>
    <hyperlink r:id="rId4" ref="E11"/>
    <hyperlink r:id="rId5" ref="E17"/>
    <hyperlink r:id="rId6" ref="E24"/>
    <hyperlink r:id="rId7" ref="F26"/>
    <hyperlink r:id="rId8" ref="E35"/>
    <hyperlink r:id="rId9" ref="F43"/>
    <hyperlink r:id="rId10" ref="F47"/>
    <hyperlink r:id="rId11" ref="F48"/>
    <hyperlink r:id="rId12" ref="F51"/>
    <hyperlink r:id="rId13" ref="F52"/>
    <hyperlink r:id="rId14" ref="F57"/>
    <hyperlink r:id="rId15" ref="F59"/>
    <hyperlink r:id="rId16" ref="H59"/>
  </hyperlinks>
  <drawing r:id="rId17"/>
</worksheet>
</file>