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\Documents\CS_418\sallg001_cs418_course_project\"/>
    </mc:Choice>
  </mc:AlternateContent>
  <xr:revisionPtr revIDLastSave="0" documentId="13_ncr:1_{931D1D06-DCC7-4E5F-9381-2BFCC3C5A35E}" xr6:coauthVersionLast="47" xr6:coauthVersionMax="47" xr10:uidLastSave="{00000000-0000-0000-0000-000000000000}"/>
  <bookViews>
    <workbookView xWindow="-28920" yWindow="-120" windowWidth="29040" windowHeight="15720" xr2:uid="{178864B5-EA2C-44F7-A0DB-C9D412E0A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J4" i="1"/>
  <c r="K4" i="1" s="1"/>
  <c r="O4" i="1"/>
  <c r="P4" i="1"/>
  <c r="J5" i="1"/>
  <c r="K5" i="1" s="1"/>
  <c r="O5" i="1"/>
  <c r="P5" i="1"/>
  <c r="J6" i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J14" i="1"/>
  <c r="J15" i="1"/>
  <c r="J16" i="1"/>
  <c r="J17" i="1"/>
  <c r="K17" i="1" s="1"/>
  <c r="J18" i="1"/>
  <c r="K18" i="1" s="1"/>
  <c r="J19" i="1"/>
  <c r="K19" i="1" s="1"/>
  <c r="J20" i="1"/>
  <c r="K20" i="1" s="1"/>
  <c r="J21" i="1"/>
  <c r="J22" i="1"/>
  <c r="K22" i="1" s="1"/>
  <c r="J23" i="1"/>
  <c r="K23" i="1" s="1"/>
  <c r="J24" i="1"/>
  <c r="K24" i="1" s="1"/>
  <c r="J25" i="1"/>
  <c r="J26" i="1"/>
  <c r="K26" i="1" s="1"/>
  <c r="J27" i="1"/>
  <c r="K27" i="1" s="1"/>
  <c r="J28" i="1"/>
  <c r="K28" i="1" s="1"/>
  <c r="J29" i="1"/>
  <c r="K29" i="1" s="1"/>
  <c r="J30" i="1"/>
  <c r="J31" i="1"/>
  <c r="J32" i="1"/>
  <c r="J33" i="1"/>
  <c r="K33" i="1" s="1"/>
  <c r="J34" i="1"/>
  <c r="J35" i="1"/>
  <c r="J36" i="1"/>
  <c r="J37" i="1"/>
  <c r="J38" i="1"/>
  <c r="J39" i="1"/>
  <c r="J40" i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J50" i="1"/>
  <c r="K50" i="1" s="1"/>
  <c r="J51" i="1"/>
  <c r="K51" i="1" s="1"/>
  <c r="J52" i="1"/>
  <c r="K52" i="1" s="1"/>
  <c r="J53" i="1"/>
  <c r="K53" i="1" s="1"/>
  <c r="J54" i="1"/>
  <c r="J55" i="1"/>
  <c r="J56" i="1"/>
  <c r="J57" i="1"/>
  <c r="J58" i="1"/>
  <c r="K58" i="1" s="1"/>
  <c r="J59" i="1"/>
  <c r="K59" i="1" s="1"/>
  <c r="J60" i="1"/>
  <c r="K60" i="1" s="1"/>
  <c r="J61" i="1"/>
  <c r="J62" i="1"/>
  <c r="K62" i="1" s="1"/>
  <c r="J63" i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J82" i="1"/>
  <c r="K82" i="1" s="1"/>
  <c r="J83" i="1"/>
  <c r="K83" i="1" s="1"/>
  <c r="J84" i="1"/>
  <c r="J85" i="1"/>
  <c r="J86" i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J106" i="1"/>
  <c r="J107" i="1"/>
  <c r="K107" i="1" s="1"/>
  <c r="J108" i="1"/>
  <c r="K108" i="1" s="1"/>
  <c r="J109" i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J120" i="1"/>
  <c r="K120" i="1" s="1"/>
  <c r="J121" i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J129" i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J141" i="1"/>
  <c r="K141" i="1" s="1"/>
  <c r="J142" i="1"/>
  <c r="J143" i="1"/>
  <c r="K143" i="1" s="1"/>
  <c r="J144" i="1"/>
  <c r="K144" i="1" s="1"/>
  <c r="J145" i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K109" i="1"/>
  <c r="K106" i="1"/>
  <c r="K85" i="1"/>
  <c r="K86" i="1"/>
  <c r="K84" i="1"/>
  <c r="K63" i="1"/>
  <c r="K54" i="1"/>
  <c r="K40" i="1"/>
  <c r="K39" i="1"/>
  <c r="K38" i="1"/>
  <c r="K37" i="1"/>
  <c r="K36" i="1"/>
  <c r="K35" i="1"/>
  <c r="K34" i="1"/>
  <c r="K30" i="1"/>
  <c r="K21" i="1"/>
  <c r="K16" i="1"/>
  <c r="K15" i="1"/>
  <c r="K14" i="1"/>
  <c r="K13" i="1"/>
  <c r="K12" i="1"/>
  <c r="K6" i="1"/>
  <c r="K61" i="1"/>
  <c r="K73" i="1" l="1"/>
  <c r="K142" i="1"/>
  <c r="K140" i="1"/>
  <c r="K49" i="1"/>
  <c r="K145" i="1"/>
  <c r="K119" i="1"/>
  <c r="K25" i="1"/>
  <c r="K121" i="1"/>
  <c r="K105" i="1"/>
  <c r="K129" i="1"/>
  <c r="K81" i="1"/>
  <c r="K55" i="1"/>
  <c r="K31" i="1"/>
  <c r="K32" i="1"/>
  <c r="K57" i="1"/>
  <c r="K128" i="1"/>
  <c r="K153" i="1"/>
  <c r="K56" i="1"/>
</calcChain>
</file>

<file path=xl/sharedStrings.xml><?xml version="1.0" encoding="utf-8"?>
<sst xmlns="http://schemas.openxmlformats.org/spreadsheetml/2006/main" count="170" uniqueCount="115">
  <si>
    <t>course_id</t>
  </si>
  <si>
    <t>credit_hours</t>
  </si>
  <si>
    <t>course_prereqs</t>
  </si>
  <si>
    <t>prereq_set_num</t>
  </si>
  <si>
    <t>courses</t>
  </si>
  <si>
    <t>prerequisites</t>
  </si>
  <si>
    <t>course_tag</t>
  </si>
  <si>
    <t>course_name</t>
  </si>
  <si>
    <t>prerequisite_sets</t>
  </si>
  <si>
    <t>prereq_id</t>
  </si>
  <si>
    <t>prereq_name</t>
  </si>
  <si>
    <t>prereq_tag</t>
  </si>
  <si>
    <t>ENGL 110C</t>
  </si>
  <si>
    <t>MATH 211</t>
  </si>
  <si>
    <t>MATH 163</t>
  </si>
  <si>
    <t>MATH 162M</t>
  </si>
  <si>
    <t>MATH 102M</t>
  </si>
  <si>
    <t>MATH 103M</t>
  </si>
  <si>
    <t>MATH 100</t>
  </si>
  <si>
    <t>MATH 166</t>
  </si>
  <si>
    <t>CS 151</t>
  </si>
  <si>
    <t>CS 153</t>
  </si>
  <si>
    <t>ENGL 211C</t>
  </si>
  <si>
    <t>ENGL 231C</t>
  </si>
  <si>
    <t>MATH 212</t>
  </si>
  <si>
    <t>CS 170</t>
  </si>
  <si>
    <t>CS 150</t>
  </si>
  <si>
    <t>ENGN 150</t>
  </si>
  <si>
    <t>CS 251</t>
  </si>
  <si>
    <t>CS 252</t>
  </si>
  <si>
    <t>IT 205</t>
  </si>
  <si>
    <t>MATH 316</t>
  </si>
  <si>
    <t>CS 270</t>
  </si>
  <si>
    <t>CS 330</t>
  </si>
  <si>
    <t>CS 253</t>
  </si>
  <si>
    <t>CS 250</t>
  </si>
  <si>
    <t>COMM 101R</t>
  </si>
  <si>
    <t>PHIL 160R</t>
  </si>
  <si>
    <t>STAT 330</t>
  </si>
  <si>
    <t>CS 260</t>
  </si>
  <si>
    <t>CS 361</t>
  </si>
  <si>
    <t>CS 261</t>
  </si>
  <si>
    <t>CS 121G</t>
  </si>
  <si>
    <t>CS 202G</t>
  </si>
  <si>
    <t>CS 315</t>
  </si>
  <si>
    <t>CS 355</t>
  </si>
  <si>
    <t>CS 381</t>
  </si>
  <si>
    <t>CS 350</t>
  </si>
  <si>
    <t>CS 390</t>
  </si>
  <si>
    <t>CS 450</t>
  </si>
  <si>
    <t>CS 418</t>
  </si>
  <si>
    <t>CS 312</t>
  </si>
  <si>
    <t>CS 410</t>
  </si>
  <si>
    <t>CS 417</t>
  </si>
  <si>
    <t>CS 411W</t>
  </si>
  <si>
    <t>ENGL 221C</t>
  </si>
  <si>
    <t>CS 471</t>
  </si>
  <si>
    <t>ECE 346</t>
  </si>
  <si>
    <t>ECE 241</t>
  </si>
  <si>
    <t>ENGN 122</t>
  </si>
  <si>
    <t>ECE 443</t>
  </si>
  <si>
    <t>ECE 342</t>
  </si>
  <si>
    <t>ECE 341</t>
  </si>
  <si>
    <t>Column1</t>
  </si>
  <si>
    <t>English Composition</t>
  </si>
  <si>
    <t>Calculus I</t>
  </si>
  <si>
    <t>Precalculus II</t>
  </si>
  <si>
    <t>Precalculus I</t>
  </si>
  <si>
    <t>College Algebra</t>
  </si>
  <si>
    <t>College Algebra with Supplemental Instruction</t>
  </si>
  <si>
    <t>The Math Cooperative</t>
  </si>
  <si>
    <t>Precalculus I and II</t>
  </si>
  <si>
    <t>Introduction to Programming with Java</t>
  </si>
  <si>
    <t>Writing, Rhetoric, and Research</t>
  </si>
  <si>
    <t>Writing, Rhetoric, and Research: Special Topics</t>
  </si>
  <si>
    <t>Calculus II</t>
  </si>
  <si>
    <t>Introduction to Computer Architecture I</t>
  </si>
  <si>
    <t>Introduction to Programming with C++</t>
  </si>
  <si>
    <t>Computer Programming for Engineering Problem Solving</t>
  </si>
  <si>
    <t>Programming with Java</t>
  </si>
  <si>
    <t>Introduction to Unix for Programmers</t>
  </si>
  <si>
    <t>Introduction to Object-Oriented Programming</t>
  </si>
  <si>
    <t>Introductory Linear Algebra</t>
  </si>
  <si>
    <t>Introduction to Computer Architecture II</t>
  </si>
  <si>
    <t>Object-Oriented Design and Programming</t>
  </si>
  <si>
    <t>Transfer Credit for Programming with Python</t>
  </si>
  <si>
    <t>Programming with C++</t>
  </si>
  <si>
    <t>Public Speaking</t>
  </si>
  <si>
    <t>Raising Moral Issues in STEM</t>
  </si>
  <si>
    <t>An Introduction to Probability and Statistics</t>
  </si>
  <si>
    <t>C++ for Programmers</t>
  </si>
  <si>
    <t>Data Structures and Algorithms</t>
  </si>
  <si>
    <t>Introduction to Information Literacy and Research for Scientists</t>
  </si>
  <si>
    <t>Information Literacy for Cybersecurity</t>
  </si>
  <si>
    <t>Computer Science Undergraduate Colloquium</t>
  </si>
  <si>
    <t>Principles of Programming Languages</t>
  </si>
  <si>
    <t>Introduction to Discrete Structures</t>
  </si>
  <si>
    <t>Introduction to Software Engineering</t>
  </si>
  <si>
    <t>Introduction to Theoretical Computer Science</t>
  </si>
  <si>
    <t>Database Concepts</t>
  </si>
  <si>
    <t>Web Programming</t>
  </si>
  <si>
    <t>Internet Concepts</t>
  </si>
  <si>
    <t>Professional Workforce Development I</t>
  </si>
  <si>
    <t>Computational Methods and Software</t>
  </si>
  <si>
    <t>Professional Workforce Development II</t>
  </si>
  <si>
    <t>Introduction to Writing in Business, Education and Social Sciences</t>
  </si>
  <si>
    <t>Operating Systems</t>
  </si>
  <si>
    <t>Microcontrollers</t>
  </si>
  <si>
    <t>Fundamentals of Computer Engineering</t>
  </si>
  <si>
    <t>Computer Programming for Engineering</t>
  </si>
  <si>
    <t>Computer Architecture</t>
  </si>
  <si>
    <t>Field Programmable Gate Arrays Design Laboratory</t>
  </si>
  <si>
    <t>Digital System Design</t>
  </si>
  <si>
    <t>Introduction to Programming with Python</t>
  </si>
  <si>
    <t>Java for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</si>
</sst>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FBE2D5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  <border>
      <left/>
      <right/>
      <top style="thin">
        <color rgb="FFF1A983"/>
      </top>
      <bottom style="thin">
        <color rgb="FFF1A98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2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textRotation="0" wrapText="0" indent="0" justifyLastLine="0" shrinkToFit="0" readingOrder="0"/>
    </dxf>
    <dxf>
      <font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/>
      </border>
    </dxf>
    <dxf>
      <alignment horizontal="center" vertical="center" textRotation="0" wrapText="0" indent="0" justifyLastLine="0" shrinkToFit="0" readingOrder="0"/>
    </dxf>
    <dxf>
      <font/>
      <alignment horizontal="center" vertical="center" textRotation="0" wrapText="0" indent="0" justifyLastLine="0" shrinkToFit="0" readingOrder="0"/>
    </dxf>
    <dxf>
      <font>
        <color rgb="FF000000"/>
      </font>
      <fill>
        <patternFill patternType="solid">
          <fgColor rgb="FFFBE2D5"/>
          <bgColor rgb="FFFBE2D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F1A983"/>
        </top>
        <bottom style="thin">
          <color rgb="FFF1A983"/>
        </bottom>
        <vertical/>
        <horizontal/>
      </border>
    </dxf>
    <dxf>
      <font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B1ECB-DBDE-45B7-AD1D-DA48601A5664}" name="Table1" displayName="Table1" ref="A2:D53" totalsRowShown="0" headerRowDxfId="1" dataDxfId="0">
  <autoFilter ref="A2:D53" xr:uid="{569B1ECB-DBDE-45B7-AD1D-DA48601A5664}"/>
  <tableColumns count="4">
    <tableColumn id="1" xr3:uid="{541BA944-60E9-42D7-8C65-D1ED890A86B7}" name="course_id" dataDxfId="5"/>
    <tableColumn id="2" xr3:uid="{FF5AB680-F750-48C4-ABD4-F49D52173AC0}" name="course_tag" dataDxfId="4"/>
    <tableColumn id="3" xr3:uid="{EC7906DB-40C3-45B9-A7B7-E95775398DE3}" name="course_name" dataDxfId="3"/>
    <tableColumn id="4" xr3:uid="{E6D0885E-DE78-4383-9EBB-6692ABF0E473}" name="credit_hour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B681E-6298-4AEF-A6BF-9364109922D7}" name="Table2" displayName="Table2" ref="F2:G103" totalsRowShown="0" headerRowDxfId="20">
  <autoFilter ref="F2:G103" xr:uid="{5ADB681E-6298-4AEF-A6BF-9364109922D7}"/>
  <tableColumns count="2">
    <tableColumn id="1" xr3:uid="{AEF180C9-7164-46C7-9081-86311F485CD2}" name="course_id" dataDxfId="10"/>
    <tableColumn id="2" xr3:uid="{79C53700-318B-4F8C-8F1D-C0E0BA24949B}" name="prereq_set_num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94CA63-DD19-4503-93A6-31621C4013AE}" name="Table5" displayName="Table5" ref="I2:K163" totalsRowShown="0" headerRowDxfId="17" dataDxfId="18">
  <autoFilter ref="I2:K163" xr:uid="{ED94CA63-DD19-4503-93A6-31621C4013AE}"/>
  <tableColumns count="3">
    <tableColumn id="1" xr3:uid="{3CDC6FD9-449E-4B4F-A2FC-CEDF9C587F13}" name="prereq_set_num" dataDxfId="8"/>
    <tableColumn id="2" xr3:uid="{F4046AD7-5FC2-4DFE-A8A6-DD54E8B14AD2}" name="prereq_id" dataDxfId="7"/>
    <tableColumn id="3" xr3:uid="{0CEB8513-D8F0-4834-A07F-BBBE8B0594C4}" name="Column1" dataDxfId="19">
      <calculatedColumnFormula>_xlfn.XLOOKUP(J3,$M$2:$M$54,$N$2:$N$54)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3016D8-D25C-4A6F-8EA3-A548D3FC38A0}" name="Table7" displayName="Table7" ref="M2:P54" totalsRowShown="0" headerRowDxfId="11" dataDxfId="12" tableBorderDxfId="16">
  <autoFilter ref="M2:P54" xr:uid="{E63016D8-D25C-4A6F-8EA3-A548D3FC38A0}"/>
  <tableColumns count="4">
    <tableColumn id="1" xr3:uid="{A58A8C65-108E-4B98-8C6D-946F15D9D3AA}" name="prereq_id" dataDxfId="6"/>
    <tableColumn id="2" xr3:uid="{91ADCDE7-BCA0-4677-BD82-BFD8F0A03AEC}" name="prereq_tag" dataDxfId="15"/>
    <tableColumn id="3" xr3:uid="{67EE892B-9FEF-45AD-A1C9-3FF1A7887CCF}" name="prereq_name" dataDxfId="14">
      <calculatedColumnFormula>_xlfn.XLOOKUP(N3,$B$2:$B$57,$C$2:$C$57)</calculatedColumnFormula>
    </tableColumn>
    <tableColumn id="4" xr3:uid="{353D4DC3-3433-4530-BD52-10006CF6D6C2}" name="credit_hours" dataDxfId="13">
      <calculatedColumnFormula>_xlfn.XLOOKUP(N3,$B$2:$B$57,$D$2:$D$57)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397E-E0C9-4240-A41C-DC8CA87F19F4}">
  <dimension ref="A1:T163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1" width="14.28515625" style="2" bestFit="1" customWidth="1"/>
    <col min="2" max="2" width="15.28515625" style="2" bestFit="1" customWidth="1"/>
    <col min="3" max="3" width="60.7109375" style="2" bestFit="1" customWidth="1"/>
    <col min="4" max="4" width="16.85546875" style="2" bestFit="1" customWidth="1"/>
    <col min="5" max="5" width="9.140625" style="2" customWidth="1"/>
    <col min="6" max="6" width="14.28515625" style="2" bestFit="1" customWidth="1"/>
    <col min="7" max="7" width="20.28515625" style="2" bestFit="1" customWidth="1"/>
    <col min="8" max="8" width="10.28515625" style="2" customWidth="1"/>
    <col min="9" max="9" width="23.42578125" style="2" bestFit="1" customWidth="1"/>
    <col min="10" max="10" width="14.140625" style="2" bestFit="1" customWidth="1"/>
    <col min="11" max="11" width="13.7109375" style="2" bestFit="1" customWidth="1"/>
    <col min="12" max="12" width="9.85546875" style="2" customWidth="1"/>
    <col min="13" max="13" width="14.140625" style="2" bestFit="1" customWidth="1"/>
    <col min="14" max="14" width="15.140625" style="2" bestFit="1" customWidth="1"/>
    <col min="15" max="15" width="60.7109375" style="2" bestFit="1" customWidth="1"/>
    <col min="16" max="16" width="16.85546875" style="2" bestFit="1" customWidth="1"/>
    <col min="17" max="18" width="9.140625" style="2"/>
    <col min="19" max="19" width="1.85546875" bestFit="1" customWidth="1"/>
    <col min="21" max="16384" width="9.140625" style="2"/>
  </cols>
  <sheetData>
    <row r="1" spans="1:20" x14ac:dyDescent="0.25">
      <c r="A1" s="4" t="s">
        <v>4</v>
      </c>
      <c r="B1" s="4"/>
      <c r="C1" s="4"/>
      <c r="D1" s="4"/>
      <c r="F1" s="4" t="s">
        <v>2</v>
      </c>
      <c r="G1" s="4"/>
      <c r="I1" s="4" t="s">
        <v>8</v>
      </c>
      <c r="J1" s="4"/>
      <c r="K1" s="1"/>
      <c r="M1" s="4" t="s">
        <v>5</v>
      </c>
      <c r="N1" s="4"/>
      <c r="O1" s="4"/>
      <c r="P1" s="4"/>
      <c r="Q1"/>
      <c r="R1"/>
      <c r="S1" s="2"/>
      <c r="T1" s="2"/>
    </row>
    <row r="2" spans="1:20" x14ac:dyDescent="0.25">
      <c r="A2" s="1" t="s">
        <v>0</v>
      </c>
      <c r="B2" s="1" t="s">
        <v>6</v>
      </c>
      <c r="C2" s="1" t="s">
        <v>7</v>
      </c>
      <c r="D2" s="1" t="s">
        <v>1</v>
      </c>
      <c r="F2" s="2" t="s">
        <v>0</v>
      </c>
      <c r="G2" s="2" t="s">
        <v>3</v>
      </c>
      <c r="I2" s="2" t="s">
        <v>3</v>
      </c>
      <c r="J2" s="2" t="s">
        <v>9</v>
      </c>
      <c r="K2" s="2" t="s">
        <v>63</v>
      </c>
      <c r="M2" s="7" t="s">
        <v>9</v>
      </c>
      <c r="N2" s="7" t="s">
        <v>11</v>
      </c>
      <c r="O2" s="7" t="s">
        <v>10</v>
      </c>
      <c r="P2" s="7" t="s">
        <v>1</v>
      </c>
    </row>
    <row r="3" spans="1:20" x14ac:dyDescent="0.25">
      <c r="A3" s="3">
        <v>1</v>
      </c>
      <c r="B3" s="1" t="s">
        <v>12</v>
      </c>
      <c r="C3" s="1" t="s">
        <v>64</v>
      </c>
      <c r="D3" s="1">
        <v>3</v>
      </c>
      <c r="F3" s="3">
        <v>1</v>
      </c>
      <c r="G3" s="10">
        <v>1</v>
      </c>
      <c r="I3" s="3">
        <v>1</v>
      </c>
      <c r="J3" s="2">
        <f>SUMIF($N$2:$N$54, "", $M$2:$M$54)</f>
        <v>1</v>
      </c>
      <c r="K3" s="2">
        <f>_xlfn.XLOOKUP(J3,$M$2:$M$54,$N$2:$N$54)</f>
        <v>0</v>
      </c>
      <c r="M3" s="3">
        <v>1</v>
      </c>
      <c r="N3" s="5"/>
      <c r="O3" s="5"/>
      <c r="P3" s="5"/>
    </row>
    <row r="4" spans="1:20" x14ac:dyDescent="0.25">
      <c r="A4" s="3">
        <v>2</v>
      </c>
      <c r="B4" s="1" t="s">
        <v>13</v>
      </c>
      <c r="C4" s="1" t="s">
        <v>65</v>
      </c>
      <c r="D4" s="1">
        <v>4</v>
      </c>
      <c r="F4" s="3">
        <v>2</v>
      </c>
      <c r="G4" s="11">
        <v>2</v>
      </c>
      <c r="I4" s="3">
        <v>2</v>
      </c>
      <c r="J4" s="2">
        <f>SUMIF($N$2:$N$54, "MATH 163", $M$2:$M$54)</f>
        <v>4</v>
      </c>
      <c r="K4" s="2" t="str">
        <f>_xlfn.XLOOKUP(J4,$M$2:$M$54,$N$2:$N$54)</f>
        <v>MATH 163</v>
      </c>
      <c r="M4" s="3">
        <v>2</v>
      </c>
      <c r="N4" s="6" t="s">
        <v>12</v>
      </c>
      <c r="O4" s="5" t="str">
        <f>_xlfn.XLOOKUP(N4,$B$2:$B$57,$C$2:$C$57)</f>
        <v>English Composition</v>
      </c>
      <c r="P4" s="5">
        <f>_xlfn.XLOOKUP(N4,$B$2:$B$57,$D$2:$D$57)</f>
        <v>3</v>
      </c>
    </row>
    <row r="5" spans="1:20" x14ac:dyDescent="0.25">
      <c r="A5" s="3">
        <v>3</v>
      </c>
      <c r="B5" s="1" t="s">
        <v>14</v>
      </c>
      <c r="C5" s="1" t="s">
        <v>66</v>
      </c>
      <c r="D5" s="1">
        <v>3</v>
      </c>
      <c r="F5" s="3">
        <v>2</v>
      </c>
      <c r="G5" s="10">
        <v>3</v>
      </c>
      <c r="I5" s="3">
        <v>3</v>
      </c>
      <c r="J5" s="2">
        <f>SUMIF($N$2:$N$54, "MATH 166", $M$2:$M$54)</f>
        <v>9</v>
      </c>
      <c r="K5" s="2" t="str">
        <f>_xlfn.XLOOKUP(J5,$M$2:$M$54,$N$2:$N$54)</f>
        <v>MATH 166</v>
      </c>
      <c r="M5" s="3">
        <v>3</v>
      </c>
      <c r="N5" s="6" t="s">
        <v>13</v>
      </c>
      <c r="O5" s="5" t="str">
        <f>_xlfn.XLOOKUP(N5,$B$2:$B$57,$C$2:$C$57)</f>
        <v>Calculus I</v>
      </c>
      <c r="P5" s="5">
        <f>_xlfn.XLOOKUP(N5,$B$2:$B$57,$D$2:$D$57)</f>
        <v>4</v>
      </c>
    </row>
    <row r="6" spans="1:20" x14ac:dyDescent="0.25">
      <c r="A6" s="3">
        <v>4</v>
      </c>
      <c r="B6" s="1" t="s">
        <v>15</v>
      </c>
      <c r="C6" s="1" t="s">
        <v>67</v>
      </c>
      <c r="D6" s="1">
        <v>3</v>
      </c>
      <c r="F6" s="3">
        <v>3</v>
      </c>
      <c r="G6" s="11">
        <v>4</v>
      </c>
      <c r="I6" s="3">
        <v>4</v>
      </c>
      <c r="J6" s="2">
        <f>SUMIF($N$2:$N$54, "MATH 162M", $M$2:$M$54)</f>
        <v>5</v>
      </c>
      <c r="K6" s="2" t="str">
        <f>_xlfn.XLOOKUP(J6,$M$2:$M$54,$N$2:$N$54)</f>
        <v>MATH 162M</v>
      </c>
      <c r="M6" s="3">
        <v>4</v>
      </c>
      <c r="N6" s="6" t="s">
        <v>14</v>
      </c>
      <c r="O6" s="5" t="str">
        <f>_xlfn.XLOOKUP(N6,$B$2:$B$57,$C$2:$C$57)</f>
        <v>Precalculus II</v>
      </c>
      <c r="P6" s="5">
        <f>_xlfn.XLOOKUP(N6,$B$2:$B$57,$D$2:$D$57)</f>
        <v>3</v>
      </c>
    </row>
    <row r="7" spans="1:20" x14ac:dyDescent="0.25">
      <c r="A7" s="3">
        <v>5</v>
      </c>
      <c r="B7" s="1" t="s">
        <v>16</v>
      </c>
      <c r="C7" s="1" t="s">
        <v>68</v>
      </c>
      <c r="D7" s="1">
        <v>3</v>
      </c>
      <c r="F7" s="3">
        <v>4</v>
      </c>
      <c r="G7" s="10">
        <v>5</v>
      </c>
      <c r="I7" s="3">
        <v>5</v>
      </c>
      <c r="J7" s="2">
        <f>SUMIF($N$2:$N$54, "MATH 102M", $M$2:$M$54)</f>
        <v>6</v>
      </c>
      <c r="K7" s="2" t="str">
        <f>_xlfn.XLOOKUP(J7,$M$2:$M$54,$N$2:$N$54)</f>
        <v>MATH 102M</v>
      </c>
      <c r="M7" s="3">
        <v>5</v>
      </c>
      <c r="N7" s="6" t="s">
        <v>15</v>
      </c>
      <c r="O7" s="5" t="str">
        <f>_xlfn.XLOOKUP(N7,$B$2:$B$57,$C$2:$C$57)</f>
        <v>Precalculus I</v>
      </c>
      <c r="P7" s="5">
        <f>_xlfn.XLOOKUP(N7,$B$2:$B$57,$D$2:$D$57)</f>
        <v>3</v>
      </c>
    </row>
    <row r="8" spans="1:20" x14ac:dyDescent="0.25">
      <c r="A8" s="3">
        <v>6</v>
      </c>
      <c r="B8" s="1" t="s">
        <v>17</v>
      </c>
      <c r="C8" s="1" t="s">
        <v>69</v>
      </c>
      <c r="D8" s="1">
        <v>3</v>
      </c>
      <c r="F8" s="3">
        <v>4</v>
      </c>
      <c r="G8" s="11">
        <v>6</v>
      </c>
      <c r="I8" s="3">
        <v>6</v>
      </c>
      <c r="J8" s="2">
        <f>SUMIF($N$2:$N$54, "MATH 103M", $M$2:$M$54)</f>
        <v>7</v>
      </c>
      <c r="K8" s="2" t="str">
        <f>_xlfn.XLOOKUP(J8,$M$2:$M$54,$N$2:$N$54)</f>
        <v>MATH 103M</v>
      </c>
      <c r="M8" s="3">
        <v>6</v>
      </c>
      <c r="N8" s="6" t="s">
        <v>16</v>
      </c>
      <c r="O8" s="5" t="str">
        <f>_xlfn.XLOOKUP(N8,$B$2:$B$57,$C$2:$C$57)</f>
        <v>College Algebra</v>
      </c>
      <c r="P8" s="5">
        <f>_xlfn.XLOOKUP(N8,$B$2:$B$57,$D$2:$D$57)</f>
        <v>3</v>
      </c>
    </row>
    <row r="9" spans="1:20" x14ac:dyDescent="0.25">
      <c r="A9" s="3">
        <v>7</v>
      </c>
      <c r="B9" s="1" t="s">
        <v>18</v>
      </c>
      <c r="C9" s="1" t="s">
        <v>70</v>
      </c>
      <c r="D9" s="1">
        <v>1</v>
      </c>
      <c r="F9" s="3">
        <v>5</v>
      </c>
      <c r="G9" s="10">
        <v>7</v>
      </c>
      <c r="I9" s="3">
        <v>7</v>
      </c>
      <c r="J9" s="2">
        <f>SUMIF($N$2:$N$54, "", $M$2:$M$54)</f>
        <v>1</v>
      </c>
      <c r="K9" s="2">
        <f>_xlfn.XLOOKUP(J9,$M$2:$M$54,$N$2:$N$54)</f>
        <v>0</v>
      </c>
      <c r="M9" s="3">
        <v>7</v>
      </c>
      <c r="N9" s="6" t="s">
        <v>17</v>
      </c>
      <c r="O9" s="5" t="str">
        <f>_xlfn.XLOOKUP(N9,$B$2:$B$57,$C$2:$C$57)</f>
        <v>College Algebra with Supplemental Instruction</v>
      </c>
      <c r="P9" s="5">
        <f>_xlfn.XLOOKUP(N9,$B$2:$B$57,$D$2:$D$57)</f>
        <v>3</v>
      </c>
    </row>
    <row r="10" spans="1:20" x14ac:dyDescent="0.25">
      <c r="A10" s="3">
        <v>8</v>
      </c>
      <c r="B10" s="1" t="s">
        <v>19</v>
      </c>
      <c r="C10" s="1" t="s">
        <v>71</v>
      </c>
      <c r="D10" s="1">
        <v>4</v>
      </c>
      <c r="F10" s="3">
        <v>6</v>
      </c>
      <c r="G10" s="11">
        <v>8</v>
      </c>
      <c r="I10" s="3">
        <v>8</v>
      </c>
      <c r="J10" s="2">
        <f>SUMIF($N$2:$N$54, "MATH 100", $M$2:$M$54)</f>
        <v>8</v>
      </c>
      <c r="K10" s="2" t="str">
        <f>_xlfn.XLOOKUP(J10,$M$2:$M$54,$N$2:$N$54)</f>
        <v>MATH 100</v>
      </c>
      <c r="M10" s="3">
        <v>8</v>
      </c>
      <c r="N10" s="6" t="s">
        <v>18</v>
      </c>
      <c r="O10" s="5" t="str">
        <f>_xlfn.XLOOKUP(N10,$B$2:$B$57,$C$2:$C$57)</f>
        <v>The Math Cooperative</v>
      </c>
      <c r="P10" s="5">
        <f>_xlfn.XLOOKUP(N10,$B$2:$B$57,$D$2:$D$57)</f>
        <v>1</v>
      </c>
    </row>
    <row r="11" spans="1:20" x14ac:dyDescent="0.25">
      <c r="A11" s="3">
        <v>9</v>
      </c>
      <c r="B11" s="1" t="s">
        <v>20</v>
      </c>
      <c r="C11" s="1" t="s">
        <v>72</v>
      </c>
      <c r="D11" s="1">
        <v>4</v>
      </c>
      <c r="F11" s="3">
        <v>7</v>
      </c>
      <c r="G11" s="10">
        <v>9</v>
      </c>
      <c r="I11" s="3">
        <v>9</v>
      </c>
      <c r="J11" s="2">
        <f>SUMIF($N$2:$N$54, "", $M$2:$M$54)</f>
        <v>1</v>
      </c>
      <c r="K11" s="2">
        <f>_xlfn.XLOOKUP(J11,$M$2:$M$54,$N$2:$N$54)</f>
        <v>0</v>
      </c>
      <c r="M11" s="3">
        <v>9</v>
      </c>
      <c r="N11" s="6" t="s">
        <v>19</v>
      </c>
      <c r="O11" s="5" t="str">
        <f>_xlfn.XLOOKUP(N11,$B$2:$B$57,$C$2:$C$57)</f>
        <v>Precalculus I and II</v>
      </c>
      <c r="P11" s="5">
        <f>_xlfn.XLOOKUP(N11,$B$2:$B$57,$D$2:$D$57)</f>
        <v>4</v>
      </c>
    </row>
    <row r="12" spans="1:20" x14ac:dyDescent="0.25">
      <c r="A12" s="3">
        <v>10</v>
      </c>
      <c r="B12" s="1" t="s">
        <v>21</v>
      </c>
      <c r="C12" s="1" t="s">
        <v>113</v>
      </c>
      <c r="D12" s="1">
        <v>4</v>
      </c>
      <c r="F12" s="3">
        <v>8</v>
      </c>
      <c r="G12" s="11">
        <v>10</v>
      </c>
      <c r="I12" s="3">
        <v>10</v>
      </c>
      <c r="J12" s="2">
        <f>SUMIF($N$2:$N$54, "MATH 102M", $M$2:$M$54)</f>
        <v>6</v>
      </c>
      <c r="K12" s="2" t="str">
        <f>_xlfn.XLOOKUP(J12,$M$2:$M$54,$N$2:$N$54)</f>
        <v>MATH 102M</v>
      </c>
      <c r="M12" s="3">
        <v>10</v>
      </c>
      <c r="N12" s="6" t="s">
        <v>20</v>
      </c>
      <c r="O12" s="5" t="str">
        <f>_xlfn.XLOOKUP(N12,$B$2:$B$57,$C$2:$C$57)</f>
        <v>Introduction to Programming with Java</v>
      </c>
      <c r="P12" s="5">
        <f>_xlfn.XLOOKUP(N12,$B$2:$B$57,$D$2:$D$57)</f>
        <v>4</v>
      </c>
    </row>
    <row r="13" spans="1:20" x14ac:dyDescent="0.25">
      <c r="A13" s="3">
        <v>11</v>
      </c>
      <c r="B13" s="1" t="s">
        <v>22</v>
      </c>
      <c r="C13" s="1" t="s">
        <v>73</v>
      </c>
      <c r="D13" s="1">
        <v>3</v>
      </c>
      <c r="F13" s="3">
        <v>8</v>
      </c>
      <c r="G13" s="10">
        <v>11</v>
      </c>
      <c r="I13" s="3">
        <v>11</v>
      </c>
      <c r="J13" s="2">
        <f>SUMIF($N$2:$N$54, "MATH 103M", $M$2:$M$54)</f>
        <v>7</v>
      </c>
      <c r="K13" s="2" t="str">
        <f>_xlfn.XLOOKUP(J13,$M$2:$M$54,$N$2:$N$54)</f>
        <v>MATH 103M</v>
      </c>
      <c r="M13" s="3">
        <v>11</v>
      </c>
      <c r="N13" s="6" t="s">
        <v>21</v>
      </c>
      <c r="O13" s="5" t="str">
        <f>_xlfn.XLOOKUP(N13,$B$2:$B$57,$C$2:$C$57)</f>
        <v>Introduction to Programming with Python</v>
      </c>
      <c r="P13" s="5">
        <f>_xlfn.XLOOKUP(N13,$B$2:$B$57,$D$2:$D$57)</f>
        <v>4</v>
      </c>
    </row>
    <row r="14" spans="1:20" x14ac:dyDescent="0.25">
      <c r="A14" s="3">
        <v>12</v>
      </c>
      <c r="B14" s="1" t="s">
        <v>23</v>
      </c>
      <c r="C14" s="1" t="s">
        <v>74</v>
      </c>
      <c r="D14" s="1">
        <v>3</v>
      </c>
      <c r="F14" s="3">
        <v>9</v>
      </c>
      <c r="G14" s="11">
        <v>12</v>
      </c>
      <c r="I14" s="3">
        <v>12</v>
      </c>
      <c r="J14" s="2">
        <f>SUMIF($N$2:$N$54, "MATH 162M", $M$2:$M$54)</f>
        <v>5</v>
      </c>
      <c r="K14" s="2" t="str">
        <f>_xlfn.XLOOKUP(J14,$M$2:$M$54,$N$2:$N$54)</f>
        <v>MATH 162M</v>
      </c>
      <c r="M14" s="3">
        <v>12</v>
      </c>
      <c r="N14" s="6" t="s">
        <v>22</v>
      </c>
      <c r="O14" s="5" t="str">
        <f>_xlfn.XLOOKUP(N14,$B$2:$B$57,$C$2:$C$57)</f>
        <v>Writing, Rhetoric, and Research</v>
      </c>
      <c r="P14" s="5">
        <f>_xlfn.XLOOKUP(N14,$B$2:$B$57,$D$2:$D$57)</f>
        <v>3</v>
      </c>
    </row>
    <row r="15" spans="1:20" x14ac:dyDescent="0.25">
      <c r="A15" s="3">
        <v>13</v>
      </c>
      <c r="B15" s="1" t="s">
        <v>24</v>
      </c>
      <c r="C15" s="1" t="s">
        <v>75</v>
      </c>
      <c r="D15" s="1">
        <v>4</v>
      </c>
      <c r="F15" s="3">
        <v>10</v>
      </c>
      <c r="G15" s="10">
        <v>13</v>
      </c>
      <c r="I15" s="3">
        <v>13</v>
      </c>
      <c r="J15" s="2">
        <f>SUMIF($N$2:$N$54, "MATH 162M", $M$2:$M$54)</f>
        <v>5</v>
      </c>
      <c r="K15" s="2" t="str">
        <f>_xlfn.XLOOKUP(J15,$M$2:$M$54,$N$2:$N$54)</f>
        <v>MATH 162M</v>
      </c>
      <c r="M15" s="3">
        <v>13</v>
      </c>
      <c r="N15" s="6" t="s">
        <v>23</v>
      </c>
      <c r="O15" s="5" t="str">
        <f>_xlfn.XLOOKUP(N15,$B$2:$B$57,$C$2:$C$57)</f>
        <v>Writing, Rhetoric, and Research: Special Topics</v>
      </c>
      <c r="P15" s="5">
        <f>_xlfn.XLOOKUP(N15,$B$2:$B$57,$D$2:$D$57)</f>
        <v>3</v>
      </c>
    </row>
    <row r="16" spans="1:20" x14ac:dyDescent="0.25">
      <c r="A16" s="3">
        <v>14</v>
      </c>
      <c r="B16" s="1" t="s">
        <v>25</v>
      </c>
      <c r="C16" s="1" t="s">
        <v>76</v>
      </c>
      <c r="D16" s="1">
        <v>3</v>
      </c>
      <c r="F16" s="3">
        <v>11</v>
      </c>
      <c r="G16" s="11">
        <v>14</v>
      </c>
      <c r="I16" s="3">
        <v>14</v>
      </c>
      <c r="J16" s="2">
        <f>SUMIF($N$2:$N$54, "ENGL 110C", $M$2:$M$54)</f>
        <v>2</v>
      </c>
      <c r="K16" s="2" t="str">
        <f>_xlfn.XLOOKUP(J16,$M$2:$M$54,$N$2:$N$54)</f>
        <v>ENGL 110C</v>
      </c>
      <c r="M16" s="3">
        <v>14</v>
      </c>
      <c r="N16" s="6" t="s">
        <v>24</v>
      </c>
      <c r="O16" s="5" t="str">
        <f>_xlfn.XLOOKUP(N16,$B$2:$B$57,$C$2:$C$57)</f>
        <v>Calculus II</v>
      </c>
      <c r="P16" s="5">
        <f>_xlfn.XLOOKUP(N16,$B$2:$B$57,$D$2:$D$57)</f>
        <v>4</v>
      </c>
    </row>
    <row r="17" spans="1:16" x14ac:dyDescent="0.25">
      <c r="A17" s="3">
        <v>15</v>
      </c>
      <c r="B17" s="1" t="s">
        <v>26</v>
      </c>
      <c r="C17" s="1" t="s">
        <v>77</v>
      </c>
      <c r="D17" s="1">
        <v>4</v>
      </c>
      <c r="F17" s="3">
        <v>12</v>
      </c>
      <c r="G17" s="10">
        <v>15</v>
      </c>
      <c r="I17" s="3">
        <v>15</v>
      </c>
      <c r="J17" s="2">
        <f>SUMIF($N$2:$N$54, "ENGL 110C", $M$2:$M$54)</f>
        <v>2</v>
      </c>
      <c r="K17" s="2" t="str">
        <f>_xlfn.XLOOKUP(J17,$M$2:$M$54,$N$2:$N$54)</f>
        <v>ENGL 110C</v>
      </c>
      <c r="M17" s="3">
        <v>15</v>
      </c>
      <c r="N17" s="6" t="s">
        <v>25</v>
      </c>
      <c r="O17" s="5" t="str">
        <f>_xlfn.XLOOKUP(N17,$B$2:$B$57,$C$2:$C$57)</f>
        <v>Introduction to Computer Architecture I</v>
      </c>
      <c r="P17" s="5">
        <f>_xlfn.XLOOKUP(N17,$B$2:$B$57,$D$2:$D$57)</f>
        <v>3</v>
      </c>
    </row>
    <row r="18" spans="1:16" x14ac:dyDescent="0.25">
      <c r="A18" s="3">
        <v>16</v>
      </c>
      <c r="B18" s="1" t="s">
        <v>27</v>
      </c>
      <c r="C18" s="1" t="s">
        <v>78</v>
      </c>
      <c r="D18" s="1">
        <v>4</v>
      </c>
      <c r="F18" s="3">
        <v>13</v>
      </c>
      <c r="G18" s="11">
        <v>16</v>
      </c>
      <c r="I18" s="3">
        <v>16</v>
      </c>
      <c r="J18" s="2">
        <f>SUMIF($N$2:$N$54, "MATH 211", $M$2:$M$54)</f>
        <v>3</v>
      </c>
      <c r="K18" s="2" t="str">
        <f>_xlfn.XLOOKUP(J18,$M$2:$M$54,$N$2:$N$54)</f>
        <v>MATH 211</v>
      </c>
      <c r="M18" s="3">
        <v>16</v>
      </c>
      <c r="N18" s="6" t="s">
        <v>26</v>
      </c>
      <c r="O18" s="5" t="str">
        <f>_xlfn.XLOOKUP(N18,$B$2:$B$57,$C$2:$C$57)</f>
        <v>Introduction to Programming with C++</v>
      </c>
      <c r="P18" s="5">
        <f>_xlfn.XLOOKUP(N18,$B$2:$B$57,$D$2:$D$57)</f>
        <v>4</v>
      </c>
    </row>
    <row r="19" spans="1:16" x14ac:dyDescent="0.25">
      <c r="A19" s="3">
        <v>17</v>
      </c>
      <c r="B19" s="1" t="s">
        <v>28</v>
      </c>
      <c r="C19" s="1" t="s">
        <v>79</v>
      </c>
      <c r="D19" s="1">
        <v>4</v>
      </c>
      <c r="F19" s="3">
        <v>14</v>
      </c>
      <c r="G19" s="10">
        <v>17</v>
      </c>
      <c r="I19" s="3">
        <v>17</v>
      </c>
      <c r="J19" s="2">
        <f>SUMIF($N$2:$N$54, "MATH 162M", $M$2:$M$54)</f>
        <v>5</v>
      </c>
      <c r="K19" s="2" t="str">
        <f>_xlfn.XLOOKUP(J19,$M$2:$M$54,$N$2:$N$54)</f>
        <v>MATH 162M</v>
      </c>
      <c r="M19" s="3">
        <v>17</v>
      </c>
      <c r="N19" s="6" t="s">
        <v>27</v>
      </c>
      <c r="O19" s="5" t="str">
        <f>_xlfn.XLOOKUP(N19,$B$2:$B$57,$C$2:$C$57)</f>
        <v>Computer Programming for Engineering Problem Solving</v>
      </c>
      <c r="P19" s="5">
        <f>_xlfn.XLOOKUP(N19,$B$2:$B$57,$D$2:$D$57)</f>
        <v>4</v>
      </c>
    </row>
    <row r="20" spans="1:16" x14ac:dyDescent="0.25">
      <c r="A20" s="3">
        <v>18</v>
      </c>
      <c r="B20" s="1" t="s">
        <v>29</v>
      </c>
      <c r="C20" s="1" t="s">
        <v>80</v>
      </c>
      <c r="D20" s="1">
        <v>1</v>
      </c>
      <c r="F20" s="3">
        <v>14</v>
      </c>
      <c r="G20" s="11">
        <v>18</v>
      </c>
      <c r="I20" s="3">
        <v>17</v>
      </c>
      <c r="J20" s="2">
        <f>SUMIF($N$2:$N$54, "CS 150", $M$2:$M$54)</f>
        <v>16</v>
      </c>
      <c r="K20" s="2" t="str">
        <f>_xlfn.XLOOKUP(J20,$M$2:$M$54,$N$2:$N$54)</f>
        <v>CS 150</v>
      </c>
      <c r="M20" s="3">
        <v>18</v>
      </c>
      <c r="N20" s="6" t="s">
        <v>28</v>
      </c>
      <c r="O20" s="5" t="str">
        <f>_xlfn.XLOOKUP(N20,$B$2:$B$57,$C$2:$C$57)</f>
        <v>Programming with Java</v>
      </c>
      <c r="P20" s="5">
        <f>_xlfn.XLOOKUP(N20,$B$2:$B$57,$D$2:$D$57)</f>
        <v>4</v>
      </c>
    </row>
    <row r="21" spans="1:16" x14ac:dyDescent="0.25">
      <c r="A21" s="3">
        <v>19</v>
      </c>
      <c r="B21" s="1" t="s">
        <v>30</v>
      </c>
      <c r="C21" s="1" t="s">
        <v>81</v>
      </c>
      <c r="D21" s="1">
        <v>3</v>
      </c>
      <c r="F21" s="3">
        <v>14</v>
      </c>
      <c r="G21" s="10">
        <v>19</v>
      </c>
      <c r="I21" s="3">
        <v>18</v>
      </c>
      <c r="J21" s="2">
        <f>SUMIF($N$2:$N$54, "MATH 162M", $M$2:$M$54)</f>
        <v>5</v>
      </c>
      <c r="K21" s="2" t="str">
        <f>_xlfn.XLOOKUP(J21,$M$2:$M$54,$N$2:$N$54)</f>
        <v>MATH 162M</v>
      </c>
      <c r="M21" s="3">
        <v>19</v>
      </c>
      <c r="N21" s="6" t="s">
        <v>29</v>
      </c>
      <c r="O21" s="5" t="str">
        <f>_xlfn.XLOOKUP(N21,$B$2:$B$57,$C$2:$C$57)</f>
        <v>Introduction to Unix for Programmers</v>
      </c>
      <c r="P21" s="5">
        <f>_xlfn.XLOOKUP(N21,$B$2:$B$57,$D$2:$D$57)</f>
        <v>1</v>
      </c>
    </row>
    <row r="22" spans="1:16" x14ac:dyDescent="0.25">
      <c r="A22" s="3">
        <v>20</v>
      </c>
      <c r="B22" s="1" t="s">
        <v>31</v>
      </c>
      <c r="C22" s="1" t="s">
        <v>82</v>
      </c>
      <c r="D22" s="1">
        <v>3</v>
      </c>
      <c r="F22" s="3">
        <v>14</v>
      </c>
      <c r="G22" s="11">
        <v>20</v>
      </c>
      <c r="I22" s="3">
        <v>18</v>
      </c>
      <c r="J22" s="2">
        <f>SUMIF($N$2:$N$54, "CS 151", $M$2:$M$54)</f>
        <v>10</v>
      </c>
      <c r="K22" s="2" t="str">
        <f>_xlfn.XLOOKUP(J22,$M$2:$M$54,$N$2:$N$54)</f>
        <v>CS 151</v>
      </c>
      <c r="M22" s="3">
        <v>20</v>
      </c>
      <c r="N22" s="6" t="s">
        <v>30</v>
      </c>
      <c r="O22" s="5" t="str">
        <f>_xlfn.XLOOKUP(N22,$B$2:$B$57,$C$2:$C$57)</f>
        <v>Introduction to Object-Oriented Programming</v>
      </c>
      <c r="P22" s="5">
        <f>_xlfn.XLOOKUP(N22,$B$2:$B$57,$D$2:$D$57)</f>
        <v>3</v>
      </c>
    </row>
    <row r="23" spans="1:16" x14ac:dyDescent="0.25">
      <c r="A23" s="3">
        <v>21</v>
      </c>
      <c r="B23" s="1" t="s">
        <v>32</v>
      </c>
      <c r="C23" s="1" t="s">
        <v>83</v>
      </c>
      <c r="D23" s="1">
        <v>3</v>
      </c>
      <c r="F23" s="3">
        <v>15</v>
      </c>
      <c r="G23" s="10">
        <v>21</v>
      </c>
      <c r="I23" s="3">
        <v>19</v>
      </c>
      <c r="J23" s="2">
        <f>SUMIF($N$2:$N$54, "MATH 162M", $M$2:$M$54)</f>
        <v>5</v>
      </c>
      <c r="K23" s="2" t="str">
        <f>_xlfn.XLOOKUP(J23,$M$2:$M$54,$N$2:$N$54)</f>
        <v>MATH 162M</v>
      </c>
      <c r="M23" s="3">
        <v>21</v>
      </c>
      <c r="N23" s="6" t="s">
        <v>31</v>
      </c>
      <c r="O23" s="5" t="str">
        <f>_xlfn.XLOOKUP(N23,$B$2:$B$57,$C$2:$C$57)</f>
        <v>Introductory Linear Algebra</v>
      </c>
      <c r="P23" s="5">
        <f>_xlfn.XLOOKUP(N23,$B$2:$B$57,$D$2:$D$57)</f>
        <v>3</v>
      </c>
    </row>
    <row r="24" spans="1:16" x14ac:dyDescent="0.25">
      <c r="A24" s="3">
        <v>22</v>
      </c>
      <c r="B24" s="1" t="s">
        <v>33</v>
      </c>
      <c r="C24" s="1" t="s">
        <v>84</v>
      </c>
      <c r="D24" s="1">
        <v>3</v>
      </c>
      <c r="F24" s="3">
        <v>16</v>
      </c>
      <c r="G24" s="11">
        <v>22</v>
      </c>
      <c r="I24" s="3">
        <v>19</v>
      </c>
      <c r="J24" s="2">
        <f>SUMIF($N$2:$N$54, "CS 153", $M$2:$M$54)</f>
        <v>11</v>
      </c>
      <c r="K24" s="2" t="str">
        <f>_xlfn.XLOOKUP(J24,$M$2:$M$54,$N$2:$N$54)</f>
        <v>CS 153</v>
      </c>
      <c r="M24" s="3">
        <v>22</v>
      </c>
      <c r="N24" s="6" t="s">
        <v>32</v>
      </c>
      <c r="O24" s="5" t="str">
        <f>_xlfn.XLOOKUP(N24,$B$2:$B$57,$C$2:$C$57)</f>
        <v>Introduction to Computer Architecture II</v>
      </c>
      <c r="P24" s="5">
        <f>_xlfn.XLOOKUP(N24,$B$2:$B$57,$D$2:$D$57)</f>
        <v>3</v>
      </c>
    </row>
    <row r="25" spans="1:16" x14ac:dyDescent="0.25">
      <c r="A25" s="3">
        <v>23</v>
      </c>
      <c r="B25" s="1" t="s">
        <v>34</v>
      </c>
      <c r="C25" s="1" t="s">
        <v>85</v>
      </c>
      <c r="D25" s="1">
        <v>4</v>
      </c>
      <c r="F25" s="3">
        <v>16</v>
      </c>
      <c r="G25" s="10">
        <v>23</v>
      </c>
      <c r="I25" s="3">
        <v>20</v>
      </c>
      <c r="J25" s="2">
        <f>SUMIF($N$2:$N$54, "MATH 162M", $M$2:$M$54)</f>
        <v>5</v>
      </c>
      <c r="K25" s="2" t="str">
        <f>_xlfn.XLOOKUP(J25,$M$2:$M$54,$N$2:$N$54)</f>
        <v>MATH 162M</v>
      </c>
      <c r="M25" s="3">
        <v>23</v>
      </c>
      <c r="N25" s="6" t="s">
        <v>33</v>
      </c>
      <c r="O25" s="5" t="str">
        <f>_xlfn.XLOOKUP(N25,$B$2:$B$57,$C$2:$C$57)</f>
        <v>Object-Oriented Design and Programming</v>
      </c>
      <c r="P25" s="5">
        <f>_xlfn.XLOOKUP(N25,$B$2:$B$57,$D$2:$D$57)</f>
        <v>3</v>
      </c>
    </row>
    <row r="26" spans="1:16" x14ac:dyDescent="0.25">
      <c r="A26" s="3">
        <v>24</v>
      </c>
      <c r="B26" s="1" t="s">
        <v>35</v>
      </c>
      <c r="C26" s="1" t="s">
        <v>86</v>
      </c>
      <c r="D26" s="1">
        <v>4</v>
      </c>
      <c r="F26" s="3">
        <v>17</v>
      </c>
      <c r="G26" s="11">
        <v>24</v>
      </c>
      <c r="I26" s="3">
        <v>20</v>
      </c>
      <c r="J26" s="2">
        <f>SUMIF($N$2:$N$54, "ENGN 150", $M$2:$M$54)</f>
        <v>17</v>
      </c>
      <c r="K26" s="2" t="str">
        <f>_xlfn.XLOOKUP(J26,$M$2:$M$54,$N$2:$N$54)</f>
        <v>ENGN 150</v>
      </c>
      <c r="M26" s="3">
        <v>24</v>
      </c>
      <c r="N26" s="6" t="s">
        <v>34</v>
      </c>
      <c r="O26" s="5" t="str">
        <f>_xlfn.XLOOKUP(N26,$B$2:$B$57,$C$2:$C$57)</f>
        <v>Transfer Credit for Programming with Python</v>
      </c>
      <c r="P26" s="5">
        <f>_xlfn.XLOOKUP(N26,$B$2:$B$57,$D$2:$D$57)</f>
        <v>4</v>
      </c>
    </row>
    <row r="27" spans="1:16" x14ac:dyDescent="0.25">
      <c r="A27" s="3">
        <v>25</v>
      </c>
      <c r="B27" s="1" t="s">
        <v>36</v>
      </c>
      <c r="C27" s="1" t="s">
        <v>87</v>
      </c>
      <c r="D27" s="1">
        <v>3</v>
      </c>
      <c r="F27" s="3">
        <v>17</v>
      </c>
      <c r="G27" s="10">
        <v>25</v>
      </c>
      <c r="I27" s="3">
        <v>21</v>
      </c>
      <c r="J27" s="2">
        <f>SUMIF($N$2:$N$54, "MATH 162M", $M$2:$M$54)</f>
        <v>5</v>
      </c>
      <c r="K27" s="2" t="str">
        <f>_xlfn.XLOOKUP(J27,$M$2:$M$54,$N$2:$N$54)</f>
        <v>MATH 162M</v>
      </c>
      <c r="M27" s="3">
        <v>25</v>
      </c>
      <c r="N27" s="6" t="s">
        <v>35</v>
      </c>
      <c r="O27" s="5" t="str">
        <f>_xlfn.XLOOKUP(N27,$B$2:$B$57,$C$2:$C$57)</f>
        <v>Programming with C++</v>
      </c>
      <c r="P27" s="5">
        <f>_xlfn.XLOOKUP(N27,$B$2:$B$57,$D$2:$D$57)</f>
        <v>4</v>
      </c>
    </row>
    <row r="28" spans="1:16" x14ac:dyDescent="0.25">
      <c r="A28" s="3">
        <v>26</v>
      </c>
      <c r="B28" s="1" t="s">
        <v>37</v>
      </c>
      <c r="C28" s="1" t="s">
        <v>88</v>
      </c>
      <c r="D28" s="1">
        <v>3</v>
      </c>
      <c r="F28" s="3">
        <v>17</v>
      </c>
      <c r="G28" s="11">
        <v>26</v>
      </c>
      <c r="I28" s="3">
        <v>22</v>
      </c>
      <c r="J28" s="2">
        <f>SUMIF($N$2:$N$54, "MATH 163", $M$2:$M$54)</f>
        <v>4</v>
      </c>
      <c r="K28" s="2" t="str">
        <f>_xlfn.XLOOKUP(J28,$M$2:$M$54,$N$2:$N$54)</f>
        <v>MATH 163</v>
      </c>
      <c r="M28" s="3">
        <v>26</v>
      </c>
      <c r="N28" s="6" t="s">
        <v>36</v>
      </c>
      <c r="O28" s="5" t="str">
        <f>_xlfn.XLOOKUP(N28,$B$2:$B$57,$C$2:$C$57)</f>
        <v>Public Speaking</v>
      </c>
      <c r="P28" s="5">
        <f>_xlfn.XLOOKUP(N28,$B$2:$B$57,$D$2:$D$57)</f>
        <v>3</v>
      </c>
    </row>
    <row r="29" spans="1:16" x14ac:dyDescent="0.25">
      <c r="A29" s="3">
        <v>27</v>
      </c>
      <c r="B29" s="1" t="s">
        <v>38</v>
      </c>
      <c r="C29" s="1" t="s">
        <v>89</v>
      </c>
      <c r="D29" s="1">
        <v>3</v>
      </c>
      <c r="F29" s="3">
        <v>17</v>
      </c>
      <c r="G29" s="10">
        <v>27</v>
      </c>
      <c r="I29" s="3">
        <v>23</v>
      </c>
      <c r="J29" s="2">
        <f>SUMIF($N$2:$N$54, "MATH 166", $M$2:$M$54)</f>
        <v>9</v>
      </c>
      <c r="K29" s="2" t="str">
        <f>_xlfn.XLOOKUP(J29,$M$2:$M$54,$N$2:$N$54)</f>
        <v>MATH 166</v>
      </c>
      <c r="M29" s="3">
        <v>27</v>
      </c>
      <c r="N29" s="6" t="s">
        <v>37</v>
      </c>
      <c r="O29" s="5" t="str">
        <f>_xlfn.XLOOKUP(N29,$B$2:$B$57,$C$2:$C$57)</f>
        <v>Raising Moral Issues in STEM</v>
      </c>
      <c r="P29" s="5">
        <f>_xlfn.XLOOKUP(N29,$B$2:$B$57,$D$2:$D$57)</f>
        <v>3</v>
      </c>
    </row>
    <row r="30" spans="1:16" x14ac:dyDescent="0.25">
      <c r="A30" s="3">
        <v>28</v>
      </c>
      <c r="B30" s="1" t="s">
        <v>39</v>
      </c>
      <c r="C30" s="1" t="s">
        <v>90</v>
      </c>
      <c r="D30" s="1">
        <v>1</v>
      </c>
      <c r="F30" s="3">
        <v>18</v>
      </c>
      <c r="G30" s="11">
        <v>28</v>
      </c>
      <c r="I30" s="3">
        <v>24</v>
      </c>
      <c r="J30" s="2">
        <f>SUMIF($N$2:$N$54, "MATH 163", $M$2:$M$54)</f>
        <v>4</v>
      </c>
      <c r="K30" s="2" t="str">
        <f>_xlfn.XLOOKUP(J30,$M$2:$M$54,$N$2:$N$54)</f>
        <v>MATH 163</v>
      </c>
      <c r="M30" s="3">
        <v>28</v>
      </c>
      <c r="N30" s="6" t="s">
        <v>38</v>
      </c>
      <c r="O30" s="5" t="str">
        <f>_xlfn.XLOOKUP(N30,$B$2:$B$57,$C$2:$C$57)</f>
        <v>An Introduction to Probability and Statistics</v>
      </c>
      <c r="P30" s="5">
        <f>_xlfn.XLOOKUP(N30,$B$2:$B$57,$D$2:$D$57)</f>
        <v>3</v>
      </c>
    </row>
    <row r="31" spans="1:16" x14ac:dyDescent="0.25">
      <c r="A31" s="3">
        <v>29</v>
      </c>
      <c r="B31" s="1" t="s">
        <v>40</v>
      </c>
      <c r="C31" s="1" t="s">
        <v>91</v>
      </c>
      <c r="D31" s="1">
        <v>3</v>
      </c>
      <c r="F31" s="3">
        <v>18</v>
      </c>
      <c r="G31" s="10">
        <v>29</v>
      </c>
      <c r="I31" s="3">
        <v>24</v>
      </c>
      <c r="J31" s="2">
        <f>SUMIF($N$2:$N$54, "CS 150", $M$2:$M$54)</f>
        <v>16</v>
      </c>
      <c r="K31" s="2" t="str">
        <f>_xlfn.XLOOKUP(J31,$M$2:$M$54,$N$2:$N$54)</f>
        <v>CS 150</v>
      </c>
      <c r="M31" s="3">
        <v>29</v>
      </c>
      <c r="N31" s="6" t="s">
        <v>39</v>
      </c>
      <c r="O31" s="5" t="str">
        <f>_xlfn.XLOOKUP(N31,$B$2:$B$57,$C$2:$C$57)</f>
        <v>C++ for Programmers</v>
      </c>
      <c r="P31" s="5">
        <f>_xlfn.XLOOKUP(N31,$B$2:$B$57,$D$2:$D$57)</f>
        <v>1</v>
      </c>
    </row>
    <row r="32" spans="1:16" x14ac:dyDescent="0.25">
      <c r="A32" s="3">
        <v>30</v>
      </c>
      <c r="B32" s="1" t="s">
        <v>41</v>
      </c>
      <c r="C32" s="1" t="s">
        <v>114</v>
      </c>
      <c r="D32" s="1">
        <v>1</v>
      </c>
      <c r="F32" s="3">
        <v>18</v>
      </c>
      <c r="G32" s="11">
        <v>30</v>
      </c>
      <c r="I32" s="3">
        <v>25</v>
      </c>
      <c r="J32" s="2">
        <f>SUMIF($N$2:$N$54, "MATH 163", $M$2:$M$54)</f>
        <v>4</v>
      </c>
      <c r="K32" s="2" t="str">
        <f>_xlfn.XLOOKUP(J32,$M$2:$M$54,$N$2:$N$54)</f>
        <v>MATH 163</v>
      </c>
      <c r="M32" s="3">
        <v>30</v>
      </c>
      <c r="N32" s="6" t="s">
        <v>40</v>
      </c>
      <c r="O32" s="5" t="str">
        <f t="shared" ref="O32:O54" si="0">_xlfn.XLOOKUP(N32,$B$2:$B$57,$C$2:$C$57)</f>
        <v>Data Structures and Algorithms</v>
      </c>
      <c r="P32" s="5">
        <f t="shared" ref="P32:P54" si="1">_xlfn.XLOOKUP(N32,$B$2:$B$57,$D$2:$D$57)</f>
        <v>3</v>
      </c>
    </row>
    <row r="33" spans="1:16" x14ac:dyDescent="0.25">
      <c r="A33" s="3">
        <v>31</v>
      </c>
      <c r="B33" s="1" t="s">
        <v>42</v>
      </c>
      <c r="C33" s="1" t="s">
        <v>92</v>
      </c>
      <c r="D33" s="1">
        <v>3</v>
      </c>
      <c r="F33" s="3">
        <v>18</v>
      </c>
      <c r="G33" s="10">
        <v>31</v>
      </c>
      <c r="I33" s="3">
        <v>25</v>
      </c>
      <c r="J33" s="2">
        <f>SUMIF($N$2:$N$54, "CS 151", $M$2:$M$54)</f>
        <v>10</v>
      </c>
      <c r="K33" s="2" t="str">
        <f>_xlfn.XLOOKUP(J33,$M$2:$M$54,$N$2:$N$54)</f>
        <v>CS 151</v>
      </c>
      <c r="M33" s="3">
        <v>31</v>
      </c>
      <c r="N33" s="6" t="s">
        <v>41</v>
      </c>
      <c r="O33" s="5" t="str">
        <f t="shared" si="0"/>
        <v>Java for Programmers</v>
      </c>
      <c r="P33" s="5">
        <f t="shared" si="1"/>
        <v>1</v>
      </c>
    </row>
    <row r="34" spans="1:16" x14ac:dyDescent="0.25">
      <c r="A34" s="3">
        <v>32</v>
      </c>
      <c r="B34" s="1" t="s">
        <v>43</v>
      </c>
      <c r="C34" s="1" t="s">
        <v>93</v>
      </c>
      <c r="D34" s="1">
        <v>3</v>
      </c>
      <c r="F34" s="3">
        <v>18</v>
      </c>
      <c r="G34" s="11">
        <v>32</v>
      </c>
      <c r="I34" s="3">
        <v>26</v>
      </c>
      <c r="J34" s="2">
        <f>SUMIF($N$2:$N$54, "math 163", $M$2:$M$54)</f>
        <v>4</v>
      </c>
      <c r="K34" s="2" t="str">
        <f>_xlfn.XLOOKUP(J34,$M$2:$M$54,$N$2:$N$54)</f>
        <v>MATH 163</v>
      </c>
      <c r="M34" s="3">
        <v>32</v>
      </c>
      <c r="N34" s="6" t="s">
        <v>42</v>
      </c>
      <c r="O34" s="5" t="str">
        <f t="shared" si="0"/>
        <v>Introduction to Information Literacy and Research for Scientists</v>
      </c>
      <c r="P34" s="5">
        <f t="shared" si="1"/>
        <v>3</v>
      </c>
    </row>
    <row r="35" spans="1:16" x14ac:dyDescent="0.25">
      <c r="A35" s="3">
        <v>33</v>
      </c>
      <c r="B35" s="1" t="s">
        <v>44</v>
      </c>
      <c r="C35" s="1" t="s">
        <v>94</v>
      </c>
      <c r="D35" s="1">
        <v>1</v>
      </c>
      <c r="F35" s="3">
        <v>19</v>
      </c>
      <c r="G35" s="10">
        <v>33</v>
      </c>
      <c r="I35" s="3">
        <v>26</v>
      </c>
      <c r="J35" s="2">
        <f>SUMIF($N$2:$N$54, "CS 153", $M$2:$M$54)</f>
        <v>11</v>
      </c>
      <c r="K35" s="2" t="str">
        <f>_xlfn.XLOOKUP(J35,$M$2:$M$54,$N$2:$N$54)</f>
        <v>CS 153</v>
      </c>
      <c r="M35" s="3">
        <v>33</v>
      </c>
      <c r="N35" s="6" t="s">
        <v>43</v>
      </c>
      <c r="O35" s="5" t="str">
        <f t="shared" si="0"/>
        <v>Information Literacy for Cybersecurity</v>
      </c>
      <c r="P35" s="5">
        <f t="shared" si="1"/>
        <v>3</v>
      </c>
    </row>
    <row r="36" spans="1:16" x14ac:dyDescent="0.25">
      <c r="A36" s="3">
        <v>34</v>
      </c>
      <c r="B36" s="1" t="s">
        <v>45</v>
      </c>
      <c r="C36" s="1" t="s">
        <v>95</v>
      </c>
      <c r="D36" s="1">
        <v>3</v>
      </c>
      <c r="F36" s="3">
        <v>20</v>
      </c>
      <c r="G36" s="11">
        <v>34</v>
      </c>
      <c r="I36" s="3">
        <v>27</v>
      </c>
      <c r="J36" s="2">
        <f>SUMIF($N$2:$N$54, "MATH 163", $M$2:$M$54)</f>
        <v>4</v>
      </c>
      <c r="K36" s="2" t="str">
        <f>_xlfn.XLOOKUP(J36,$M$2:$M$54,$N$2:$N$54)</f>
        <v>MATH 163</v>
      </c>
      <c r="M36" s="3">
        <v>34</v>
      </c>
      <c r="N36" s="6" t="s">
        <v>44</v>
      </c>
      <c r="O36" s="5" t="str">
        <f t="shared" si="0"/>
        <v>Computer Science Undergraduate Colloquium</v>
      </c>
      <c r="P36" s="5">
        <f t="shared" si="1"/>
        <v>1</v>
      </c>
    </row>
    <row r="37" spans="1:16" x14ac:dyDescent="0.25">
      <c r="A37" s="3">
        <v>35</v>
      </c>
      <c r="B37" s="1" t="s">
        <v>46</v>
      </c>
      <c r="C37" s="1" t="s">
        <v>96</v>
      </c>
      <c r="D37" s="1">
        <v>3</v>
      </c>
      <c r="F37" s="3">
        <v>21</v>
      </c>
      <c r="G37" s="10">
        <v>35</v>
      </c>
      <c r="I37" s="3">
        <v>27</v>
      </c>
      <c r="J37" s="2">
        <f>SUMIF($N$2:$N$54, "ENGN 150", $M$2:$M$54)</f>
        <v>17</v>
      </c>
      <c r="K37" s="2" t="str">
        <f>_xlfn.XLOOKUP(J37,$M$2:$M$54,$N$2:$N$54)</f>
        <v>ENGN 150</v>
      </c>
      <c r="M37" s="3">
        <v>35</v>
      </c>
      <c r="N37" s="6" t="s">
        <v>45</v>
      </c>
      <c r="O37" s="5" t="str">
        <f t="shared" si="0"/>
        <v>Principles of Programming Languages</v>
      </c>
      <c r="P37" s="5">
        <f t="shared" si="1"/>
        <v>3</v>
      </c>
    </row>
    <row r="38" spans="1:16" x14ac:dyDescent="0.25">
      <c r="A38" s="3">
        <v>36</v>
      </c>
      <c r="B38" s="1" t="s">
        <v>47</v>
      </c>
      <c r="C38" s="1" t="s">
        <v>97</v>
      </c>
      <c r="D38" s="1">
        <v>3</v>
      </c>
      <c r="F38" s="3">
        <v>22</v>
      </c>
      <c r="G38" s="11">
        <v>36</v>
      </c>
      <c r="I38" s="3">
        <v>28</v>
      </c>
      <c r="J38" s="2">
        <f>SUMIF($N$2:$N$54, "CS 150", $M$2:$M$54)</f>
        <v>16</v>
      </c>
      <c r="K38" s="2" t="str">
        <f>_xlfn.XLOOKUP(J38,$M$2:$M$54,$N$2:$N$54)</f>
        <v>CS 150</v>
      </c>
      <c r="M38" s="3">
        <v>36</v>
      </c>
      <c r="N38" s="6" t="s">
        <v>46</v>
      </c>
      <c r="O38" s="5" t="str">
        <f t="shared" si="0"/>
        <v>Introduction to Discrete Structures</v>
      </c>
      <c r="P38" s="5">
        <f t="shared" si="1"/>
        <v>3</v>
      </c>
    </row>
    <row r="39" spans="1:16" x14ac:dyDescent="0.25">
      <c r="A39" s="3">
        <v>37</v>
      </c>
      <c r="B39" s="1" t="s">
        <v>48</v>
      </c>
      <c r="C39" s="1" t="s">
        <v>98</v>
      </c>
      <c r="D39" s="1">
        <v>3</v>
      </c>
      <c r="F39" s="3">
        <v>22</v>
      </c>
      <c r="G39" s="10">
        <v>37</v>
      </c>
      <c r="I39" s="3">
        <v>29</v>
      </c>
      <c r="J39" s="2">
        <f>SUMIF($N$2:$N$54, "CS 151", $M$2:$M$54)</f>
        <v>10</v>
      </c>
      <c r="K39" s="2" t="str">
        <f>_xlfn.XLOOKUP(J39,$M$2:$M$54,$N$2:$N$54)</f>
        <v>CS 151</v>
      </c>
      <c r="M39" s="3">
        <v>37</v>
      </c>
      <c r="N39" s="6" t="s">
        <v>47</v>
      </c>
      <c r="O39" s="5" t="str">
        <f t="shared" si="0"/>
        <v>Introduction to Software Engineering</v>
      </c>
      <c r="P39" s="5">
        <f t="shared" si="1"/>
        <v>3</v>
      </c>
    </row>
    <row r="40" spans="1:16" x14ac:dyDescent="0.25">
      <c r="A40" s="3">
        <v>38</v>
      </c>
      <c r="B40" s="1" t="s">
        <v>49</v>
      </c>
      <c r="C40" s="1" t="s">
        <v>99</v>
      </c>
      <c r="D40" s="1">
        <v>3</v>
      </c>
      <c r="F40" s="3">
        <v>22</v>
      </c>
      <c r="G40" s="11">
        <v>38</v>
      </c>
      <c r="I40" s="3">
        <v>30</v>
      </c>
      <c r="J40" s="2">
        <f>SUMIF($N$2:$N$54, "CS 153", $M$2:$M$54)</f>
        <v>11</v>
      </c>
      <c r="K40" s="2" t="str">
        <f>_xlfn.XLOOKUP(J40,$M$2:$M$54,$N$2:$N$54)</f>
        <v>CS 153</v>
      </c>
      <c r="M40" s="3">
        <v>38</v>
      </c>
      <c r="N40" s="6" t="s">
        <v>48</v>
      </c>
      <c r="O40" s="5" t="str">
        <f t="shared" si="0"/>
        <v>Introduction to Theoretical Computer Science</v>
      </c>
      <c r="P40" s="5">
        <f t="shared" si="1"/>
        <v>3</v>
      </c>
    </row>
    <row r="41" spans="1:16" x14ac:dyDescent="0.25">
      <c r="A41" s="3">
        <v>39</v>
      </c>
      <c r="B41" s="1" t="s">
        <v>50</v>
      </c>
      <c r="C41" s="1" t="s">
        <v>100</v>
      </c>
      <c r="D41" s="1">
        <v>3</v>
      </c>
      <c r="F41" s="3">
        <v>23</v>
      </c>
      <c r="G41" s="10">
        <v>39</v>
      </c>
      <c r="I41" s="3">
        <v>31</v>
      </c>
      <c r="J41" s="2">
        <f>SUMIF($N$2:$N$54, "ENGN 150", $M$2:$M$54)</f>
        <v>17</v>
      </c>
      <c r="K41" s="2" t="str">
        <f>_xlfn.XLOOKUP(J41,$M$2:$M$54,$N$2:$N$54)</f>
        <v>ENGN 150</v>
      </c>
      <c r="M41" s="3">
        <v>39</v>
      </c>
      <c r="N41" s="6" t="s">
        <v>49</v>
      </c>
      <c r="O41" s="5" t="str">
        <f t="shared" si="0"/>
        <v>Database Concepts</v>
      </c>
      <c r="P41" s="5">
        <f t="shared" si="1"/>
        <v>3</v>
      </c>
    </row>
    <row r="42" spans="1:16" x14ac:dyDescent="0.25">
      <c r="A42" s="3">
        <v>40</v>
      </c>
      <c r="B42" s="1" t="s">
        <v>51</v>
      </c>
      <c r="C42" s="1" t="s">
        <v>101</v>
      </c>
      <c r="D42" s="1">
        <v>3</v>
      </c>
      <c r="F42" s="3">
        <v>24</v>
      </c>
      <c r="G42" s="11">
        <v>40</v>
      </c>
      <c r="I42" s="3">
        <v>32</v>
      </c>
      <c r="J42" s="2">
        <f>SUMIF($N$2:$N$54, "IT 205", $M$2:$M$54)</f>
        <v>20</v>
      </c>
      <c r="K42" s="2" t="str">
        <f>_xlfn.XLOOKUP(J42,$M$2:$M$54,$N$2:$N$54)</f>
        <v>IT 205</v>
      </c>
      <c r="M42" s="3">
        <v>40</v>
      </c>
      <c r="N42" s="6" t="s">
        <v>50</v>
      </c>
      <c r="O42" s="5" t="str">
        <f t="shared" si="0"/>
        <v>Web Programming</v>
      </c>
      <c r="P42" s="5">
        <f t="shared" si="1"/>
        <v>3</v>
      </c>
    </row>
    <row r="43" spans="1:16" x14ac:dyDescent="0.25">
      <c r="A43" s="3">
        <v>41</v>
      </c>
      <c r="B43" s="1" t="s">
        <v>52</v>
      </c>
      <c r="C43" s="1" t="s">
        <v>102</v>
      </c>
      <c r="D43" s="1">
        <v>3</v>
      </c>
      <c r="F43" s="3">
        <v>24</v>
      </c>
      <c r="G43" s="10">
        <v>41</v>
      </c>
      <c r="I43" s="3">
        <v>33</v>
      </c>
      <c r="J43" s="2">
        <f>SUMIF($N$2:$N$54, "", $M$2:$M$54)</f>
        <v>1</v>
      </c>
      <c r="K43" s="2">
        <f>_xlfn.XLOOKUP(J43,$M$2:$M$54,$N$2:$N$54)</f>
        <v>0</v>
      </c>
      <c r="M43" s="3">
        <v>41</v>
      </c>
      <c r="N43" s="6" t="s">
        <v>51</v>
      </c>
      <c r="O43" s="5" t="str">
        <f t="shared" si="0"/>
        <v>Internet Concepts</v>
      </c>
      <c r="P43" s="5">
        <f t="shared" si="1"/>
        <v>3</v>
      </c>
    </row>
    <row r="44" spans="1:16" x14ac:dyDescent="0.25">
      <c r="A44" s="3">
        <v>42</v>
      </c>
      <c r="B44" s="1" t="s">
        <v>53</v>
      </c>
      <c r="C44" s="1" t="s">
        <v>103</v>
      </c>
      <c r="D44" s="1">
        <v>3</v>
      </c>
      <c r="F44" s="3">
        <v>25</v>
      </c>
      <c r="G44" s="11">
        <v>42</v>
      </c>
      <c r="I44" s="3">
        <v>34</v>
      </c>
      <c r="J44" s="2">
        <f>SUMIF($N$2:$N$54, "MATH 212", $M$2:$M$54)</f>
        <v>14</v>
      </c>
      <c r="K44" s="2" t="str">
        <f>_xlfn.XLOOKUP(J44,$M$2:$M$54,$N$2:$N$54)</f>
        <v>MATH 212</v>
      </c>
      <c r="M44" s="3">
        <v>42</v>
      </c>
      <c r="N44" s="6" t="s">
        <v>52</v>
      </c>
      <c r="O44" s="5" t="str">
        <f t="shared" si="0"/>
        <v>Professional Workforce Development I</v>
      </c>
      <c r="P44" s="5">
        <f t="shared" si="1"/>
        <v>3</v>
      </c>
    </row>
    <row r="45" spans="1:16" x14ac:dyDescent="0.25">
      <c r="A45" s="3">
        <v>43</v>
      </c>
      <c r="B45" s="1" t="s">
        <v>54</v>
      </c>
      <c r="C45" s="1" t="s">
        <v>104</v>
      </c>
      <c r="D45" s="1">
        <v>3</v>
      </c>
      <c r="F45" s="3">
        <v>26</v>
      </c>
      <c r="G45" s="10">
        <v>43</v>
      </c>
      <c r="I45" s="3">
        <v>35</v>
      </c>
      <c r="J45" s="2">
        <f>SUMIF($N$2:$N$54, "CS 170", $M$2:$M$54)</f>
        <v>15</v>
      </c>
      <c r="K45" s="2" t="str">
        <f>_xlfn.XLOOKUP(J45,$M$2:$M$54,$N$2:$N$54)</f>
        <v>CS 170</v>
      </c>
      <c r="M45" s="3">
        <v>43</v>
      </c>
      <c r="N45" s="6" t="s">
        <v>53</v>
      </c>
      <c r="O45" s="5" t="str">
        <f t="shared" si="0"/>
        <v>Computational Methods and Software</v>
      </c>
      <c r="P45" s="5">
        <f t="shared" si="1"/>
        <v>3</v>
      </c>
    </row>
    <row r="46" spans="1:16" x14ac:dyDescent="0.25">
      <c r="A46" s="3">
        <v>44</v>
      </c>
      <c r="B46" s="1" t="s">
        <v>55</v>
      </c>
      <c r="C46" s="1" t="s">
        <v>105</v>
      </c>
      <c r="D46" s="1">
        <v>3</v>
      </c>
      <c r="F46" s="3">
        <v>27</v>
      </c>
      <c r="G46" s="11">
        <v>44</v>
      </c>
      <c r="I46" s="3">
        <v>36</v>
      </c>
      <c r="J46" s="2">
        <f>SUMIF($N$2:$N$54, "CS 252", $M$2:$M$54)</f>
        <v>19</v>
      </c>
      <c r="K46" s="2" t="str">
        <f>_xlfn.XLOOKUP(J46,$M$2:$M$54,$N$2:$N$54)</f>
        <v>CS 252</v>
      </c>
      <c r="M46" s="3">
        <v>44</v>
      </c>
      <c r="N46" s="6" t="s">
        <v>54</v>
      </c>
      <c r="O46" s="5" t="str">
        <f t="shared" si="0"/>
        <v>Professional Workforce Development II</v>
      </c>
      <c r="P46" s="5">
        <f t="shared" si="1"/>
        <v>3</v>
      </c>
    </row>
    <row r="47" spans="1:16" x14ac:dyDescent="0.25">
      <c r="A47" s="3">
        <v>45</v>
      </c>
      <c r="B47" s="1" t="s">
        <v>56</v>
      </c>
      <c r="C47" s="1" t="s">
        <v>106</v>
      </c>
      <c r="D47" s="1">
        <v>3</v>
      </c>
      <c r="F47" s="3">
        <v>28</v>
      </c>
      <c r="G47" s="10">
        <v>45</v>
      </c>
      <c r="I47" s="3">
        <v>36</v>
      </c>
      <c r="J47" s="2">
        <f>SUMIF($N$2:$N$54, "CS 250", $M$2:$M$54)</f>
        <v>25</v>
      </c>
      <c r="K47" s="2" t="str">
        <f>_xlfn.XLOOKUP(J47,$M$2:$M$54,$N$2:$N$54)</f>
        <v>CS 250</v>
      </c>
      <c r="M47" s="3">
        <v>45</v>
      </c>
      <c r="N47" s="6" t="s">
        <v>55</v>
      </c>
      <c r="O47" s="5" t="str">
        <f t="shared" si="0"/>
        <v>Introduction to Writing in Business, Education and Social Sciences</v>
      </c>
      <c r="P47" s="5">
        <f t="shared" si="1"/>
        <v>3</v>
      </c>
    </row>
    <row r="48" spans="1:16" x14ac:dyDescent="0.25">
      <c r="A48" s="3">
        <v>46</v>
      </c>
      <c r="B48" s="1" t="s">
        <v>57</v>
      </c>
      <c r="C48" s="1" t="s">
        <v>107</v>
      </c>
      <c r="D48" s="1">
        <v>3</v>
      </c>
      <c r="F48" s="3">
        <v>28</v>
      </c>
      <c r="G48" s="11">
        <v>46</v>
      </c>
      <c r="I48" s="3">
        <v>37</v>
      </c>
      <c r="J48" s="2">
        <f>SUMIF($N$2:$N$54, "CS 252", $M$2:$M$54)</f>
        <v>19</v>
      </c>
      <c r="K48" s="2" t="str">
        <f>_xlfn.XLOOKUP(J48,$M$2:$M$54,$N$2:$N$54)</f>
        <v>CS 252</v>
      </c>
      <c r="M48" s="3">
        <v>46</v>
      </c>
      <c r="N48" s="6" t="s">
        <v>56</v>
      </c>
      <c r="O48" s="5" t="str">
        <f t="shared" si="0"/>
        <v>Operating Systems</v>
      </c>
      <c r="P48" s="5">
        <f t="shared" si="1"/>
        <v>3</v>
      </c>
    </row>
    <row r="49" spans="1:16" x14ac:dyDescent="0.25">
      <c r="A49" s="3">
        <v>47</v>
      </c>
      <c r="B49" s="1" t="s">
        <v>58</v>
      </c>
      <c r="C49" s="1" t="s">
        <v>108</v>
      </c>
      <c r="D49" s="1">
        <v>4</v>
      </c>
      <c r="F49" s="3">
        <v>29</v>
      </c>
      <c r="G49" s="10">
        <v>47</v>
      </c>
      <c r="I49" s="3">
        <v>37</v>
      </c>
      <c r="J49" s="2">
        <f>SUMIF($N$2:$N$54, "CS 251", $M$2:$M$54)</f>
        <v>18</v>
      </c>
      <c r="K49" s="2" t="str">
        <f>_xlfn.XLOOKUP(J49,$M$2:$M$54,$N$2:$N$54)</f>
        <v>CS 251</v>
      </c>
      <c r="M49" s="3">
        <v>47</v>
      </c>
      <c r="N49" s="6" t="s">
        <v>57</v>
      </c>
      <c r="O49" s="5" t="str">
        <f t="shared" si="0"/>
        <v>Microcontrollers</v>
      </c>
      <c r="P49" s="5">
        <f t="shared" si="1"/>
        <v>3</v>
      </c>
    </row>
    <row r="50" spans="1:16" x14ac:dyDescent="0.25">
      <c r="A50" s="3">
        <v>48</v>
      </c>
      <c r="B50" s="1" t="s">
        <v>59</v>
      </c>
      <c r="C50" s="1" t="s">
        <v>109</v>
      </c>
      <c r="D50" s="1">
        <v>4</v>
      </c>
      <c r="F50" s="3">
        <v>29</v>
      </c>
      <c r="G50" s="11">
        <v>48</v>
      </c>
      <c r="I50" s="3">
        <v>38</v>
      </c>
      <c r="J50" s="2">
        <f>SUMIF($N$2:$N$54, "CS 252", $M$2:$M$54)</f>
        <v>19</v>
      </c>
      <c r="K50" s="2" t="str">
        <f>_xlfn.XLOOKUP(J50,$M$2:$M$54,$N$2:$N$54)</f>
        <v>CS 252</v>
      </c>
      <c r="M50" s="3">
        <v>48</v>
      </c>
      <c r="N50" s="6" t="s">
        <v>58</v>
      </c>
      <c r="O50" s="5" t="str">
        <f t="shared" si="0"/>
        <v>Fundamentals of Computer Engineering</v>
      </c>
      <c r="P50" s="5">
        <f t="shared" si="1"/>
        <v>4</v>
      </c>
    </row>
    <row r="51" spans="1:16" x14ac:dyDescent="0.25">
      <c r="A51" s="3">
        <v>49</v>
      </c>
      <c r="B51" s="1" t="s">
        <v>60</v>
      </c>
      <c r="C51" s="1" t="s">
        <v>110</v>
      </c>
      <c r="D51" s="1">
        <v>3</v>
      </c>
      <c r="F51" s="3">
        <v>30</v>
      </c>
      <c r="G51" s="10">
        <v>49</v>
      </c>
      <c r="I51" s="3">
        <v>38</v>
      </c>
      <c r="J51" s="2">
        <f>SUMIF($N$2:$N$54, "CS 253", $M$2:$M$54)</f>
        <v>24</v>
      </c>
      <c r="K51" s="2" t="str">
        <f>_xlfn.XLOOKUP(J51,$M$2:$M$54,$N$2:$N$54)</f>
        <v>CS 253</v>
      </c>
      <c r="M51" s="3">
        <v>49</v>
      </c>
      <c r="N51" s="6" t="s">
        <v>59</v>
      </c>
      <c r="O51" s="5" t="str">
        <f t="shared" si="0"/>
        <v>Computer Programming for Engineering</v>
      </c>
      <c r="P51" s="5">
        <f t="shared" si="1"/>
        <v>4</v>
      </c>
    </row>
    <row r="52" spans="1:16" x14ac:dyDescent="0.25">
      <c r="A52" s="3">
        <v>50</v>
      </c>
      <c r="B52" s="1" t="s">
        <v>61</v>
      </c>
      <c r="C52" s="1" t="s">
        <v>111</v>
      </c>
      <c r="D52" s="1">
        <v>2</v>
      </c>
      <c r="F52" s="3">
        <v>30</v>
      </c>
      <c r="G52" s="11">
        <v>50</v>
      </c>
      <c r="I52" s="3">
        <v>39</v>
      </c>
      <c r="J52" s="2">
        <f>SUMIF($N$2:$N$54, "", $M$2:$M$54)</f>
        <v>1</v>
      </c>
      <c r="K52" s="2">
        <f>_xlfn.XLOOKUP(J52,$M$2:$M$54,$N$2:$N$54)</f>
        <v>0</v>
      </c>
      <c r="M52" s="3">
        <v>50</v>
      </c>
      <c r="N52" s="6" t="s">
        <v>60</v>
      </c>
      <c r="O52" s="5" t="str">
        <f t="shared" si="0"/>
        <v>Computer Architecture</v>
      </c>
      <c r="P52" s="5">
        <f t="shared" si="1"/>
        <v>3</v>
      </c>
    </row>
    <row r="53" spans="1:16" x14ac:dyDescent="0.25">
      <c r="A53" s="3">
        <v>51</v>
      </c>
      <c r="B53" s="1" t="s">
        <v>62</v>
      </c>
      <c r="C53" s="1" t="s">
        <v>112</v>
      </c>
      <c r="D53" s="1">
        <v>3</v>
      </c>
      <c r="F53" s="3">
        <v>31</v>
      </c>
      <c r="G53" s="10">
        <v>51</v>
      </c>
      <c r="I53" s="3">
        <v>40</v>
      </c>
      <c r="J53" s="2">
        <f>SUMIF($N$2:$N$54, "MATH 163", $M$2:$M$54)</f>
        <v>4</v>
      </c>
      <c r="K53" s="2" t="str">
        <f>_xlfn.XLOOKUP(J53,$M$2:$M$54,$N$2:$N$54)</f>
        <v>MATH 163</v>
      </c>
      <c r="M53" s="3">
        <v>51</v>
      </c>
      <c r="N53" s="6" t="s">
        <v>61</v>
      </c>
      <c r="O53" s="5" t="str">
        <f t="shared" si="0"/>
        <v>Field Programmable Gate Arrays Design Laboratory</v>
      </c>
      <c r="P53" s="5">
        <f t="shared" si="1"/>
        <v>2</v>
      </c>
    </row>
    <row r="54" spans="1:16" x14ac:dyDescent="0.25">
      <c r="B54" s="3"/>
      <c r="F54" s="3">
        <v>32</v>
      </c>
      <c r="G54" s="11">
        <v>52</v>
      </c>
      <c r="I54" s="3">
        <v>40</v>
      </c>
      <c r="J54" s="2">
        <f>SUMIF($N$2:$N$54, "CS 150", $M$2:$M$54)</f>
        <v>16</v>
      </c>
      <c r="K54" s="2" t="str">
        <f>_xlfn.XLOOKUP(J54,$M$2:$M$54,$N$2:$N$54)</f>
        <v>CS 150</v>
      </c>
      <c r="M54" s="3">
        <v>52</v>
      </c>
      <c r="N54" s="6" t="s">
        <v>62</v>
      </c>
      <c r="O54" s="5" t="str">
        <f t="shared" si="0"/>
        <v>Digital System Design</v>
      </c>
      <c r="P54" s="5">
        <f t="shared" si="1"/>
        <v>3</v>
      </c>
    </row>
    <row r="55" spans="1:16" x14ac:dyDescent="0.25">
      <c r="B55" s="3"/>
      <c r="F55" s="3">
        <v>33</v>
      </c>
      <c r="G55" s="10">
        <v>53</v>
      </c>
      <c r="I55" s="3">
        <v>41</v>
      </c>
      <c r="J55" s="2">
        <f>SUMIF($N$2:$N$54, "MATH 163", $M$2:$M$54)</f>
        <v>4</v>
      </c>
      <c r="K55" s="2" t="str">
        <f>_xlfn.XLOOKUP(J55,$M$2:$M$54,$N$2:$N$54)</f>
        <v>MATH 163</v>
      </c>
      <c r="M55" s="8"/>
      <c r="N55" s="9"/>
      <c r="O55" s="8"/>
      <c r="P55" s="8"/>
    </row>
    <row r="56" spans="1:16" x14ac:dyDescent="0.25">
      <c r="B56" s="3"/>
      <c r="F56" s="3">
        <v>33</v>
      </c>
      <c r="G56" s="11">
        <v>54</v>
      </c>
      <c r="I56" s="3">
        <v>41</v>
      </c>
      <c r="J56" s="2">
        <f>SUMIF($N$2:$N$54, "ENGN 150", $M$2:$M$54)</f>
        <v>17</v>
      </c>
      <c r="K56" s="2" t="str">
        <f>_xlfn.XLOOKUP(J56,$M$2:$M$54,$N$2:$N$54)</f>
        <v>ENGN 150</v>
      </c>
      <c r="M56" s="8"/>
      <c r="N56" s="9"/>
      <c r="O56" s="8"/>
      <c r="P56" s="8"/>
    </row>
    <row r="57" spans="1:16" x14ac:dyDescent="0.25">
      <c r="F57" s="3">
        <v>33</v>
      </c>
      <c r="G57" s="10">
        <v>55</v>
      </c>
      <c r="I57" s="3">
        <v>42</v>
      </c>
      <c r="J57" s="2">
        <f>SUMIF($N$2:$N$54, "", $M$2:$M$54)</f>
        <v>1</v>
      </c>
      <c r="K57" s="2">
        <f>_xlfn.XLOOKUP(J57,$M$2:$M$54,$N$2:$N$54)</f>
        <v>0</v>
      </c>
      <c r="M57" s="8"/>
      <c r="N57" s="9"/>
      <c r="O57" s="8"/>
      <c r="P57" s="8"/>
    </row>
    <row r="58" spans="1:16" x14ac:dyDescent="0.25">
      <c r="F58" s="3">
        <v>33</v>
      </c>
      <c r="G58" s="11">
        <v>56</v>
      </c>
      <c r="I58" s="3">
        <v>43</v>
      </c>
      <c r="J58" s="2">
        <f>SUMIF($N$2:$N$54, "", $M$2:$M$54)</f>
        <v>1</v>
      </c>
      <c r="K58" s="2">
        <f>_xlfn.XLOOKUP(J58,$M$2:$M$54,$N$2:$N$54)</f>
        <v>0</v>
      </c>
    </row>
    <row r="59" spans="1:16" x14ac:dyDescent="0.25">
      <c r="F59" s="3">
        <v>34</v>
      </c>
      <c r="G59" s="10">
        <v>57</v>
      </c>
      <c r="I59" s="3">
        <v>44</v>
      </c>
      <c r="J59" s="2">
        <f>SUMIF($N$2:$N$54, "MATH 211", $M$2:$M$54)</f>
        <v>3</v>
      </c>
      <c r="K59" s="2" t="str">
        <f>_xlfn.XLOOKUP(J59,$M$2:$M$54,$N$2:$N$54)</f>
        <v>MATH 211</v>
      </c>
    </row>
    <row r="60" spans="1:16" x14ac:dyDescent="0.25">
      <c r="F60" s="3">
        <v>34</v>
      </c>
      <c r="G60" s="11">
        <v>58</v>
      </c>
      <c r="I60" s="3">
        <v>45</v>
      </c>
      <c r="J60" s="2">
        <f>SUMIF($N$2:$N$54, "CS 251", $M$2:$M$54)</f>
        <v>18</v>
      </c>
      <c r="K60" s="2" t="str">
        <f>_xlfn.XLOOKUP(J60,$M$2:$M$54,$N$2:$N$54)</f>
        <v>CS 251</v>
      </c>
    </row>
    <row r="61" spans="1:16" x14ac:dyDescent="0.25">
      <c r="F61" s="3">
        <v>34</v>
      </c>
      <c r="G61" s="10">
        <v>59</v>
      </c>
      <c r="I61" s="3">
        <v>46</v>
      </c>
      <c r="J61" s="2">
        <f>SUMIF($N$2:$N$54, "CS 253", $M$2:$M$54)</f>
        <v>24</v>
      </c>
      <c r="K61" s="2" t="str">
        <f>_xlfn.XLOOKUP(J61,$M$2:$M$54,$N$2:$N$54)</f>
        <v>CS 253</v>
      </c>
    </row>
    <row r="62" spans="1:16" x14ac:dyDescent="0.25">
      <c r="F62" s="3">
        <v>35</v>
      </c>
      <c r="G62" s="11">
        <v>60</v>
      </c>
      <c r="I62" s="3">
        <v>47</v>
      </c>
      <c r="J62" s="2">
        <f>SUMIF($N$2:$N$54, "CS 252", $M$2:$M$54)</f>
        <v>19</v>
      </c>
      <c r="K62" s="2" t="str">
        <f>_xlfn.XLOOKUP(J62,$M$2:$M$54,$N$2:$N$54)</f>
        <v>CS 252</v>
      </c>
    </row>
    <row r="63" spans="1:16" x14ac:dyDescent="0.25">
      <c r="F63" s="3">
        <v>35</v>
      </c>
      <c r="G63" s="10">
        <v>61</v>
      </c>
      <c r="I63" s="3">
        <v>47</v>
      </c>
      <c r="J63" s="2">
        <f>SUMIF($N$2:$N$54, "MATH 211", $M$2:$M$54)</f>
        <v>3</v>
      </c>
      <c r="K63" s="2" t="str">
        <f>_xlfn.XLOOKUP(J63,$M$2:$M$54,$N$2:$N$54)</f>
        <v>MATH 211</v>
      </c>
    </row>
    <row r="64" spans="1:16" x14ac:dyDescent="0.25">
      <c r="F64" s="3">
        <v>35</v>
      </c>
      <c r="G64" s="11">
        <v>62</v>
      </c>
      <c r="I64" s="3">
        <v>47</v>
      </c>
      <c r="J64" s="2">
        <f>SUMIF($N$2:$N$54, "CS 251", $M$2:$M$54)</f>
        <v>18</v>
      </c>
      <c r="K64" s="2" t="str">
        <f>_xlfn.XLOOKUP(J64,$M$2:$M$54,$N$2:$N$54)</f>
        <v>CS 251</v>
      </c>
    </row>
    <row r="65" spans="6:11" x14ac:dyDescent="0.25">
      <c r="F65" s="3">
        <v>35</v>
      </c>
      <c r="G65" s="10">
        <v>63</v>
      </c>
      <c r="I65" s="3">
        <v>48</v>
      </c>
      <c r="J65" s="2">
        <f>SUMIF($N$2:$N$54, "CS 252", $M$2:$M$54)</f>
        <v>19</v>
      </c>
      <c r="K65" s="2" t="str">
        <f>_xlfn.XLOOKUP(J65,$M$2:$M$54,$N$2:$N$54)</f>
        <v>CS 252</v>
      </c>
    </row>
    <row r="66" spans="6:11" x14ac:dyDescent="0.25">
      <c r="F66" s="3">
        <v>36</v>
      </c>
      <c r="G66" s="11">
        <v>64</v>
      </c>
      <c r="I66" s="3">
        <v>48</v>
      </c>
      <c r="J66" s="2">
        <f>SUMIF($N$2:$N$54, "MATH 211", $M$2:$M$54)</f>
        <v>3</v>
      </c>
      <c r="K66" s="2" t="str">
        <f>_xlfn.XLOOKUP(J66,$M$2:$M$54,$N$2:$N$54)</f>
        <v>MATH 211</v>
      </c>
    </row>
    <row r="67" spans="6:11" x14ac:dyDescent="0.25">
      <c r="F67" s="3">
        <v>36</v>
      </c>
      <c r="G67" s="10">
        <v>65</v>
      </c>
      <c r="I67" s="3">
        <v>48</v>
      </c>
      <c r="J67" s="2">
        <f>SUMIF($N$2:$N$54, "CS 261", $M$2:$M$54)</f>
        <v>31</v>
      </c>
      <c r="K67" s="2" t="str">
        <f>_xlfn.XLOOKUP(J67,$M$2:$M$54,$N$2:$N$54)</f>
        <v>CS 261</v>
      </c>
    </row>
    <row r="68" spans="6:11" x14ac:dyDescent="0.25">
      <c r="F68" s="3">
        <v>37</v>
      </c>
      <c r="G68" s="11">
        <v>66</v>
      </c>
      <c r="I68" s="3">
        <v>49</v>
      </c>
      <c r="J68" s="2">
        <f>SUMIF($N$2:$N$54, "CS 250", $M$2:$M$54)</f>
        <v>25</v>
      </c>
      <c r="K68" s="2" t="str">
        <f>_xlfn.XLOOKUP(J68,$M$2:$M$54,$N$2:$N$54)</f>
        <v>CS 250</v>
      </c>
    </row>
    <row r="69" spans="6:11" x14ac:dyDescent="0.25">
      <c r="F69" s="3">
        <v>37</v>
      </c>
      <c r="G69" s="10">
        <v>67</v>
      </c>
      <c r="I69" s="3">
        <v>50</v>
      </c>
      <c r="J69" s="2">
        <f>SUMIF($N$2:$N$54, "CS 253", $M$2:$M$54)</f>
        <v>24</v>
      </c>
      <c r="K69" s="2" t="str">
        <f>_xlfn.XLOOKUP(J69,$M$2:$M$54,$N$2:$N$54)</f>
        <v>CS 253</v>
      </c>
    </row>
    <row r="70" spans="6:11" x14ac:dyDescent="0.25">
      <c r="F70" s="3">
        <v>37</v>
      </c>
      <c r="G70" s="11">
        <v>68</v>
      </c>
      <c r="I70" s="3">
        <v>51</v>
      </c>
      <c r="J70" s="2">
        <f>SUMIF($N$2:$N$54, "", $M$2:$M$54)</f>
        <v>1</v>
      </c>
      <c r="K70" s="2">
        <f>_xlfn.XLOOKUP(J70,$M$2:$M$54,$N$2:$N$54)</f>
        <v>0</v>
      </c>
    </row>
    <row r="71" spans="6:11" x14ac:dyDescent="0.25">
      <c r="F71" s="3">
        <v>38</v>
      </c>
      <c r="G71" s="10">
        <v>69</v>
      </c>
      <c r="I71" s="3">
        <v>52</v>
      </c>
      <c r="J71" s="2">
        <f>SUMIF($N$2:$N$54, "ENGL 110C", $M$2:$M$54)</f>
        <v>2</v>
      </c>
      <c r="K71" s="2" t="str">
        <f>_xlfn.XLOOKUP(J71,$M$2:$M$54,$N$2:$N$54)</f>
        <v>ENGL 110C</v>
      </c>
    </row>
    <row r="72" spans="6:11" x14ac:dyDescent="0.25">
      <c r="F72" s="3">
        <v>38</v>
      </c>
      <c r="G72" s="11">
        <v>70</v>
      </c>
      <c r="I72" s="3">
        <v>53</v>
      </c>
      <c r="J72" s="2">
        <f>SUMIF($N$2:$N$54, "CS 150", $M$2:$M$54)</f>
        <v>16</v>
      </c>
      <c r="K72" s="2" t="str">
        <f>_xlfn.XLOOKUP(J72,$M$2:$M$54,$N$2:$N$54)</f>
        <v>CS 150</v>
      </c>
    </row>
    <row r="73" spans="6:11" x14ac:dyDescent="0.25">
      <c r="F73" s="3">
        <v>39</v>
      </c>
      <c r="G73" s="10">
        <v>71</v>
      </c>
      <c r="I73" s="3">
        <v>54</v>
      </c>
      <c r="J73" s="2">
        <f>SUMIF($N$2:$N$54, "CS 151", $M$2:$M$54)</f>
        <v>10</v>
      </c>
      <c r="K73" s="2" t="str">
        <f>_xlfn.XLOOKUP(J73,$M$2:$M$54,$N$2:$N$54)</f>
        <v>CS 151</v>
      </c>
    </row>
    <row r="74" spans="6:11" x14ac:dyDescent="0.25">
      <c r="F74" s="3">
        <v>40</v>
      </c>
      <c r="G74" s="11">
        <v>72</v>
      </c>
      <c r="I74" s="3">
        <v>55</v>
      </c>
      <c r="J74" s="2">
        <f>SUMIF($N$2:$N$54, "CS 153", $M$2:$M$54)</f>
        <v>11</v>
      </c>
      <c r="K74" s="2" t="str">
        <f>_xlfn.XLOOKUP(J74,$M$2:$M$54,$N$2:$N$54)</f>
        <v>CS 153</v>
      </c>
    </row>
    <row r="75" spans="6:11" x14ac:dyDescent="0.25">
      <c r="F75" s="3">
        <v>41</v>
      </c>
      <c r="G75" s="10">
        <v>73</v>
      </c>
      <c r="I75" s="3">
        <v>56</v>
      </c>
      <c r="J75" s="2">
        <f>SUMIF($N$2:$N$54, "ENGN 150", $M$2:$M$54)</f>
        <v>17</v>
      </c>
      <c r="K75" s="2" t="str">
        <f>_xlfn.XLOOKUP(J75,$M$2:$M$54,$N$2:$N$54)</f>
        <v>ENGN 150</v>
      </c>
    </row>
    <row r="76" spans="6:11" x14ac:dyDescent="0.25">
      <c r="F76" s="3">
        <v>41</v>
      </c>
      <c r="G76" s="11">
        <v>74</v>
      </c>
      <c r="I76" s="3">
        <v>57</v>
      </c>
      <c r="J76" s="2">
        <f>SUMIF($N$2:$N$54, "CS 252", $M$2:$M$54)</f>
        <v>19</v>
      </c>
      <c r="K76" s="2" t="str">
        <f>_xlfn.XLOOKUP(J76,$M$2:$M$54,$N$2:$N$54)</f>
        <v>CS 252</v>
      </c>
    </row>
    <row r="77" spans="6:11" x14ac:dyDescent="0.25">
      <c r="F77" s="3">
        <v>42</v>
      </c>
      <c r="G77" s="10">
        <v>75</v>
      </c>
      <c r="I77" s="3">
        <v>57</v>
      </c>
      <c r="J77" s="2">
        <f>SUMIF($N$2:$N$54, "CS 250", $M$2:$M$54)</f>
        <v>25</v>
      </c>
      <c r="K77" s="2" t="str">
        <f>_xlfn.XLOOKUP(J77,$M$2:$M$54,$N$2:$N$54)</f>
        <v>CS 250</v>
      </c>
    </row>
    <row r="78" spans="6:11" x14ac:dyDescent="0.25">
      <c r="F78" s="3">
        <v>42</v>
      </c>
      <c r="G78" s="11">
        <v>76</v>
      </c>
      <c r="I78" s="3">
        <v>58</v>
      </c>
      <c r="J78" s="2">
        <f>SUMIF($N$2:$N$54, "CS 252", $M$2:$M$54)</f>
        <v>19</v>
      </c>
      <c r="K78" s="2" t="str">
        <f>_xlfn.XLOOKUP(J78,$M$2:$M$54,$N$2:$N$54)</f>
        <v>CS 252</v>
      </c>
    </row>
    <row r="79" spans="6:11" x14ac:dyDescent="0.25">
      <c r="F79" s="3">
        <v>42</v>
      </c>
      <c r="G79" s="10">
        <v>77</v>
      </c>
      <c r="I79" s="3">
        <v>58</v>
      </c>
      <c r="J79" s="2">
        <f>SUMIF($N$2:$N$54, "CS 251", $M$2:$M$54)</f>
        <v>18</v>
      </c>
      <c r="K79" s="2" t="str">
        <f>_xlfn.XLOOKUP(J79,$M$2:$M$54,$N$2:$N$54)</f>
        <v>CS 251</v>
      </c>
    </row>
    <row r="80" spans="6:11" x14ac:dyDescent="0.25">
      <c r="F80" s="3">
        <v>43</v>
      </c>
      <c r="G80" s="11">
        <v>78</v>
      </c>
      <c r="I80" s="3">
        <v>59</v>
      </c>
      <c r="J80" s="2">
        <f>SUMIF($N$2:$N$54, "CS 252", $M$2:$M$54)</f>
        <v>19</v>
      </c>
      <c r="K80" s="2" t="str">
        <f>_xlfn.XLOOKUP(J80,$M$2:$M$54,$N$2:$N$54)</f>
        <v>CS 252</v>
      </c>
    </row>
    <row r="81" spans="6:11" x14ac:dyDescent="0.25">
      <c r="F81" s="3">
        <v>43</v>
      </c>
      <c r="G81" s="10">
        <v>79</v>
      </c>
      <c r="I81" s="3">
        <v>59</v>
      </c>
      <c r="J81" s="2">
        <f>SUMIF($N$2:$N$54, "CS 253", $M$2:$M$54)</f>
        <v>24</v>
      </c>
      <c r="K81" s="2" t="str">
        <f>_xlfn.XLOOKUP(J81,$M$2:$M$54,$N$2:$N$54)</f>
        <v>CS 253</v>
      </c>
    </row>
    <row r="82" spans="6:11" x14ac:dyDescent="0.25">
      <c r="F82" s="3">
        <v>43</v>
      </c>
      <c r="G82" s="11">
        <v>80</v>
      </c>
      <c r="I82" s="3">
        <v>60</v>
      </c>
      <c r="J82" s="2">
        <f>SUMIF($N$2:$N$54, "MATH 163", $M$2:$M$54)</f>
        <v>4</v>
      </c>
      <c r="K82" s="2" t="str">
        <f>_xlfn.XLOOKUP(J82,$M$2:$M$54,$N$2:$N$54)</f>
        <v>MATH 163</v>
      </c>
    </row>
    <row r="83" spans="6:11" x14ac:dyDescent="0.25">
      <c r="F83" s="3">
        <v>44</v>
      </c>
      <c r="G83" s="10">
        <v>81</v>
      </c>
      <c r="I83" s="3">
        <v>60</v>
      </c>
      <c r="J83" s="2">
        <f>SUMIF($N$2:$N$54, "CS 150", $M$2:$M$54)</f>
        <v>16</v>
      </c>
      <c r="K83" s="2" t="str">
        <f>_xlfn.XLOOKUP(J83,$M$2:$M$54,$N$2:$N$54)</f>
        <v>CS 150</v>
      </c>
    </row>
    <row r="84" spans="6:11" x14ac:dyDescent="0.25">
      <c r="F84" s="3">
        <v>44</v>
      </c>
      <c r="G84" s="11">
        <v>82</v>
      </c>
      <c r="I84" s="3">
        <v>61</v>
      </c>
      <c r="J84" s="2">
        <f>SUMIF($N$2:$N$54, "MATH 163", $M$2:$M$54)</f>
        <v>4</v>
      </c>
      <c r="K84" s="2" t="str">
        <f>_xlfn.XLOOKUP(J84,$M$2:$M$54,$N$2:$N$54)</f>
        <v>MATH 163</v>
      </c>
    </row>
    <row r="85" spans="6:11" x14ac:dyDescent="0.25">
      <c r="F85" s="3">
        <v>45</v>
      </c>
      <c r="G85" s="10">
        <v>83</v>
      </c>
      <c r="I85" s="3">
        <v>61</v>
      </c>
      <c r="J85" s="2">
        <f>SUMIF($N$2:$N$54, "CS 151", $M$2:$M$54)</f>
        <v>10</v>
      </c>
      <c r="K85" s="2" t="str">
        <f>_xlfn.XLOOKUP(J85,$M$2:$M$54,$N$2:$N$54)</f>
        <v>CS 151</v>
      </c>
    </row>
    <row r="86" spans="6:11" x14ac:dyDescent="0.25">
      <c r="F86" s="3">
        <v>45</v>
      </c>
      <c r="G86" s="11">
        <v>84</v>
      </c>
      <c r="I86" s="3">
        <v>62</v>
      </c>
      <c r="J86" s="2">
        <f>SUMIF($N$2:$N$54, "MATH 163", $M$2:$M$54)</f>
        <v>4</v>
      </c>
      <c r="K86" s="2" t="str">
        <f>_xlfn.XLOOKUP(J86,$M$2:$M$54,$N$2:$N$54)</f>
        <v>MATH 163</v>
      </c>
    </row>
    <row r="87" spans="6:11" x14ac:dyDescent="0.25">
      <c r="F87" s="3">
        <v>45</v>
      </c>
      <c r="G87" s="10">
        <v>85</v>
      </c>
      <c r="I87" s="3">
        <v>62</v>
      </c>
      <c r="J87" s="2">
        <f>SUMIF($N$2:$N$54, "CS 153", $M$2:$M$54)</f>
        <v>11</v>
      </c>
      <c r="K87" s="2" t="str">
        <f>_xlfn.XLOOKUP(J87,$M$2:$M$54,$N$2:$N$54)</f>
        <v>CS 153</v>
      </c>
    </row>
    <row r="88" spans="6:11" x14ac:dyDescent="0.25">
      <c r="F88" s="3">
        <v>45</v>
      </c>
      <c r="G88" s="11">
        <v>86</v>
      </c>
      <c r="I88" s="3">
        <v>63</v>
      </c>
      <c r="J88" s="2">
        <f>SUMIF($N$2:$N$54, "MATH 163", $M$2:$M$54)</f>
        <v>4</v>
      </c>
      <c r="K88" s="2" t="str">
        <f>_xlfn.XLOOKUP(J88,$M$2:$M$54,$N$2:$N$54)</f>
        <v>MATH 163</v>
      </c>
    </row>
    <row r="89" spans="6:11" x14ac:dyDescent="0.25">
      <c r="F89" s="3">
        <v>45</v>
      </c>
      <c r="G89" s="10">
        <v>87</v>
      </c>
      <c r="I89" s="3">
        <v>63</v>
      </c>
      <c r="J89" s="2">
        <f>SUMIF($N$2:$N$54, "ENGN 150", $M$2:$M$54)</f>
        <v>17</v>
      </c>
      <c r="K89" s="2" t="str">
        <f>_xlfn.XLOOKUP(J89,$M$2:$M$54,$N$2:$N$54)</f>
        <v>ENGN 150</v>
      </c>
    </row>
    <row r="90" spans="6:11" x14ac:dyDescent="0.25">
      <c r="F90" s="3">
        <v>45</v>
      </c>
      <c r="G90" s="11">
        <v>88</v>
      </c>
      <c r="I90" s="3">
        <v>64</v>
      </c>
      <c r="J90" s="2">
        <f>SUMIF($N$2:$N$54, "CS 252", $M$2:$M$54)</f>
        <v>19</v>
      </c>
      <c r="K90" s="2" t="str">
        <f>_xlfn.XLOOKUP(J90,$M$2:$M$54,$N$2:$N$54)</f>
        <v>CS 252</v>
      </c>
    </row>
    <row r="91" spans="6:11" x14ac:dyDescent="0.25">
      <c r="F91" s="3">
        <v>45</v>
      </c>
      <c r="G91" s="10">
        <v>89</v>
      </c>
      <c r="I91" s="3">
        <v>64</v>
      </c>
      <c r="J91" s="2">
        <f>SUMIF($N$2:$N$54, "CS 330", $M$2:$M$54)</f>
        <v>23</v>
      </c>
      <c r="K91" s="2" t="str">
        <f>_xlfn.XLOOKUP(J91,$M$2:$M$54,$N$2:$N$54)</f>
        <v>CS 330</v>
      </c>
    </row>
    <row r="92" spans="6:11" x14ac:dyDescent="0.25">
      <c r="F92" s="3">
        <v>45</v>
      </c>
      <c r="G92" s="11">
        <v>90</v>
      </c>
      <c r="I92" s="3">
        <v>65</v>
      </c>
      <c r="J92" s="2">
        <f>SUMIF($N$2:$N$54, "CS 252", $M$2:$M$54)</f>
        <v>19</v>
      </c>
      <c r="K92" s="2" t="str">
        <f>_xlfn.XLOOKUP(J92,$M$2:$M$54,$N$2:$N$54)</f>
        <v>CS 252</v>
      </c>
    </row>
    <row r="93" spans="6:11" x14ac:dyDescent="0.25">
      <c r="F93" s="3">
        <v>45</v>
      </c>
      <c r="G93" s="10">
        <v>91</v>
      </c>
      <c r="I93" s="3">
        <v>65</v>
      </c>
      <c r="J93" s="2">
        <f>SUMIF($N$2:$N$54, "CS 361", $M$2:$M$54)</f>
        <v>30</v>
      </c>
      <c r="K93" s="2" t="str">
        <f>_xlfn.XLOOKUP(J93,$M$2:$M$54,$N$2:$N$54)</f>
        <v>CS 361</v>
      </c>
    </row>
    <row r="94" spans="6:11" x14ac:dyDescent="0.25">
      <c r="F94" s="3">
        <v>46</v>
      </c>
      <c r="G94" s="11">
        <v>92</v>
      </c>
      <c r="I94" s="3">
        <v>66</v>
      </c>
      <c r="J94" s="2">
        <f>SUMIF($N$2:$N$54, "CS 381", $M$2:$M$54)</f>
        <v>36</v>
      </c>
      <c r="K94" s="2" t="str">
        <f>_xlfn.XLOOKUP(J94,$M$2:$M$54,$N$2:$N$54)</f>
        <v>CS 381</v>
      </c>
    </row>
    <row r="95" spans="6:11" x14ac:dyDescent="0.25">
      <c r="F95" s="3">
        <v>47</v>
      </c>
      <c r="G95" s="10">
        <v>93</v>
      </c>
      <c r="I95" s="3">
        <v>66</v>
      </c>
      <c r="J95" s="2">
        <f>SUMIF($N$2:$N$54, "CS 250", $M$2:$M$54)</f>
        <v>25</v>
      </c>
      <c r="K95" s="2" t="str">
        <f>_xlfn.XLOOKUP(J95,$M$2:$M$54,$N$2:$N$54)</f>
        <v>CS 250</v>
      </c>
    </row>
    <row r="96" spans="6:11" x14ac:dyDescent="0.25">
      <c r="F96" s="3">
        <v>47</v>
      </c>
      <c r="G96" s="11">
        <v>94</v>
      </c>
      <c r="I96" s="3">
        <v>67</v>
      </c>
      <c r="J96" s="2">
        <f>SUMIF($N$2:$N$54, "CS 381", $M$2:$M$54)</f>
        <v>36</v>
      </c>
      <c r="K96" s="2" t="str">
        <f>_xlfn.XLOOKUP(J96,$M$2:$M$54,$N$2:$N$54)</f>
        <v>CS 381</v>
      </c>
    </row>
    <row r="97" spans="6:11" x14ac:dyDescent="0.25">
      <c r="F97" s="3">
        <v>47</v>
      </c>
      <c r="G97" s="10">
        <v>95</v>
      </c>
      <c r="I97" s="3">
        <v>67</v>
      </c>
      <c r="J97" s="2">
        <f>SUMIF($N$2:$N$54, "CS 251", $M$2:$M$54)</f>
        <v>18</v>
      </c>
      <c r="K97" s="2" t="str">
        <f>_xlfn.XLOOKUP(J97,$M$2:$M$54,$N$2:$N$54)</f>
        <v>CS 251</v>
      </c>
    </row>
    <row r="98" spans="6:11" x14ac:dyDescent="0.25">
      <c r="F98" s="3">
        <v>47</v>
      </c>
      <c r="G98" s="11">
        <v>96</v>
      </c>
      <c r="I98" s="3">
        <v>68</v>
      </c>
      <c r="J98" s="2">
        <f>SUMIF($N$2:$N$54, "CS 381", $M$2:$M$54)</f>
        <v>36</v>
      </c>
      <c r="K98" s="2" t="str">
        <f>_xlfn.XLOOKUP(J98,$M$2:$M$54,$N$2:$N$54)</f>
        <v>CS 381</v>
      </c>
    </row>
    <row r="99" spans="6:11" x14ac:dyDescent="0.25">
      <c r="F99" s="3">
        <v>48</v>
      </c>
      <c r="G99" s="10">
        <v>97</v>
      </c>
      <c r="I99" s="3">
        <v>68</v>
      </c>
      <c r="J99" s="2">
        <f>SUMIF($N$2:$N$54, "CS 253", $M$2:$M$54)</f>
        <v>24</v>
      </c>
      <c r="K99" s="2" t="str">
        <f>_xlfn.XLOOKUP(J99,$M$2:$M$54,$N$2:$N$54)</f>
        <v>CS 253</v>
      </c>
    </row>
    <row r="100" spans="6:11" x14ac:dyDescent="0.25">
      <c r="F100" s="3">
        <v>48</v>
      </c>
      <c r="G100" s="11">
        <v>98</v>
      </c>
      <c r="I100" s="3">
        <v>69</v>
      </c>
      <c r="J100" s="2">
        <f>SUMIF($N$2:$N$54, "CS 252", $M$2:$M$54)</f>
        <v>19</v>
      </c>
      <c r="K100" s="2" t="str">
        <f>_xlfn.XLOOKUP(J100,$M$2:$M$54,$N$2:$N$54)</f>
        <v>CS 252</v>
      </c>
    </row>
    <row r="101" spans="6:11" x14ac:dyDescent="0.25">
      <c r="F101" s="3">
        <v>49</v>
      </c>
      <c r="G101" s="10">
        <v>99</v>
      </c>
      <c r="I101" s="3">
        <v>69</v>
      </c>
      <c r="J101" s="2">
        <f>SUMIF($N$2:$N$54, "CS 381", $M$2:$M$54)</f>
        <v>36</v>
      </c>
      <c r="K101" s="2" t="str">
        <f>_xlfn.XLOOKUP(J101,$M$2:$M$54,$N$2:$N$54)</f>
        <v>CS 381</v>
      </c>
    </row>
    <row r="102" spans="6:11" x14ac:dyDescent="0.25">
      <c r="F102" s="3">
        <v>50</v>
      </c>
      <c r="G102" s="11">
        <v>100</v>
      </c>
      <c r="I102" s="3">
        <v>69</v>
      </c>
      <c r="J102" s="2">
        <f>SUMIF($N$2:$N$54, "CS 330", $M$2:$M$54)</f>
        <v>23</v>
      </c>
      <c r="K102" s="2" t="str">
        <f>_xlfn.XLOOKUP(J102,$M$2:$M$54,$N$2:$N$54)</f>
        <v>CS 330</v>
      </c>
    </row>
    <row r="103" spans="6:11" x14ac:dyDescent="0.25">
      <c r="F103" s="3">
        <v>51</v>
      </c>
      <c r="G103" s="10">
        <v>101</v>
      </c>
      <c r="I103" s="3">
        <v>70</v>
      </c>
      <c r="J103" s="2">
        <f>SUMIF($N$2:$N$54, "CS 252", $M$2:$M$54)</f>
        <v>19</v>
      </c>
      <c r="K103" s="2" t="str">
        <f>_xlfn.XLOOKUP(J103,$M$2:$M$54,$N$2:$N$54)</f>
        <v>CS 252</v>
      </c>
    </row>
    <row r="104" spans="6:11" x14ac:dyDescent="0.25">
      <c r="I104" s="3">
        <v>70</v>
      </c>
      <c r="J104" s="2">
        <f>SUMIF($N$2:$N$54, "CS 381", $M$2:$M$54)</f>
        <v>36</v>
      </c>
      <c r="K104" s="2" t="str">
        <f>_xlfn.XLOOKUP(J104,$M$2:$M$54,$N$2:$N$54)</f>
        <v>CS 381</v>
      </c>
    </row>
    <row r="105" spans="6:11" x14ac:dyDescent="0.25">
      <c r="I105" s="3">
        <v>70</v>
      </c>
      <c r="J105" s="2">
        <f>SUMIF($N$2:$N$54, "CS 361", $M$2:$M$54)</f>
        <v>30</v>
      </c>
      <c r="K105" s="2" t="str">
        <f>_xlfn.XLOOKUP(J105,$M$2:$M$54,$N$2:$N$54)</f>
        <v>CS 361</v>
      </c>
    </row>
    <row r="106" spans="6:11" x14ac:dyDescent="0.25">
      <c r="I106" s="3">
        <v>71</v>
      </c>
      <c r="J106" s="2">
        <f>SUMIF($N$2:$N$54, "CS 312", $M$2:$M$54)</f>
        <v>41</v>
      </c>
      <c r="K106" s="2" t="str">
        <f>_xlfn.XLOOKUP(J106,$M$2:$M$54,$N$2:$N$54)</f>
        <v>CS 312</v>
      </c>
    </row>
    <row r="107" spans="6:11" x14ac:dyDescent="0.25">
      <c r="I107" s="3">
        <v>71</v>
      </c>
      <c r="J107" s="2">
        <f>SUMIF($N$2:$N$54, "CS 330", $M$2:$M$54)</f>
        <v>23</v>
      </c>
      <c r="K107" s="2" t="str">
        <f>_xlfn.XLOOKUP(J107,$M$2:$M$54,$N$2:$N$54)</f>
        <v>CS 330</v>
      </c>
    </row>
    <row r="108" spans="6:11" x14ac:dyDescent="0.25">
      <c r="I108" s="3">
        <v>72</v>
      </c>
      <c r="J108" s="2">
        <f>SUMIF($N$2:$N$54, "CS 252", $M$2:$M$54)</f>
        <v>19</v>
      </c>
      <c r="K108" s="2" t="str">
        <f>_xlfn.XLOOKUP(J108,$M$2:$M$54,$N$2:$N$54)</f>
        <v>CS 252</v>
      </c>
    </row>
    <row r="109" spans="6:11" x14ac:dyDescent="0.25">
      <c r="I109" s="3">
        <v>73</v>
      </c>
      <c r="J109" s="2">
        <f>SUMIF($N$2:$N$54, "CS 330", $M$2:$M$54)</f>
        <v>23</v>
      </c>
      <c r="K109" s="2" t="str">
        <f>_xlfn.XLOOKUP(J109,$M$2:$M$54,$N$2:$N$54)</f>
        <v>CS 330</v>
      </c>
    </row>
    <row r="110" spans="6:11" x14ac:dyDescent="0.25">
      <c r="I110" s="3">
        <v>74</v>
      </c>
      <c r="J110" s="2">
        <f>SUMIF($N$2:$N$54, "CS 361", $M$2:$M$54)</f>
        <v>30</v>
      </c>
      <c r="K110" s="2" t="str">
        <f>_xlfn.XLOOKUP(J110,$M$2:$M$54,$N$2:$N$54)</f>
        <v>CS 361</v>
      </c>
    </row>
    <row r="111" spans="6:11" x14ac:dyDescent="0.25">
      <c r="I111" s="3">
        <v>75</v>
      </c>
      <c r="J111" s="2">
        <f>SUMIF($N$2:$N$54, "MATH 316", $M$2:$M$54)</f>
        <v>21</v>
      </c>
      <c r="K111" s="2" t="str">
        <f>_xlfn.XLOOKUP(J111,$M$2:$M$54,$N$2:$N$54)</f>
        <v>MATH 316</v>
      </c>
    </row>
    <row r="112" spans="6:11" x14ac:dyDescent="0.25">
      <c r="I112" s="3">
        <v>75</v>
      </c>
      <c r="J112" s="2">
        <f>SUMIF($N$2:$N$54, "CS 250", $M$2:$M$54)</f>
        <v>25</v>
      </c>
      <c r="K112" s="2" t="str">
        <f>_xlfn.XLOOKUP(J112,$M$2:$M$54,$N$2:$N$54)</f>
        <v>CS 250</v>
      </c>
    </row>
    <row r="113" spans="9:11" x14ac:dyDescent="0.25">
      <c r="I113" s="3">
        <v>76</v>
      </c>
      <c r="J113" s="2">
        <f>SUMIF($N$2:$N$54, "MATH 316", $M$2:$M$54)</f>
        <v>21</v>
      </c>
      <c r="K113" s="2" t="str">
        <f>_xlfn.XLOOKUP(J113,$M$2:$M$54,$N$2:$N$54)</f>
        <v>MATH 316</v>
      </c>
    </row>
    <row r="114" spans="9:11" x14ac:dyDescent="0.25">
      <c r="I114" s="3">
        <v>76</v>
      </c>
      <c r="J114" s="2">
        <f>SUMIF($N$2:$N$54, "CS 251", $M$2:$M$54)</f>
        <v>18</v>
      </c>
      <c r="K114" s="2" t="str">
        <f>_xlfn.XLOOKUP(J114,$M$2:$M$54,$N$2:$N$54)</f>
        <v>CS 251</v>
      </c>
    </row>
    <row r="115" spans="9:11" x14ac:dyDescent="0.25">
      <c r="I115" s="3">
        <v>77</v>
      </c>
      <c r="J115" s="2">
        <f>SUMIF($N$2:$N$54, "MATH 316", $M$2:$M$54)</f>
        <v>21</v>
      </c>
      <c r="K115" s="2" t="str">
        <f>_xlfn.XLOOKUP(J115,$M$2:$M$54,$N$2:$N$54)</f>
        <v>MATH 316</v>
      </c>
    </row>
    <row r="116" spans="9:11" x14ac:dyDescent="0.25">
      <c r="I116" s="3">
        <v>77</v>
      </c>
      <c r="J116" s="2">
        <f>SUMIF($N$2:$N$54, "CS 253", $M$2:$M$54)</f>
        <v>24</v>
      </c>
      <c r="K116" s="2" t="str">
        <f>_xlfn.XLOOKUP(J116,$M$2:$M$54,$N$2:$N$54)</f>
        <v>CS 253</v>
      </c>
    </row>
    <row r="117" spans="9:11" x14ac:dyDescent="0.25">
      <c r="I117" s="3">
        <v>78</v>
      </c>
      <c r="J117" s="2">
        <f>SUMIF($N$2:$N$54, "CS 330", $M$2:$M$54)</f>
        <v>23</v>
      </c>
      <c r="K117" s="2" t="str">
        <f>_xlfn.XLOOKUP(J117,$M$2:$M$54,$N$2:$N$54)</f>
        <v>CS 330</v>
      </c>
    </row>
    <row r="118" spans="9:11" x14ac:dyDescent="0.25">
      <c r="I118" s="3">
        <v>78</v>
      </c>
      <c r="J118" s="2">
        <f>SUMIF($N$2:$N$54, "CS 350", $M$2:$M$54)</f>
        <v>37</v>
      </c>
      <c r="K118" s="2" t="str">
        <f>_xlfn.XLOOKUP(J118,$M$2:$M$54,$N$2:$N$54)</f>
        <v>CS 350</v>
      </c>
    </row>
    <row r="119" spans="9:11" x14ac:dyDescent="0.25">
      <c r="I119" s="3">
        <v>78</v>
      </c>
      <c r="J119" s="2">
        <f>SUMIF($N$2:$N$54, "CS 410", $M$2:$M$54)</f>
        <v>42</v>
      </c>
      <c r="K119" s="2" t="str">
        <f>_xlfn.XLOOKUP(J119,$M$2:$M$54,$N$2:$N$54)</f>
        <v>CS 410</v>
      </c>
    </row>
    <row r="120" spans="9:11" x14ac:dyDescent="0.25">
      <c r="I120" s="3">
        <v>78</v>
      </c>
      <c r="J120" s="2">
        <f>SUMIF($N$2:$N$54, "ENGL 211C", $M$2:$M$54)</f>
        <v>12</v>
      </c>
      <c r="K120" s="2" t="str">
        <f>_xlfn.XLOOKUP(J120,$M$2:$M$54,$N$2:$N$54)</f>
        <v>ENGL 211C</v>
      </c>
    </row>
    <row r="121" spans="9:11" x14ac:dyDescent="0.25">
      <c r="I121" s="3">
        <v>79</v>
      </c>
      <c r="J121" s="2">
        <f>SUMIF($N$2:$N$54, "CS 330", $M$2:$M$54)</f>
        <v>23</v>
      </c>
      <c r="K121" s="2" t="str">
        <f>_xlfn.XLOOKUP(J121,$M$2:$M$54,$N$2:$N$54)</f>
        <v>CS 330</v>
      </c>
    </row>
    <row r="122" spans="9:11" x14ac:dyDescent="0.25">
      <c r="I122" s="3">
        <v>79</v>
      </c>
      <c r="J122" s="2">
        <f>SUMIF($N$2:$N$54, "CS 350", $M$2:$M$54)</f>
        <v>37</v>
      </c>
      <c r="K122" s="2" t="str">
        <f>_xlfn.XLOOKUP(J122,$M$2:$M$54,$N$2:$N$54)</f>
        <v>CS 350</v>
      </c>
    </row>
    <row r="123" spans="9:11" x14ac:dyDescent="0.25">
      <c r="I123" s="3">
        <v>79</v>
      </c>
      <c r="J123" s="2">
        <f>SUMIF($N$2:$N$54, "CS 410", $M$2:$M$54)</f>
        <v>42</v>
      </c>
      <c r="K123" s="2" t="str">
        <f>_xlfn.XLOOKUP(J123,$M$2:$M$54,$N$2:$N$54)</f>
        <v>CS 410</v>
      </c>
    </row>
    <row r="124" spans="9:11" x14ac:dyDescent="0.25">
      <c r="I124" s="3">
        <v>79</v>
      </c>
      <c r="J124" s="2">
        <f>SUMIF($N$2:$N$54, "ENGL 221C", $M$2:$M$54)</f>
        <v>45</v>
      </c>
      <c r="K124" s="2" t="str">
        <f>_xlfn.XLOOKUP(J124,$M$2:$M$54,$N$2:$N$54)</f>
        <v>ENGL 221C</v>
      </c>
    </row>
    <row r="125" spans="9:11" x14ac:dyDescent="0.25">
      <c r="I125" s="3">
        <v>80</v>
      </c>
      <c r="J125" s="2">
        <f>SUMIF($N$2:$N$54, "CS 330", $M$2:$M$54)</f>
        <v>23</v>
      </c>
      <c r="K125" s="2" t="str">
        <f>_xlfn.XLOOKUP(J125,$M$2:$M$54,$N$2:$N$54)</f>
        <v>CS 330</v>
      </c>
    </row>
    <row r="126" spans="9:11" x14ac:dyDescent="0.25">
      <c r="I126" s="3">
        <v>80</v>
      </c>
      <c r="J126" s="2">
        <f>SUMIF($N$2:$N$54, "CS 350", $M$2:$M$54)</f>
        <v>37</v>
      </c>
      <c r="K126" s="2" t="str">
        <f>_xlfn.XLOOKUP(J126,$M$2:$M$54,$N$2:$N$54)</f>
        <v>CS 350</v>
      </c>
    </row>
    <row r="127" spans="9:11" x14ac:dyDescent="0.25">
      <c r="I127" s="3">
        <v>80</v>
      </c>
      <c r="J127" s="2">
        <f>SUMIF($N$2:$N$54, "CS 410", $M$2:$M$54)</f>
        <v>42</v>
      </c>
      <c r="K127" s="2" t="str">
        <f>_xlfn.XLOOKUP(J127,$M$2:$M$54,$N$2:$N$54)</f>
        <v>CS 410</v>
      </c>
    </row>
    <row r="128" spans="9:11" x14ac:dyDescent="0.25">
      <c r="I128" s="3">
        <v>80</v>
      </c>
      <c r="J128" s="2">
        <f>SUMIF($N$2:$N$54, "ENGL 231C", $M$2:$M$54)</f>
        <v>13</v>
      </c>
      <c r="K128" s="2" t="str">
        <f>_xlfn.XLOOKUP(J128,$M$2:$M$54,$N$2:$N$54)</f>
        <v>ENGL 231C</v>
      </c>
    </row>
    <row r="129" spans="9:11" x14ac:dyDescent="0.25">
      <c r="I129" s="3">
        <v>81</v>
      </c>
      <c r="J129" s="2">
        <f>SUMIF($N$2:$N$54, "ENGL 110C", $M$2:$M$54)</f>
        <v>2</v>
      </c>
      <c r="K129" s="2" t="str">
        <f>_xlfn.XLOOKUP(J129,$M$2:$M$54,$N$2:$N$54)</f>
        <v>ENGL 110C</v>
      </c>
    </row>
    <row r="130" spans="9:11" x14ac:dyDescent="0.25">
      <c r="I130" s="3">
        <v>82</v>
      </c>
      <c r="J130" s="2">
        <f>SUMIF($N$2:$N$54, "ENGL 110C", $M$2:$M$54)</f>
        <v>2</v>
      </c>
      <c r="K130" s="2" t="str">
        <f>_xlfn.XLOOKUP(J130,$M$2:$M$54,$N$2:$N$54)</f>
        <v>ENGL 110C</v>
      </c>
    </row>
    <row r="131" spans="9:11" x14ac:dyDescent="0.25">
      <c r="I131" s="3">
        <v>83</v>
      </c>
      <c r="J131" s="2">
        <f>SUMIF($N$2:$N$54, "ENGN 150", $M$2:$M$54)</f>
        <v>17</v>
      </c>
      <c r="K131" s="2" t="str">
        <f>_xlfn.XLOOKUP(J131,$M$2:$M$54,$N$2:$N$54)</f>
        <v>ENGN 150</v>
      </c>
    </row>
    <row r="132" spans="9:11" x14ac:dyDescent="0.25">
      <c r="I132" s="3">
        <v>83</v>
      </c>
      <c r="J132" s="2">
        <f>SUMIF($N$2:$N$54, "ECE 346", $M$2:$M$54)</f>
        <v>47</v>
      </c>
      <c r="K132" s="2" t="str">
        <f>_xlfn.XLOOKUP(J132,$M$2:$M$54,$N$2:$N$54)</f>
        <v>ECE 346</v>
      </c>
    </row>
    <row r="133" spans="9:11" x14ac:dyDescent="0.25">
      <c r="I133" s="3">
        <v>84</v>
      </c>
      <c r="J133" s="2">
        <f>SUMIF($N$2:$N$54, "ENGN 150", $M$2:$M$54)</f>
        <v>17</v>
      </c>
      <c r="K133" s="2" t="str">
        <f>_xlfn.XLOOKUP(J133,$M$2:$M$54,$N$2:$N$54)</f>
        <v>ENGN 150</v>
      </c>
    </row>
    <row r="134" spans="9:11" x14ac:dyDescent="0.25">
      <c r="I134" s="3">
        <v>84</v>
      </c>
      <c r="J134" s="2">
        <f>SUMIF($N$2:$N$54, "ECE 443", $M$2:$M$54)</f>
        <v>50</v>
      </c>
      <c r="K134" s="2" t="str">
        <f>_xlfn.XLOOKUP(J134,$M$2:$M$54,$N$2:$N$54)</f>
        <v>ECE 443</v>
      </c>
    </row>
    <row r="135" spans="9:11" x14ac:dyDescent="0.25">
      <c r="I135" s="3">
        <v>85</v>
      </c>
      <c r="J135" s="2">
        <f>SUMIF($N$2:$N$54, "ENGN 150", $M$2:$M$54)</f>
        <v>17</v>
      </c>
      <c r="K135" s="2" t="str">
        <f>_xlfn.XLOOKUP(J135,$M$2:$M$54,$N$2:$N$54)</f>
        <v>ENGN 150</v>
      </c>
    </row>
    <row r="136" spans="9:11" x14ac:dyDescent="0.25">
      <c r="I136" s="3">
        <v>85</v>
      </c>
      <c r="J136" s="2">
        <f>SUMIF($N$2:$N$54, "CS 361", $M$2:$M$54)</f>
        <v>30</v>
      </c>
      <c r="K136" s="2" t="str">
        <f>_xlfn.XLOOKUP(J136,$M$2:$M$54,$N$2:$N$54)</f>
        <v>CS 361</v>
      </c>
    </row>
    <row r="137" spans="9:11" x14ac:dyDescent="0.25">
      <c r="I137" s="3">
        <v>85</v>
      </c>
      <c r="J137" s="2">
        <f>SUMIF($N$2:$N$54, "CS 170", $M$2:$M$54)</f>
        <v>15</v>
      </c>
      <c r="K137" s="2" t="str">
        <f>_xlfn.XLOOKUP(J137,$M$2:$M$54,$N$2:$N$54)</f>
        <v>CS 170</v>
      </c>
    </row>
    <row r="138" spans="9:11" x14ac:dyDescent="0.25">
      <c r="I138" s="3">
        <v>86</v>
      </c>
      <c r="J138" s="2">
        <f>SUMIF($N$2:$N$54, "CS 150", $M$2:$M$54)</f>
        <v>16</v>
      </c>
      <c r="K138" s="2" t="str">
        <f>_xlfn.XLOOKUP(J138,$M$2:$M$54,$N$2:$N$54)</f>
        <v>CS 150</v>
      </c>
    </row>
    <row r="139" spans="9:11" x14ac:dyDescent="0.25">
      <c r="I139" s="3">
        <v>86</v>
      </c>
      <c r="J139" s="2">
        <f>SUMIF($N$2:$N$54, "ECE 346", $M$2:$M$54)</f>
        <v>47</v>
      </c>
      <c r="K139" s="2" t="str">
        <f>_xlfn.XLOOKUP(J139,$M$2:$M$54,$N$2:$N$54)</f>
        <v>ECE 346</v>
      </c>
    </row>
    <row r="140" spans="9:11" x14ac:dyDescent="0.25">
      <c r="I140" s="3">
        <v>87</v>
      </c>
      <c r="J140" s="2">
        <f>SUMIF($N$2:$N$54, "CS 150", $M$2:$M$54)</f>
        <v>16</v>
      </c>
      <c r="K140" s="2" t="str">
        <f>_xlfn.XLOOKUP(J140,$M$2:$M$54,$N$2:$N$54)</f>
        <v>CS 150</v>
      </c>
    </row>
    <row r="141" spans="9:11" x14ac:dyDescent="0.25">
      <c r="I141" s="3">
        <v>87</v>
      </c>
      <c r="J141" s="2">
        <f>SUMIF($N$2:$N$54, "ECE 443", $M$2:$M$54)</f>
        <v>50</v>
      </c>
      <c r="K141" s="2" t="str">
        <f>_xlfn.XLOOKUP(J141,$M$2:$M$54,$N$2:$N$54)</f>
        <v>ECE 443</v>
      </c>
    </row>
    <row r="142" spans="9:11" x14ac:dyDescent="0.25">
      <c r="I142" s="3">
        <v>88</v>
      </c>
      <c r="J142" s="2">
        <f>SUMIF($N$2:$N$54, "CS 150", $M$2:$M$54)</f>
        <v>16</v>
      </c>
      <c r="K142" s="2" t="str">
        <f>_xlfn.XLOOKUP(J142,$M$2:$M$54,$N$2:$N$54)</f>
        <v>CS 150</v>
      </c>
    </row>
    <row r="143" spans="9:11" x14ac:dyDescent="0.25">
      <c r="I143" s="3">
        <v>88</v>
      </c>
      <c r="J143" s="2">
        <f>SUMIF($N$2:$N$54, "CS 361", $M$2:$M$54)</f>
        <v>30</v>
      </c>
      <c r="K143" s="2" t="str">
        <f>_xlfn.XLOOKUP(J143,$M$2:$M$54,$N$2:$N$54)</f>
        <v>CS 361</v>
      </c>
    </row>
    <row r="144" spans="9:11" x14ac:dyDescent="0.25">
      <c r="I144" s="3">
        <v>88</v>
      </c>
      <c r="J144" s="2">
        <f>SUMIF($N$2:$N$54, "CS 170", $M$2:$M$54)</f>
        <v>15</v>
      </c>
      <c r="K144" s="2" t="str">
        <f>_xlfn.XLOOKUP(J144,$M$2:$M$54,$N$2:$N$54)</f>
        <v>CS 170</v>
      </c>
    </row>
    <row r="145" spans="9:11" x14ac:dyDescent="0.25">
      <c r="I145" s="3">
        <v>89</v>
      </c>
      <c r="J145" s="2">
        <f>SUMIF($N$2:$N$54, "CS 260", $M$2:$M$54)</f>
        <v>29</v>
      </c>
      <c r="K145" s="2" t="str">
        <f>_xlfn.XLOOKUP(J145,$M$2:$M$54,$N$2:$N$54)</f>
        <v>CS 260</v>
      </c>
    </row>
    <row r="146" spans="9:11" x14ac:dyDescent="0.25">
      <c r="I146" s="3">
        <v>89</v>
      </c>
      <c r="J146" s="2">
        <f>SUMIF($N$2:$N$54, "ECE 346", $M$2:$M$54)</f>
        <v>47</v>
      </c>
      <c r="K146" s="2" t="str">
        <f>_xlfn.XLOOKUP(J146,$M$2:$M$54,$N$2:$N$54)</f>
        <v>ECE 346</v>
      </c>
    </row>
    <row r="147" spans="9:11" x14ac:dyDescent="0.25">
      <c r="I147" s="3">
        <v>90</v>
      </c>
      <c r="J147" s="2">
        <f>SUMIF($N$2:$N$54, "CS 260", $M$2:$M$54)</f>
        <v>29</v>
      </c>
      <c r="K147" s="2" t="str">
        <f>_xlfn.XLOOKUP(J147,$M$2:$M$54,$N$2:$N$54)</f>
        <v>CS 260</v>
      </c>
    </row>
    <row r="148" spans="9:11" x14ac:dyDescent="0.25">
      <c r="I148" s="3">
        <v>90</v>
      </c>
      <c r="J148" s="2">
        <f>SUMIF($N$2:$N$54, "ECE 443", $M$2:$M$54)</f>
        <v>50</v>
      </c>
      <c r="K148" s="2" t="str">
        <f>_xlfn.XLOOKUP(J148,$M$2:$M$54,$N$2:$N$54)</f>
        <v>ECE 443</v>
      </c>
    </row>
    <row r="149" spans="9:11" x14ac:dyDescent="0.25">
      <c r="I149" s="3">
        <v>91</v>
      </c>
      <c r="J149" s="2">
        <f>SUMIF($N$2:$N$54, "CS 260", $M$2:$M$54)</f>
        <v>29</v>
      </c>
      <c r="K149" s="2" t="str">
        <f>_xlfn.XLOOKUP(J149,$M$2:$M$54,$N$2:$N$54)</f>
        <v>CS 260</v>
      </c>
    </row>
    <row r="150" spans="9:11" x14ac:dyDescent="0.25">
      <c r="I150" s="3">
        <v>91</v>
      </c>
      <c r="J150" s="2">
        <f>SUMIF($N$2:$N$54, "CS 361", $M$2:$M$54)</f>
        <v>30</v>
      </c>
      <c r="K150" s="2" t="str">
        <f>_xlfn.XLOOKUP(J150,$M$2:$M$54,$N$2:$N$54)</f>
        <v>CS 361</v>
      </c>
    </row>
    <row r="151" spans="9:11" x14ac:dyDescent="0.25">
      <c r="I151" s="3">
        <v>91</v>
      </c>
      <c r="J151" s="2">
        <f>SUMIF($N$2:$N$54, "CS 170", $M$2:$M$54)</f>
        <v>15</v>
      </c>
      <c r="K151" s="2" t="str">
        <f>_xlfn.XLOOKUP(J151,$M$2:$M$54,$N$2:$N$54)</f>
        <v>CS 170</v>
      </c>
    </row>
    <row r="152" spans="9:11" x14ac:dyDescent="0.25">
      <c r="I152" s="3">
        <v>92</v>
      </c>
      <c r="J152" s="2">
        <f>SUMIF($N$2:$N$54, "ECE 241", $M$2:$M$54)</f>
        <v>48</v>
      </c>
      <c r="K152" s="2" t="str">
        <f>_xlfn.XLOOKUP(J152,$M$2:$M$54,$N$2:$N$54)</f>
        <v>ECE 241</v>
      </c>
    </row>
    <row r="153" spans="9:11" x14ac:dyDescent="0.25">
      <c r="I153" s="3">
        <v>93</v>
      </c>
      <c r="J153" s="2">
        <f>SUMIF($N$2:$N$54, "CS 150", $M$2:$M$54)</f>
        <v>16</v>
      </c>
      <c r="K153" s="2" t="str">
        <f>_xlfn.XLOOKUP(J153,$M$2:$M$54,$N$2:$N$54)</f>
        <v>CS 150</v>
      </c>
    </row>
    <row r="154" spans="9:11" x14ac:dyDescent="0.25">
      <c r="I154" s="3">
        <v>94</v>
      </c>
      <c r="J154" s="2">
        <f>SUMIF($N$2:$N$54, "ENGN 150", $M$2:$M$54)</f>
        <v>17</v>
      </c>
      <c r="K154" s="2" t="str">
        <f>_xlfn.XLOOKUP(J154,$M$2:$M$54,$N$2:$N$54)</f>
        <v>ENGN 150</v>
      </c>
    </row>
    <row r="155" spans="9:11" x14ac:dyDescent="0.25">
      <c r="I155" s="3">
        <v>95</v>
      </c>
      <c r="J155" s="2">
        <f>SUMIF($N$2:$N$54, "ENGN 122", $M$2:$M$54)</f>
        <v>49</v>
      </c>
      <c r="K155" s="2" t="str">
        <f>_xlfn.XLOOKUP(J155,$M$2:$M$54,$N$2:$N$54)</f>
        <v>ENGN 122</v>
      </c>
    </row>
    <row r="156" spans="9:11" x14ac:dyDescent="0.25">
      <c r="I156" s="3">
        <v>96</v>
      </c>
      <c r="J156" s="2">
        <f>SUMIF($N$2:$N$54, "MATH 211", $M$2:$M$54)</f>
        <v>3</v>
      </c>
      <c r="K156" s="2" t="str">
        <f>_xlfn.XLOOKUP(J156,$M$2:$M$54,$N$2:$N$54)</f>
        <v>MATH 211</v>
      </c>
    </row>
    <row r="157" spans="9:11" x14ac:dyDescent="0.25">
      <c r="I157" s="3">
        <v>97</v>
      </c>
      <c r="J157" s="2">
        <f>SUMIF($N$2:$N$54, "MATH 163", $M$2:$M$54)</f>
        <v>4</v>
      </c>
      <c r="K157" s="2" t="str">
        <f>_xlfn.XLOOKUP(J157,$M$2:$M$54,$N$2:$N$54)</f>
        <v>MATH 163</v>
      </c>
    </row>
    <row r="158" spans="9:11" x14ac:dyDescent="0.25">
      <c r="I158" s="3">
        <v>98</v>
      </c>
      <c r="J158" s="2">
        <f>SUMIF($N$2:$N$54, "MATH 166", $M$2:$M$54)</f>
        <v>9</v>
      </c>
      <c r="K158" s="2" t="str">
        <f>_xlfn.XLOOKUP(J158,$M$2:$M$54,$N$2:$N$54)</f>
        <v>MATH 166</v>
      </c>
    </row>
    <row r="159" spans="9:11" x14ac:dyDescent="0.25">
      <c r="I159" s="3">
        <v>99</v>
      </c>
      <c r="J159" s="2">
        <f>SUMIF($N$2:$N$54, "ECE 346", $M$2:$M$54)</f>
        <v>47</v>
      </c>
      <c r="K159" s="2" t="str">
        <f>_xlfn.XLOOKUP(J159,$M$2:$M$54,$N$2:$N$54)</f>
        <v>ECE 346</v>
      </c>
    </row>
    <row r="160" spans="9:11" x14ac:dyDescent="0.25">
      <c r="I160" s="3">
        <v>99</v>
      </c>
      <c r="J160" s="2">
        <f>SUMIF($N$2:$N$54, "ECE 342", $M$2:$M$54)</f>
        <v>51</v>
      </c>
      <c r="K160" s="2" t="str">
        <f>_xlfn.XLOOKUP(J160,$M$2:$M$54,$N$2:$N$54)</f>
        <v>ECE 342</v>
      </c>
    </row>
    <row r="161" spans="9:11" x14ac:dyDescent="0.25">
      <c r="I161" s="3">
        <v>100</v>
      </c>
      <c r="J161" s="2">
        <f>SUMIF($N$2:$N$54, "ECE 341", $M$2:$M$54)</f>
        <v>52</v>
      </c>
      <c r="K161" s="2" t="str">
        <f>_xlfn.XLOOKUP(J161,$M$2:$M$54,$N$2:$N$54)</f>
        <v>ECE 341</v>
      </c>
    </row>
    <row r="162" spans="9:11" x14ac:dyDescent="0.25">
      <c r="I162" s="3">
        <v>100</v>
      </c>
      <c r="J162" s="2">
        <f>SUMIF($N$2:$N$54, "ECE 346", $M$2:$M$54)</f>
        <v>47</v>
      </c>
      <c r="K162" s="2" t="str">
        <f>_xlfn.XLOOKUP(J162,$M$2:$M$54,$N$2:$N$54)</f>
        <v>ECE 346</v>
      </c>
    </row>
    <row r="163" spans="9:11" x14ac:dyDescent="0.25">
      <c r="I163" s="3">
        <v>101</v>
      </c>
      <c r="J163" s="2">
        <f>SUMIF($N$2:$N$54, "ECE 241", $M$2:$M$54)</f>
        <v>48</v>
      </c>
      <c r="K163" s="2" t="str">
        <f>_xlfn.XLOOKUP(J163,$M$2:$M$54,$N$2:$N$54)</f>
        <v>ECE 241</v>
      </c>
    </row>
  </sheetData>
  <mergeCells count="4">
    <mergeCell ref="A1:D1"/>
    <mergeCell ref="F1:G1"/>
    <mergeCell ref="I1:J1"/>
    <mergeCell ref="M1:P1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ALLGAIER, SEAN G.</dc:creator>
  <cp:lastModifiedBy>ALLGAIER, SEAN G.</cp:lastModifiedBy>
  <dcterms:created xsi:type="dcterms:W3CDTF">2024-10-26T14:24:53Z</dcterms:created>
  <dcterms:modified xsi:type="dcterms:W3CDTF">2024-10-27T16:41:56Z</dcterms:modified>
</cp:coreProperties>
</file>