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ed\OneDrive - 日本大学\ドキュメント\B2\後期\設計製図II\"/>
    </mc:Choice>
  </mc:AlternateContent>
  <xr:revisionPtr revIDLastSave="0" documentId="13_ncr:1_{C35457F3-DC0B-4D69-89E6-409DA7ADBE27}" xr6:coauthVersionLast="47" xr6:coauthVersionMax="47" xr10:uidLastSave="{00000000-0000-0000-0000-000000000000}"/>
  <bookViews>
    <workbookView xWindow="-90" yWindow="-90" windowWidth="19380" windowHeight="10260" xr2:uid="{F52D9EA8-FCBE-4DF7-9E56-114FF8CB455D}"/>
  </bookViews>
  <sheets>
    <sheet name="Sheet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  <c r="K20" i="3" s="1"/>
  <c r="E22" i="3"/>
  <c r="K25" i="3"/>
  <c r="K16" i="3"/>
  <c r="K18" i="3" s="1"/>
  <c r="K7" i="3"/>
  <c r="K6" i="3"/>
  <c r="K5" i="3"/>
  <c r="E7" i="3"/>
  <c r="E10" i="3" s="1"/>
  <c r="H4" i="3" s="1"/>
  <c r="E16" i="3"/>
  <c r="B10" i="3"/>
  <c r="B8" i="3"/>
  <c r="B12" i="3" s="1"/>
  <c r="B4" i="3"/>
  <c r="K26" i="3" l="1"/>
  <c r="K9" i="3"/>
  <c r="K10" i="3" s="1"/>
  <c r="E17" i="3"/>
  <c r="E20" i="3" s="1"/>
  <c r="E3" i="3"/>
  <c r="E5" i="3" s="1"/>
  <c r="H7" i="3" s="1"/>
  <c r="H10" i="3"/>
  <c r="K27" i="3" l="1"/>
  <c r="K11" i="3"/>
  <c r="K14" i="3"/>
  <c r="H11" i="3"/>
</calcChain>
</file>

<file path=xl/sharedStrings.xml><?xml version="1.0" encoding="utf-8"?>
<sst xmlns="http://schemas.openxmlformats.org/spreadsheetml/2006/main" count="77" uniqueCount="68">
  <si>
    <t>電源 [Hz]</t>
    <rPh sb="0" eb="2">
      <t>デンゲン</t>
    </rPh>
    <phoneticPr fontId="1"/>
  </si>
  <si>
    <t>吸入圧力 [atm]</t>
    <rPh sb="0" eb="4">
      <t>キュウニュウアツリョク</t>
    </rPh>
    <phoneticPr fontId="1"/>
  </si>
  <si>
    <t>吸入温度 [℃]</t>
    <rPh sb="0" eb="4">
      <t>キュウニュウオンド</t>
    </rPh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</si>
  <si>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</si>
  <si>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</si>
  <si>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重力加速度g [m/s^2]</t>
    <rPh sb="0" eb="5">
      <t>ジュウリョクカソクド</t>
    </rPh>
    <phoneticPr fontId="1"/>
  </si>
  <si>
    <t>送風機全圧P_T [mmAq]</t>
    <rPh sb="0" eb="3">
      <t>ソウフウキ</t>
    </rPh>
    <rPh sb="3" eb="5">
      <t>ゼンアツ</t>
    </rPh>
    <phoneticPr fontId="1"/>
  </si>
  <si>
    <t>吸込流量Q [m^3/min]</t>
    <rPh sb="0" eb="2">
      <t>スイコ</t>
    </rPh>
    <rPh sb="2" eb="4">
      <t>リュウリョウ</t>
    </rPh>
    <phoneticPr fontId="1"/>
  </si>
  <si>
    <t>吸入圧力 [Pa]</t>
    <rPh sb="0" eb="4">
      <t>キュウニュウアツリョク</t>
    </rPh>
    <phoneticPr fontId="1"/>
  </si>
  <si>
    <t>送風機全圧P_T [Pa]</t>
    <rPh sb="0" eb="3">
      <t>ソウフウキ</t>
    </rPh>
    <rPh sb="3" eb="5">
      <t>ゼンアツ</t>
    </rPh>
    <phoneticPr fontId="1"/>
  </si>
  <si>
    <t>吸入ガス圧力P_1 [Pa]</t>
    <rPh sb="0" eb="2">
      <t>キュウニュウ</t>
    </rPh>
    <rPh sb="4" eb="6">
      <t>アツリョク</t>
    </rPh>
    <phoneticPr fontId="1"/>
  </si>
  <si>
    <t>吸入ガス温度T_1 [K]</t>
    <rPh sb="0" eb="2">
      <t>キュウニュウ</t>
    </rPh>
    <rPh sb="4" eb="6">
      <t>オンド</t>
    </rPh>
    <phoneticPr fontId="1"/>
  </si>
  <si>
    <t>ガス定数R</t>
    <rPh sb="2" eb="4">
      <t>テイスウ</t>
    </rPh>
    <phoneticPr fontId="1"/>
  </si>
  <si>
    <t>比速度の仮定と電動機の選定</t>
    <rPh sb="0" eb="3">
      <t>ヒソクド</t>
    </rPh>
    <rPh sb="4" eb="6">
      <t>カテイ</t>
    </rPh>
    <rPh sb="7" eb="10">
      <t>デンドウキ</t>
    </rPh>
    <rPh sb="11" eb="13">
      <t>センテイ</t>
    </rPh>
    <phoneticPr fontId="1"/>
  </si>
  <si>
    <t>気体密度ρ [kg/m^3]</t>
    <rPh sb="0" eb="4">
      <t>キタイミツド</t>
    </rPh>
    <phoneticPr fontId="1"/>
  </si>
  <si>
    <t>羽根車の回転数n [1/min]</t>
    <rPh sb="0" eb="3">
      <t>ハネグルマ</t>
    </rPh>
    <rPh sb="4" eb="7">
      <t>カイテンスウ</t>
    </rPh>
    <phoneticPr fontId="1"/>
  </si>
  <si>
    <t>すべり率S [%]</t>
    <rPh sb="3" eb="4">
      <t>リツ</t>
    </rPh>
    <phoneticPr fontId="1"/>
  </si>
  <si>
    <t>電動機の極数N_p [個]</t>
    <rPh sb="0" eb="3">
      <t>デンドウキ</t>
    </rPh>
    <rPh sb="4" eb="6">
      <t>キョクスウ</t>
    </rPh>
    <rPh sb="11" eb="12">
      <t>コ</t>
    </rPh>
    <phoneticPr fontId="1"/>
  </si>
  <si>
    <t>周波数f (関東地域) [Hz]</t>
    <rPh sb="0" eb="3">
      <t>シュウハスウ</t>
    </rPh>
    <rPh sb="6" eb="10">
      <t>カントウチイキ</t>
    </rPh>
    <phoneticPr fontId="1"/>
  </si>
  <si>
    <t>電動機の回転数N [1/min]</t>
    <rPh sb="0" eb="3">
      <t>デンドウキ</t>
    </rPh>
    <rPh sb="4" eb="7">
      <t>カイテンスウ</t>
    </rPh>
    <phoneticPr fontId="1"/>
  </si>
  <si>
    <t>すべり率S [-]</t>
    <rPh sb="3" eb="4">
      <t>リツ</t>
    </rPh>
    <phoneticPr fontId="1"/>
  </si>
  <si>
    <t>Vプーリの選定と比速度の決定</t>
    <rPh sb="5" eb="7">
      <t>センテイ</t>
    </rPh>
    <rPh sb="8" eb="11">
      <t>ヒソクド</t>
    </rPh>
    <rPh sb="12" eb="14">
      <t>ケッテイ</t>
    </rPh>
    <phoneticPr fontId="1"/>
  </si>
  <si>
    <t>ベルト速度V_b [m/s]</t>
    <rPh sb="3" eb="5">
      <t>ソクド</t>
    </rPh>
    <phoneticPr fontId="1"/>
  </si>
  <si>
    <t>電動機側Vプーリピッチ径の目安D'_P1 [mm]</t>
    <rPh sb="0" eb="3">
      <t>デンドウキ</t>
    </rPh>
    <rPh sb="3" eb="4">
      <t>ガワ</t>
    </rPh>
    <rPh sb="11" eb="12">
      <t>ケイ</t>
    </rPh>
    <rPh sb="13" eb="15">
      <t>メヤス</t>
    </rPh>
    <phoneticPr fontId="1"/>
  </si>
  <si>
    <t>羽根車側Vプーリピッチ径の目安D'_P2 [mm]</t>
    <rPh sb="0" eb="3">
      <t>ハネグルマ</t>
    </rPh>
    <rPh sb="3" eb="4">
      <t>ガワ</t>
    </rPh>
    <rPh sb="11" eb="12">
      <t>ケイ</t>
    </rPh>
    <rPh sb="13" eb="15">
      <t>メヤス</t>
    </rPh>
    <phoneticPr fontId="1"/>
  </si>
  <si>
    <t>電動機側Vプーリピッチ径D_P1 [mm]</t>
    <rPh sb="0" eb="3">
      <t>デンドウキ</t>
    </rPh>
    <rPh sb="3" eb="4">
      <t>ガワ</t>
    </rPh>
    <rPh sb="11" eb="12">
      <t>ケイ</t>
    </rPh>
    <phoneticPr fontId="1"/>
  </si>
  <si>
    <t>羽根車側Vプーリピッチ径のD_P2 [mm]</t>
    <rPh sb="0" eb="3">
      <t>ハネグルマ</t>
    </rPh>
    <rPh sb="3" eb="4">
      <t>ガワ</t>
    </rPh>
    <rPh sb="11" eb="12">
      <t>ケイ</t>
    </rPh>
    <phoneticPr fontId="1"/>
  </si>
  <si>
    <t>↑Vプーリ　100-A-1</t>
    <phoneticPr fontId="1"/>
  </si>
  <si>
    <t>↑Vプーリ　67-A-1</t>
    <phoneticPr fontId="1"/>
  </si>
  <si>
    <t>比速度n_s (再計算) [m/s]</t>
    <rPh sb="0" eb="3">
      <t>ヒソクド</t>
    </rPh>
    <rPh sb="8" eb="11">
      <t>サイケイサン</t>
    </rPh>
    <phoneticPr fontId="1"/>
  </si>
  <si>
    <t>比速度n_s (仮定) [m/s]</t>
    <rPh sb="0" eb="3">
      <t>ヒソクド</t>
    </rPh>
    <rPh sb="8" eb="10">
      <t>カテイ</t>
    </rPh>
    <phoneticPr fontId="1"/>
  </si>
  <si>
    <t>羽根車の回転数n (再計算) [1/min]</t>
    <rPh sb="0" eb="3">
      <t>ハネグルマ</t>
    </rPh>
    <rPh sb="4" eb="7">
      <t>カイテンスウ</t>
    </rPh>
    <rPh sb="10" eb="13">
      <t>サイケイサン</t>
    </rPh>
    <phoneticPr fontId="1"/>
  </si>
  <si>
    <t>基本条件</t>
    <rPh sb="0" eb="4">
      <t>キホンジョウケン</t>
    </rPh>
    <phoneticPr fontId="1"/>
  </si>
  <si>
    <t>電動機の選定</t>
    <rPh sb="0" eb="3">
      <t>デンドウキ</t>
    </rPh>
    <rPh sb="4" eb="6">
      <t>センテイ</t>
    </rPh>
    <phoneticPr fontId="1"/>
  </si>
  <si>
    <t>送風機全圧効率η_T [%]</t>
    <rPh sb="0" eb="3">
      <t>ソウフウキ</t>
    </rPh>
    <rPh sb="3" eb="7">
      <t>ゼンアツコウリツ</t>
    </rPh>
    <phoneticPr fontId="1"/>
  </si>
  <si>
    <t>↑図2.3より読み取る</t>
    <rPh sb="1" eb="2">
      <t>ズ</t>
    </rPh>
    <rPh sb="7" eb="8">
      <t>ヨ</t>
    </rPh>
    <rPh sb="9" eb="10">
      <t>ト</t>
    </rPh>
    <phoneticPr fontId="1"/>
  </si>
  <si>
    <t>送風機軸動力W_e [kW]</t>
    <rPh sb="0" eb="3">
      <t>ソウフウキ</t>
    </rPh>
    <rPh sb="3" eb="4">
      <t>ジク</t>
    </rPh>
    <rPh sb="4" eb="6">
      <t>ドウリョク</t>
    </rPh>
    <phoneticPr fontId="1"/>
  </si>
  <si>
    <t>送風機全圧効率η_T [-]</t>
    <rPh sb="0" eb="3">
      <t>ソウフウキ</t>
    </rPh>
    <rPh sb="3" eb="7">
      <t>ゼンアツコウリツ</t>
    </rPh>
    <phoneticPr fontId="1"/>
  </si>
  <si>
    <t>余裕係数α_S [-]</t>
    <rPh sb="0" eb="4">
      <t>ヨユウケイスウ</t>
    </rPh>
    <phoneticPr fontId="1"/>
  </si>
  <si>
    <t>伝動効率η_d [-]</t>
    <rPh sb="0" eb="4">
      <t>デンドウコウリツ</t>
    </rPh>
    <phoneticPr fontId="1"/>
  </si>
  <si>
    <t>原動機電力W_d0 [kW]</t>
    <rPh sb="0" eb="3">
      <t>ゲンドウキ</t>
    </rPh>
    <rPh sb="3" eb="5">
      <t>デンリョク</t>
    </rPh>
    <phoneticPr fontId="1"/>
  </si>
  <si>
    <t>原動機定格出力 [kW]</t>
    <rPh sb="0" eb="3">
      <t>ゲンドウキ</t>
    </rPh>
    <rPh sb="3" eb="7">
      <t>テイカクシュツリョク</t>
    </rPh>
    <phoneticPr fontId="1"/>
  </si>
  <si>
    <t>Vベルトの選定</t>
    <rPh sb="5" eb="7">
      <t>センテイ</t>
    </rPh>
    <phoneticPr fontId="1"/>
  </si>
  <si>
    <t>設計動力W_d [kW]</t>
    <rPh sb="0" eb="2">
      <t>セッケイ</t>
    </rPh>
    <rPh sb="2" eb="4">
      <t>ドウリョク</t>
    </rPh>
    <phoneticPr fontId="1"/>
  </si>
  <si>
    <t>負荷補正係数K_0 [-]</t>
    <rPh sb="0" eb="4">
      <t>フカホセイ</t>
    </rPh>
    <rPh sb="4" eb="6">
      <t>ケイスウ</t>
    </rPh>
    <phoneticPr fontId="1"/>
  </si>
  <si>
    <t>アイドラ補正係数K_i [-]</t>
    <rPh sb="4" eb="6">
      <t>ホセイ</t>
    </rPh>
    <rPh sb="6" eb="8">
      <t>ケイスウ</t>
    </rPh>
    <phoneticPr fontId="1"/>
  </si>
  <si>
    <t>軸間距離C_S [mm]</t>
    <rPh sb="0" eb="4">
      <t>ジクカンキョリ</t>
    </rPh>
    <phoneticPr fontId="1"/>
  </si>
  <si>
    <t>羽根車側Vプーリピッチ径D_P1 [mm]</t>
    <rPh sb="0" eb="3">
      <t>ハネグルマ</t>
    </rPh>
    <rPh sb="3" eb="4">
      <t>ガワ</t>
    </rPh>
    <rPh sb="11" eb="12">
      <t>ケイ</t>
    </rPh>
    <phoneticPr fontId="1"/>
  </si>
  <si>
    <t>電動機側Vプーリピッチ径D_P2 [mm]</t>
    <rPh sb="0" eb="3">
      <t>デンドウキ</t>
    </rPh>
    <rPh sb="3" eb="4">
      <t>ガワ</t>
    </rPh>
    <rPh sb="11" eb="12">
      <t>ケイ</t>
    </rPh>
    <phoneticPr fontId="1"/>
  </si>
  <si>
    <t>↑D_P1&lt;D_P2となるように下付き文字の入れ替え</t>
    <rPh sb="16" eb="18">
      <t>シタツ</t>
    </rPh>
    <rPh sb="19" eb="21">
      <t>モジ</t>
    </rPh>
    <rPh sb="22" eb="23">
      <t>イ</t>
    </rPh>
    <rPh sb="24" eb="25">
      <t>カ</t>
    </rPh>
    <phoneticPr fontId="1"/>
  </si>
  <si>
    <t>角度Φ [rad]</t>
    <rPh sb="0" eb="2">
      <t>カクド</t>
    </rPh>
    <phoneticPr fontId="1"/>
  </si>
  <si>
    <t>Vベルトの理論上所有長さL_b [mm]</t>
    <rPh sb="5" eb="11">
      <t>リロンジョウショユウナガ</t>
    </rPh>
    <phoneticPr fontId="1"/>
  </si>
  <si>
    <t>Vベルトの呼び長さL_b [mm]</t>
    <rPh sb="5" eb="6">
      <t>ヨ</t>
    </rPh>
    <rPh sb="7" eb="8">
      <t>ナガ</t>
    </rPh>
    <phoneticPr fontId="1"/>
  </si>
  <si>
    <t>↑JIS K 6323 - 23より選定</t>
    <rPh sb="18" eb="20">
      <t>センテイ</t>
    </rPh>
    <phoneticPr fontId="1"/>
  </si>
  <si>
    <t>軸間距離C_S (再計算) [mm]</t>
    <rPh sb="0" eb="4">
      <t>ジクカンキョリ</t>
    </rPh>
    <rPh sb="9" eb="12">
      <t>サイケイサン</t>
    </rPh>
    <phoneticPr fontId="1"/>
  </si>
  <si>
    <t>Vベルトのくさび面がなす角θ [rad]</t>
    <rPh sb="8" eb="9">
      <t>メン</t>
    </rPh>
    <rPh sb="12" eb="13">
      <t>カク</t>
    </rPh>
    <phoneticPr fontId="1"/>
  </si>
  <si>
    <t>Vベルトのくさび面がなす角θ [deg]</t>
    <rPh sb="8" eb="9">
      <t>メン</t>
    </rPh>
    <rPh sb="12" eb="13">
      <t>カク</t>
    </rPh>
    <phoneticPr fontId="1"/>
  </si>
  <si>
    <t>VベルトとVプーリの摩擦係数μ [-]</t>
    <rPh sb="10" eb="14">
      <t>マサツケイスウ</t>
    </rPh>
    <phoneticPr fontId="1"/>
  </si>
  <si>
    <t>μ'</t>
    <phoneticPr fontId="1"/>
  </si>
  <si>
    <t>張側ベルト張力F_b1 [N]</t>
    <rPh sb="0" eb="1">
      <t>ハ</t>
    </rPh>
    <rPh sb="1" eb="2">
      <t>ガワ</t>
    </rPh>
    <rPh sb="5" eb="7">
      <t>チョウリョク</t>
    </rPh>
    <phoneticPr fontId="1"/>
  </si>
  <si>
    <t>VベルトとVプーリの接触角α_1 [rad]</t>
    <rPh sb="10" eb="13">
      <t>セッショクカク</t>
    </rPh>
    <phoneticPr fontId="1"/>
  </si>
  <si>
    <t>ベルト本数n_b</t>
    <rPh sb="3" eb="5">
      <t>ホンスウ</t>
    </rPh>
    <phoneticPr fontId="1"/>
  </si>
  <si>
    <t>Ⅴベルト1本あたりの引張強さ [N]</t>
    <rPh sb="5" eb="6">
      <t>ホン</t>
    </rPh>
    <rPh sb="10" eb="13">
      <t>ヒッパリツヨ</t>
    </rPh>
    <phoneticPr fontId="1"/>
  </si>
  <si>
    <t>Ⅴベルト1本あたりの引張強さ [kN]</t>
    <rPh sb="5" eb="6">
      <t>ホン</t>
    </rPh>
    <rPh sb="10" eb="13">
      <t>ヒッパリツヨ</t>
    </rPh>
    <phoneticPr fontId="1"/>
  </si>
  <si>
    <t>↑JIS K 6323 より読み取る</t>
    <rPh sb="14" eb="15">
      <t>ヨ</t>
    </rPh>
    <rPh sb="16" eb="17">
      <t>ト</t>
    </rPh>
    <phoneticPr fontId="1"/>
  </si>
  <si>
    <t>↑1本で十分</t>
    <rPh sb="2" eb="3">
      <t>ホン</t>
    </rPh>
    <rPh sb="4" eb="6">
      <t>ジュウブン</t>
    </rPh>
    <phoneticPr fontId="1"/>
  </si>
  <si>
    <t>緩み側ベルト張力F_b2 [N]</t>
    <rPh sb="0" eb="1">
      <t>ユル</t>
    </rPh>
    <rPh sb="2" eb="3">
      <t>ガワ</t>
    </rPh>
    <rPh sb="6" eb="8">
      <t>チョウリョク</t>
    </rPh>
    <phoneticPr fontId="1"/>
  </si>
  <si>
    <t>原動機定格出力 [W]</t>
    <rPh sb="0" eb="3">
      <t>ゲンドウキ</t>
    </rPh>
    <rPh sb="3" eb="7">
      <t>テイカクシュツリョク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</si>
</sst>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13B2-007D-4ED4-8CCC-FD59C37A423D}">
  <dimension ref="A1:K27"/>
  <sheetViews>
    <sheetView tabSelected="1" topLeftCell="D3" workbookViewId="0">
      <selection activeCell="K19" sqref="K19"/>
    </sheetView>
  </sheetViews>
  <sheetFormatPr defaultRowHeight="18" x14ac:dyDescent="1.1000000000000001"/>
  <cols>
    <col min="1" max="1" width="21.08203125" bestFit="1" customWidth="1"/>
    <col min="4" max="4" width="25.20703125" bestFit="1" customWidth="1"/>
    <col min="7" max="7" width="38.625" bestFit="1" customWidth="1"/>
    <col min="10" max="10" width="34.375" customWidth="1"/>
    <col min="11" max="11" width="12.4140625" bestFit="1" customWidth="1"/>
  </cols>
  <sheetData>
    <row r="1" spans="1:11" x14ac:dyDescent="1.1000000000000001">
      <c r="A1" s="8" t="s">
        <v>32</v>
      </c>
      <c r="D1" s="8" t="s">
        <v>13</v>
      </c>
      <c r="G1" s="8" t="s">
        <v>21</v>
      </c>
      <c r="J1" s="8" t="s">
        <v>42</v>
      </c>
    </row>
    <row r="2" spans="1:11" ht="18.75" thickBot="1" x14ac:dyDescent="1.25">
      <c r="A2" s="6" t="s">
        <v>3</v>
      </c>
      <c r="B2" s="7" t="s">
        <v>4</v>
      </c>
      <c r="D2" s="6" t="s">
        <v>3</v>
      </c>
      <c r="E2" s="7" t="s">
        <v>4</v>
      </c>
      <c r="G2" s="6" t="s">
        <v>3</v>
      </c>
      <c r="H2" s="7" t="s">
        <v>4</v>
      </c>
      <c r="J2" s="6" t="s">
        <v>3</v>
      </c>
      <c r="K2" s="7" t="s">
        <v>4</v>
      </c>
    </row>
    <row r="3" spans="1:11" ht="18.75" thickTop="1" x14ac:dyDescent="1.1000000000000001">
      <c r="A3" s="4" t="s">
        <v>6</v>
      </c>
      <c r="B3" s="5">
        <v>120</v>
      </c>
      <c r="D3" s="4" t="s">
        <v>14</v>
      </c>
      <c r="E3" s="5">
        <f>B12/(B13*B10)</f>
        <v>1.2042022182884489</v>
      </c>
      <c r="G3" s="4" t="s">
        <v>22</v>
      </c>
      <c r="H3" s="5">
        <v>15</v>
      </c>
      <c r="J3" s="4" t="s">
        <v>44</v>
      </c>
      <c r="K3" s="5">
        <v>1.2</v>
      </c>
    </row>
    <row r="4" spans="1:11" x14ac:dyDescent="1.1000000000000001">
      <c r="A4" s="1" t="s">
        <v>9</v>
      </c>
      <c r="B4" s="2">
        <f>B3*B11</f>
        <v>1176.798</v>
      </c>
      <c r="D4" s="4" t="s">
        <v>30</v>
      </c>
      <c r="E4" s="5">
        <v>350</v>
      </c>
      <c r="G4" s="4" t="s">
        <v>23</v>
      </c>
      <c r="H4" s="5">
        <f>(60*1000*H3)/(PI()*E10)</f>
        <v>98.446356551687842</v>
      </c>
      <c r="J4" s="1" t="s">
        <v>45</v>
      </c>
      <c r="K4" s="5">
        <v>0</v>
      </c>
    </row>
    <row r="5" spans="1:11" x14ac:dyDescent="1.1000000000000001">
      <c r="A5" s="1" t="s">
        <v>7</v>
      </c>
      <c r="B5" s="2">
        <v>6</v>
      </c>
      <c r="D5" s="1" t="s">
        <v>15</v>
      </c>
      <c r="E5" s="2">
        <f>(E4*(B4/(E3*B11))^(3/4))/B5^(1/2)</f>
        <v>4506.6495409041054</v>
      </c>
      <c r="G5" s="4" t="s">
        <v>25</v>
      </c>
      <c r="H5" s="5">
        <v>100</v>
      </c>
      <c r="J5" s="4" t="s">
        <v>43</v>
      </c>
      <c r="K5" s="5">
        <f>(K3+K4)*E21</f>
        <v>0.48</v>
      </c>
    </row>
    <row r="6" spans="1:11" x14ac:dyDescent="1.1000000000000001">
      <c r="A6" s="1" t="s">
        <v>0</v>
      </c>
      <c r="B6" s="2">
        <v>50</v>
      </c>
      <c r="D6" s="1" t="s">
        <v>16</v>
      </c>
      <c r="E6" s="2">
        <v>3</v>
      </c>
      <c r="G6" s="4" t="s">
        <v>27</v>
      </c>
      <c r="H6" s="5"/>
      <c r="J6" s="1" t="s">
        <v>47</v>
      </c>
      <c r="K6" s="5">
        <f>H8</f>
        <v>67</v>
      </c>
    </row>
    <row r="7" spans="1:11" x14ac:dyDescent="1.1000000000000001">
      <c r="A7" s="1" t="s">
        <v>1</v>
      </c>
      <c r="B7" s="2">
        <v>1</v>
      </c>
      <c r="D7" s="1" t="s">
        <v>20</v>
      </c>
      <c r="E7" s="2">
        <f>E6/100</f>
        <v>0.03</v>
      </c>
      <c r="G7" s="1" t="s">
        <v>24</v>
      </c>
      <c r="H7" s="2">
        <f>H5*(E10/E5)</f>
        <v>64.571251294064638</v>
      </c>
      <c r="J7" s="4" t="s">
        <v>48</v>
      </c>
      <c r="K7" s="5">
        <f>H5</f>
        <v>100</v>
      </c>
    </row>
    <row r="8" spans="1:11" x14ac:dyDescent="1.1000000000000001">
      <c r="A8" s="1" t="s">
        <v>8</v>
      </c>
      <c r="B8" s="2">
        <f>B7*101325</f>
        <v>101325</v>
      </c>
      <c r="D8" s="1" t="s">
        <v>17</v>
      </c>
      <c r="E8" s="2">
        <v>2</v>
      </c>
      <c r="G8" s="1" t="s">
        <v>26</v>
      </c>
      <c r="H8" s="2">
        <v>67</v>
      </c>
      <c r="J8" s="4" t="s">
        <v>49</v>
      </c>
      <c r="K8" s="5"/>
    </row>
    <row r="9" spans="1:11" x14ac:dyDescent="1.1000000000000001">
      <c r="A9" s="1" t="s">
        <v>2</v>
      </c>
      <c r="B9" s="2">
        <v>20</v>
      </c>
      <c r="D9" s="1" t="s">
        <v>18</v>
      </c>
      <c r="E9" s="2">
        <v>50</v>
      </c>
      <c r="G9" s="1" t="s">
        <v>28</v>
      </c>
      <c r="H9" s="2"/>
      <c r="J9" s="1" t="s">
        <v>46</v>
      </c>
      <c r="K9" s="2">
        <f>((K6+K7)/2)+K6</f>
        <v>150.5</v>
      </c>
    </row>
    <row r="10" spans="1:11" x14ac:dyDescent="1.1000000000000001">
      <c r="A10" s="1" t="s">
        <v>11</v>
      </c>
      <c r="B10" s="2">
        <f>B9+273.15</f>
        <v>293.14999999999998</v>
      </c>
      <c r="D10" s="1" t="s">
        <v>19</v>
      </c>
      <c r="E10" s="2">
        <f>(1-E7)*(2*E9/E8)*60</f>
        <v>2910</v>
      </c>
      <c r="G10" s="1" t="s">
        <v>31</v>
      </c>
      <c r="H10" s="2">
        <f>(H5/H8)*E10</f>
        <v>4343.2835820895525</v>
      </c>
      <c r="J10" s="1" t="s">
        <v>50</v>
      </c>
      <c r="K10" s="2">
        <f>ABS(ATAN((K7-K6)/(2*K9)))</f>
        <v>0.10919843300373432</v>
      </c>
    </row>
    <row r="11" spans="1:11" x14ac:dyDescent="1.1000000000000001">
      <c r="A11" s="1" t="s">
        <v>5</v>
      </c>
      <c r="B11" s="2">
        <v>9.8066499999999994</v>
      </c>
      <c r="G11" s="1" t="s">
        <v>29</v>
      </c>
      <c r="H11" s="2">
        <f>H10*((B5^(1/2))/(B4/(E3*B11))^(3/4))</f>
        <v>337.31250676003918</v>
      </c>
      <c r="J11" s="1" t="s">
        <v>51</v>
      </c>
      <c r="K11" s="2">
        <f>((PI()*(K7+K6))/2)+(K10*(K7-K6))+(2*K9*COS(K10))</f>
        <v>565.13371062625481</v>
      </c>
    </row>
    <row r="12" spans="1:11" x14ac:dyDescent="1.1000000000000001">
      <c r="A12" s="1" t="s">
        <v>10</v>
      </c>
      <c r="B12" s="2">
        <f>B8</f>
        <v>101325</v>
      </c>
      <c r="D12" s="8" t="s">
        <v>33</v>
      </c>
      <c r="J12" s="1" t="s">
        <v>52</v>
      </c>
      <c r="K12" s="2">
        <v>584</v>
      </c>
    </row>
    <row r="13" spans="1:11" ht="18.75" thickBot="1" x14ac:dyDescent="1.25">
      <c r="A13" s="1" t="s">
        <v>12</v>
      </c>
      <c r="B13" s="2">
        <v>287.02999999999997</v>
      </c>
      <c r="D13" s="6" t="s">
        <v>3</v>
      </c>
      <c r="E13" s="7" t="s">
        <v>4</v>
      </c>
      <c r="J13" s="1" t="s">
        <v>53</v>
      </c>
      <c r="K13" s="2"/>
    </row>
    <row r="14" spans="1:11" ht="18.75" thickTop="1" x14ac:dyDescent="1.1000000000000001">
      <c r="B14" s="3"/>
      <c r="D14" s="4" t="s">
        <v>34</v>
      </c>
      <c r="E14" s="5">
        <v>68</v>
      </c>
      <c r="J14" s="1" t="s">
        <v>54</v>
      </c>
      <c r="K14" s="2">
        <f>(K12-((PI()*(K7+K6))/2)-(K10*(K7-K6)))/(2*COS(K10))</f>
        <v>159.98966729662777</v>
      </c>
    </row>
    <row r="15" spans="1:11" x14ac:dyDescent="1.1000000000000001">
      <c r="D15" s="4" t="s">
        <v>35</v>
      </c>
      <c r="E15" s="5"/>
      <c r="J15" s="1" t="s">
        <v>56</v>
      </c>
      <c r="K15" s="2">
        <v>40</v>
      </c>
    </row>
    <row r="16" spans="1:11" x14ac:dyDescent="1.1000000000000001">
      <c r="D16" s="4" t="s">
        <v>37</v>
      </c>
      <c r="E16" s="5">
        <f>E14/100</f>
        <v>0.68</v>
      </c>
      <c r="J16" s="1" t="s">
        <v>55</v>
      </c>
      <c r="K16" s="2">
        <f>K15/(180/PI())</f>
        <v>0.69813170079773179</v>
      </c>
    </row>
    <row r="17" spans="4:11" x14ac:dyDescent="1.1000000000000001">
      <c r="D17" s="1" t="s">
        <v>36</v>
      </c>
      <c r="E17" s="2">
        <f>(B4*B5)/(1000*60*E16)</f>
        <v>0.17305852941176472</v>
      </c>
      <c r="J17" s="1" t="s">
        <v>57</v>
      </c>
      <c r="K17" s="2">
        <v>0.25</v>
      </c>
    </row>
    <row r="18" spans="4:11" x14ac:dyDescent="1.1000000000000001">
      <c r="D18" s="1" t="s">
        <v>38</v>
      </c>
      <c r="E18" s="2">
        <v>0.15</v>
      </c>
      <c r="J18" s="1" t="s">
        <v>58</v>
      </c>
      <c r="K18" s="2">
        <f>K17*_xlfn.CSC(K16/2)</f>
        <v>0.73095110004077191</v>
      </c>
    </row>
    <row r="19" spans="4:11" x14ac:dyDescent="1.1000000000000001">
      <c r="D19" s="1" t="s">
        <v>39</v>
      </c>
      <c r="E19" s="2">
        <v>0.95</v>
      </c>
      <c r="J19" s="1" t="s">
        <v>60</v>
      </c>
      <c r="K19" s="2">
        <f>PI()-(2*K10)</f>
        <v>2.9231957875823245</v>
      </c>
    </row>
    <row r="20" spans="4:11" x14ac:dyDescent="1.1000000000000001">
      <c r="D20" s="1" t="s">
        <v>40</v>
      </c>
      <c r="E20" s="2">
        <f>((1+E18)*E17)/E19</f>
        <v>0.20949190402476781</v>
      </c>
      <c r="J20" s="1" t="s">
        <v>61</v>
      </c>
      <c r="K20" s="2">
        <f>(E22*EXP(K18*K19))/(K25*H3*(EXP(K18*K19)-1))</f>
        <v>1.2598234274195038E-2</v>
      </c>
    </row>
    <row r="21" spans="4:11" x14ac:dyDescent="1.1000000000000001">
      <c r="D21" s="1" t="s">
        <v>41</v>
      </c>
      <c r="E21" s="2">
        <v>0.4</v>
      </c>
      <c r="J21" s="1" t="s">
        <v>61</v>
      </c>
      <c r="K21" s="2">
        <v>1</v>
      </c>
    </row>
    <row r="22" spans="4:11" x14ac:dyDescent="1.1000000000000001">
      <c r="D22" s="1" t="s">
        <v>67</v>
      </c>
      <c r="E22" s="2">
        <f>E21*1000</f>
        <v>400</v>
      </c>
      <c r="J22" s="1" t="s">
        <v>65</v>
      </c>
      <c r="K22" s="2"/>
    </row>
    <row r="23" spans="4:11" x14ac:dyDescent="1.1000000000000001">
      <c r="J23" s="1" t="s">
        <v>63</v>
      </c>
      <c r="K23" s="2">
        <v>2.4</v>
      </c>
    </row>
    <row r="24" spans="4:11" x14ac:dyDescent="1.1000000000000001">
      <c r="J24" s="1" t="s">
        <v>64</v>
      </c>
      <c r="K24" s="2"/>
    </row>
    <row r="25" spans="4:11" x14ac:dyDescent="1.1000000000000001">
      <c r="J25" s="1" t="s">
        <v>62</v>
      </c>
      <c r="K25" s="2">
        <f>K23*1000</f>
        <v>2400</v>
      </c>
    </row>
    <row r="26" spans="4:11" x14ac:dyDescent="1.1000000000000001">
      <c r="J26" s="1" t="s">
        <v>59</v>
      </c>
      <c r="K26" s="2">
        <f>(E22*EXP(K18*K19))/(K21*H3*(EXP(K18*K19)-1))</f>
        <v>30.235762258068092</v>
      </c>
    </row>
    <row r="27" spans="4:11" x14ac:dyDescent="1.1000000000000001">
      <c r="J27" s="1" t="s">
        <v>66</v>
      </c>
      <c r="K27" s="2">
        <f>K26*EXP(-K18*K19)</f>
        <v>3.5690955914014286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内藤正樹</dc:creator>
  <cp:lastModifiedBy>イケダカナタ</cp:lastModifiedBy>
  <dcterms:created xsi:type="dcterms:W3CDTF">2022-10-07T05:52:46Z</dcterms:created>
  <dcterms:modified xsi:type="dcterms:W3CDTF">2023-09-29T08:10:24Z</dcterms:modified>
</cp:coreProperties>
</file>