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rtin\Documents\KF-Holding\GSF\"/>
    </mc:Choice>
  </mc:AlternateContent>
  <xr:revisionPtr revIDLastSave="0" documentId="13_ncr:1_{80F8A193-EDAA-4822-941B-077CE3B61394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Hor. Og Ver. Anlayse " sheetId="1" r:id="rId1"/>
    <sheet name="DuPont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4" i="1" l="1"/>
  <c r="B71" i="1"/>
  <c r="D68" i="1"/>
  <c r="M62" i="1"/>
  <c r="K62" i="1"/>
  <c r="I62" i="1"/>
  <c r="G62" i="1"/>
  <c r="E62" i="1"/>
  <c r="D64" i="1" l="1"/>
  <c r="M64" i="1" l="1"/>
  <c r="K64" i="1"/>
  <c r="G64" i="1"/>
  <c r="E64" i="1"/>
  <c r="E28" i="1"/>
  <c r="D62" i="1"/>
  <c r="AA7" i="1" l="1"/>
  <c r="AB7" i="1"/>
  <c r="AC7" i="1"/>
  <c r="AD7" i="1"/>
  <c r="Z7" i="1"/>
  <c r="E40" i="1" l="1"/>
  <c r="F20" i="1"/>
  <c r="K16" i="1"/>
  <c r="I16" i="1"/>
  <c r="G16" i="1"/>
  <c r="E16" i="1"/>
  <c r="M16" i="1"/>
  <c r="E6" i="1"/>
  <c r="E18" i="1" s="1"/>
  <c r="E24" i="1" s="1"/>
  <c r="E59" i="1" s="1"/>
  <c r="E21" i="1" l="1"/>
  <c r="F51" i="1"/>
  <c r="H51" i="1"/>
  <c r="J51" i="1"/>
  <c r="L51" i="1"/>
  <c r="N51" i="1"/>
  <c r="F49" i="1"/>
  <c r="H49" i="1"/>
  <c r="J49" i="1"/>
  <c r="L49" i="1"/>
  <c r="N49" i="1"/>
  <c r="F47" i="1"/>
  <c r="H47" i="1"/>
  <c r="J47" i="1"/>
  <c r="L47" i="1"/>
  <c r="N47" i="1"/>
  <c r="F45" i="1"/>
  <c r="H45" i="1"/>
  <c r="J45" i="1"/>
  <c r="L45" i="1"/>
  <c r="N45" i="1"/>
  <c r="F39" i="1"/>
  <c r="H39" i="1"/>
  <c r="J39" i="1"/>
  <c r="L39" i="1"/>
  <c r="N39" i="1"/>
  <c r="F37" i="1"/>
  <c r="H37" i="1"/>
  <c r="J33" i="1"/>
  <c r="H33" i="1"/>
  <c r="F33" i="1"/>
  <c r="F35" i="1"/>
  <c r="H35" i="1"/>
  <c r="O35" i="1" s="1"/>
  <c r="J35" i="1"/>
  <c r="J37" i="1"/>
  <c r="L37" i="1"/>
  <c r="N37" i="1"/>
  <c r="L35" i="1"/>
  <c r="N35" i="1"/>
  <c r="L33" i="1"/>
  <c r="N33" i="1"/>
  <c r="F15" i="1"/>
  <c r="H15" i="1"/>
  <c r="J15" i="1"/>
  <c r="L15" i="1"/>
  <c r="N15" i="1"/>
  <c r="F11" i="1"/>
  <c r="H11" i="1"/>
  <c r="J11" i="1"/>
  <c r="F13" i="1"/>
  <c r="J13" i="1"/>
  <c r="H13" i="1"/>
  <c r="L13" i="1"/>
  <c r="N13" i="1"/>
  <c r="L11" i="1"/>
  <c r="N11" i="1"/>
  <c r="F9" i="1"/>
  <c r="O9" i="1" s="1"/>
  <c r="H9" i="1"/>
  <c r="J9" i="1"/>
  <c r="L9" i="1"/>
  <c r="N9" i="1"/>
  <c r="F8" i="1"/>
  <c r="M52" i="1"/>
  <c r="M54" i="1" s="1"/>
  <c r="N55" i="1" s="1"/>
  <c r="K52" i="1"/>
  <c r="K54" i="1" s="1"/>
  <c r="I52" i="1"/>
  <c r="I54" i="1" s="1"/>
  <c r="G52" i="1"/>
  <c r="E52" i="1"/>
  <c r="M40" i="1"/>
  <c r="N41" i="1" s="1"/>
  <c r="K40" i="1"/>
  <c r="I40" i="1"/>
  <c r="G40" i="1"/>
  <c r="F22" i="1"/>
  <c r="G6" i="1"/>
  <c r="G18" i="1" s="1"/>
  <c r="G24" i="1" s="1"/>
  <c r="I6" i="1"/>
  <c r="I18" i="1" s="1"/>
  <c r="K6" i="1"/>
  <c r="K18" i="1" s="1"/>
  <c r="M6" i="1"/>
  <c r="N7" i="1" s="1"/>
  <c r="O11" i="1" l="1"/>
  <c r="O33" i="1"/>
  <c r="O39" i="1"/>
  <c r="O37" i="1"/>
  <c r="O51" i="1"/>
  <c r="F53" i="1"/>
  <c r="H53" i="1"/>
  <c r="L53" i="1"/>
  <c r="O13" i="1"/>
  <c r="J55" i="1"/>
  <c r="N53" i="1"/>
  <c r="G54" i="1"/>
  <c r="H55" i="1" s="1"/>
  <c r="E54" i="1"/>
  <c r="F55" i="1" s="1"/>
  <c r="O55" i="1" s="1"/>
  <c r="O49" i="1"/>
  <c r="O47" i="1"/>
  <c r="J53" i="1"/>
  <c r="L55" i="1"/>
  <c r="O45" i="1"/>
  <c r="H41" i="1"/>
  <c r="O41" i="1" s="1"/>
  <c r="J41" i="1"/>
  <c r="L41" i="1"/>
  <c r="L7" i="1"/>
  <c r="M13" i="1"/>
  <c r="F7" i="1"/>
  <c r="J7" i="1"/>
  <c r="H7" i="1"/>
  <c r="O7" i="1" s="1"/>
  <c r="O15" i="1"/>
  <c r="L6" i="1"/>
  <c r="J6" i="1"/>
  <c r="F6" i="1"/>
  <c r="H6" i="1"/>
  <c r="O53" i="1" l="1"/>
  <c r="M18" i="1"/>
  <c r="M24" i="1" s="1"/>
  <c r="M27" i="1" s="1"/>
  <c r="N17" i="1"/>
  <c r="K24" i="1"/>
  <c r="K27" i="1" s="1"/>
  <c r="L17" i="1"/>
  <c r="L16" i="1"/>
  <c r="J17" i="1"/>
  <c r="J16" i="1"/>
  <c r="I24" i="1"/>
  <c r="I27" i="1" s="1"/>
  <c r="F6" i="2"/>
  <c r="B15" i="2"/>
  <c r="F13" i="2" s="1"/>
  <c r="L18" i="1" l="1"/>
  <c r="K57" i="1"/>
  <c r="J18" i="1"/>
  <c r="I9" i="2"/>
  <c r="F12" i="1" l="1"/>
  <c r="H12" i="1"/>
  <c r="L34" i="1"/>
  <c r="L32" i="1"/>
  <c r="H26" i="1"/>
  <c r="L22" i="1"/>
  <c r="J20" i="1"/>
  <c r="L10" i="1" l="1"/>
  <c r="N50" i="1"/>
  <c r="N48" i="1"/>
  <c r="N46" i="1"/>
  <c r="N44" i="1"/>
  <c r="N38" i="1"/>
  <c r="N36" i="1"/>
  <c r="N34" i="1"/>
  <c r="N32" i="1"/>
  <c r="N26" i="1"/>
  <c r="N16" i="1"/>
  <c r="N14" i="1"/>
  <c r="N10" i="1"/>
  <c r="N8" i="1"/>
  <c r="M17" i="1"/>
  <c r="L50" i="1"/>
  <c r="L48" i="1"/>
  <c r="L46" i="1"/>
  <c r="L44" i="1"/>
  <c r="L38" i="1"/>
  <c r="L36" i="1"/>
  <c r="L26" i="1"/>
  <c r="L20" i="1"/>
  <c r="L12" i="1"/>
  <c r="L8" i="1"/>
  <c r="J50" i="1"/>
  <c r="J48" i="1"/>
  <c r="J46" i="1"/>
  <c r="J44" i="1"/>
  <c r="J38" i="1"/>
  <c r="J36" i="1"/>
  <c r="J34" i="1"/>
  <c r="J32" i="1"/>
  <c r="J26" i="1"/>
  <c r="J22" i="1"/>
  <c r="J14" i="1"/>
  <c r="J12" i="1"/>
  <c r="J10" i="1"/>
  <c r="J8" i="1"/>
  <c r="H50" i="1"/>
  <c r="H48" i="1"/>
  <c r="H46" i="1"/>
  <c r="H44" i="1"/>
  <c r="H38" i="1"/>
  <c r="H36" i="1"/>
  <c r="H34" i="1"/>
  <c r="H32" i="1"/>
  <c r="H22" i="1"/>
  <c r="H20" i="1"/>
  <c r="H14" i="1"/>
  <c r="H10" i="1"/>
  <c r="H8" i="1"/>
  <c r="K21" i="1" l="1"/>
  <c r="K13" i="1"/>
  <c r="K9" i="1"/>
  <c r="K19" i="1"/>
  <c r="K11" i="1"/>
  <c r="K17" i="1"/>
  <c r="K15" i="1"/>
  <c r="K25" i="1"/>
  <c r="K7" i="1"/>
  <c r="K23" i="1"/>
  <c r="I17" i="1"/>
  <c r="J40" i="1"/>
  <c r="I41" i="1"/>
  <c r="I33" i="1"/>
  <c r="I37" i="1"/>
  <c r="I35" i="1"/>
  <c r="N40" i="1"/>
  <c r="M33" i="1"/>
  <c r="M41" i="1"/>
  <c r="M35" i="1"/>
  <c r="M37" i="1"/>
  <c r="M39" i="1"/>
  <c r="I11" i="1"/>
  <c r="I9" i="1"/>
  <c r="I7" i="1"/>
  <c r="I21" i="1"/>
  <c r="I23" i="1"/>
  <c r="I15" i="1"/>
  <c r="I13" i="1"/>
  <c r="K39" i="1"/>
  <c r="K33" i="1"/>
  <c r="K41" i="1"/>
  <c r="K35" i="1"/>
  <c r="K37" i="1"/>
  <c r="M53" i="1"/>
  <c r="M9" i="1"/>
  <c r="M21" i="1"/>
  <c r="M15" i="1"/>
  <c r="M7" i="1"/>
  <c r="M11" i="1"/>
  <c r="M23" i="1"/>
  <c r="J52" i="1"/>
  <c r="L40" i="1"/>
  <c r="N20" i="1"/>
  <c r="L14" i="1"/>
  <c r="N12" i="1"/>
  <c r="N22" i="1"/>
  <c r="N6" i="1"/>
  <c r="L52" i="1"/>
  <c r="N52" i="1"/>
  <c r="F46" i="1"/>
  <c r="F10" i="1"/>
  <c r="F14" i="1"/>
  <c r="F26" i="1"/>
  <c r="F50" i="1"/>
  <c r="F48" i="1"/>
  <c r="F44" i="1"/>
  <c r="F38" i="1"/>
  <c r="F36" i="1"/>
  <c r="F34" i="1"/>
  <c r="F32" i="1"/>
  <c r="P9" i="1" l="1"/>
  <c r="N54" i="1"/>
  <c r="L54" i="1"/>
  <c r="I51" i="1"/>
  <c r="I49" i="1"/>
  <c r="I45" i="1"/>
  <c r="I55" i="1"/>
  <c r="I47" i="1"/>
  <c r="M19" i="1"/>
  <c r="I53" i="1"/>
  <c r="E11" i="1"/>
  <c r="I57" i="1"/>
  <c r="I19" i="1"/>
  <c r="M51" i="1"/>
  <c r="M49" i="1"/>
  <c r="M55" i="1"/>
  <c r="M47" i="1"/>
  <c r="M45" i="1"/>
  <c r="K55" i="1"/>
  <c r="K47" i="1"/>
  <c r="K45" i="1"/>
  <c r="K49" i="1"/>
  <c r="K51" i="1"/>
  <c r="K53" i="1"/>
  <c r="J54" i="1"/>
  <c r="M25" i="1"/>
  <c r="K59" i="1"/>
  <c r="H52" i="1"/>
  <c r="F41" i="1"/>
  <c r="H17" i="1" l="1"/>
  <c r="H16" i="1"/>
  <c r="F16" i="1"/>
  <c r="F17" i="1"/>
  <c r="I25" i="1"/>
  <c r="I59" i="1"/>
  <c r="G21" i="1"/>
  <c r="G7" i="1"/>
  <c r="G19" i="1"/>
  <c r="G17" i="1"/>
  <c r="G15" i="1"/>
  <c r="G23" i="1"/>
  <c r="G33" i="1"/>
  <c r="H40" i="1"/>
  <c r="I39" i="1"/>
  <c r="N24" i="1"/>
  <c r="I58" i="1"/>
  <c r="K58" i="1"/>
  <c r="G11" i="1"/>
  <c r="P11" i="1" s="1"/>
  <c r="H18" i="1"/>
  <c r="F52" i="1"/>
  <c r="E33" i="1"/>
  <c r="F40" i="1"/>
  <c r="G37" i="1"/>
  <c r="E39" i="1"/>
  <c r="E9" i="1"/>
  <c r="E13" i="1"/>
  <c r="E15" i="1"/>
  <c r="E23" i="1"/>
  <c r="E7" i="1"/>
  <c r="G9" i="1"/>
  <c r="E17" i="1"/>
  <c r="G39" i="1"/>
  <c r="G41" i="1"/>
  <c r="E35" i="1"/>
  <c r="E41" i="1"/>
  <c r="G13" i="1"/>
  <c r="E37" i="1"/>
  <c r="G35" i="1"/>
  <c r="F18" i="1" l="1"/>
  <c r="E57" i="1"/>
  <c r="G57" i="1"/>
  <c r="I28" i="1"/>
  <c r="M28" i="1"/>
  <c r="K28" i="1"/>
  <c r="G51" i="1"/>
  <c r="H54" i="1"/>
  <c r="G27" i="1"/>
  <c r="G58" i="1" s="1"/>
  <c r="N27" i="1"/>
  <c r="E19" i="1"/>
  <c r="G55" i="1"/>
  <c r="G49" i="1"/>
  <c r="G47" i="1"/>
  <c r="G45" i="1"/>
  <c r="G53" i="1"/>
  <c r="D57" i="1" l="1"/>
  <c r="Q44" i="1"/>
  <c r="N18" i="1"/>
  <c r="F24" i="1"/>
  <c r="L24" i="1"/>
  <c r="J24" i="1"/>
  <c r="H24" i="1"/>
  <c r="G59" i="1"/>
  <c r="D59" i="1" s="1"/>
  <c r="G25" i="1"/>
  <c r="E25" i="1"/>
  <c r="E27" i="1"/>
  <c r="E58" i="1" s="1"/>
  <c r="D58" i="1" s="1"/>
  <c r="H27" i="1" l="1"/>
  <c r="J27" i="1"/>
  <c r="F27" i="1"/>
  <c r="L27" i="1"/>
  <c r="G28" i="1"/>
  <c r="F54" i="1" l="1"/>
  <c r="E45" i="1"/>
  <c r="E53" i="1"/>
  <c r="E49" i="1"/>
  <c r="E47" i="1"/>
  <c r="E51" i="1"/>
  <c r="E55" i="1"/>
</calcChain>
</file>

<file path=xl/sharedStrings.xml><?xml version="1.0" encoding="utf-8"?>
<sst xmlns="http://schemas.openxmlformats.org/spreadsheetml/2006/main" count="78" uniqueCount="68">
  <si>
    <t>Resultatregnskap</t>
  </si>
  <si>
    <t>Salgsinntekt</t>
  </si>
  <si>
    <t>Annen driftsinntekt</t>
  </si>
  <si>
    <t>Sum driftsinntekter</t>
  </si>
  <si>
    <t>Varekostnad</t>
  </si>
  <si>
    <t>Lønnskostnad</t>
  </si>
  <si>
    <t>Avskrivning</t>
  </si>
  <si>
    <t>Annen driftskostnad</t>
  </si>
  <si>
    <t>Sum driftskostnader</t>
  </si>
  <si>
    <t>Driftsresultat</t>
  </si>
  <si>
    <t>Finansinntekt (renteinntekt el.)</t>
  </si>
  <si>
    <t>Finanskostnad (rentekostnad el.)</t>
  </si>
  <si>
    <t>Ordinært resultat</t>
  </si>
  <si>
    <t>Skattekostnad</t>
  </si>
  <si>
    <t>Årsresultat</t>
  </si>
  <si>
    <t>Balanse</t>
  </si>
  <si>
    <t>Sum anleggsmidler</t>
  </si>
  <si>
    <t>Sum omløpsmidler</t>
  </si>
  <si>
    <t>Sum eiendeler</t>
  </si>
  <si>
    <t>Eiendeler</t>
  </si>
  <si>
    <t>EK + Gjeld</t>
  </si>
  <si>
    <t>Sum egenkapital</t>
  </si>
  <si>
    <t>Sum langsiktig gjeld</t>
  </si>
  <si>
    <t>Varer</t>
  </si>
  <si>
    <t>Kundefordringer</t>
  </si>
  <si>
    <t>Leverandørgjeld</t>
  </si>
  <si>
    <t>Sum gjeld</t>
  </si>
  <si>
    <t>Sum egenkapital og gjeld</t>
  </si>
  <si>
    <t>Regnskap for år 2013</t>
  </si>
  <si>
    <t>Regnskap for år 2014</t>
  </si>
  <si>
    <t>Regnskap for år 2015</t>
  </si>
  <si>
    <t>Regnskap for år 2016</t>
  </si>
  <si>
    <t>Regnskap for år 2017</t>
  </si>
  <si>
    <t>Totalkapital rentabilitet</t>
  </si>
  <si>
    <t xml:space="preserve">DuPont </t>
  </si>
  <si>
    <t xml:space="preserve">Ordinært resultat før skatt </t>
  </si>
  <si>
    <t xml:space="preserve">Rentekostnader </t>
  </si>
  <si>
    <t xml:space="preserve">Nedskrivninger </t>
  </si>
  <si>
    <t xml:space="preserve">Resultatgrad </t>
  </si>
  <si>
    <t xml:space="preserve">Sum inntekter </t>
  </si>
  <si>
    <t xml:space="preserve">AVG totalkapital </t>
  </si>
  <si>
    <t xml:space="preserve">Totalkapitalens ommløpshastighet </t>
  </si>
  <si>
    <t xml:space="preserve">Totalkapitalrentabiliteten </t>
  </si>
  <si>
    <t xml:space="preserve">Sum korsiktig gjeld </t>
  </si>
  <si>
    <t>Spredning</t>
  </si>
  <si>
    <t>Tidsrom</t>
  </si>
  <si>
    <t xml:space="preserve">Spreding </t>
  </si>
  <si>
    <t xml:space="preserve">andel </t>
  </si>
  <si>
    <t xml:space="preserve">Greig Seafood ASA </t>
  </si>
  <si>
    <t>Egenkapital rentabilitet ROE</t>
  </si>
  <si>
    <t xml:space="preserve">Rentabilitet hovedformål </t>
  </si>
  <si>
    <t>Avg</t>
  </si>
  <si>
    <t xml:space="preserve">Earnings  </t>
  </si>
  <si>
    <t xml:space="preserve">Revenue </t>
  </si>
  <si>
    <t xml:space="preserve">Equity </t>
  </si>
  <si>
    <t>Gjeldsrente</t>
  </si>
  <si>
    <t xml:space="preserve">Debt </t>
  </si>
  <si>
    <t>Total assets</t>
  </si>
  <si>
    <t>Eff. Skattesats</t>
  </si>
  <si>
    <t>underskudd</t>
  </si>
  <si>
    <t>tc</t>
  </si>
  <si>
    <t>Rd</t>
  </si>
  <si>
    <t>Cost of debt after tax =  Rd * (1-tc)</t>
  </si>
  <si>
    <t>Z-score: 3.3 * EBIT/total assets + 1.2 * Net working capital/total assets + 1*sales/total assets +0.6*market value of equity/book value of debt + 1.4*Accumulated retained earnings/total assets</t>
  </si>
  <si>
    <t>Market value of equity/1000</t>
  </si>
  <si>
    <t>Accumulated retained earnings (opptjent EK)</t>
  </si>
  <si>
    <t>Z score:</t>
  </si>
  <si>
    <t>scores over 3 = NON bankruptcy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</si>
</sst>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70" formatCode="_(* #,##0.0000_);_(* \(#,##0.0000\);_(* &quot;-&quot;??_);_(@_)"/>
    <numFmt numFmtId="171" formatCode="0.0\ 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 (Body)_x0000_"/>
    </font>
    <font>
      <b/>
      <sz val="20"/>
      <color theme="1"/>
      <name val="Calibri (Body)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9" fontId="0" fillId="0" borderId="0" xfId="2" applyFont="1"/>
    <xf numFmtId="165" fontId="0" fillId="0" borderId="0" xfId="1" applyNumberFormat="1" applyFont="1"/>
    <xf numFmtId="165" fontId="0" fillId="0" borderId="0" xfId="0" applyNumberFormat="1"/>
    <xf numFmtId="9" fontId="0" fillId="2" borderId="0" xfId="2" applyFont="1" applyFill="1"/>
    <xf numFmtId="0" fontId="0" fillId="2" borderId="0" xfId="0" applyFill="1"/>
    <xf numFmtId="3" fontId="0" fillId="0" borderId="0" xfId="0" applyNumberFormat="1"/>
    <xf numFmtId="10" fontId="0" fillId="2" borderId="0" xfId="0" applyNumberFormat="1" applyFill="1"/>
    <xf numFmtId="0" fontId="0" fillId="2" borderId="0" xfId="0" applyFill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10" fontId="0" fillId="0" borderId="10" xfId="0" applyNumberFormat="1" applyBorder="1"/>
    <xf numFmtId="10" fontId="0" fillId="0" borderId="2" xfId="2" applyNumberFormat="1" applyFont="1" applyBorder="1"/>
    <xf numFmtId="9" fontId="0" fillId="3" borderId="0" xfId="2" applyFont="1" applyFill="1"/>
    <xf numFmtId="0" fontId="0" fillId="3" borderId="0" xfId="0" applyFill="1"/>
    <xf numFmtId="0" fontId="0" fillId="3" borderId="0" xfId="0" applyFill="1" applyAlignment="1">
      <alignment wrapText="1"/>
    </xf>
    <xf numFmtId="165" fontId="0" fillId="3" borderId="0" xfId="0" applyNumberFormat="1" applyFill="1"/>
    <xf numFmtId="0" fontId="0" fillId="4" borderId="0" xfId="0" applyFill="1"/>
    <xf numFmtId="9" fontId="0" fillId="4" borderId="0" xfId="2" applyFont="1" applyFill="1"/>
    <xf numFmtId="0" fontId="0" fillId="5" borderId="0" xfId="0" applyFill="1"/>
    <xf numFmtId="9" fontId="0" fillId="5" borderId="0" xfId="2" applyFont="1" applyFill="1"/>
    <xf numFmtId="0" fontId="0" fillId="5" borderId="0" xfId="0" applyFill="1" applyAlignment="1">
      <alignment horizontal="center"/>
    </xf>
    <xf numFmtId="9" fontId="0" fillId="0" borderId="0" xfId="0" applyNumberFormat="1"/>
    <xf numFmtId="0" fontId="5" fillId="0" borderId="0" xfId="0" applyFont="1"/>
    <xf numFmtId="10" fontId="0" fillId="0" borderId="0" xfId="0" applyNumberFormat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" fontId="0" fillId="0" borderId="0" xfId="0" applyNumberFormat="1"/>
    <xf numFmtId="164" fontId="0" fillId="0" borderId="0" xfId="0" applyNumberFormat="1"/>
    <xf numFmtId="170" fontId="0" fillId="0" borderId="0" xfId="0" applyNumberFormat="1"/>
    <xf numFmtId="10" fontId="6" fillId="0" borderId="0" xfId="2" applyNumberFormat="1" applyFont="1"/>
    <xf numFmtId="171" fontId="6" fillId="0" borderId="0" xfId="2" applyNumberFormat="1" applyFont="1"/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'Hor. Og Ver. Anlayse '!$R$5</c:f>
              <c:strCache>
                <c:ptCount val="1"/>
                <c:pt idx="0">
                  <c:v>Revenue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'Hor. Og Ver. Anlayse '!$S$4:$W$4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'Hor. Og Ver. Anlayse '!$S$5:$W$5</c:f>
              <c:numCache>
                <c:formatCode>General</c:formatCode>
                <c:ptCount val="5"/>
                <c:pt idx="0">
                  <c:v>6945</c:v>
                </c:pt>
                <c:pt idx="1">
                  <c:v>7119</c:v>
                </c:pt>
                <c:pt idx="2">
                  <c:v>4693</c:v>
                </c:pt>
                <c:pt idx="3">
                  <c:v>2749</c:v>
                </c:pt>
                <c:pt idx="4">
                  <c:v>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5-0F4B-B7F8-99D55DCE757B}"/>
            </c:ext>
          </c:extLst>
        </c:ser>
        <c:ser>
          <c:idx val="1"/>
          <c:order val="1"/>
          <c:tx>
            <c:strRef>
              <c:f>'Hor. Og Ver. Anlayse '!$R$6</c:f>
              <c:strCache>
                <c:ptCount val="1"/>
                <c:pt idx="0">
                  <c:v>Earnings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'Hor. Og Ver. Anlayse '!$S$4:$W$4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'Hor. Og Ver. Anlayse '!$S$6:$W$6</c:f>
              <c:numCache>
                <c:formatCode>General</c:formatCode>
                <c:ptCount val="5"/>
                <c:pt idx="0">
                  <c:v>812</c:v>
                </c:pt>
                <c:pt idx="1">
                  <c:v>1683</c:v>
                </c:pt>
                <c:pt idx="2">
                  <c:v>80</c:v>
                </c:pt>
                <c:pt idx="3">
                  <c:v>213</c:v>
                </c:pt>
                <c:pt idx="4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5-0F4B-B7F8-99D55DCE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788799"/>
        <c:axId val="1839184159"/>
      </c:lineChart>
      <c:catAx>
        <c:axId val="184078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39184159"/>
        <c:crosses val="autoZero"/>
        <c:auto val="1"/>
        <c:lblAlgn val="ctr"/>
        <c:lblOffset val="100"/>
        <c:noMultiLvlLbl val="0"/>
      </c:catAx>
      <c:valAx>
        <c:axId val="18391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407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'Hor. Og Ver. Anlayse '!$Y$5</c:f>
              <c:strCache>
                <c:ptCount val="1"/>
                <c:pt idx="0">
                  <c:v>Equity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'Hor. Og Ver. Anlayse '!$Z$4:$AD$4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'Hor. Og Ver. Anlayse '!$Z$5:$AD$5</c:f>
              <c:numCache>
                <c:formatCode>General</c:formatCode>
                <c:ptCount val="5"/>
                <c:pt idx="0">
                  <c:v>3347</c:v>
                </c:pt>
                <c:pt idx="1">
                  <c:v>3206</c:v>
                </c:pt>
                <c:pt idx="2">
                  <c:v>2237</c:v>
                </c:pt>
                <c:pt idx="3">
                  <c:v>2221</c:v>
                </c:pt>
                <c:pt idx="4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3-A447-8680-16D4BC872E47}"/>
            </c:ext>
          </c:extLst>
        </c:ser>
        <c:ser>
          <c:idx val="1"/>
          <c:order val="1"/>
          <c:tx>
            <c:strRef>
              <c:f>'Hor. Og Ver. Anlayse '!$Y$6</c:f>
              <c:strCache>
                <c:ptCount val="1"/>
                <c:pt idx="0">
                  <c:v>Debt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'Hor. Og Ver. Anlayse '!$Z$4:$AD$4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'Hor. Og Ver. Anlayse '!$Z$6:$AD$6</c:f>
              <c:numCache>
                <c:formatCode>General</c:formatCode>
                <c:ptCount val="5"/>
                <c:pt idx="0">
                  <c:v>3804</c:v>
                </c:pt>
                <c:pt idx="1">
                  <c:v>3561</c:v>
                </c:pt>
                <c:pt idx="2">
                  <c:v>3698</c:v>
                </c:pt>
                <c:pt idx="3">
                  <c:v>2820</c:v>
                </c:pt>
                <c:pt idx="4">
                  <c:v>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3-A447-8680-16D4BC872E47}"/>
            </c:ext>
          </c:extLst>
        </c:ser>
        <c:ser>
          <c:idx val="2"/>
          <c:order val="2"/>
          <c:tx>
            <c:strRef>
              <c:f>'Hor. Og Ver. Anlayse '!$Y$7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'Hor. Og Ver. Anlayse '!$Z$4:$AD$4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'Hor. Og Ver. Anlayse '!$Z$7:$AD$7</c:f>
              <c:numCache>
                <c:formatCode>General</c:formatCode>
                <c:ptCount val="5"/>
                <c:pt idx="0">
                  <c:v>7151</c:v>
                </c:pt>
                <c:pt idx="1">
                  <c:v>6767</c:v>
                </c:pt>
                <c:pt idx="2">
                  <c:v>5935</c:v>
                </c:pt>
                <c:pt idx="3">
                  <c:v>5041</c:v>
                </c:pt>
                <c:pt idx="4">
                  <c:v>4590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3-A447-8680-16D4BC87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8926063"/>
        <c:axId val="1800553311"/>
      </c:barChart>
      <c:catAx>
        <c:axId val="135892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00553311"/>
        <c:crosses val="autoZero"/>
        <c:auto val="1"/>
        <c:lblAlgn val="ctr"/>
        <c:lblOffset val="100"/>
        <c:noMultiLvlLbl val="0"/>
      </c:catAx>
      <c:valAx>
        <c:axId val="18005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5892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395110</xdr:colOff>
      <xdr:row>11</xdr:row>
      <xdr:rowOff>4232</xdr:rowOff>
    </xdr:from>
    <xdr:to>
      <xdr:col>23</xdr:col>
      <xdr:colOff>578556</xdr:colOff>
      <xdr:row>29</xdr:row>
      <xdr:rowOff>56444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8AE12-DC21-5649-B692-00C1E6B36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437445</xdr:colOff>
      <xdr:row>13</xdr:row>
      <xdr:rowOff>98778</xdr:rowOff>
    </xdr:from>
    <xdr:to>
      <xdr:col>34</xdr:col>
      <xdr:colOff>197556</xdr:colOff>
      <xdr:row>32</xdr:row>
      <xdr:rowOff>183445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C1FD8-0527-5948-8D25-C5F7EC02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5"/>
  <sheetViews>
    <sheetView tabSelected="1" topLeftCell="A7" zoomScale="90" zoomScaleNormal="90" workbookViewId="0">
      <selection activeCell="D31" sqref="D31"/>
    </sheetView>
  </sheetViews>
  <sheetFormatPr baseColWidth="10" defaultColWidth="8.85546875" defaultRowHeight="15"/>
  <cols>
    <col min="3" max="3" width="13.28515625" customWidth="1"/>
    <col min="4" max="4" width="10" customWidth="1"/>
    <col min="5" max="5" width="11.42578125" bestFit="1" customWidth="1"/>
    <col min="6" max="6" width="9" bestFit="1" customWidth="1"/>
    <col min="7" max="7" width="13.42578125" bestFit="1" customWidth="1"/>
    <col min="8" max="8" width="9.140625" style="3" bestFit="1" customWidth="1"/>
    <col min="9" max="9" width="10.140625" bestFit="1" customWidth="1"/>
    <col min="10" max="10" width="9" bestFit="1" customWidth="1"/>
    <col min="11" max="11" width="10.140625" bestFit="1" customWidth="1"/>
    <col min="12" max="12" width="9" bestFit="1" customWidth="1"/>
    <col min="13" max="13" width="11.42578125" bestFit="1" customWidth="1"/>
    <col min="15" max="15" width="10.7109375" customWidth="1"/>
    <col min="18" max="18" width="15.28515625" customWidth="1"/>
    <col min="25" max="25" width="9.85546875" customWidth="1"/>
  </cols>
  <sheetData>
    <row r="1" spans="1:30" ht="26.25">
      <c r="A1" s="35" t="s">
        <v>48</v>
      </c>
    </row>
    <row r="2" spans="1:30" ht="31.5">
      <c r="A2" s="38" t="s">
        <v>0</v>
      </c>
      <c r="B2" s="38"/>
      <c r="C2" s="38"/>
      <c r="D2" s="2"/>
      <c r="E2" s="1" t="s">
        <v>32</v>
      </c>
      <c r="F2" s="1"/>
      <c r="G2" s="1" t="s">
        <v>31</v>
      </c>
      <c r="I2" s="1" t="s">
        <v>30</v>
      </c>
      <c r="J2" s="1"/>
      <c r="K2" s="1" t="s">
        <v>29</v>
      </c>
      <c r="L2" s="3"/>
      <c r="M2" s="1" t="s">
        <v>28</v>
      </c>
      <c r="N2" s="1"/>
      <c r="O2" t="s">
        <v>44</v>
      </c>
      <c r="P2" s="1" t="s">
        <v>46</v>
      </c>
    </row>
    <row r="3" spans="1:30">
      <c r="L3" s="3"/>
      <c r="O3" t="s">
        <v>45</v>
      </c>
      <c r="P3" t="s">
        <v>47</v>
      </c>
    </row>
    <row r="4" spans="1:30">
      <c r="A4" s="39" t="s">
        <v>1</v>
      </c>
      <c r="B4" s="39"/>
      <c r="C4" s="39"/>
      <c r="D4" s="39"/>
      <c r="E4" s="4">
        <v>7017456</v>
      </c>
      <c r="G4" s="4">
        <v>6545187</v>
      </c>
      <c r="I4" s="4">
        <v>4608667</v>
      </c>
      <c r="J4" s="29"/>
      <c r="K4" s="4">
        <v>2665284</v>
      </c>
      <c r="L4" s="3"/>
      <c r="M4" s="4">
        <v>2404215</v>
      </c>
      <c r="S4">
        <v>2017</v>
      </c>
      <c r="T4">
        <v>2016</v>
      </c>
      <c r="U4">
        <v>2015</v>
      </c>
      <c r="V4">
        <v>2014</v>
      </c>
      <c r="W4">
        <v>2013</v>
      </c>
      <c r="Z4">
        <v>2017</v>
      </c>
      <c r="AA4">
        <v>2016</v>
      </c>
      <c r="AB4">
        <v>2015</v>
      </c>
      <c r="AC4">
        <v>2014</v>
      </c>
      <c r="AD4">
        <v>2013</v>
      </c>
    </row>
    <row r="5" spans="1:30">
      <c r="A5" s="39" t="s">
        <v>2</v>
      </c>
      <c r="B5" s="39"/>
      <c r="C5" s="39"/>
      <c r="D5" s="39"/>
      <c r="E5">
        <v>-71756</v>
      </c>
      <c r="F5" s="29"/>
      <c r="G5">
        <v>574715</v>
      </c>
      <c r="H5" s="30"/>
      <c r="I5">
        <v>85124</v>
      </c>
      <c r="K5">
        <v>83760</v>
      </c>
      <c r="L5" s="3"/>
      <c r="M5">
        <v>293922</v>
      </c>
      <c r="R5" t="s">
        <v>53</v>
      </c>
      <c r="S5">
        <v>6945</v>
      </c>
      <c r="T5">
        <v>7119</v>
      </c>
      <c r="U5">
        <v>4693</v>
      </c>
      <c r="V5">
        <v>2749</v>
      </c>
      <c r="W5">
        <v>2698</v>
      </c>
      <c r="Y5" t="s">
        <v>54</v>
      </c>
      <c r="Z5">
        <v>3347</v>
      </c>
      <c r="AA5">
        <v>3206</v>
      </c>
      <c r="AB5">
        <v>2237</v>
      </c>
      <c r="AC5">
        <v>2221</v>
      </c>
      <c r="AD5">
        <v>1988</v>
      </c>
    </row>
    <row r="6" spans="1:30">
      <c r="A6" s="2" t="s">
        <v>3</v>
      </c>
      <c r="B6" s="2"/>
      <c r="C6" s="2"/>
      <c r="D6" s="2"/>
      <c r="E6" s="4">
        <f>SUM(E4:E5)</f>
        <v>6945700</v>
      </c>
      <c r="F6" s="25">
        <f>IFERROR((E6/G6)-1,"")</f>
        <v>-2.4466909797353997E-2</v>
      </c>
      <c r="G6" s="4">
        <f t="shared" ref="G6:M6" si="0">SUM(G4:G5)</f>
        <v>7119902</v>
      </c>
      <c r="H6" s="25">
        <f>IFERROR((G6/I6)-1,"")</f>
        <v>0.51687665684305073</v>
      </c>
      <c r="I6" s="4">
        <f t="shared" si="0"/>
        <v>4693791</v>
      </c>
      <c r="J6" s="25">
        <f>IFERROR((I6/K6)-1,"")</f>
        <v>0.70742665450243791</v>
      </c>
      <c r="K6" s="4">
        <f t="shared" si="0"/>
        <v>2749044</v>
      </c>
      <c r="L6" s="25">
        <f>IFERROR((K6/M6)-1,"")</f>
        <v>1.8867462993910289E-2</v>
      </c>
      <c r="M6" s="4">
        <f t="shared" si="0"/>
        <v>2698137</v>
      </c>
      <c r="N6" s="25" t="str">
        <f>IFERROR((M6/O6)-1,"")</f>
        <v/>
      </c>
      <c r="R6" t="s">
        <v>52</v>
      </c>
      <c r="S6">
        <v>812</v>
      </c>
      <c r="T6">
        <v>1683</v>
      </c>
      <c r="U6">
        <v>80</v>
      </c>
      <c r="V6">
        <v>213</v>
      </c>
      <c r="W6">
        <v>615</v>
      </c>
      <c r="Y6" t="s">
        <v>56</v>
      </c>
      <c r="Z6">
        <v>3804</v>
      </c>
      <c r="AA6">
        <v>3561</v>
      </c>
      <c r="AB6">
        <v>3698</v>
      </c>
      <c r="AC6">
        <v>2820</v>
      </c>
      <c r="AD6">
        <v>2602</v>
      </c>
    </row>
    <row r="7" spans="1:30">
      <c r="A7" s="10"/>
      <c r="B7" s="10"/>
      <c r="C7" s="10"/>
      <c r="D7" s="33"/>
      <c r="E7" s="6">
        <f>IFERROR(E6/$E$6,"")</f>
        <v>1</v>
      </c>
      <c r="F7" s="32">
        <f>E6/M6</f>
        <v>2.5742577193078038</v>
      </c>
      <c r="G7" s="6">
        <f>IFERROR(G6/$G$6,"")</f>
        <v>1</v>
      </c>
      <c r="H7" s="32">
        <f>G6/M6</f>
        <v>2.6388215275947813</v>
      </c>
      <c r="I7" s="6">
        <f>IFERROR(I6/$I$6,"")</f>
        <v>1</v>
      </c>
      <c r="J7" s="32">
        <f>I6/M6</f>
        <v>1.7396414637210786</v>
      </c>
      <c r="K7" s="6">
        <f>IFERROR(K6/$K$6,"")</f>
        <v>1</v>
      </c>
      <c r="L7" s="32">
        <f>K6/M6</f>
        <v>1.0188674629939103</v>
      </c>
      <c r="M7" s="6">
        <f>IFERROR(M6/$M$6,"")</f>
        <v>1</v>
      </c>
      <c r="N7" s="32">
        <f>M6/M6</f>
        <v>1</v>
      </c>
      <c r="O7" s="34">
        <f>H7-L7</f>
        <v>1.619954064600871</v>
      </c>
      <c r="R7" t="s">
        <v>54</v>
      </c>
      <c r="S7">
        <v>3347</v>
      </c>
      <c r="T7">
        <v>3206</v>
      </c>
      <c r="U7">
        <v>2237</v>
      </c>
      <c r="V7">
        <v>2221</v>
      </c>
      <c r="W7">
        <v>1988</v>
      </c>
      <c r="Y7" t="s">
        <v>57</v>
      </c>
      <c r="Z7">
        <f>SUM(Z5:Z6)</f>
        <v>7151</v>
      </c>
      <c r="AA7">
        <f t="shared" ref="AA7:AD7" si="1">SUM(AA5:AA6)</f>
        <v>6767</v>
      </c>
      <c r="AB7">
        <f t="shared" si="1"/>
        <v>5935</v>
      </c>
      <c r="AC7">
        <f t="shared" si="1"/>
        <v>5041</v>
      </c>
      <c r="AD7">
        <f t="shared" si="1"/>
        <v>4590</v>
      </c>
    </row>
    <row r="8" spans="1:30">
      <c r="A8" s="2" t="s">
        <v>4</v>
      </c>
      <c r="B8" s="2"/>
      <c r="C8" s="2"/>
      <c r="D8" s="2"/>
      <c r="E8" s="4">
        <v>3724200</v>
      </c>
      <c r="F8" s="25">
        <f>IFERROR((E8/G8)-1,"")</f>
        <v>0.13295401895679526</v>
      </c>
      <c r="G8" s="4">
        <v>3287159</v>
      </c>
      <c r="H8" s="25">
        <f>IFERROR((G8/I8)-1,"")</f>
        <v>0.2001634947420996</v>
      </c>
      <c r="I8" s="4">
        <v>2738926</v>
      </c>
      <c r="J8" s="25">
        <f>IFERROR((I8/K8)-1,"")</f>
        <v>1.3743946820444446</v>
      </c>
      <c r="K8" s="4">
        <v>1153526</v>
      </c>
      <c r="L8" s="25">
        <f>IFERROR((K8/M8)-1,"")</f>
        <v>0.1904563364699714</v>
      </c>
      <c r="M8" s="4">
        <v>968978</v>
      </c>
      <c r="N8" s="25" t="str">
        <f>IFERROR((M8/O8)-1,"")</f>
        <v/>
      </c>
      <c r="Y8" t="s">
        <v>53</v>
      </c>
      <c r="Z8">
        <v>6945</v>
      </c>
      <c r="AA8">
        <v>7119</v>
      </c>
      <c r="AB8">
        <v>4693</v>
      </c>
      <c r="AC8">
        <v>2749</v>
      </c>
      <c r="AD8">
        <v>2698</v>
      </c>
    </row>
    <row r="9" spans="1:30">
      <c r="A9" s="10"/>
      <c r="B9" s="10"/>
      <c r="C9" s="10"/>
      <c r="D9" s="10"/>
      <c r="E9" s="6">
        <f>IFERROR(E8/$E$6,"")</f>
        <v>0.53618785723541185</v>
      </c>
      <c r="F9" s="32">
        <f>E8/M8</f>
        <v>3.8434309138081568</v>
      </c>
      <c r="G9" s="6">
        <f>IFERROR(G8/$G$6,"")</f>
        <v>0.46168598949817008</v>
      </c>
      <c r="H9" s="32">
        <f>G8/M8</f>
        <v>3.3923979698197484</v>
      </c>
      <c r="I9" s="6">
        <f>IFERROR(I8/$I$6,"")</f>
        <v>0.5835210813604611</v>
      </c>
      <c r="J9" s="32">
        <f>I8/M8</f>
        <v>2.8266131945204123</v>
      </c>
      <c r="K9" s="6">
        <f>IFERROR(K8/$K$6,"")</f>
        <v>0.4196098716499263</v>
      </c>
      <c r="L9" s="32">
        <f>K8/M8</f>
        <v>1.1904563364699714</v>
      </c>
      <c r="M9" s="6">
        <f>IFERROR(M8/$M$6,"")</f>
        <v>0.35912853943294948</v>
      </c>
      <c r="N9" s="32">
        <f>M8/M8</f>
        <v>1</v>
      </c>
      <c r="O9" s="34">
        <f>F9-L9</f>
        <v>2.6529745773381856</v>
      </c>
      <c r="P9" s="34">
        <f>I9-M9</f>
        <v>0.22439254192751162</v>
      </c>
      <c r="Y9" t="s">
        <v>52</v>
      </c>
      <c r="Z9">
        <v>812</v>
      </c>
      <c r="AA9">
        <v>1683</v>
      </c>
      <c r="AB9">
        <v>80</v>
      </c>
      <c r="AC9">
        <v>213</v>
      </c>
      <c r="AD9">
        <v>615</v>
      </c>
    </row>
    <row r="10" spans="1:30">
      <c r="A10" s="2" t="s">
        <v>5</v>
      </c>
      <c r="B10" s="2"/>
      <c r="C10" s="2"/>
      <c r="D10" s="2"/>
      <c r="E10" s="4">
        <v>482827</v>
      </c>
      <c r="F10" s="25">
        <f>IFERROR((E10/G10)-1,"")</f>
        <v>-1.3361656183489279E-3</v>
      </c>
      <c r="G10" s="4">
        <v>483473</v>
      </c>
      <c r="H10" s="25">
        <f>IFERROR((G10/I10)-1,"")</f>
        <v>0.18083833212841194</v>
      </c>
      <c r="I10" s="4">
        <v>409432</v>
      </c>
      <c r="J10" s="25">
        <f>IFERROR((I10/K10)-1,"")</f>
        <v>0.2056585549718486</v>
      </c>
      <c r="K10" s="4">
        <v>339592</v>
      </c>
      <c r="L10" s="25">
        <f>IFERROR((K10/M10)-1,"")</f>
        <v>0.12364710826111835</v>
      </c>
      <c r="M10" s="4">
        <v>302223</v>
      </c>
      <c r="N10" s="25" t="str">
        <f>IFERROR((M10/O10)-1,"")</f>
        <v/>
      </c>
    </row>
    <row r="11" spans="1:30">
      <c r="A11" s="10"/>
      <c r="B11" s="10"/>
      <c r="C11" s="10"/>
      <c r="D11" s="10"/>
      <c r="E11" s="6">
        <f>IFERROR(E10/$E$6,"")</f>
        <v>6.9514519774824715E-2</v>
      </c>
      <c r="F11" s="32">
        <f>E10/M10</f>
        <v>1.5975852268027251</v>
      </c>
      <c r="G11" s="6">
        <f>IFERROR(G10/$G$6,"")</f>
        <v>6.7904445875799982E-2</v>
      </c>
      <c r="H11" s="32">
        <f>G10/M10</f>
        <v>1.5997227213018201</v>
      </c>
      <c r="I11" s="6">
        <f>IFERROR(I10/$I$6,"")</f>
        <v>8.7228425807625437E-2</v>
      </c>
      <c r="J11" s="32">
        <f>I10/M10</f>
        <v>1.3547347488443964</v>
      </c>
      <c r="K11" s="6">
        <f>IFERROR(K10/$K$6,"")</f>
        <v>0.12353094384811593</v>
      </c>
      <c r="L11" s="32">
        <f>K10/M10</f>
        <v>1.1236471082611184</v>
      </c>
      <c r="M11" s="6">
        <f>IFERROR(M10/$M$6,"")</f>
        <v>0.11201173253989698</v>
      </c>
      <c r="N11" s="32">
        <f>M10/M10</f>
        <v>1</v>
      </c>
      <c r="O11" s="34">
        <f>H11-N11</f>
        <v>0.59972272130182014</v>
      </c>
      <c r="P11" s="34">
        <f>K11-G11</f>
        <v>5.5626497972315947E-2</v>
      </c>
      <c r="Q11" s="29"/>
    </row>
    <row r="12" spans="1:30">
      <c r="A12" s="2" t="s">
        <v>6</v>
      </c>
      <c r="B12" s="2"/>
      <c r="C12" s="2"/>
      <c r="D12" s="2"/>
      <c r="E12" s="4">
        <v>201132</v>
      </c>
      <c r="F12" s="25">
        <f>IFERROR((E12/G12)-1,"")</f>
        <v>0.11499656296427707</v>
      </c>
      <c r="G12" s="4">
        <v>180388</v>
      </c>
      <c r="H12" s="25">
        <f>IFERROR((G12/I12)-1,"")</f>
        <v>7.7754011973185877E-2</v>
      </c>
      <c r="I12" s="4">
        <v>167374</v>
      </c>
      <c r="J12" s="25">
        <f>IFERROR((I12/K12)-1,"")</f>
        <v>0.1903505465510742</v>
      </c>
      <c r="K12" s="4">
        <v>140609</v>
      </c>
      <c r="L12" s="25">
        <f>IFERROR((K12/M12)-1,"")</f>
        <v>3.3608503568882009E-2</v>
      </c>
      <c r="M12" s="4">
        <v>136037</v>
      </c>
      <c r="N12" s="25" t="str">
        <f>IFERROR((M12/O12)-1,"")</f>
        <v/>
      </c>
    </row>
    <row r="13" spans="1:30">
      <c r="A13" s="10"/>
      <c r="B13" s="10"/>
      <c r="C13" s="10"/>
      <c r="D13" s="10"/>
      <c r="E13" s="6">
        <f>IFERROR(E12/$E$6,"")</f>
        <v>2.89577724347438E-2</v>
      </c>
      <c r="F13" s="32">
        <f>E12/M12</f>
        <v>1.4785095231444387</v>
      </c>
      <c r="G13" s="6">
        <f>IFERROR(G12/$G$6,"")</f>
        <v>2.5335741980718272E-2</v>
      </c>
      <c r="H13" s="32">
        <f>G12/M12</f>
        <v>1.3260215970655043</v>
      </c>
      <c r="I13" s="6">
        <f>IFERROR(I12/$I$6,"")</f>
        <v>3.5658596643949422E-2</v>
      </c>
      <c r="J13" s="32">
        <f>I12/M12</f>
        <v>1.2303564471430566</v>
      </c>
      <c r="K13" s="6">
        <f>IFERROR(K12/$K$6,"")</f>
        <v>5.1148326472766535E-2</v>
      </c>
      <c r="L13" s="32">
        <f>K12/M12</f>
        <v>1.033608503568882</v>
      </c>
      <c r="M13" s="6">
        <f>IFERROR(M12/$M$6,"")</f>
        <v>5.04188630896059E-2</v>
      </c>
      <c r="N13" s="32">
        <f>M12/M12</f>
        <v>1</v>
      </c>
      <c r="O13" s="34">
        <f>J13-F13</f>
        <v>-0.24815307600138214</v>
      </c>
    </row>
    <row r="14" spans="1:30">
      <c r="A14" s="2" t="s">
        <v>7</v>
      </c>
      <c r="B14" s="2"/>
      <c r="C14" s="2"/>
      <c r="D14" s="2"/>
      <c r="E14" s="4">
        <v>1724604</v>
      </c>
      <c r="F14" s="25">
        <f>IFERROR((E14/G14)-1,"")</f>
        <v>0.15600385289037155</v>
      </c>
      <c r="G14" s="4">
        <v>1491867</v>
      </c>
      <c r="H14" s="25">
        <f>IFERROR((G14/I14)-1,"")</f>
        <v>0.19262250851977725</v>
      </c>
      <c r="I14" s="4">
        <v>1250913</v>
      </c>
      <c r="J14" s="25">
        <f>IFERROR((I14/K14)-1,"")</f>
        <v>0.61520672468558746</v>
      </c>
      <c r="K14" s="4">
        <v>774460</v>
      </c>
      <c r="L14" s="25">
        <f>IFERROR((K14/M14)-1,"")</f>
        <v>0.14708304451119436</v>
      </c>
      <c r="M14" s="4">
        <v>675156</v>
      </c>
      <c r="N14" s="25" t="str">
        <f>IFERROR((M14/O14)-1,"")</f>
        <v/>
      </c>
    </row>
    <row r="15" spans="1:30">
      <c r="A15" s="10"/>
      <c r="B15" s="10"/>
      <c r="C15" s="10"/>
      <c r="D15" s="10"/>
      <c r="E15" s="6">
        <f>IFERROR(E14/$E$6,"")</f>
        <v>0.24829808370646586</v>
      </c>
      <c r="F15" s="32">
        <f>E14/G14</f>
        <v>1.1560038528903716</v>
      </c>
      <c r="G15" s="6">
        <f>IFERROR(G14/$G$6,"")</f>
        <v>0.20953476606840937</v>
      </c>
      <c r="H15" s="32">
        <f>G14/I14</f>
        <v>1.1926225085197772</v>
      </c>
      <c r="I15" s="6">
        <f>IFERROR(I14/$I$6,"")</f>
        <v>0.26650377061952696</v>
      </c>
      <c r="J15" s="32">
        <f>I14/K14</f>
        <v>1.6152067246855875</v>
      </c>
      <c r="K15" s="6">
        <f>IFERROR(K14/$K$6,"")</f>
        <v>0.28171975421273721</v>
      </c>
      <c r="L15" s="32">
        <f>K14/M14</f>
        <v>1.1470830445111944</v>
      </c>
      <c r="M15" s="6">
        <f>IFERROR(M14/$M$6,"")</f>
        <v>0.25023043677915541</v>
      </c>
      <c r="N15" s="32">
        <f>M14/M14</f>
        <v>1</v>
      </c>
      <c r="O15" s="34">
        <f>F15-N15</f>
        <v>0.15600385289037155</v>
      </c>
    </row>
    <row r="16" spans="1:30">
      <c r="A16" s="2" t="s">
        <v>8</v>
      </c>
      <c r="B16" s="2"/>
      <c r="C16" s="2"/>
      <c r="D16" s="2"/>
      <c r="E16" s="4">
        <f>E8+E10+E12+E14</f>
        <v>6132763</v>
      </c>
      <c r="F16" s="25">
        <f>IFERROR((E16/G16)-1,"")</f>
        <v>0.12808955902005281</v>
      </c>
      <c r="G16" s="4">
        <f>G8+G10+G12+G14-6472</f>
        <v>5436415</v>
      </c>
      <c r="H16" s="25">
        <f>IFERROR((G16/I16)-1,"")</f>
        <v>0.17853968487959704</v>
      </c>
      <c r="I16" s="4">
        <f>I8+I10+I12+I14+46195</f>
        <v>4612840</v>
      </c>
      <c r="J16" s="25">
        <f>IFERROR((I16/K16)-1,"")</f>
        <v>0.81944901875324172</v>
      </c>
      <c r="K16" s="4">
        <f>K8+K10+K12+K14+127108</f>
        <v>2535295</v>
      </c>
      <c r="L16" s="25">
        <f>IFERROR((K16/M16)-1,"")</f>
        <v>0.21749054213563812</v>
      </c>
      <c r="M16" s="4">
        <f>M8+M10+M12+M14</f>
        <v>2082394</v>
      </c>
      <c r="N16" s="25" t="str">
        <f>IFERROR((M16/O16)-1,"")</f>
        <v/>
      </c>
    </row>
    <row r="17" spans="1:15">
      <c r="A17" s="10"/>
      <c r="B17" s="10"/>
      <c r="C17" s="10"/>
      <c r="D17" s="10"/>
      <c r="E17" s="6">
        <f>IFERROR(E16/$E$6,"")</f>
        <v>0.88295823315144617</v>
      </c>
      <c r="F17" s="32">
        <f>E16/G16</f>
        <v>1.1280895590200528</v>
      </c>
      <c r="G17" s="6">
        <f>IFERROR(G14/$G$6,"")</f>
        <v>0.20953476606840937</v>
      </c>
      <c r="H17" s="32">
        <f>G16/I16</f>
        <v>1.178539684879597</v>
      </c>
      <c r="I17" s="6">
        <f>IFERROR(I16/$I$6,"")</f>
        <v>0.98275359938267381</v>
      </c>
      <c r="J17" s="32">
        <f>I16/K16</f>
        <v>1.8194490187532417</v>
      </c>
      <c r="K17" s="6">
        <f>IFERROR(K14/$K$6,"")</f>
        <v>0.28171975421273721</v>
      </c>
      <c r="L17" s="32">
        <f>K16/M16</f>
        <v>1.2174905421356381</v>
      </c>
      <c r="M17" s="6">
        <f>IFERROR(M16/$M$6,"")</f>
        <v>0.77178957184160779</v>
      </c>
      <c r="N17" s="32">
        <f>M16/M16</f>
        <v>1</v>
      </c>
    </row>
    <row r="18" spans="1:15">
      <c r="A18" s="2" t="s">
        <v>9</v>
      </c>
      <c r="B18" s="2"/>
      <c r="C18" s="2"/>
      <c r="D18" s="2"/>
      <c r="E18" s="5">
        <f>E6-E16</f>
        <v>812937</v>
      </c>
      <c r="F18" s="25">
        <f>IFERROR((E18/G18)-1,"")</f>
        <v>-0.51711121024397577</v>
      </c>
      <c r="G18" s="5">
        <f>G6-G16</f>
        <v>1683487</v>
      </c>
      <c r="H18" s="25">
        <f>IFERROR((G18/I18)-1,"")</f>
        <v>19.796370643969809</v>
      </c>
      <c r="I18" s="5">
        <f>I6-I16</f>
        <v>80951</v>
      </c>
      <c r="J18" s="25">
        <f>IFERROR((I18/K18)-1,"")</f>
        <v>-0.62128009955602126</v>
      </c>
      <c r="K18" s="5">
        <f>K6-K16</f>
        <v>213749</v>
      </c>
      <c r="L18" s="25">
        <f>IFERROR((K18/M18)-1,"")</f>
        <v>-0.65286004063383585</v>
      </c>
      <c r="M18" s="5">
        <f t="shared" ref="M18" si="2">M6-M16</f>
        <v>615743</v>
      </c>
      <c r="N18" s="25" t="str">
        <f>IFERROR((M18/O18)-1,"")</f>
        <v/>
      </c>
      <c r="O18" s="5"/>
    </row>
    <row r="19" spans="1:15">
      <c r="A19" s="10"/>
      <c r="B19" s="10"/>
      <c r="C19" s="10"/>
      <c r="D19" s="10"/>
      <c r="E19" s="6">
        <f>IFERROR(E18/$E$6,"")</f>
        <v>0.11704176684855379</v>
      </c>
      <c r="F19" s="31"/>
      <c r="G19" s="6">
        <f>IFERROR(G14/$G$6,"")</f>
        <v>0.20953476606840937</v>
      </c>
      <c r="H19" s="31"/>
      <c r="I19" s="6">
        <f>IFERROR(I18/$I$6,"")</f>
        <v>1.7246400617326164E-2</v>
      </c>
      <c r="J19" s="32"/>
      <c r="K19" s="6">
        <f>IFERROR(K14/$K$6,"")</f>
        <v>0.28171975421273721</v>
      </c>
      <c r="L19" s="32"/>
      <c r="M19" s="6">
        <f>IFERROR(M18/$M$6,"")</f>
        <v>0.22821042815839226</v>
      </c>
      <c r="N19" s="32"/>
    </row>
    <row r="20" spans="1:15">
      <c r="A20" s="2" t="s">
        <v>10</v>
      </c>
      <c r="B20" s="2"/>
      <c r="C20" s="2"/>
      <c r="D20" s="2"/>
      <c r="E20" s="4">
        <v>42334</v>
      </c>
      <c r="F20" s="25">
        <f>IFERROR((E20/G20)-1,"")</f>
        <v>0.30010441619065165</v>
      </c>
      <c r="G20" s="4">
        <v>32562</v>
      </c>
      <c r="H20" s="25">
        <f>IFERROR((G20/I20)-1,"")</f>
        <v>-0.20962182630224768</v>
      </c>
      <c r="I20" s="4">
        <v>41198</v>
      </c>
      <c r="J20" s="25">
        <f>IFERROR((I20/K20)-1,"")</f>
        <v>-0.23171027357663687</v>
      </c>
      <c r="K20" s="4">
        <v>53623</v>
      </c>
      <c r="L20" s="25">
        <f>IFERROR((K20/M20)-1,"")</f>
        <v>0.50520701754385966</v>
      </c>
      <c r="M20" s="4">
        <v>35625</v>
      </c>
      <c r="N20" s="25" t="str">
        <f>IFERROR((M20/O20)-1,"")</f>
        <v/>
      </c>
    </row>
    <row r="21" spans="1:15">
      <c r="A21" s="10"/>
      <c r="B21" s="10"/>
      <c r="C21" s="10"/>
      <c r="D21" s="10"/>
      <c r="E21" s="6">
        <f>IFERROR(E20/$E$6,"")</f>
        <v>6.0949940250802654E-3</v>
      </c>
      <c r="F21" s="31"/>
      <c r="G21" s="6">
        <f>IFERROR(G14/$G$6,"")</f>
        <v>0.20953476606840937</v>
      </c>
      <c r="H21" s="31"/>
      <c r="I21" s="6">
        <f>IFERROR(I20/$I$6,"")</f>
        <v>8.7771270599820064E-3</v>
      </c>
      <c r="J21" s="31"/>
      <c r="K21" s="6">
        <f>IFERROR(K14/$K$6,"")</f>
        <v>0.28171975421273721</v>
      </c>
      <c r="L21" s="31"/>
      <c r="M21" s="6">
        <f>IFERROR(M20/$M$6,"")</f>
        <v>1.3203554897323598E-2</v>
      </c>
      <c r="N21" s="31"/>
    </row>
    <row r="22" spans="1:15">
      <c r="A22" s="2" t="s">
        <v>11</v>
      </c>
      <c r="B22" s="2"/>
      <c r="C22" s="2"/>
      <c r="D22" s="2"/>
      <c r="E22" s="4">
        <v>56790</v>
      </c>
      <c r="F22" s="25">
        <f>IFERROR((E22/G22)-1,"")</f>
        <v>-0.63411569907159837</v>
      </c>
      <c r="G22" s="4">
        <v>155213</v>
      </c>
      <c r="H22" s="25">
        <f>IFERROR((G22/I22)-1,"")</f>
        <v>0.18160294766972696</v>
      </c>
      <c r="I22" s="4">
        <v>131358</v>
      </c>
      <c r="J22" s="25">
        <f>IFERROR((I22/K22)-1,"")</f>
        <v>0.23364012021036817</v>
      </c>
      <c r="K22" s="4">
        <v>106480</v>
      </c>
      <c r="L22" s="25">
        <f>IFERROR((K22/M22)-1,"")</f>
        <v>4.0399485141451308E-4</v>
      </c>
      <c r="M22" s="4">
        <v>106437</v>
      </c>
      <c r="N22" s="25" t="str">
        <f>IFERROR((M22/O22)-1,"")</f>
        <v/>
      </c>
    </row>
    <row r="23" spans="1:15">
      <c r="A23" s="10"/>
      <c r="B23" s="10"/>
      <c r="C23" s="10"/>
      <c r="D23" s="10"/>
      <c r="E23" s="6">
        <f>IFERROR(E22/$E$6,"")</f>
        <v>8.1762817282635299E-3</v>
      </c>
      <c r="F23" s="31"/>
      <c r="G23" s="9">
        <f>IFERROR(G14/$G$6,"")</f>
        <v>0.20953476606840937</v>
      </c>
      <c r="H23" s="31"/>
      <c r="I23" s="6">
        <f>IFERROR(I22/$I$6,"")</f>
        <v>2.7985481245330266E-2</v>
      </c>
      <c r="J23" s="31"/>
      <c r="K23" s="6">
        <f>IFERROR(K14/$K$6,"")</f>
        <v>0.28171975421273721</v>
      </c>
      <c r="L23" s="31"/>
      <c r="M23" s="6">
        <f>IFERROR(M22/$M$6,"")</f>
        <v>3.9448330459127906E-2</v>
      </c>
      <c r="N23" s="31"/>
    </row>
    <row r="24" spans="1:15">
      <c r="A24" s="2" t="s">
        <v>12</v>
      </c>
      <c r="B24" s="2"/>
      <c r="C24" s="2"/>
      <c r="D24" s="2"/>
      <c r="E24" s="5">
        <f>E18+E20-E22</f>
        <v>798481</v>
      </c>
      <c r="F24" s="25">
        <f>IFERROR((E24/G24)-1,"")</f>
        <v>-0.48842735559661621</v>
      </c>
      <c r="G24" s="5">
        <f>G18+G20-G22</f>
        <v>1560836</v>
      </c>
      <c r="H24" s="28">
        <f>IFERROR((E24/G24)-1,"")</f>
        <v>-0.48842735559661621</v>
      </c>
      <c r="I24" s="5">
        <f t="shared" ref="I24:M24" si="3">I18+I20-I22</f>
        <v>-9209</v>
      </c>
      <c r="J24" s="28">
        <f>IFERROR((E24/G24)-1,"")</f>
        <v>-0.48842735559661621</v>
      </c>
      <c r="K24" s="5">
        <f t="shared" si="3"/>
        <v>160892</v>
      </c>
      <c r="L24" s="28">
        <f>IFERROR((E24/G24)-1,"")</f>
        <v>-0.48842735559661621</v>
      </c>
      <c r="M24" s="5">
        <f t="shared" si="3"/>
        <v>544931</v>
      </c>
      <c r="N24" s="25" t="str">
        <f>IFERROR((M24/O24)-1,"")</f>
        <v/>
      </c>
    </row>
    <row r="25" spans="1:15">
      <c r="A25" s="10"/>
      <c r="B25" s="10"/>
      <c r="C25" s="10"/>
      <c r="D25" s="10"/>
      <c r="E25" s="6">
        <f>IFERROR(E24/$E$6,"")</f>
        <v>0.11496047914537051</v>
      </c>
      <c r="F25" s="31"/>
      <c r="G25" s="6">
        <f>IFERROR(G24/$G$6,"")</f>
        <v>0.21922155670120178</v>
      </c>
      <c r="H25" s="31"/>
      <c r="I25" s="6">
        <f>IFERROR(I24/$I$6,"")</f>
        <v>-1.9619535680220957E-3</v>
      </c>
      <c r="J25" s="31"/>
      <c r="K25" s="6">
        <f>IFERROR(K14/$K$6,"")</f>
        <v>0.28171975421273721</v>
      </c>
      <c r="L25" s="31"/>
      <c r="M25" s="6">
        <f>IFERROR(M24/$M$6,"")</f>
        <v>0.20196565259658794</v>
      </c>
      <c r="N25" s="31"/>
    </row>
    <row r="26" spans="1:15">
      <c r="A26" s="2" t="s">
        <v>13</v>
      </c>
      <c r="B26" s="2"/>
      <c r="C26" s="2"/>
      <c r="D26" s="2"/>
      <c r="E26" s="4">
        <v>197581</v>
      </c>
      <c r="F26" s="25">
        <f>IFERROR((E26/G26)-1,"")</f>
        <v>-0.41631290527466358</v>
      </c>
      <c r="G26" s="41">
        <v>338505</v>
      </c>
      <c r="H26" s="25">
        <f>IFERROR((G26/I26)-1,"")</f>
        <v>-25.937748637100338</v>
      </c>
      <c r="I26" s="4">
        <v>-13574</v>
      </c>
      <c r="J26" s="25">
        <f>IFERROR((I26/K26)-1,"")</f>
        <v>-1.5951942471279488</v>
      </c>
      <c r="K26">
        <v>22806</v>
      </c>
      <c r="L26" s="25">
        <f>IFERROR((K26/M26)-1,"")</f>
        <v>-0.79985080521304142</v>
      </c>
      <c r="M26" s="4">
        <v>113945</v>
      </c>
      <c r="N26" s="25" t="str">
        <f>IFERROR((M26/O26)-1,"")</f>
        <v/>
      </c>
    </row>
    <row r="27" spans="1:15">
      <c r="A27" s="2" t="s">
        <v>14</v>
      </c>
      <c r="B27" s="2"/>
      <c r="C27" s="2"/>
      <c r="D27" s="2"/>
      <c r="E27" s="5">
        <f>E24-E26</f>
        <v>600900</v>
      </c>
      <c r="F27" s="25">
        <f>IFERROR((E27/G27)-1,"")</f>
        <v>-0.50839829800602288</v>
      </c>
      <c r="G27" s="5">
        <f>G24-G26</f>
        <v>1222331</v>
      </c>
      <c r="H27" s="25">
        <f>IFERROR((E27/G27)-1,"")</f>
        <v>-0.50839829800602288</v>
      </c>
      <c r="I27" s="5">
        <f>I24-I26</f>
        <v>4365</v>
      </c>
      <c r="J27" s="25">
        <f>IFERROR((E27/G27)-1,"")</f>
        <v>-0.50839829800602288</v>
      </c>
      <c r="K27" s="5">
        <f>K24-K26</f>
        <v>138086</v>
      </c>
      <c r="L27" s="25">
        <f>IFERROR((E27/G27)-1,"")</f>
        <v>-0.50839829800602288</v>
      </c>
      <c r="M27" s="5">
        <f>M24-M26</f>
        <v>430986</v>
      </c>
      <c r="N27" s="25" t="str">
        <f>IFERROR((M27/O27)-1,"")</f>
        <v/>
      </c>
    </row>
    <row r="28" spans="1:15">
      <c r="A28" s="37"/>
      <c r="B28" s="37"/>
      <c r="C28" s="37"/>
      <c r="D28" s="37"/>
      <c r="E28" s="6">
        <f>IFERROR(E27/$E$6,"")</f>
        <v>8.651395827634363E-2</v>
      </c>
      <c r="F28" s="26"/>
      <c r="G28" s="6">
        <f>IFERROR(G27/$G$6,"")</f>
        <v>0.17167806523179674</v>
      </c>
      <c r="H28" s="26"/>
      <c r="I28" s="6">
        <f>IFERROR(I27/$I$6,"")</f>
        <v>9.2995193011363307E-4</v>
      </c>
      <c r="J28" s="26"/>
      <c r="K28" s="6">
        <f>IFERROR(K27/$K$6,"")</f>
        <v>5.023055287583611E-2</v>
      </c>
      <c r="L28" s="26"/>
      <c r="M28" s="6">
        <f>IFERROR(M27/$M$6,"")</f>
        <v>0.15973466136078338</v>
      </c>
      <c r="N28" s="31"/>
    </row>
    <row r="29" spans="1:15">
      <c r="F29" s="26"/>
      <c r="H29" s="26"/>
      <c r="J29" s="26"/>
      <c r="L29" s="26"/>
      <c r="N29" s="26"/>
    </row>
    <row r="30" spans="1:15" ht="32.1" customHeight="1">
      <c r="A30" s="38" t="s">
        <v>15</v>
      </c>
      <c r="B30" s="38"/>
      <c r="C30" s="38"/>
      <c r="E30" s="1" t="s">
        <v>32</v>
      </c>
      <c r="F30" s="27"/>
      <c r="G30" s="1" t="s">
        <v>31</v>
      </c>
      <c r="H30" s="27"/>
      <c r="I30" s="1" t="s">
        <v>30</v>
      </c>
      <c r="J30" s="27"/>
      <c r="K30" s="1" t="s">
        <v>29</v>
      </c>
      <c r="L30" s="27"/>
      <c r="M30" s="1" t="s">
        <v>28</v>
      </c>
      <c r="N30" s="27"/>
    </row>
    <row r="31" spans="1:15" ht="21">
      <c r="A31" s="40" t="s">
        <v>19</v>
      </c>
      <c r="B31" s="40"/>
      <c r="C31" s="40"/>
      <c r="E31" s="1"/>
      <c r="F31" s="27"/>
      <c r="G31" s="1"/>
      <c r="H31" s="27"/>
      <c r="I31" s="1"/>
      <c r="J31" s="27"/>
      <c r="K31" s="1"/>
      <c r="L31" s="27"/>
      <c r="M31" s="1"/>
      <c r="N31" s="27"/>
    </row>
    <row r="32" spans="1:15">
      <c r="A32" s="39" t="s">
        <v>16</v>
      </c>
      <c r="B32" s="39"/>
      <c r="C32" s="39"/>
      <c r="D32" s="39"/>
      <c r="E32" s="4">
        <v>3082119</v>
      </c>
      <c r="F32" s="25">
        <f>IFERROR((E32/G32)-1,"")</f>
        <v>0.14034129000845041</v>
      </c>
      <c r="G32" s="4">
        <v>2702804</v>
      </c>
      <c r="H32" s="25">
        <f>IFERROR((G32/I32)-1,"")</f>
        <v>-3.3367857561807379E-2</v>
      </c>
      <c r="I32" s="4">
        <v>2796104</v>
      </c>
      <c r="J32" s="25">
        <f>IFERROR((I32/K32)-1,"")</f>
        <v>5.3347663753492647E-2</v>
      </c>
      <c r="K32" s="4">
        <v>2654493</v>
      </c>
      <c r="L32" s="25">
        <f>IFERROR((K32/M32)-1,"")</f>
        <v>0.12765926715760711</v>
      </c>
      <c r="M32" s="4">
        <v>2353985</v>
      </c>
      <c r="N32" s="25" t="str">
        <f>IFERROR((M32/O32)-1,"")</f>
        <v/>
      </c>
    </row>
    <row r="33" spans="1:17">
      <c r="A33" s="37"/>
      <c r="B33" s="37"/>
      <c r="C33" s="37"/>
      <c r="D33" s="37"/>
      <c r="E33" s="6">
        <f>IFERROR(E32/$E$40,"")</f>
        <v>0.43090805683069155</v>
      </c>
      <c r="F33" s="32">
        <f>E32/M32</f>
        <v>1.3093197280356501</v>
      </c>
      <c r="G33" s="6">
        <f>IFERROR(G32/$G$40,"")</f>
        <v>0.39934823060981633</v>
      </c>
      <c r="H33" s="32">
        <f>G32/M32</f>
        <v>1.1481823376104776</v>
      </c>
      <c r="I33" s="6">
        <f>IFERROR(I32/$I$40,"")</f>
        <v>0.47105947544862281</v>
      </c>
      <c r="J33" s="32">
        <f>I32/M32</f>
        <v>1.1878172545704413</v>
      </c>
      <c r="K33" s="6">
        <f>IFERROR(K32/$K$40,"")</f>
        <v>0.52645824061535385</v>
      </c>
      <c r="L33" s="32">
        <f>K32/M32</f>
        <v>1.1276592671576071</v>
      </c>
      <c r="M33" s="6">
        <f>IFERROR(M32/$M$40,"")</f>
        <v>0.5127846255994869</v>
      </c>
      <c r="N33" s="32">
        <f>M32/M32</f>
        <v>1</v>
      </c>
      <c r="O33" s="34">
        <f>F33-N33</f>
        <v>0.30931972803565011</v>
      </c>
    </row>
    <row r="34" spans="1:17">
      <c r="A34" s="39" t="s">
        <v>17</v>
      </c>
      <c r="B34" s="39"/>
      <c r="C34" s="39"/>
      <c r="D34" s="39"/>
      <c r="E34" s="4">
        <v>4070495</v>
      </c>
      <c r="F34" s="25">
        <f>IFERROR((E34/G34)-1,"")</f>
        <v>1.2941444453136164E-3</v>
      </c>
      <c r="G34" s="4">
        <v>4065234</v>
      </c>
      <c r="H34" s="25">
        <f>IFERROR((G34/I34)-1,"")</f>
        <v>0.29479534970680077</v>
      </c>
      <c r="I34" s="4">
        <v>3139673</v>
      </c>
      <c r="J34" s="25">
        <f>IFERROR((I34/K34)-1,"")</f>
        <v>0.31494769606802264</v>
      </c>
      <c r="K34" s="4">
        <v>2387679</v>
      </c>
      <c r="L34" s="25">
        <f>IFERROR((K34/M34)-1,"")</f>
        <v>6.7545169982925035E-2</v>
      </c>
      <c r="M34" s="4">
        <v>2236607</v>
      </c>
      <c r="N34" s="25" t="str">
        <f>IFERROR((M34/O34)-1,"")</f>
        <v/>
      </c>
    </row>
    <row r="35" spans="1:17">
      <c r="A35" s="37"/>
      <c r="B35" s="37"/>
      <c r="C35" s="37"/>
      <c r="D35" s="37"/>
      <c r="E35" s="6">
        <f>IFERROR(E34/$E$40,"")</f>
        <v>0.56909194316930845</v>
      </c>
      <c r="F35" s="32">
        <f>E34/M34</f>
        <v>1.8199419924913049</v>
      </c>
      <c r="G35" s="6">
        <f>IFERROR(G34/$G$40,"")</f>
        <v>0.60065176939018372</v>
      </c>
      <c r="H35" s="32">
        <f>G34/M34</f>
        <v>1.8175897687881688</v>
      </c>
      <c r="I35" s="6">
        <f>IFERROR(I34/$I$40,"")</f>
        <v>0.52894052455137719</v>
      </c>
      <c r="J35" s="32">
        <f>I34/M34</f>
        <v>1.4037660617175927</v>
      </c>
      <c r="K35" s="6">
        <f>IFERROR(K34/$K$40,"")</f>
        <v>0.47354175938464615</v>
      </c>
      <c r="L35" s="32">
        <f>K34/M34</f>
        <v>1.067545169982925</v>
      </c>
      <c r="M35" s="6">
        <f>IFERROR(M34/$M$40,"")</f>
        <v>0.48721537440051305</v>
      </c>
      <c r="N35" s="32">
        <f>M34/M34</f>
        <v>1</v>
      </c>
      <c r="O35" s="34">
        <f>H35-N35</f>
        <v>0.8175897687881688</v>
      </c>
    </row>
    <row r="36" spans="1:17">
      <c r="A36" s="39" t="s">
        <v>23</v>
      </c>
      <c r="B36" s="39"/>
      <c r="C36" s="39"/>
      <c r="D36" s="39"/>
      <c r="E36" s="8">
        <v>2790614</v>
      </c>
      <c r="F36" s="25">
        <f>IFERROR((E36/G36)-1,"")</f>
        <v>9.4878391267382289E-2</v>
      </c>
      <c r="G36" s="8">
        <v>2548789</v>
      </c>
      <c r="H36" s="25">
        <f>IFERROR((G36/I36)-1,"")</f>
        <v>0.26178797632850204</v>
      </c>
      <c r="I36" s="8">
        <v>2019982</v>
      </c>
      <c r="J36" s="25">
        <f>IFERROR((I36/K36)-1,"")</f>
        <v>4.5351585403656802E-2</v>
      </c>
      <c r="K36" s="8">
        <v>1932347</v>
      </c>
      <c r="L36" s="25">
        <f>IFERROR((K36/M36)-1,"")</f>
        <v>4.9990572430090641E-2</v>
      </c>
      <c r="M36" s="8">
        <v>1840347</v>
      </c>
      <c r="N36" s="25" t="str">
        <f>IFERROR((M36/O36)-1,"")</f>
        <v/>
      </c>
    </row>
    <row r="37" spans="1:17">
      <c r="A37" s="37"/>
      <c r="B37" s="37"/>
      <c r="C37" s="37"/>
      <c r="D37" s="37"/>
      <c r="E37" s="6">
        <f>IFERROR(E36/$E$40,"")</f>
        <v>0.39015302657182394</v>
      </c>
      <c r="F37" s="32">
        <f>E36/M36</f>
        <v>1.5163520792546188</v>
      </c>
      <c r="G37" s="6">
        <f>IFERROR(G36/$G$40,"")</f>
        <v>0.3765920049503268</v>
      </c>
      <c r="H37" s="32">
        <f>G36/M36</f>
        <v>1.3849502294947638</v>
      </c>
      <c r="I37" s="6">
        <f>IFERROR(I36/$I$40,"")</f>
        <v>0.34030624802784876</v>
      </c>
      <c r="J37" s="32">
        <f>I36/M36</f>
        <v>1.0976093095486883</v>
      </c>
      <c r="K37" s="6">
        <f>IFERROR(K36/$K$40,"")</f>
        <v>0.38323702563101775</v>
      </c>
      <c r="L37" s="32">
        <f>K36/M36</f>
        <v>1.0499905724300906</v>
      </c>
      <c r="M37" s="6">
        <f>IFERROR(M36/$M$40,"")</f>
        <v>0.40089535293051526</v>
      </c>
      <c r="N37" s="32">
        <f>M36/M36</f>
        <v>1</v>
      </c>
      <c r="O37" s="34">
        <f>H37-N37</f>
        <v>0.38495022949476376</v>
      </c>
    </row>
    <row r="38" spans="1:17">
      <c r="A38" s="39" t="s">
        <v>24</v>
      </c>
      <c r="B38" s="39"/>
      <c r="C38" s="39"/>
      <c r="D38" s="39"/>
      <c r="E38" s="8">
        <v>761407</v>
      </c>
      <c r="F38" s="25">
        <f>IFERROR((E38/G38)-1,"")</f>
        <v>-0.13534546685123972</v>
      </c>
      <c r="G38" s="8">
        <v>880591</v>
      </c>
      <c r="H38" s="25">
        <f>IFERROR((G38/I38)-1,"")</f>
        <v>0.51329257059583711</v>
      </c>
      <c r="I38" s="8">
        <v>581904</v>
      </c>
      <c r="J38" s="25">
        <f>IFERROR((I38/K38)-1,"")</f>
        <v>1.2905728557763845</v>
      </c>
      <c r="K38" s="8">
        <v>254043</v>
      </c>
      <c r="L38" s="25">
        <f>IFERROR((K38/M38)-1,"")</f>
        <v>0.42870077721664201</v>
      </c>
      <c r="M38" s="8">
        <v>177814</v>
      </c>
      <c r="N38" s="25" t="str">
        <f>IFERROR((M38/O38)-1,"")</f>
        <v/>
      </c>
    </row>
    <row r="39" spans="1:17">
      <c r="A39" s="37"/>
      <c r="B39" s="37"/>
      <c r="C39" s="37"/>
      <c r="D39" s="37"/>
      <c r="E39" s="6">
        <f>IFERROR(E38/$E$40,"")</f>
        <v>0.10645157141151473</v>
      </c>
      <c r="F39" s="32">
        <f>E38/G38</f>
        <v>0.86465453314876028</v>
      </c>
      <c r="G39" s="6">
        <f>IFERROR(G38/$G$40,"")</f>
        <v>0.13011023283261708</v>
      </c>
      <c r="H39" s="32">
        <f>G38/I38</f>
        <v>1.5132925705958371</v>
      </c>
      <c r="I39" s="6">
        <f>IFERROR(I38/$E$40,"")</f>
        <v>8.1355431734467992E-2</v>
      </c>
      <c r="J39" s="32">
        <f>I38/K38</f>
        <v>2.2905728557763845</v>
      </c>
      <c r="K39" s="6">
        <f>IFERROR(K38/$K$40,"")</f>
        <v>5.0383644191431785E-2</v>
      </c>
      <c r="L39" s="32">
        <f>K38/M38</f>
        <v>1.428700777216642</v>
      </c>
      <c r="M39" s="6">
        <f>IFERROR(M38/$M$40,"")</f>
        <v>3.8734437737006466E-2</v>
      </c>
      <c r="N39" s="32">
        <f>M38/M38</f>
        <v>1</v>
      </c>
      <c r="O39" s="34">
        <f>H39-N39</f>
        <v>0.51329257059583711</v>
      </c>
    </row>
    <row r="40" spans="1:17">
      <c r="A40" s="39" t="s">
        <v>18</v>
      </c>
      <c r="B40" s="39"/>
      <c r="C40" s="39"/>
      <c r="D40" s="39"/>
      <c r="E40" s="5">
        <f>E32+E34</f>
        <v>7152614</v>
      </c>
      <c r="F40" s="25">
        <f>IFERROR((E40/G40)-1,"")</f>
        <v>5.6822375997297891E-2</v>
      </c>
      <c r="G40" s="5">
        <f>G32+G34</f>
        <v>6768038</v>
      </c>
      <c r="H40" s="25">
        <f>IFERROR((G40/I40)-1,"")</f>
        <v>0.14021096142931255</v>
      </c>
      <c r="I40" s="5">
        <f>I32+I34</f>
        <v>5935777</v>
      </c>
      <c r="J40" s="25">
        <f>IFERROR((I40/K40)-1,"")</f>
        <v>0.17722620331079542</v>
      </c>
      <c r="K40" s="5">
        <f>K32+K34</f>
        <v>5042172</v>
      </c>
      <c r="L40" s="25">
        <f>IFERROR((K40/M40)-1,"")</f>
        <v>9.8370754795895632E-2</v>
      </c>
      <c r="M40" s="5">
        <f>M32+M34</f>
        <v>4590592</v>
      </c>
      <c r="N40" s="25" t="str">
        <f>IFERROR((M40/O40)-1,"")</f>
        <v/>
      </c>
    </row>
    <row r="41" spans="1:17">
      <c r="A41" s="37"/>
      <c r="B41" s="37"/>
      <c r="C41" s="37"/>
      <c r="D41" s="37"/>
      <c r="E41" s="6">
        <f>IFERROR(E40/$E$40,"")</f>
        <v>1</v>
      </c>
      <c r="F41" s="32">
        <f>E40/M40</f>
        <v>1.5581027457896497</v>
      </c>
      <c r="G41" s="6">
        <f>IFERROR(G40/$G$40,"")</f>
        <v>1</v>
      </c>
      <c r="H41" s="32">
        <f>G40/M40</f>
        <v>1.4743279298182022</v>
      </c>
      <c r="I41" s="6">
        <f>IFERROR(I40/$I$40,"")</f>
        <v>1</v>
      </c>
      <c r="J41" s="32">
        <f>I40/M40</f>
        <v>1.2930308334959848</v>
      </c>
      <c r="K41" s="6">
        <f>IFERROR(K40/$K$40,"")</f>
        <v>1</v>
      </c>
      <c r="L41" s="32">
        <f>K40/M40</f>
        <v>1.0983707547958956</v>
      </c>
      <c r="M41" s="6">
        <f>IFERROR(M40/$M$40,"")</f>
        <v>1</v>
      </c>
      <c r="N41" s="32">
        <f>M40/M40</f>
        <v>1</v>
      </c>
      <c r="O41" s="34">
        <f>H41-N41</f>
        <v>0.47432792981820215</v>
      </c>
    </row>
    <row r="42" spans="1:17">
      <c r="F42" s="26"/>
      <c r="H42" s="26"/>
      <c r="J42" s="26"/>
      <c r="L42" s="26"/>
      <c r="N42" s="26"/>
    </row>
    <row r="43" spans="1:17" ht="21">
      <c r="A43" s="40" t="s">
        <v>20</v>
      </c>
      <c r="B43" s="40"/>
      <c r="C43" s="40"/>
      <c r="F43" s="26"/>
      <c r="H43" s="26"/>
      <c r="J43" s="26"/>
      <c r="L43" s="26"/>
      <c r="N43" s="26"/>
    </row>
    <row r="44" spans="1:17">
      <c r="A44" s="39" t="s">
        <v>21</v>
      </c>
      <c r="B44" s="39"/>
      <c r="C44" s="39"/>
      <c r="D44" s="39"/>
      <c r="E44" s="4">
        <v>3347905</v>
      </c>
      <c r="F44" s="25">
        <f>IFERROR((E44/G44)-1,"")</f>
        <v>4.3952651599603376E-2</v>
      </c>
      <c r="G44" s="4">
        <v>3206951</v>
      </c>
      <c r="H44" s="25">
        <f>IFERROR((G44/I44)-1,"")</f>
        <v>0.43326714371460073</v>
      </c>
      <c r="I44" s="4">
        <v>2237511</v>
      </c>
      <c r="J44" s="25">
        <f>IFERROR((I44/K44)-1,"")</f>
        <v>7.0173575184333536E-3</v>
      </c>
      <c r="K44" s="4">
        <v>2221919</v>
      </c>
      <c r="L44" s="25">
        <f>IFERROR((K44/M44)-1,"")</f>
        <v>0.11735243193934086</v>
      </c>
      <c r="M44" s="4">
        <v>1988557</v>
      </c>
      <c r="N44" s="25" t="str">
        <f>IFERROR((M44/O44)-1,"")</f>
        <v/>
      </c>
      <c r="Q44" t="e">
        <f>M44/O18*5</f>
        <v>#DIV/0!</v>
      </c>
    </row>
    <row r="45" spans="1:17">
      <c r="A45" s="37"/>
      <c r="B45" s="37"/>
      <c r="C45" s="37"/>
      <c r="D45" s="37"/>
      <c r="E45" s="6">
        <f>IFERROR(E44/$E$54,"")</f>
        <v>0.46806727329794767</v>
      </c>
      <c r="F45" s="32">
        <f>E44/M44</f>
        <v>1.6835851323346527</v>
      </c>
      <c r="G45" s="6">
        <f>IFERROR(G44/$G$54,"")</f>
        <v>0.47383761734198299</v>
      </c>
      <c r="H45" s="32">
        <f>G44/M44</f>
        <v>1.6127025777988764</v>
      </c>
      <c r="I45" s="6">
        <f>IFERROR(I44/$I$54,"")</f>
        <v>0.37695347279841301</v>
      </c>
      <c r="J45" s="32">
        <f>I44/M44</f>
        <v>1.1251932934283504</v>
      </c>
      <c r="K45" s="6">
        <f>IFERROR(K44/$K$54,"")</f>
        <v>0.44066703793523904</v>
      </c>
      <c r="L45" s="32">
        <f>K44/M44</f>
        <v>1.1173524319393409</v>
      </c>
      <c r="M45" s="6">
        <f>IFERROR(M44/$M$54,"")</f>
        <v>0.43318094921090788</v>
      </c>
      <c r="N45" s="32">
        <f>M44/M44</f>
        <v>1</v>
      </c>
      <c r="O45" s="34">
        <f>J45-F45</f>
        <v>-0.55839183890630228</v>
      </c>
    </row>
    <row r="46" spans="1:17">
      <c r="A46" s="39" t="s">
        <v>22</v>
      </c>
      <c r="B46" s="39"/>
      <c r="C46" s="39"/>
      <c r="D46" s="39"/>
      <c r="E46" s="4">
        <v>2139477</v>
      </c>
      <c r="F46" s="25">
        <f>IFERROR((E46/G46)-1,"")</f>
        <v>0.10719891447281604</v>
      </c>
      <c r="G46" s="4">
        <v>1932333</v>
      </c>
      <c r="H46" s="25">
        <f>IFERROR((G46/I46)-1,"")</f>
        <v>-0.17989153685268433</v>
      </c>
      <c r="I46" s="4">
        <v>2356192</v>
      </c>
      <c r="J46" s="25">
        <f>IFERROR((I46/K46)-1,"")</f>
        <v>0.32298093400682326</v>
      </c>
      <c r="K46" s="4">
        <v>1780972</v>
      </c>
      <c r="L46" s="25">
        <f>IFERROR((K46/M46)-1,"")</f>
        <v>0.11108463154269765</v>
      </c>
      <c r="M46" s="4">
        <v>1602913</v>
      </c>
      <c r="N46" s="25" t="str">
        <f>IFERROR((M46/O46)-1,"")</f>
        <v/>
      </c>
    </row>
    <row r="47" spans="1:17">
      <c r="A47" s="37"/>
      <c r="B47" s="37"/>
      <c r="C47" s="37"/>
      <c r="D47" s="37"/>
      <c r="E47" s="6">
        <f>IFERROR(E46/$E$54,"")</f>
        <v>0.29911815468887953</v>
      </c>
      <c r="F47" s="32">
        <f>E46/M46</f>
        <v>1.3347430584192654</v>
      </c>
      <c r="G47" s="6">
        <f>IFERROR(G46/$G$54,"")</f>
        <v>0.28550859200258627</v>
      </c>
      <c r="H47" s="32">
        <f>G46/M46</f>
        <v>1.205513337280314</v>
      </c>
      <c r="I47" s="6">
        <f>IFERROR(I46/$I$54,"")</f>
        <v>0.39694766058349584</v>
      </c>
      <c r="J47" s="32">
        <f>I46/M46</f>
        <v>1.469943783598985</v>
      </c>
      <c r="K47" s="6">
        <f>IFERROR(K46/$K$54,"")</f>
        <v>0.35321524136820404</v>
      </c>
      <c r="L47" s="32">
        <f>K46/M46</f>
        <v>1.1110846315426977</v>
      </c>
      <c r="M47" s="6">
        <f>IFERROR(M46/$M$54,"")</f>
        <v>0.34917348350713806</v>
      </c>
      <c r="N47" s="32">
        <f>M46/M46</f>
        <v>1</v>
      </c>
      <c r="O47" s="34">
        <f>N47-F47</f>
        <v>-0.33474305841926544</v>
      </c>
    </row>
    <row r="48" spans="1:17">
      <c r="A48" s="39" t="s">
        <v>25</v>
      </c>
      <c r="B48" s="39"/>
      <c r="C48" s="39"/>
      <c r="D48" s="39"/>
      <c r="E48" s="4">
        <v>585372</v>
      </c>
      <c r="F48" s="25">
        <f>IFERROR((E48/G48)-1,"")</f>
        <v>0.18608241782734325</v>
      </c>
      <c r="G48" s="4">
        <v>493534</v>
      </c>
      <c r="H48" s="25">
        <f>IFERROR((G48/I48)-1,"")</f>
        <v>-0.24430126032985089</v>
      </c>
      <c r="I48" s="4">
        <v>653083</v>
      </c>
      <c r="J48" s="25">
        <f>IFERROR((I48/K48)-1,"")</f>
        <v>1.173169262713754</v>
      </c>
      <c r="K48" s="4">
        <v>300521</v>
      </c>
      <c r="L48" s="25">
        <f>IFERROR((K48/M48)-1,"")</f>
        <v>-5.4230801912177107E-2</v>
      </c>
      <c r="M48" s="4">
        <v>317753</v>
      </c>
      <c r="N48" s="25" t="str">
        <f>IFERROR((M48/O48)-1,"")</f>
        <v/>
      </c>
    </row>
    <row r="49" spans="1:15">
      <c r="A49" s="37"/>
      <c r="B49" s="37"/>
      <c r="C49" s="37"/>
      <c r="D49" s="37"/>
      <c r="E49" s="6">
        <f>IFERROR(E48/$E$54,"")</f>
        <v>8.1840277996229352E-2</v>
      </c>
      <c r="F49" s="32">
        <f>E48/M48</f>
        <v>1.8422233621712463</v>
      </c>
      <c r="G49" s="6">
        <f>IFERROR(G48/$G$54,"")</f>
        <v>7.2921280879333125E-2</v>
      </c>
      <c r="H49" s="32">
        <f>G48/M48</f>
        <v>1.5532001271427807</v>
      </c>
      <c r="I49" s="6">
        <f>IFERROR(I48/$I$54,"")</f>
        <v>0.11002489144214529</v>
      </c>
      <c r="J49" s="32">
        <f>I48/M48</f>
        <v>2.0553165509058924</v>
      </c>
      <c r="K49" s="6">
        <f>IFERROR(K48/$K$54,"")</f>
        <v>5.9601497132584925E-2</v>
      </c>
      <c r="L49" s="32">
        <f>K48/M48</f>
        <v>0.94576919808782289</v>
      </c>
      <c r="M49" s="6">
        <f>IFERROR(M48/$M$54,"")</f>
        <v>6.9218305612870845E-2</v>
      </c>
      <c r="N49" s="32">
        <f>M48/M48</f>
        <v>1</v>
      </c>
      <c r="O49" s="34">
        <f>J49-L49</f>
        <v>1.1095473528180695</v>
      </c>
    </row>
    <row r="50" spans="1:15">
      <c r="A50" s="39" t="s">
        <v>43</v>
      </c>
      <c r="B50" s="39"/>
      <c r="C50" s="39"/>
      <c r="D50" s="39"/>
      <c r="E50" s="8">
        <v>1665233</v>
      </c>
      <c r="F50" s="25">
        <f>IFERROR((E50/G50)-1,"")</f>
        <v>2.239687515732891E-2</v>
      </c>
      <c r="G50" s="8">
        <v>1628754</v>
      </c>
      <c r="H50" s="25">
        <f>IFERROR((G50/I50)-1,"")</f>
        <v>0.21361149029262205</v>
      </c>
      <c r="I50" s="8">
        <v>1342072</v>
      </c>
      <c r="J50" s="25">
        <f>IFERROR((I50/K50)-1,"")</f>
        <v>0.29134661366848813</v>
      </c>
      <c r="K50" s="8">
        <v>1039281</v>
      </c>
      <c r="L50" s="25">
        <f>IFERROR((K50/M50)-1,"")</f>
        <v>4.0194290587135528E-2</v>
      </c>
      <c r="M50" s="8">
        <v>999122</v>
      </c>
      <c r="N50" s="25" t="str">
        <f>IFERROR((M50/O50)-1,"")</f>
        <v/>
      </c>
    </row>
    <row r="51" spans="1:15">
      <c r="A51" s="37"/>
      <c r="B51" s="37"/>
      <c r="C51" s="37"/>
      <c r="D51" s="37"/>
      <c r="E51" s="6">
        <f>IFERROR(E50/$E$54,"")</f>
        <v>0.23281457201317279</v>
      </c>
      <c r="F51" s="32">
        <f>E50/G50</f>
        <v>1.0223968751573289</v>
      </c>
      <c r="G51" s="6">
        <f>IFERROR(G50/$G$54,"")</f>
        <v>0.24065379065543072</v>
      </c>
      <c r="H51" s="32">
        <f>G50/I50</f>
        <v>1.2136114902926221</v>
      </c>
      <c r="I51" s="6">
        <f>IFERROR(I50/$I$54,"")</f>
        <v>0.22609886661809114</v>
      </c>
      <c r="J51" s="32">
        <f>I50/K50</f>
        <v>1.2913466136684881</v>
      </c>
      <c r="K51" s="6">
        <f>IFERROR(K50/$K$54,"")</f>
        <v>0.20611772069655696</v>
      </c>
      <c r="L51" s="32">
        <f>K50/M50</f>
        <v>1.0401942905871355</v>
      </c>
      <c r="M51" s="6">
        <f>IFERROR(M50/$M$54,"")</f>
        <v>0.21764556728195406</v>
      </c>
      <c r="N51" s="32">
        <f>M50/M50</f>
        <v>1</v>
      </c>
      <c r="O51" s="34">
        <f>J51-L51</f>
        <v>0.2511523230813526</v>
      </c>
    </row>
    <row r="52" spans="1:15">
      <c r="A52" s="39" t="s">
        <v>26</v>
      </c>
      <c r="B52" s="39"/>
      <c r="C52" s="39"/>
      <c r="D52" s="39"/>
      <c r="E52" s="4">
        <f>E46+E50</f>
        <v>3804710</v>
      </c>
      <c r="F52" s="25">
        <f>IFERROR((E52/G52)-1,"")</f>
        <v>6.8412538081771057E-2</v>
      </c>
      <c r="G52" s="4">
        <f>G46+G50</f>
        <v>3561087</v>
      </c>
      <c r="H52" s="25">
        <f>IFERROR((G52/I52)-1,"")</f>
        <v>-3.7092268156086239E-2</v>
      </c>
      <c r="I52" s="4">
        <f>I46+I50</f>
        <v>3698264</v>
      </c>
      <c r="J52" s="25">
        <f>IFERROR((I52/K52)-1,"")</f>
        <v>0.31132348764454809</v>
      </c>
      <c r="K52" s="4">
        <f>K46+K50</f>
        <v>2820253</v>
      </c>
      <c r="L52" s="25">
        <f>IFERROR((K52/M52)-1,"")</f>
        <v>8.3864360010530214E-2</v>
      </c>
      <c r="M52" s="4">
        <f>M46+M50</f>
        <v>2602035</v>
      </c>
      <c r="N52" s="25" t="str">
        <f>IFERROR((M52/O52)-1,"")</f>
        <v/>
      </c>
    </row>
    <row r="53" spans="1:15">
      <c r="A53" s="37"/>
      <c r="B53" s="37"/>
      <c r="C53" s="37"/>
      <c r="D53" s="37"/>
      <c r="E53" s="6">
        <f>IFERROR(E52/$E$54,"")</f>
        <v>0.53193272670205227</v>
      </c>
      <c r="F53" s="32">
        <f>E52/M52</f>
        <v>1.4622055429692529</v>
      </c>
      <c r="G53" s="6">
        <f>IFERROR(G52/$G$54,"")</f>
        <v>0.52616238265801696</v>
      </c>
      <c r="H53" s="32">
        <f>G52/M52</f>
        <v>1.3685776709383233</v>
      </c>
      <c r="I53" s="6">
        <f>IFERROR(I52/$I$54,"")</f>
        <v>0.62304652720158704</v>
      </c>
      <c r="J53" s="32">
        <f>I52/M52</f>
        <v>1.4212967927026348</v>
      </c>
      <c r="K53" s="6">
        <f>IFERROR(K52/$K$54,"")</f>
        <v>0.55933296206476102</v>
      </c>
      <c r="L53" s="32">
        <f>K52/M52</f>
        <v>1.0838643600105302</v>
      </c>
      <c r="M53" s="6">
        <f>IFERROR(M52/$M$54,"")</f>
        <v>0.56681905078909212</v>
      </c>
      <c r="N53" s="32">
        <f>M52/M52</f>
        <v>1</v>
      </c>
      <c r="O53" s="34">
        <f>N53-L53</f>
        <v>-8.3864360010530214E-2</v>
      </c>
    </row>
    <row r="54" spans="1:15">
      <c r="A54" s="39" t="s">
        <v>27</v>
      </c>
      <c r="B54" s="39"/>
      <c r="C54" s="39"/>
      <c r="D54" s="39"/>
      <c r="E54" s="4">
        <f>E44+E52</f>
        <v>7152615</v>
      </c>
      <c r="F54" s="25">
        <f>IFERROR((E54/G54)-1,"")</f>
        <v>5.682252375060548E-2</v>
      </c>
      <c r="G54" s="4">
        <f>G44+G52</f>
        <v>6768038</v>
      </c>
      <c r="H54" s="25">
        <f>IFERROR((G54/I54)-1,"")</f>
        <v>0.14021134561198823</v>
      </c>
      <c r="I54" s="4">
        <f>I44+I52</f>
        <v>5935775</v>
      </c>
      <c r="J54" s="25">
        <f>IFERROR((I54/K54)-1,"")</f>
        <v>0.17722580665633769</v>
      </c>
      <c r="K54" s="4">
        <f>K44+K52</f>
        <v>5042172</v>
      </c>
      <c r="L54" s="25">
        <f>IFERROR((K54/M54)-1,"")</f>
        <v>9.8370754795895632E-2</v>
      </c>
      <c r="M54" s="4">
        <f>M44+M52</f>
        <v>4590592</v>
      </c>
      <c r="N54" s="25" t="str">
        <f>IFERROR((M54/O54)-1,"")</f>
        <v/>
      </c>
    </row>
    <row r="55" spans="1:15">
      <c r="A55" s="7"/>
      <c r="B55" s="7"/>
      <c r="C55" s="7"/>
      <c r="D55" s="7"/>
      <c r="E55" s="6">
        <f>IFERROR(E54/$E$54,"")</f>
        <v>1</v>
      </c>
      <c r="F55" s="32">
        <f>E54/M54</f>
        <v>1.5581029636264778</v>
      </c>
      <c r="G55" s="6">
        <f>IFERROR(G54/$G$54,"")</f>
        <v>1</v>
      </c>
      <c r="H55" s="32">
        <f>G54/M54</f>
        <v>1.4743279298182022</v>
      </c>
      <c r="I55" s="6">
        <f>IFERROR(I54/$I$54,"")</f>
        <v>1</v>
      </c>
      <c r="J55" s="32">
        <f>I54/M54</f>
        <v>1.2930303978223288</v>
      </c>
      <c r="K55" s="6">
        <f>IFERROR(K54/$K$54,"")</f>
        <v>1</v>
      </c>
      <c r="L55" s="32">
        <f>K54/M54</f>
        <v>1.0983707547958956</v>
      </c>
      <c r="M55" s="6">
        <f>IFERROR(M54/$M$54,"")</f>
        <v>1</v>
      </c>
      <c r="N55" s="32">
        <f>M54/M54</f>
        <v>1</v>
      </c>
      <c r="O55" s="34">
        <f>N55-F55</f>
        <v>-0.55810296362647782</v>
      </c>
    </row>
    <row r="56" spans="1:15">
      <c r="D56" t="s">
        <v>51</v>
      </c>
      <c r="E56">
        <v>2017</v>
      </c>
      <c r="G56">
        <v>2016</v>
      </c>
      <c r="I56">
        <v>2015</v>
      </c>
      <c r="K56">
        <v>2014</v>
      </c>
    </row>
    <row r="57" spans="1:15">
      <c r="A57" t="s">
        <v>33</v>
      </c>
      <c r="D57" s="36">
        <f>SUM(E57:K57)/4</f>
        <v>0.12989842478505292</v>
      </c>
      <c r="E57" s="36">
        <f>((E18+E22))/((G54+E54)/2)</f>
        <v>0.12495491411214689</v>
      </c>
      <c r="F57" s="36"/>
      <c r="G57" s="36">
        <f>(G18+G22)/((I54+G54)/2)</f>
        <v>0.28947214509533475</v>
      </c>
      <c r="H57" s="36"/>
      <c r="I57" s="36">
        <f>(I18+I22)/((K54+I54)/2)</f>
        <v>3.8679181089141715E-2</v>
      </c>
      <c r="J57" s="36"/>
      <c r="K57" s="36">
        <f>(K18+K22)/((M54+K54)/2)</f>
        <v>6.6487458843588407E-2</v>
      </c>
    </row>
    <row r="58" spans="1:15">
      <c r="A58" t="s">
        <v>49</v>
      </c>
      <c r="D58" s="36">
        <f>SUM(E58:K58)/4</f>
        <v>0.17497809377413159</v>
      </c>
      <c r="E58" s="36">
        <f>E27/((E44+G44)/2)</f>
        <v>0.18334498881439959</v>
      </c>
      <c r="F58" s="36"/>
      <c r="G58" s="36">
        <f>G27/((G44+I44)/2)</f>
        <v>0.44901810316611634</v>
      </c>
      <c r="H58" s="36"/>
      <c r="I58" s="36">
        <f t="shared" ref="I58:K58" si="4">I27/((I44+K44)/2)</f>
        <v>1.9576492959862582E-3</v>
      </c>
      <c r="J58" s="36"/>
      <c r="K58" s="36">
        <f t="shared" si="4"/>
        <v>6.5591633820024156E-2</v>
      </c>
    </row>
    <row r="59" spans="1:15">
      <c r="A59" t="s">
        <v>50</v>
      </c>
      <c r="D59" s="36">
        <f t="shared" ref="D59" si="5">SUM(E59:K59)/4</f>
        <v>0.26963773597160878</v>
      </c>
      <c r="E59" s="36">
        <f>((E24+E22)*(1-0.24))/((E46+G46)/2)</f>
        <v>0.31927126265714756</v>
      </c>
      <c r="F59" s="36"/>
      <c r="G59" s="36">
        <f>((G24+G22)*(1-0.25))/((G46+I46)/2)</f>
        <v>0.60022350341900765</v>
      </c>
      <c r="H59" s="36"/>
      <c r="I59" s="36">
        <f>((I24+I22)*(1-0.26))/((I46+K46)/2)</f>
        <v>4.3696725583032239E-2</v>
      </c>
      <c r="J59" s="36"/>
      <c r="K59" s="36">
        <f>((K24+K22)*(1-0.27))/((K46+M46)/2)</f>
        <v>0.11535945222724768</v>
      </c>
    </row>
    <row r="61" spans="1:15">
      <c r="D61" t="s">
        <v>51</v>
      </c>
    </row>
    <row r="62" spans="1:15">
      <c r="A62" t="s">
        <v>61</v>
      </c>
      <c r="C62" t="s">
        <v>55</v>
      </c>
      <c r="D62" s="44">
        <f>SUM(E62:M62)/5</f>
        <v>3.4538336341201362E-2</v>
      </c>
      <c r="E62">
        <f>E22/E52</f>
        <v>1.4926236165174219E-2</v>
      </c>
      <c r="G62">
        <f>G22/G52</f>
        <v>4.3585848927588683E-2</v>
      </c>
      <c r="I62">
        <f>I22/I52</f>
        <v>3.5518827211902665E-2</v>
      </c>
      <c r="K62">
        <f>K22/K52</f>
        <v>3.77554779659839E-2</v>
      </c>
      <c r="M62">
        <f>M22/M52</f>
        <v>4.0905291435357323E-2</v>
      </c>
    </row>
    <row r="63" spans="1:15">
      <c r="D63" t="s">
        <v>51</v>
      </c>
    </row>
    <row r="64" spans="1:15">
      <c r="A64" t="s">
        <v>60</v>
      </c>
      <c r="C64" t="s">
        <v>58</v>
      </c>
      <c r="D64" s="45">
        <f>AVERAGE(E64,G64,K64,M64)</f>
        <v>0.20379184432213718</v>
      </c>
      <c r="E64">
        <f>E26/E24</f>
        <v>0.24744608826008382</v>
      </c>
      <c r="G64" s="42">
        <f>G26/G24</f>
        <v>0.21687416230789142</v>
      </c>
      <c r="I64">
        <v>0</v>
      </c>
      <c r="K64" s="43">
        <f>K26/K24</f>
        <v>0.14174725903090271</v>
      </c>
      <c r="M64">
        <f>M26/M24</f>
        <v>0.20909986768967082</v>
      </c>
    </row>
    <row r="65" spans="1:11">
      <c r="D65" s="45"/>
      <c r="G65" s="42"/>
      <c r="I65" t="s">
        <v>59</v>
      </c>
      <c r="K65" s="43"/>
    </row>
    <row r="66" spans="1:11">
      <c r="D66" s="45"/>
      <c r="G66" s="42"/>
      <c r="K66" s="43"/>
    </row>
    <row r="68" spans="1:11">
      <c r="A68" t="s">
        <v>62</v>
      </c>
      <c r="D68" s="45">
        <f>D62*(1-D64)</f>
        <v>2.7499705078409643E-2</v>
      </c>
    </row>
    <row r="70" spans="1:11">
      <c r="A70" t="s">
        <v>63</v>
      </c>
    </row>
    <row r="71" spans="1:11">
      <c r="A71" t="s">
        <v>66</v>
      </c>
      <c r="B71" s="42">
        <f>(3.3*E18/E40)+(1.2*(E34-E50)/E40)+(E4/E40)+(0.6*D74/E52)+(1.4*E75/E40)</f>
        <v>4.2644690914996302</v>
      </c>
      <c r="C71" t="s">
        <v>67</v>
      </c>
    </row>
    <row r="74" spans="1:11">
      <c r="A74" t="s">
        <v>64</v>
      </c>
      <c r="D74">
        <f>12439146.8</f>
        <v>12439146.800000001</v>
      </c>
    </row>
    <row r="75" spans="1:11">
      <c r="A75" t="s">
        <v>65</v>
      </c>
      <c r="E75">
        <v>2774824</v>
      </c>
    </row>
  </sheetData>
  <mergeCells count="28">
    <mergeCell ref="A2:C2"/>
    <mergeCell ref="A4:D4"/>
    <mergeCell ref="A5:D5"/>
    <mergeCell ref="A54:D54"/>
    <mergeCell ref="A40:D40"/>
    <mergeCell ref="A43:C43"/>
    <mergeCell ref="A31:C31"/>
    <mergeCell ref="A44:D44"/>
    <mergeCell ref="A36:D36"/>
    <mergeCell ref="A38:D38"/>
    <mergeCell ref="A39:D39"/>
    <mergeCell ref="A41:D41"/>
    <mergeCell ref="A28:D28"/>
    <mergeCell ref="A37:D37"/>
    <mergeCell ref="A50:D50"/>
    <mergeCell ref="A46:D46"/>
    <mergeCell ref="A48:D48"/>
    <mergeCell ref="A45:D45"/>
    <mergeCell ref="A47:D47"/>
    <mergeCell ref="A49:D49"/>
    <mergeCell ref="A53:D53"/>
    <mergeCell ref="A52:D52"/>
    <mergeCell ref="A51:D51"/>
    <mergeCell ref="A33:D33"/>
    <mergeCell ref="A35:D35"/>
    <mergeCell ref="A30:C30"/>
    <mergeCell ref="A32:D32"/>
    <mergeCell ref="A34:D3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A82F-4B32-6143-9483-42EE5283EF81}">
  <dimension ref="A1:J15"/>
  <sheetViews>
    <sheetView workbookViewId="0">
      <selection activeCell="M12" sqref="M12"/>
    </sheetView>
  </sheetViews>
  <sheetFormatPr baseColWidth="10" defaultRowHeight="15"/>
  <cols>
    <col min="1" max="1" width="23.28515625" customWidth="1"/>
    <col min="2" max="2" width="11.140625" bestFit="1" customWidth="1"/>
  </cols>
  <sheetData>
    <row r="1" spans="1:10" ht="23.25">
      <c r="A1" s="11" t="s">
        <v>34</v>
      </c>
    </row>
    <row r="4" spans="1:10">
      <c r="A4" s="15" t="s">
        <v>35</v>
      </c>
      <c r="B4" s="16">
        <v>44482703</v>
      </c>
    </row>
    <row r="5" spans="1:10">
      <c r="A5" s="18"/>
      <c r="B5" s="19"/>
      <c r="C5" s="15"/>
      <c r="D5" s="22"/>
      <c r="E5" s="16"/>
      <c r="F5" s="12"/>
    </row>
    <row r="6" spans="1:10">
      <c r="A6" s="18" t="s">
        <v>36</v>
      </c>
      <c r="B6" s="19">
        <v>576860</v>
      </c>
      <c r="C6" s="18" t="s">
        <v>38</v>
      </c>
      <c r="E6" s="19"/>
      <c r="F6" s="24">
        <f>(B4+B6+B8)/B12</f>
        <v>4.0575601510261558E-2</v>
      </c>
    </row>
    <row r="7" spans="1:10">
      <c r="A7" s="18"/>
      <c r="B7" s="19"/>
      <c r="C7" s="17"/>
      <c r="D7" s="23"/>
      <c r="E7" s="20"/>
      <c r="F7" s="14"/>
      <c r="G7" s="22"/>
      <c r="H7" s="22"/>
      <c r="I7" s="22"/>
      <c r="J7" s="16"/>
    </row>
    <row r="8" spans="1:10">
      <c r="A8" s="17" t="s">
        <v>37</v>
      </c>
      <c r="B8" s="20">
        <v>5471</v>
      </c>
      <c r="G8" s="18"/>
      <c r="J8" s="19"/>
    </row>
    <row r="9" spans="1:10">
      <c r="G9" s="18" t="s">
        <v>42</v>
      </c>
      <c r="I9">
        <f>F6*F13</f>
        <v>0.19213631200884088</v>
      </c>
      <c r="J9" s="19"/>
    </row>
    <row r="10" spans="1:10">
      <c r="G10" s="18"/>
      <c r="J10" s="19"/>
    </row>
    <row r="11" spans="1:10">
      <c r="A11" s="15"/>
      <c r="B11" s="16"/>
      <c r="G11" s="18"/>
      <c r="J11" s="19"/>
    </row>
    <row r="12" spans="1:10">
      <c r="A12" s="18" t="s">
        <v>39</v>
      </c>
      <c r="B12" s="19">
        <v>1110643646</v>
      </c>
      <c r="C12" s="15"/>
      <c r="D12" s="22"/>
      <c r="E12" s="16"/>
      <c r="F12" s="12"/>
      <c r="G12" s="21"/>
      <c r="H12" s="21"/>
      <c r="I12" s="21"/>
      <c r="J12" s="20"/>
    </row>
    <row r="13" spans="1:10">
      <c r="A13" s="18"/>
      <c r="B13" s="19"/>
      <c r="C13" s="18" t="s">
        <v>41</v>
      </c>
      <c r="E13" s="19"/>
      <c r="F13" s="13">
        <f>B12/B15</f>
        <v>4.7352671274694389</v>
      </c>
    </row>
    <row r="14" spans="1:10">
      <c r="A14" s="18"/>
      <c r="B14" s="19"/>
      <c r="C14" s="17"/>
      <c r="D14" s="21"/>
      <c r="E14" s="20"/>
      <c r="F14" s="14"/>
    </row>
    <row r="15" spans="1:10">
      <c r="A15" s="17" t="s">
        <v>40</v>
      </c>
      <c r="B15" s="20">
        <f>(249227787+219866613)/2</f>
        <v>234547200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Hor. Og Ver. Anlayse </vt:lpstr>
      <vt:lpstr>DuPont </vt:lpstr>
    </vt:vector>
  </TitlesOfParts>
  <Company>UiT Norges arktiske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Thyholdt Sverre Braathen</dc:creator>
  <cp:lastModifiedBy>Martin</cp:lastModifiedBy>
  <dcterms:created xsi:type="dcterms:W3CDTF">2017-10-26T13:37:12Z</dcterms:created>
  <dcterms:modified xsi:type="dcterms:W3CDTF">2019-02-15T14:05:37Z</dcterms:modified>
</cp:coreProperties>
</file>