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0" windowWidth="28800" windowHeight="11910" firstSheet="7" activeTab="14"/>
  </bookViews>
  <sheets>
    <sheet name="经济总表" sheetId="1" r:id="rId1"/>
    <sheet name="怪物掉落" sheetId="2" r:id="rId2"/>
    <sheet name="活动大厅" sheetId="16" r:id="rId3"/>
    <sheet name="每日领取金币" sheetId="13" r:id="rId4"/>
    <sheet name="装备制作" sheetId="10" r:id="rId5"/>
    <sheet name="偶遇事件" sheetId="11" r:id="rId6"/>
    <sheet name="国家升级金币" sheetId="12" r:id="rId7"/>
    <sheet name="任务金币" sheetId="8" r:id="rId8"/>
    <sheet name="建筑产出" sheetId="4" state="hidden" r:id="rId9"/>
    <sheet name="建筑等级和人物等级匹配关系" sheetId="6" r:id="rId10"/>
    <sheet name="建筑升级" sheetId="5" state="hidden" r:id="rId11"/>
    <sheet name="农民产出" sheetId="7" state="hidden" r:id="rId12"/>
    <sheet name="详细任务" sheetId="3" r:id="rId13"/>
    <sheet name="道具掉落" sheetId="14" r:id="rId14"/>
    <sheet name="十连抽" sheetId="15" r:id="rId15"/>
    <sheet name="村民的信" sheetId="17" r:id="rId16"/>
    <sheet name="福利相关" sheetId="18" r:id="rId17"/>
  </sheets>
  <externalReferences>
    <externalReference r:id="rId18"/>
    <externalReference r:id="rId19"/>
    <externalReference r:id="rId20"/>
    <externalReference r:id="rId21"/>
  </externalReferences>
  <calcPr calcId="125725"/>
</workbook>
</file>

<file path=xl/calcChain.xml><?xml version="1.0" encoding="utf-8"?>
<calcChain xmlns="http://schemas.openxmlformats.org/spreadsheetml/2006/main">
  <c r="N38" i="18"/>
  <c r="N39"/>
  <c r="N40"/>
  <c r="N41"/>
  <c r="N42"/>
  <c r="N43"/>
  <c r="N44"/>
  <c r="N45"/>
  <c r="N46"/>
  <c r="N47"/>
  <c r="N48"/>
  <c r="N49"/>
  <c r="N37"/>
  <c r="I37"/>
  <c r="Z22"/>
  <c r="Z34"/>
  <c r="Z33"/>
  <c r="Z32"/>
  <c r="Z31"/>
  <c r="Z30"/>
  <c r="Z29"/>
  <c r="Z28"/>
  <c r="Z27"/>
  <c r="Z26"/>
  <c r="Z25"/>
  <c r="Z24"/>
  <c r="Z23"/>
  <c r="X34"/>
  <c r="X33"/>
  <c r="X32"/>
  <c r="X31"/>
  <c r="X30"/>
  <c r="X29"/>
  <c r="X28"/>
  <c r="X27"/>
  <c r="X26"/>
  <c r="X25"/>
  <c r="X24"/>
  <c r="X23"/>
  <c r="X22"/>
  <c r="V34"/>
  <c r="V33"/>
  <c r="V32"/>
  <c r="V31"/>
  <c r="V30"/>
  <c r="V29"/>
  <c r="V28"/>
  <c r="V27"/>
  <c r="V26"/>
  <c r="V25"/>
  <c r="V24"/>
  <c r="V23"/>
  <c r="V22"/>
  <c r="T34"/>
  <c r="T33"/>
  <c r="T32"/>
  <c r="T31"/>
  <c r="T30"/>
  <c r="T29"/>
  <c r="T28"/>
  <c r="T27"/>
  <c r="T26"/>
  <c r="T25"/>
  <c r="T24"/>
  <c r="T23"/>
  <c r="T22"/>
  <c r="K22"/>
  <c r="K23"/>
  <c r="K24"/>
  <c r="K25"/>
  <c r="K26"/>
  <c r="K27"/>
  <c r="K28"/>
  <c r="K29"/>
  <c r="K30"/>
  <c r="K31"/>
  <c r="K32"/>
  <c r="K33"/>
  <c r="K34"/>
  <c r="C2" i="13"/>
  <c r="E2" i="2"/>
  <c r="S23" i="18" l="1"/>
  <c r="S24"/>
  <c r="S25"/>
  <c r="S26"/>
  <c r="S27"/>
  <c r="S28"/>
  <c r="S29"/>
  <c r="S30"/>
  <c r="S31"/>
  <c r="S32"/>
  <c r="S33"/>
  <c r="S34"/>
  <c r="S22"/>
  <c r="AF24"/>
  <c r="AG24"/>
  <c r="AF25"/>
  <c r="AG25"/>
  <c r="AF26"/>
  <c r="AG26"/>
  <c r="AF27"/>
  <c r="AG27"/>
  <c r="AF28"/>
  <c r="AG28"/>
  <c r="AF29"/>
  <c r="AG29"/>
  <c r="AF30"/>
  <c r="AG30"/>
  <c r="AF31"/>
  <c r="AG31"/>
  <c r="AF32"/>
  <c r="AG32"/>
  <c r="AF33"/>
  <c r="AG33"/>
  <c r="AF34"/>
  <c r="AG34"/>
  <c r="W23"/>
  <c r="Y23"/>
  <c r="AA23"/>
  <c r="AI23" s="1"/>
  <c r="AC23"/>
  <c r="AE23"/>
  <c r="W24"/>
  <c r="Y24"/>
  <c r="AI24"/>
  <c r="AA24"/>
  <c r="AC24"/>
  <c r="AE24"/>
  <c r="W25"/>
  <c r="Y25"/>
  <c r="AI25"/>
  <c r="AA25"/>
  <c r="AC25"/>
  <c r="AE25"/>
  <c r="W26"/>
  <c r="Y26"/>
  <c r="AA26"/>
  <c r="AC26"/>
  <c r="AE26"/>
  <c r="W27"/>
  <c r="Y27"/>
  <c r="AI27"/>
  <c r="AA27"/>
  <c r="AC27"/>
  <c r="AE27"/>
  <c r="W28"/>
  <c r="Y28"/>
  <c r="AI28"/>
  <c r="AA28"/>
  <c r="AC28"/>
  <c r="AE28"/>
  <c r="W29"/>
  <c r="Y29"/>
  <c r="AA29"/>
  <c r="AC29"/>
  <c r="AE29"/>
  <c r="W30"/>
  <c r="Y30"/>
  <c r="AA30"/>
  <c r="AC30"/>
  <c r="AE30"/>
  <c r="W31"/>
  <c r="Y31"/>
  <c r="AI31"/>
  <c r="AA31"/>
  <c r="AC31"/>
  <c r="AE31"/>
  <c r="W32"/>
  <c r="Y32"/>
  <c r="AA32"/>
  <c r="AC32"/>
  <c r="AE32"/>
  <c r="W33"/>
  <c r="Y33"/>
  <c r="AA33"/>
  <c r="AC33"/>
  <c r="AE33"/>
  <c r="W34"/>
  <c r="Y34"/>
  <c r="AA34"/>
  <c r="AC34"/>
  <c r="AE34"/>
  <c r="AG23"/>
  <c r="AF23"/>
  <c r="AE22"/>
  <c r="AC22"/>
  <c r="AA22"/>
  <c r="Y22"/>
  <c r="W22"/>
  <c r="U23"/>
  <c r="U24"/>
  <c r="U25"/>
  <c r="U26"/>
  <c r="U27"/>
  <c r="U28"/>
  <c r="U29"/>
  <c r="U30"/>
  <c r="U31"/>
  <c r="U32"/>
  <c r="U33"/>
  <c r="U34"/>
  <c r="U22"/>
  <c r="S14"/>
  <c r="S12"/>
  <c r="T12"/>
  <c r="S13"/>
  <c r="T13"/>
  <c r="T14"/>
  <c r="S15"/>
  <c r="T15"/>
  <c r="S16"/>
  <c r="T16"/>
  <c r="S17"/>
  <c r="T17"/>
  <c r="Q12"/>
  <c r="R12"/>
  <c r="Q13"/>
  <c r="R13"/>
  <c r="Q14"/>
  <c r="R14"/>
  <c r="Q15"/>
  <c r="R15"/>
  <c r="Q16"/>
  <c r="R16"/>
  <c r="Q17"/>
  <c r="R17"/>
  <c r="R11"/>
  <c r="Q11"/>
  <c r="O12"/>
  <c r="P12"/>
  <c r="O13"/>
  <c r="P13"/>
  <c r="O14"/>
  <c r="P14"/>
  <c r="O15"/>
  <c r="P15"/>
  <c r="O16"/>
  <c r="P16"/>
  <c r="O17"/>
  <c r="P17"/>
  <c r="P11"/>
  <c r="O11"/>
  <c r="M14"/>
  <c r="N14"/>
  <c r="M15"/>
  <c r="N15"/>
  <c r="M16"/>
  <c r="N16"/>
  <c r="M17"/>
  <c r="N17"/>
  <c r="N12"/>
  <c r="N13"/>
  <c r="N11"/>
  <c r="M12"/>
  <c r="M13"/>
  <c r="M11"/>
  <c r="I5"/>
  <c r="I6"/>
  <c r="I4"/>
  <c r="H5"/>
  <c r="H6"/>
  <c r="H4"/>
  <c r="A23"/>
  <c r="A24"/>
  <c r="A25"/>
  <c r="A26"/>
  <c r="A27"/>
  <c r="A28"/>
  <c r="A29"/>
  <c r="A30"/>
  <c r="A31"/>
  <c r="A32"/>
  <c r="A33"/>
  <c r="A34"/>
  <c r="A22"/>
  <c r="B24"/>
  <c r="B25"/>
  <c r="B26"/>
  <c r="B27"/>
  <c r="B28"/>
  <c r="B29"/>
  <c r="B30"/>
  <c r="B31"/>
  <c r="B32"/>
  <c r="B33"/>
  <c r="B34"/>
  <c r="B23"/>
  <c r="B22"/>
  <c r="AI32" l="1"/>
  <c r="AI22"/>
  <c r="AI33"/>
  <c r="AI29"/>
  <c r="AI34"/>
  <c r="AI30"/>
  <c r="AI26"/>
  <c r="V16"/>
  <c r="V13"/>
  <c r="V14"/>
  <c r="V12"/>
  <c r="V17"/>
  <c r="V15"/>
  <c r="V11"/>
  <c r="J4"/>
  <c r="J6"/>
  <c r="J5"/>
  <c r="L4" l="1"/>
  <c r="S161" i="17" l="1"/>
  <c r="R161" s="1"/>
  <c r="S160"/>
  <c r="R160" s="1"/>
  <c r="S159"/>
  <c r="R159" s="1"/>
  <c r="S158"/>
  <c r="R158" s="1"/>
  <c r="S157"/>
  <c r="R157" s="1"/>
  <c r="S156"/>
  <c r="R156" s="1"/>
  <c r="S155"/>
  <c r="R155" s="1"/>
  <c r="S123"/>
  <c r="R123" s="1"/>
  <c r="S122"/>
  <c r="R122" s="1"/>
  <c r="S121"/>
  <c r="R121" s="1"/>
  <c r="S120"/>
  <c r="R120" s="1"/>
  <c r="S119"/>
  <c r="R119" s="1"/>
  <c r="S118"/>
  <c r="R118" s="1"/>
  <c r="S117"/>
  <c r="R117" s="1"/>
  <c r="S79"/>
  <c r="R79" s="1"/>
  <c r="S78"/>
  <c r="R78" s="1"/>
  <c r="S77"/>
  <c r="R77" s="1"/>
  <c r="S76"/>
  <c r="R76" s="1"/>
  <c r="S75"/>
  <c r="R75" s="1"/>
  <c r="S40"/>
  <c r="R40" s="1"/>
  <c r="S39"/>
  <c r="R39" s="1"/>
  <c r="S38"/>
  <c r="R38" s="1"/>
  <c r="S37"/>
  <c r="R37" s="1"/>
  <c r="S36"/>
  <c r="R36" s="1"/>
  <c r="S35"/>
  <c r="R35" s="1"/>
  <c r="S34"/>
  <c r="R34" s="1"/>
  <c r="I38"/>
  <c r="H38" s="1"/>
  <c r="I37"/>
  <c r="H37" s="1"/>
  <c r="I36"/>
  <c r="H36" s="1"/>
  <c r="I35"/>
  <c r="H35" s="1"/>
  <c r="I34"/>
  <c r="H34" s="1"/>
  <c r="I33"/>
  <c r="H33" s="1"/>
  <c r="I32"/>
  <c r="H32" s="1"/>
  <c r="I31"/>
  <c r="H31" s="1"/>
  <c r="I30"/>
  <c r="H30" s="1"/>
  <c r="I29"/>
  <c r="H29" s="1"/>
  <c r="I28"/>
  <c r="H28" s="1"/>
  <c r="R147"/>
  <c r="R146"/>
  <c r="S144"/>
  <c r="R144" s="1"/>
  <c r="S145"/>
  <c r="R145" s="1"/>
  <c r="S148"/>
  <c r="R148" s="1"/>
  <c r="S149"/>
  <c r="R149" s="1"/>
  <c r="S150"/>
  <c r="R150" s="1"/>
  <c r="S151"/>
  <c r="R151" s="1"/>
  <c r="S152"/>
  <c r="R152" s="1"/>
  <c r="S153"/>
  <c r="R153" s="1"/>
  <c r="S154"/>
  <c r="R154" s="1"/>
  <c r="S143"/>
  <c r="R143" s="1"/>
  <c r="R142"/>
  <c r="S141"/>
  <c r="R141" s="1"/>
  <c r="S140"/>
  <c r="R140" s="1"/>
  <c r="S139"/>
  <c r="R139" s="1"/>
  <c r="S138"/>
  <c r="R138" s="1"/>
  <c r="S137"/>
  <c r="R137" s="1"/>
  <c r="S136"/>
  <c r="R136" s="1"/>
  <c r="S135"/>
  <c r="R135" s="1"/>
  <c r="S134"/>
  <c r="R134" s="1"/>
  <c r="S133"/>
  <c r="R133" s="1"/>
  <c r="S132"/>
  <c r="R132" s="1"/>
  <c r="S131"/>
  <c r="R131" s="1"/>
  <c r="R103"/>
  <c r="S88"/>
  <c r="R88" s="1"/>
  <c r="S89"/>
  <c r="R89" s="1"/>
  <c r="S90"/>
  <c r="R90" s="1"/>
  <c r="S91"/>
  <c r="R91" s="1"/>
  <c r="S92"/>
  <c r="R92" s="1"/>
  <c r="S93"/>
  <c r="R93" s="1"/>
  <c r="S94"/>
  <c r="R94" s="1"/>
  <c r="S95"/>
  <c r="R95" s="1"/>
  <c r="S96"/>
  <c r="R96" s="1"/>
  <c r="S97"/>
  <c r="R97" s="1"/>
  <c r="S98"/>
  <c r="R98" s="1"/>
  <c r="S99"/>
  <c r="R99" s="1"/>
  <c r="S100"/>
  <c r="R100" s="1"/>
  <c r="S101"/>
  <c r="R101" s="1"/>
  <c r="S102"/>
  <c r="R102" s="1"/>
  <c r="S104"/>
  <c r="R104" s="1"/>
  <c r="S105"/>
  <c r="R105" s="1"/>
  <c r="S106"/>
  <c r="R106" s="1"/>
  <c r="S107"/>
  <c r="R107" s="1"/>
  <c r="S108"/>
  <c r="R108" s="1"/>
  <c r="S109"/>
  <c r="R109" s="1"/>
  <c r="S110"/>
  <c r="R110" s="1"/>
  <c r="S111"/>
  <c r="R111" s="1"/>
  <c r="S112"/>
  <c r="R112" s="1"/>
  <c r="S113"/>
  <c r="R113" s="1"/>
  <c r="S114"/>
  <c r="R114" s="1"/>
  <c r="S115"/>
  <c r="R115" s="1"/>
  <c r="S116"/>
  <c r="R116" s="1"/>
  <c r="S87"/>
  <c r="R87" s="1"/>
  <c r="S63"/>
  <c r="R63" s="1"/>
  <c r="S61"/>
  <c r="R61" s="1"/>
  <c r="S64"/>
  <c r="R64" s="1"/>
  <c r="S65"/>
  <c r="R65" s="1"/>
  <c r="S66"/>
  <c r="R66" s="1"/>
  <c r="S67"/>
  <c r="R67" s="1"/>
  <c r="S68"/>
  <c r="R68" s="1"/>
  <c r="S69"/>
  <c r="R69" s="1"/>
  <c r="S70"/>
  <c r="R70" s="1"/>
  <c r="S71"/>
  <c r="R71" s="1"/>
  <c r="S72"/>
  <c r="R72" s="1"/>
  <c r="S73"/>
  <c r="R73" s="1"/>
  <c r="S74"/>
  <c r="R74" s="1"/>
  <c r="S24"/>
  <c r="R24" s="1"/>
  <c r="R62"/>
  <c r="S60"/>
  <c r="R60" s="1"/>
  <c r="S59"/>
  <c r="R59" s="1"/>
  <c r="S58"/>
  <c r="R58" s="1"/>
  <c r="S57"/>
  <c r="R57" s="1"/>
  <c r="S56"/>
  <c r="R56" s="1"/>
  <c r="S55"/>
  <c r="R55" s="1"/>
  <c r="S54"/>
  <c r="R54" s="1"/>
  <c r="S53"/>
  <c r="R53" s="1"/>
  <c r="S52"/>
  <c r="R52" s="1"/>
  <c r="S51"/>
  <c r="R51" s="1"/>
  <c r="S50"/>
  <c r="R50" s="1"/>
  <c r="S49"/>
  <c r="R49" s="1"/>
  <c r="S48"/>
  <c r="R48" s="1"/>
  <c r="S47"/>
  <c r="R47" s="1"/>
  <c r="S46"/>
  <c r="R46" s="1"/>
  <c r="S27"/>
  <c r="R27" s="1"/>
  <c r="S28"/>
  <c r="R28" s="1"/>
  <c r="S29"/>
  <c r="R29" s="1"/>
  <c r="S30"/>
  <c r="R30" s="1"/>
  <c r="S31"/>
  <c r="R31" s="1"/>
  <c r="S25"/>
  <c r="R25" s="1"/>
  <c r="S26"/>
  <c r="R26" s="1"/>
  <c r="S32"/>
  <c r="R32" s="1"/>
  <c r="S33"/>
  <c r="R33" s="1"/>
  <c r="R20"/>
  <c r="H10"/>
  <c r="S23"/>
  <c r="R23" s="1"/>
  <c r="S22"/>
  <c r="R22" s="1"/>
  <c r="S21"/>
  <c r="R21" s="1"/>
  <c r="S19"/>
  <c r="R19" s="1"/>
  <c r="S18"/>
  <c r="R18" s="1"/>
  <c r="S17"/>
  <c r="R17" s="1"/>
  <c r="S16"/>
  <c r="R16" s="1"/>
  <c r="S15"/>
  <c r="R15" s="1"/>
  <c r="S14"/>
  <c r="R14" s="1"/>
  <c r="S13"/>
  <c r="R13" s="1"/>
  <c r="S12"/>
  <c r="R12" s="1"/>
  <c r="S11"/>
  <c r="R11" s="1"/>
  <c r="S10"/>
  <c r="R10" s="1"/>
  <c r="S9"/>
  <c r="R9" s="1"/>
  <c r="S8"/>
  <c r="R8" s="1"/>
  <c r="S7"/>
  <c r="R7" s="1"/>
  <c r="S6"/>
  <c r="R6" s="1"/>
  <c r="S5"/>
  <c r="R5" s="1"/>
  <c r="S4"/>
  <c r="R4" s="1"/>
  <c r="S3"/>
  <c r="R3" s="1"/>
  <c r="I4"/>
  <c r="H4" s="1"/>
  <c r="I5"/>
  <c r="H5" s="1"/>
  <c r="I6"/>
  <c r="H6" s="1"/>
  <c r="I7"/>
  <c r="H7" s="1"/>
  <c r="I8"/>
  <c r="H8" s="1"/>
  <c r="I9"/>
  <c r="H9" s="1"/>
  <c r="I11"/>
  <c r="H11" s="1"/>
  <c r="I12"/>
  <c r="H12" s="1"/>
  <c r="I13"/>
  <c r="H13" s="1"/>
  <c r="I14"/>
  <c r="H14" s="1"/>
  <c r="I15"/>
  <c r="H15" s="1"/>
  <c r="I16"/>
  <c r="H16" s="1"/>
  <c r="I17"/>
  <c r="H17" s="1"/>
  <c r="I18"/>
  <c r="H18" s="1"/>
  <c r="I19"/>
  <c r="H19" s="1"/>
  <c r="I20"/>
  <c r="H20" s="1"/>
  <c r="I21"/>
  <c r="H21" s="1"/>
  <c r="I22"/>
  <c r="H22" s="1"/>
  <c r="I23"/>
  <c r="H23" s="1"/>
  <c r="I24"/>
  <c r="H24" s="1"/>
  <c r="I25"/>
  <c r="H25" s="1"/>
  <c r="I26"/>
  <c r="H26" s="1"/>
  <c r="I27"/>
  <c r="H27" s="1"/>
  <c r="I3"/>
  <c r="H3" s="1"/>
  <c r="M3" i="15" l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"/>
  <c r="P2" s="1"/>
  <c r="Y76" l="1"/>
  <c r="Y67"/>
  <c r="Y71"/>
  <c r="Y64"/>
  <c r="X76"/>
  <c r="X75"/>
  <c r="Y75" s="1"/>
  <c r="X65"/>
  <c r="Y65" s="1"/>
  <c r="X66"/>
  <c r="Y66" s="1"/>
  <c r="X67"/>
  <c r="X68"/>
  <c r="Y68" s="1"/>
  <c r="X69"/>
  <c r="Y69" s="1"/>
  <c r="X70"/>
  <c r="Y70" s="1"/>
  <c r="X71"/>
  <c r="X72"/>
  <c r="Y72" s="1"/>
  <c r="X73"/>
  <c r="Y73" s="1"/>
  <c r="X74"/>
  <c r="Y74" s="1"/>
  <c r="X64"/>
  <c r="W30" i="2" l="1"/>
  <c r="X30" s="1"/>
  <c r="W31"/>
  <c r="X31" s="1"/>
  <c r="W32"/>
  <c r="X32" s="1"/>
  <c r="W33"/>
  <c r="X33" s="1"/>
  <c r="W34"/>
  <c r="X34" s="1"/>
  <c r="W35"/>
  <c r="X35" s="1"/>
  <c r="W29"/>
  <c r="X29" s="1"/>
  <c r="P32" i="10" l="1"/>
  <c r="U32"/>
  <c r="S32"/>
  <c r="Q32"/>
  <c r="O32"/>
  <c r="N32"/>
  <c r="U31"/>
  <c r="S31"/>
  <c r="Q31"/>
  <c r="O31"/>
  <c r="U30"/>
  <c r="S30"/>
  <c r="Q30"/>
  <c r="O30"/>
  <c r="N30"/>
  <c r="U29"/>
  <c r="S29"/>
  <c r="Q29"/>
  <c r="O29"/>
  <c r="U65"/>
  <c r="U64"/>
  <c r="U63"/>
  <c r="U62"/>
  <c r="U61"/>
  <c r="S65"/>
  <c r="Q65"/>
  <c r="O65"/>
  <c r="S64"/>
  <c r="Q64"/>
  <c r="O64"/>
  <c r="S63"/>
  <c r="Q63"/>
  <c r="O63"/>
  <c r="S62"/>
  <c r="Q62"/>
  <c r="O62"/>
  <c r="S61"/>
  <c r="Q61"/>
  <c r="O61"/>
  <c r="U47"/>
  <c r="S47"/>
  <c r="Q47"/>
  <c r="O47"/>
  <c r="U46"/>
  <c r="S46"/>
  <c r="Q46"/>
  <c r="O46"/>
  <c r="U45"/>
  <c r="S45"/>
  <c r="R45"/>
  <c r="Q45"/>
  <c r="O45"/>
  <c r="U44"/>
  <c r="S44"/>
  <c r="Q44"/>
  <c r="O44"/>
  <c r="P4" i="8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3"/>
  <c r="P62" i="10" l="1"/>
  <c r="R64"/>
  <c r="R30"/>
  <c r="R32"/>
  <c r="N45"/>
  <c r="M65"/>
  <c r="R29"/>
  <c r="R31"/>
  <c r="R44"/>
  <c r="N29"/>
  <c r="N31"/>
  <c r="M29"/>
  <c r="M30"/>
  <c r="M31"/>
  <c r="M32"/>
  <c r="N44"/>
  <c r="N46"/>
  <c r="M63"/>
  <c r="N64"/>
  <c r="P29"/>
  <c r="P30"/>
  <c r="P31"/>
  <c r="R46"/>
  <c r="N47"/>
  <c r="R47"/>
  <c r="N61"/>
  <c r="R61"/>
  <c r="P63"/>
  <c r="M64"/>
  <c r="N65"/>
  <c r="R65"/>
  <c r="P44"/>
  <c r="P45"/>
  <c r="P46"/>
  <c r="P47"/>
  <c r="P61"/>
  <c r="M62"/>
  <c r="N63"/>
  <c r="R63"/>
  <c r="P65"/>
  <c r="M44"/>
  <c r="M45"/>
  <c r="M46"/>
  <c r="M47"/>
  <c r="M61"/>
  <c r="N62"/>
  <c r="R62"/>
  <c r="P64"/>
  <c r="N77"/>
  <c r="AG26" i="14"/>
  <c r="AJ26" s="1"/>
  <c r="AG25"/>
  <c r="AJ25" s="1"/>
  <c r="AG24"/>
  <c r="AJ24" s="1"/>
  <c r="AG23"/>
  <c r="AJ23" s="1"/>
  <c r="AG22"/>
  <c r="AJ22" s="1"/>
  <c r="AG21"/>
  <c r="AJ21" s="1"/>
  <c r="AG20"/>
  <c r="AJ20" s="1"/>
  <c r="AG19"/>
  <c r="AJ19" s="1"/>
  <c r="AG18"/>
  <c r="AJ18" s="1"/>
  <c r="AG17"/>
  <c r="AJ17" s="1"/>
  <c r="AG16"/>
  <c r="AJ16" s="1"/>
  <c r="AG15"/>
  <c r="AJ15" s="1"/>
  <c r="AG14"/>
  <c r="AJ14" s="1"/>
  <c r="AG13"/>
  <c r="AJ13" s="1"/>
  <c r="AG12"/>
  <c r="AJ12" s="1"/>
  <c r="AG11"/>
  <c r="AJ11" s="1"/>
  <c r="AG10"/>
  <c r="AJ10" s="1"/>
  <c r="AG9"/>
  <c r="AJ9" s="1"/>
  <c r="AG8"/>
  <c r="AJ8" s="1"/>
  <c r="AG7"/>
  <c r="AJ7" s="1"/>
  <c r="Z18"/>
  <c r="AC18" s="1"/>
  <c r="Z19"/>
  <c r="AC19" s="1"/>
  <c r="Z20"/>
  <c r="AC20" s="1"/>
  <c r="Z21"/>
  <c r="AC21" s="1"/>
  <c r="Z22"/>
  <c r="AC22" s="1"/>
  <c r="Z23"/>
  <c r="AC23" s="1"/>
  <c r="Z24"/>
  <c r="AC24" s="1"/>
  <c r="Z25"/>
  <c r="AC25" s="1"/>
  <c r="Z26"/>
  <c r="AC26" s="1"/>
  <c r="Z17"/>
  <c r="AC17" s="1"/>
  <c r="Z8"/>
  <c r="AC8" s="1"/>
  <c r="Z9"/>
  <c r="AC9" s="1"/>
  <c r="Z10"/>
  <c r="AC10" s="1"/>
  <c r="Z11"/>
  <c r="AC11" s="1"/>
  <c r="Z12"/>
  <c r="AC12" s="1"/>
  <c r="Z13"/>
  <c r="AC13" s="1"/>
  <c r="Z14"/>
  <c r="AC14" s="1"/>
  <c r="Z15"/>
  <c r="AC15" s="1"/>
  <c r="Z16"/>
  <c r="AC16" s="1"/>
  <c r="Z7"/>
  <c r="AC7" s="1"/>
  <c r="AG54"/>
  <c r="AG53"/>
  <c r="AG52"/>
  <c r="AG51"/>
  <c r="AG50"/>
  <c r="AG49"/>
  <c r="AG48"/>
  <c r="AG47"/>
  <c r="AG46"/>
  <c r="AG45"/>
  <c r="AG44"/>
  <c r="AG41"/>
  <c r="AG40"/>
  <c r="AG39"/>
  <c r="AG38"/>
  <c r="AG37"/>
  <c r="AG36"/>
  <c r="AG33"/>
  <c r="AG32"/>
  <c r="AG31"/>
  <c r="Z54"/>
  <c r="Z53"/>
  <c r="Z52"/>
  <c r="Z51"/>
  <c r="Z50"/>
  <c r="Z49"/>
  <c r="Z48"/>
  <c r="Z47"/>
  <c r="Z46"/>
  <c r="Z45"/>
  <c r="Z44"/>
  <c r="Z41"/>
  <c r="Z40"/>
  <c r="Z39"/>
  <c r="Z38"/>
  <c r="Z37"/>
  <c r="Z36"/>
  <c r="Z33"/>
  <c r="Z32"/>
  <c r="Z31"/>
  <c r="V15"/>
  <c r="S17"/>
  <c r="V17" s="1"/>
  <c r="S18"/>
  <c r="V18" s="1"/>
  <c r="S19"/>
  <c r="V19" s="1"/>
  <c r="S20"/>
  <c r="V20" s="1"/>
  <c r="S21"/>
  <c r="V21" s="1"/>
  <c r="S22"/>
  <c r="V22" s="1"/>
  <c r="S23"/>
  <c r="V23" s="1"/>
  <c r="S24"/>
  <c r="V24" s="1"/>
  <c r="S25"/>
  <c r="V25" s="1"/>
  <c r="S16"/>
  <c r="V16" s="1"/>
  <c r="S8"/>
  <c r="V8" s="1"/>
  <c r="S9"/>
  <c r="V9" s="1"/>
  <c r="S10"/>
  <c r="V10" s="1"/>
  <c r="S11"/>
  <c r="V11" s="1"/>
  <c r="S12"/>
  <c r="V12" s="1"/>
  <c r="S13"/>
  <c r="V13" s="1"/>
  <c r="S14"/>
  <c r="V14" s="1"/>
  <c r="S15"/>
  <c r="S7"/>
  <c r="V7" s="1"/>
  <c r="S54"/>
  <c r="S53"/>
  <c r="S52"/>
  <c r="S51"/>
  <c r="S50"/>
  <c r="S49"/>
  <c r="S48"/>
  <c r="S47"/>
  <c r="S46"/>
  <c r="S45"/>
  <c r="S44"/>
  <c r="S41"/>
  <c r="S40"/>
  <c r="S39"/>
  <c r="S38"/>
  <c r="S37"/>
  <c r="S36"/>
  <c r="S33"/>
  <c r="S32"/>
  <c r="S31"/>
  <c r="M21" i="10"/>
  <c r="U21"/>
  <c r="U22"/>
  <c r="U23"/>
  <c r="U24"/>
  <c r="U25"/>
  <c r="U26"/>
  <c r="U27"/>
  <c r="U36"/>
  <c r="U37"/>
  <c r="U38"/>
  <c r="U39"/>
  <c r="U40"/>
  <c r="U41"/>
  <c r="U42"/>
  <c r="U51"/>
  <c r="U52"/>
  <c r="U53"/>
  <c r="U54"/>
  <c r="U55"/>
  <c r="U56"/>
  <c r="U57"/>
  <c r="U58"/>
  <c r="U59"/>
  <c r="U69"/>
  <c r="U70"/>
  <c r="U71"/>
  <c r="U72"/>
  <c r="U73"/>
  <c r="U74"/>
  <c r="U75"/>
  <c r="U76"/>
  <c r="U20"/>
  <c r="M24"/>
  <c r="M36"/>
  <c r="M40"/>
  <c r="M52"/>
  <c r="M56"/>
  <c r="M69"/>
  <c r="M73"/>
  <c r="S76"/>
  <c r="Q76"/>
  <c r="O76"/>
  <c r="S75"/>
  <c r="Q75"/>
  <c r="O75"/>
  <c r="S74"/>
  <c r="Q74"/>
  <c r="O74"/>
  <c r="S73"/>
  <c r="Q73"/>
  <c r="O73"/>
  <c r="S72"/>
  <c r="Q72"/>
  <c r="O72"/>
  <c r="S71"/>
  <c r="Q71"/>
  <c r="O71"/>
  <c r="S70"/>
  <c r="Q70"/>
  <c r="O70"/>
  <c r="S69"/>
  <c r="Q69"/>
  <c r="O69"/>
  <c r="S59"/>
  <c r="Q59"/>
  <c r="O59"/>
  <c r="S58"/>
  <c r="Q58"/>
  <c r="O58"/>
  <c r="S57"/>
  <c r="Q57"/>
  <c r="O57"/>
  <c r="S56"/>
  <c r="Q56"/>
  <c r="O56"/>
  <c r="S55"/>
  <c r="Q55"/>
  <c r="O55"/>
  <c r="S54"/>
  <c r="Q54"/>
  <c r="O54"/>
  <c r="S53"/>
  <c r="Q53"/>
  <c r="O53"/>
  <c r="S52"/>
  <c r="R52"/>
  <c r="Q52"/>
  <c r="O52"/>
  <c r="N52"/>
  <c r="S51"/>
  <c r="Q51"/>
  <c r="P51"/>
  <c r="O51"/>
  <c r="S42"/>
  <c r="R42"/>
  <c r="Q42"/>
  <c r="O42"/>
  <c r="N42"/>
  <c r="S41"/>
  <c r="Q41"/>
  <c r="P41"/>
  <c r="O41"/>
  <c r="N41"/>
  <c r="S40"/>
  <c r="R40"/>
  <c r="Q40"/>
  <c r="O40"/>
  <c r="N40"/>
  <c r="S39"/>
  <c r="Q39"/>
  <c r="P39"/>
  <c r="O39"/>
  <c r="S38"/>
  <c r="R38"/>
  <c r="Q38"/>
  <c r="O38"/>
  <c r="N38"/>
  <c r="S37"/>
  <c r="Q37"/>
  <c r="P37"/>
  <c r="O37"/>
  <c r="S36"/>
  <c r="R36"/>
  <c r="Q36"/>
  <c r="O36"/>
  <c r="N36"/>
  <c r="P42" l="1"/>
  <c r="R51"/>
  <c r="N53"/>
  <c r="P54"/>
  <c r="R55"/>
  <c r="R57"/>
  <c r="N59"/>
  <c r="P69"/>
  <c r="R70"/>
  <c r="N72"/>
  <c r="P73"/>
  <c r="R74"/>
  <c r="N76"/>
  <c r="M76"/>
  <c r="M72"/>
  <c r="M59"/>
  <c r="M55"/>
  <c r="M51"/>
  <c r="M39"/>
  <c r="M27"/>
  <c r="M23"/>
  <c r="P36"/>
  <c r="N37"/>
  <c r="R37"/>
  <c r="P38"/>
  <c r="N39"/>
  <c r="R39"/>
  <c r="P40"/>
  <c r="R41"/>
  <c r="N51"/>
  <c r="P52"/>
  <c r="R53"/>
  <c r="N55"/>
  <c r="P56"/>
  <c r="N57"/>
  <c r="P58"/>
  <c r="R59"/>
  <c r="N70"/>
  <c r="P71"/>
  <c r="R72"/>
  <c r="N74"/>
  <c r="P75"/>
  <c r="R76"/>
  <c r="M75"/>
  <c r="M71"/>
  <c r="M58"/>
  <c r="M54"/>
  <c r="M42"/>
  <c r="M38"/>
  <c r="M26"/>
  <c r="M22"/>
  <c r="P53"/>
  <c r="N54"/>
  <c r="R54"/>
  <c r="P55"/>
  <c r="N56"/>
  <c r="R56"/>
  <c r="P57"/>
  <c r="N58"/>
  <c r="R58"/>
  <c r="P59"/>
  <c r="N69"/>
  <c r="R69"/>
  <c r="P70"/>
  <c r="N71"/>
  <c r="R71"/>
  <c r="P72"/>
  <c r="N73"/>
  <c r="R73"/>
  <c r="P74"/>
  <c r="N75"/>
  <c r="R75"/>
  <c r="P76"/>
  <c r="M20"/>
  <c r="M74"/>
  <c r="M70"/>
  <c r="M57"/>
  <c r="M53"/>
  <c r="M41"/>
  <c r="M37"/>
  <c r="M25"/>
  <c r="N21"/>
  <c r="O21"/>
  <c r="P21"/>
  <c r="Q21"/>
  <c r="R21"/>
  <c r="S21"/>
  <c r="N22"/>
  <c r="O22"/>
  <c r="P22"/>
  <c r="Q22"/>
  <c r="R22"/>
  <c r="S22"/>
  <c r="N23"/>
  <c r="O23"/>
  <c r="P23"/>
  <c r="Q23"/>
  <c r="R23"/>
  <c r="S23"/>
  <c r="N24"/>
  <c r="O24"/>
  <c r="P24"/>
  <c r="Q24"/>
  <c r="R24"/>
  <c r="S24"/>
  <c r="N25"/>
  <c r="O25"/>
  <c r="P25"/>
  <c r="Q25"/>
  <c r="R25"/>
  <c r="S25"/>
  <c r="N26"/>
  <c r="O26"/>
  <c r="P26"/>
  <c r="Q26"/>
  <c r="R26"/>
  <c r="S26"/>
  <c r="N27"/>
  <c r="O27"/>
  <c r="P27"/>
  <c r="Q27"/>
  <c r="R27"/>
  <c r="S27"/>
  <c r="P20"/>
  <c r="Q20"/>
  <c r="R20"/>
  <c r="S20"/>
  <c r="O20"/>
  <c r="N20"/>
  <c r="E22" i="14" l="1"/>
  <c r="M45"/>
  <c r="M46"/>
  <c r="M47"/>
  <c r="M48"/>
  <c r="M49"/>
  <c r="M50"/>
  <c r="M51"/>
  <c r="M52"/>
  <c r="M54"/>
  <c r="M44"/>
  <c r="M37"/>
  <c r="M38"/>
  <c r="M39"/>
  <c r="M40"/>
  <c r="M41"/>
  <c r="M36"/>
  <c r="I54"/>
  <c r="I53"/>
  <c r="I52"/>
  <c r="I51"/>
  <c r="I50"/>
  <c r="I49"/>
  <c r="I48"/>
  <c r="I47"/>
  <c r="I46"/>
  <c r="I45"/>
  <c r="I44"/>
  <c r="I41"/>
  <c r="I40"/>
  <c r="I39"/>
  <c r="I38"/>
  <c r="I37"/>
  <c r="I36"/>
  <c r="I33"/>
  <c r="M33" s="1"/>
  <c r="I32"/>
  <c r="M32" s="1"/>
  <c r="I31"/>
  <c r="M31" s="1"/>
  <c r="I21" l="1"/>
  <c r="M21" s="1"/>
  <c r="I22"/>
  <c r="M22" s="1"/>
  <c r="I23"/>
  <c r="M23" s="1"/>
  <c r="I24"/>
  <c r="M24" s="1"/>
  <c r="I25"/>
  <c r="M25" s="1"/>
  <c r="I26"/>
  <c r="M26" s="1"/>
  <c r="I27"/>
  <c r="M27" s="1"/>
  <c r="I28"/>
  <c r="M28" s="1"/>
  <c r="I20"/>
  <c r="M20" s="1"/>
  <c r="I8"/>
  <c r="M8" s="1"/>
  <c r="I9"/>
  <c r="M9" s="1"/>
  <c r="I10"/>
  <c r="M10" s="1"/>
  <c r="I11"/>
  <c r="M11" s="1"/>
  <c r="I12"/>
  <c r="M12" s="1"/>
  <c r="I13"/>
  <c r="M13" s="1"/>
  <c r="I14"/>
  <c r="M14" s="1"/>
  <c r="I15"/>
  <c r="M15" s="1"/>
  <c r="I16"/>
  <c r="M16" s="1"/>
  <c r="I17"/>
  <c r="M17" s="1"/>
  <c r="I18"/>
  <c r="M18" s="1"/>
  <c r="I19"/>
  <c r="M19" s="1"/>
  <c r="I7"/>
  <c r="M7" s="1"/>
  <c r="J3" i="13" l="1"/>
  <c r="J4" s="1"/>
  <c r="J5" s="1"/>
  <c r="J6" s="1"/>
  <c r="J7" s="1"/>
  <c r="J8" s="1"/>
  <c r="J9" s="1"/>
  <c r="J10" s="1"/>
  <c r="J11" s="1"/>
  <c r="G5"/>
  <c r="G6"/>
  <c r="G7"/>
  <c r="G8"/>
  <c r="G9"/>
  <c r="G10"/>
  <c r="G11"/>
  <c r="G12"/>
  <c r="G13"/>
  <c r="G14"/>
  <c r="G15"/>
  <c r="G16"/>
  <c r="G17"/>
  <c r="G18"/>
  <c r="G19"/>
  <c r="G20"/>
  <c r="G63"/>
  <c r="G64"/>
  <c r="G65"/>
  <c r="G66"/>
  <c r="E2"/>
  <c r="F2" s="1"/>
  <c r="H2" s="1"/>
  <c r="G10" i="12"/>
  <c r="F10" s="1"/>
  <c r="E10" s="1"/>
  <c r="D10" s="1"/>
  <c r="F9"/>
  <c r="E9" s="1"/>
  <c r="D9" s="1"/>
  <c r="F8"/>
  <c r="E8" s="1"/>
  <c r="D8" s="1"/>
  <c r="F7"/>
  <c r="E7" s="1"/>
  <c r="D7" s="1"/>
  <c r="F6"/>
  <c r="E6" s="1"/>
  <c r="D6" s="1"/>
  <c r="F5"/>
  <c r="F4"/>
  <c r="E4" s="1"/>
  <c r="D4" s="1"/>
  <c r="F3"/>
  <c r="E3" s="1"/>
  <c r="D3" s="1"/>
  <c r="F2"/>
  <c r="N33" l="1"/>
  <c r="N30"/>
  <c r="N34"/>
  <c r="N31"/>
  <c r="N35"/>
  <c r="N32"/>
  <c r="N36"/>
  <c r="N25"/>
  <c r="N29"/>
  <c r="N27"/>
  <c r="N26"/>
  <c r="N23"/>
  <c r="N24"/>
  <c r="N28"/>
  <c r="N16"/>
  <c r="N18"/>
  <c r="N22"/>
  <c r="N19"/>
  <c r="N20"/>
  <c r="N17"/>
  <c r="N21"/>
  <c r="N12"/>
  <c r="N13"/>
  <c r="N11"/>
  <c r="N15"/>
  <c r="N10"/>
  <c r="B2" i="13"/>
  <c r="E5" i="12"/>
  <c r="D5" s="1"/>
  <c r="N14"/>
  <c r="E2"/>
  <c r="D2" s="1"/>
  <c r="G11"/>
  <c r="G12" s="1"/>
  <c r="G13" s="1"/>
  <c r="N7" l="1"/>
  <c r="N6"/>
  <c r="N5"/>
  <c r="F11"/>
  <c r="E11" s="1"/>
  <c r="D11" s="1"/>
  <c r="N9"/>
  <c r="N3"/>
  <c r="N8"/>
  <c r="N4"/>
  <c r="F12"/>
  <c r="E12" s="1"/>
  <c r="D12" s="1"/>
  <c r="F13"/>
  <c r="E13" s="1"/>
  <c r="D13" s="1"/>
  <c r="G14"/>
  <c r="N37" l="1"/>
  <c r="N41"/>
  <c r="N39"/>
  <c r="N38"/>
  <c r="N42"/>
  <c r="N43"/>
  <c r="N40"/>
  <c r="N45"/>
  <c r="N49"/>
  <c r="N47"/>
  <c r="N46"/>
  <c r="N50"/>
  <c r="N44"/>
  <c r="N48"/>
  <c r="G15"/>
  <c r="F14"/>
  <c r="E14" s="1"/>
  <c r="D14" s="1"/>
  <c r="G16" l="1"/>
  <c r="G17" s="1"/>
  <c r="G18" s="1"/>
  <c r="G19" s="1"/>
  <c r="G20" s="1"/>
  <c r="G21" s="1"/>
  <c r="G22" s="1"/>
  <c r="G23" s="1"/>
  <c r="G24" s="1"/>
  <c r="G25" s="1"/>
  <c r="G26" s="1"/>
  <c r="F15"/>
  <c r="E15" s="1"/>
  <c r="D15" s="1"/>
  <c r="N53" l="1"/>
  <c r="N55"/>
  <c r="N54"/>
  <c r="N51"/>
  <c r="N52"/>
  <c r="F16"/>
  <c r="E16" s="1"/>
  <c r="D16" s="1"/>
  <c r="N57" l="1"/>
  <c r="N61"/>
  <c r="N63"/>
  <c r="N58"/>
  <c r="N62"/>
  <c r="N59"/>
  <c r="N56"/>
  <c r="N60"/>
  <c r="F17"/>
  <c r="E17" s="1"/>
  <c r="D17" s="1"/>
  <c r="F18" l="1"/>
  <c r="E18" s="1"/>
  <c r="D18" s="1"/>
  <c r="N65" l="1"/>
  <c r="N69"/>
  <c r="N66"/>
  <c r="N70"/>
  <c r="N67"/>
  <c r="N64"/>
  <c r="N68"/>
  <c r="F19"/>
  <c r="E19" s="1"/>
  <c r="D19" s="1"/>
  <c r="F20" l="1"/>
  <c r="E20" s="1"/>
  <c r="D20" s="1"/>
  <c r="N73" l="1"/>
  <c r="N71"/>
  <c r="N74"/>
  <c r="N72"/>
  <c r="N75"/>
  <c r="F21"/>
  <c r="E21" s="1"/>
  <c r="D21" s="1"/>
  <c r="N77" l="1"/>
  <c r="N81"/>
  <c r="N78"/>
  <c r="N79"/>
  <c r="N80"/>
  <c r="N76"/>
  <c r="F22"/>
  <c r="E22" s="1"/>
  <c r="D22" s="1"/>
  <c r="F23" l="1"/>
  <c r="E23" s="1"/>
  <c r="D23" s="1"/>
  <c r="F24" l="1"/>
  <c r="E24" s="1"/>
  <c r="D24" s="1"/>
  <c r="N85" l="1"/>
  <c r="N82"/>
  <c r="N86"/>
  <c r="N84"/>
  <c r="N87"/>
  <c r="N83"/>
  <c r="F25"/>
  <c r="E25" s="1"/>
  <c r="D25" s="1"/>
  <c r="F26"/>
  <c r="E26" s="1"/>
  <c r="D26" s="1"/>
  <c r="N88" s="1"/>
  <c r="B22" i="6" l="1"/>
  <c r="B21"/>
  <c r="E4" i="11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3"/>
  <c r="B23" i="6" l="1"/>
  <c r="G21" i="13"/>
  <c r="B24" i="6"/>
  <c r="G22" i="13"/>
  <c r="N17" i="2"/>
  <c r="N31" s="1"/>
  <c r="N45" s="1"/>
  <c r="N59" s="1"/>
  <c r="N18"/>
  <c r="N32" s="1"/>
  <c r="N46" s="1"/>
  <c r="N60" s="1"/>
  <c r="N19"/>
  <c r="N33" s="1"/>
  <c r="N47" s="1"/>
  <c r="N61" s="1"/>
  <c r="N20"/>
  <c r="N34" s="1"/>
  <c r="N48" s="1"/>
  <c r="N62" s="1"/>
  <c r="N21"/>
  <c r="N35" s="1"/>
  <c r="N49" s="1"/>
  <c r="N63" s="1"/>
  <c r="N22"/>
  <c r="N36" s="1"/>
  <c r="N50" s="1"/>
  <c r="N64" s="1"/>
  <c r="N23"/>
  <c r="N37" s="1"/>
  <c r="N51" s="1"/>
  <c r="N65" s="1"/>
  <c r="N24"/>
  <c r="N38" s="1"/>
  <c r="N52" s="1"/>
  <c r="N66" s="1"/>
  <c r="N25"/>
  <c r="N39" s="1"/>
  <c r="N53" s="1"/>
  <c r="N26"/>
  <c r="N40" s="1"/>
  <c r="N54" s="1"/>
  <c r="N27"/>
  <c r="N41" s="1"/>
  <c r="N55" s="1"/>
  <c r="N28"/>
  <c r="N42" s="1"/>
  <c r="N56" s="1"/>
  <c r="N29"/>
  <c r="N43" s="1"/>
  <c r="N57" s="1"/>
  <c r="N16"/>
  <c r="N30" s="1"/>
  <c r="N44" s="1"/>
  <c r="N58" s="1"/>
  <c r="B26" i="6" l="1"/>
  <c r="G24" i="13"/>
  <c r="B25" i="6"/>
  <c r="G23" i="13"/>
  <c r="L3" i="2"/>
  <c r="M3" s="1"/>
  <c r="L4"/>
  <c r="M4" s="1"/>
  <c r="L5"/>
  <c r="M5" s="1"/>
  <c r="AI39" s="1"/>
  <c r="L6"/>
  <c r="M6" s="1"/>
  <c r="L7"/>
  <c r="M7" s="1"/>
  <c r="L8"/>
  <c r="M8" s="1"/>
  <c r="L9"/>
  <c r="M9" s="1"/>
  <c r="AI36" s="1"/>
  <c r="L10"/>
  <c r="M10" s="1"/>
  <c r="L11"/>
  <c r="M11" s="1"/>
  <c r="L12"/>
  <c r="M12" s="1"/>
  <c r="L13"/>
  <c r="M13" s="1"/>
  <c r="AI34" s="1"/>
  <c r="L14"/>
  <c r="M14" s="1"/>
  <c r="AI30" s="1"/>
  <c r="L15"/>
  <c r="M15" s="1"/>
  <c r="L16"/>
  <c r="M16" s="1"/>
  <c r="L17"/>
  <c r="M17" s="1"/>
  <c r="L18"/>
  <c r="M18" s="1"/>
  <c r="L19"/>
  <c r="M19" s="1"/>
  <c r="L20"/>
  <c r="M20" s="1"/>
  <c r="L21"/>
  <c r="M21" s="1"/>
  <c r="L22"/>
  <c r="M22" s="1"/>
  <c r="L23"/>
  <c r="M23" s="1"/>
  <c r="L24"/>
  <c r="M24" s="1"/>
  <c r="L25"/>
  <c r="M25" s="1"/>
  <c r="L26"/>
  <c r="M26" s="1"/>
  <c r="L27"/>
  <c r="M27" s="1"/>
  <c r="L28"/>
  <c r="M28" s="1"/>
  <c r="L29"/>
  <c r="M29" s="1"/>
  <c r="L30"/>
  <c r="M30" s="1"/>
  <c r="L31"/>
  <c r="M31" s="1"/>
  <c r="L32"/>
  <c r="M32" s="1"/>
  <c r="L33"/>
  <c r="M33" s="1"/>
  <c r="L34"/>
  <c r="M34" s="1"/>
  <c r="L35"/>
  <c r="M35" s="1"/>
  <c r="L36"/>
  <c r="M36" s="1"/>
  <c r="L37"/>
  <c r="M37" s="1"/>
  <c r="L38"/>
  <c r="M38" s="1"/>
  <c r="L39"/>
  <c r="M39" s="1"/>
  <c r="L40"/>
  <c r="M40" s="1"/>
  <c r="L41"/>
  <c r="M41" s="1"/>
  <c r="L42"/>
  <c r="M42" s="1"/>
  <c r="L43"/>
  <c r="M43" s="1"/>
  <c r="L44"/>
  <c r="M44" s="1"/>
  <c r="L45"/>
  <c r="M45" s="1"/>
  <c r="L46"/>
  <c r="M46" s="1"/>
  <c r="L47"/>
  <c r="M47" s="1"/>
  <c r="L48"/>
  <c r="M48" s="1"/>
  <c r="L49"/>
  <c r="M49" s="1"/>
  <c r="L50"/>
  <c r="M50" s="1"/>
  <c r="L51"/>
  <c r="M51" s="1"/>
  <c r="L52"/>
  <c r="M52" s="1"/>
  <c r="L53"/>
  <c r="M53" s="1"/>
  <c r="L54"/>
  <c r="M54" s="1"/>
  <c r="L55"/>
  <c r="M55" s="1"/>
  <c r="L56"/>
  <c r="M56" s="1"/>
  <c r="L57"/>
  <c r="M57" s="1"/>
  <c r="L58"/>
  <c r="M58" s="1"/>
  <c r="L59"/>
  <c r="M59" s="1"/>
  <c r="L60"/>
  <c r="M60" s="1"/>
  <c r="L61"/>
  <c r="M61" s="1"/>
  <c r="L62"/>
  <c r="M62" s="1"/>
  <c r="L63"/>
  <c r="M63" s="1"/>
  <c r="L64"/>
  <c r="M64" s="1"/>
  <c r="L65"/>
  <c r="M65" s="1"/>
  <c r="L66"/>
  <c r="M66" s="1"/>
  <c r="L2"/>
  <c r="M2" s="1"/>
  <c r="AI84" l="1"/>
  <c r="AI89"/>
  <c r="AI91"/>
  <c r="AI94"/>
  <c r="AI101"/>
  <c r="AI104"/>
  <c r="AI106"/>
  <c r="AI111"/>
  <c r="AI93"/>
  <c r="AI98"/>
  <c r="AI113"/>
  <c r="AI85"/>
  <c r="AI88"/>
  <c r="AI90"/>
  <c r="AI95"/>
  <c r="AI100"/>
  <c r="AI105"/>
  <c r="AI107"/>
  <c r="AI110"/>
  <c r="AI83"/>
  <c r="AI86"/>
  <c r="AI96"/>
  <c r="AI82"/>
  <c r="AI87"/>
  <c r="AI92"/>
  <c r="AI97"/>
  <c r="AI99"/>
  <c r="AI102"/>
  <c r="AI109"/>
  <c r="AI112"/>
  <c r="AI114"/>
  <c r="AI103"/>
  <c r="AI108"/>
  <c r="AI115"/>
  <c r="AI116"/>
  <c r="AI121"/>
  <c r="AI123"/>
  <c r="AI125"/>
  <c r="AI127"/>
  <c r="AI129"/>
  <c r="AI131"/>
  <c r="AI133"/>
  <c r="AI135"/>
  <c r="AI137"/>
  <c r="AI139"/>
  <c r="AI144"/>
  <c r="AI146"/>
  <c r="AI148"/>
  <c r="AI150"/>
  <c r="AI117"/>
  <c r="AI120"/>
  <c r="AI122"/>
  <c r="AI124"/>
  <c r="AI126"/>
  <c r="AI128"/>
  <c r="AI130"/>
  <c r="AI132"/>
  <c r="AI134"/>
  <c r="AI136"/>
  <c r="AI138"/>
  <c r="AI145"/>
  <c r="AI147"/>
  <c r="AI149"/>
  <c r="AI141"/>
  <c r="AI119"/>
  <c r="AI140"/>
  <c r="AI142"/>
  <c r="AI151"/>
  <c r="AI118"/>
  <c r="AI143"/>
  <c r="AI48"/>
  <c r="AI69"/>
  <c r="AI72"/>
  <c r="AI74"/>
  <c r="AI79"/>
  <c r="AI81"/>
  <c r="AI68"/>
  <c r="AI73"/>
  <c r="AI75"/>
  <c r="AI78"/>
  <c r="AI71"/>
  <c r="AI76"/>
  <c r="AI70"/>
  <c r="AI77"/>
  <c r="AI80"/>
  <c r="AI155"/>
  <c r="AI157"/>
  <c r="AI160"/>
  <c r="AI163"/>
  <c r="AI166"/>
  <c r="AI175"/>
  <c r="AI180"/>
  <c r="AI165"/>
  <c r="AI156"/>
  <c r="AI152"/>
  <c r="AI162"/>
  <c r="AI153"/>
  <c r="AI158"/>
  <c r="AI161"/>
  <c r="AI164"/>
  <c r="AI167"/>
  <c r="AI169"/>
  <c r="AI171"/>
  <c r="AI173"/>
  <c r="AI176"/>
  <c r="AI178"/>
  <c r="AI154"/>
  <c r="AI159"/>
  <c r="AI170"/>
  <c r="AI177"/>
  <c r="AI172"/>
  <c r="AI179"/>
  <c r="AI174"/>
  <c r="AI168"/>
  <c r="B27" i="6"/>
  <c r="G25" i="13"/>
  <c r="B28" i="6"/>
  <c r="G26" i="13"/>
  <c r="AI32" i="2"/>
  <c r="AI46"/>
  <c r="AI31"/>
  <c r="AI35"/>
  <c r="AI20"/>
  <c r="AI23"/>
  <c r="AI14"/>
  <c r="AI38"/>
  <c r="AI11"/>
  <c r="AI4"/>
  <c r="AI12"/>
  <c r="AI2"/>
  <c r="AI9"/>
  <c r="AI5"/>
  <c r="AI7"/>
  <c r="AI15"/>
  <c r="AI13"/>
  <c r="AI24"/>
  <c r="AI28"/>
  <c r="AI45"/>
  <c r="AI18"/>
  <c r="AI22"/>
  <c r="AI26"/>
  <c r="AI16"/>
  <c r="AI25"/>
  <c r="AI8"/>
  <c r="AI6"/>
  <c r="AI10"/>
  <c r="AI3"/>
  <c r="AI40"/>
  <c r="AI42"/>
  <c r="AI41"/>
  <c r="AI19"/>
  <c r="AI61"/>
  <c r="AI49"/>
  <c r="AI37"/>
  <c r="AI67"/>
  <c r="AI63"/>
  <c r="AI59"/>
  <c r="AI55"/>
  <c r="AI51"/>
  <c r="AI47"/>
  <c r="AI43"/>
  <c r="AI27"/>
  <c r="AI65"/>
  <c r="AI53"/>
  <c r="AI29"/>
  <c r="AI17"/>
  <c r="AI66"/>
  <c r="AI62"/>
  <c r="AI58"/>
  <c r="AI54"/>
  <c r="AI50"/>
  <c r="AI57"/>
  <c r="AI33"/>
  <c r="AI21"/>
  <c r="AI64"/>
  <c r="AI60"/>
  <c r="AI56"/>
  <c r="AI52"/>
  <c r="AI44"/>
  <c r="B30" i="6" l="1"/>
  <c r="G28" i="13"/>
  <c r="B29" i="6"/>
  <c r="G27" i="13"/>
  <c r="J2" i="2"/>
  <c r="G2"/>
  <c r="K2" l="1"/>
  <c r="AN3"/>
  <c r="AP3" s="1"/>
  <c r="AR3" s="1"/>
  <c r="B31" i="6"/>
  <c r="G29" i="13"/>
  <c r="B32" i="6"/>
  <c r="G30" i="13"/>
  <c r="H2" i="2"/>
  <c r="C2" s="1"/>
  <c r="AD5"/>
  <c r="AE5" s="1"/>
  <c r="AF5" s="1"/>
  <c r="AG5" s="1"/>
  <c r="AH5" s="1"/>
  <c r="AD9"/>
  <c r="AE9" s="1"/>
  <c r="AF9" s="1"/>
  <c r="AG9" s="1"/>
  <c r="AH9" s="1"/>
  <c r="AD13"/>
  <c r="AE13" s="1"/>
  <c r="AF13" s="1"/>
  <c r="AG13" s="1"/>
  <c r="AH13" s="1"/>
  <c r="AD7"/>
  <c r="AE7" s="1"/>
  <c r="AF7" s="1"/>
  <c r="AG7" s="1"/>
  <c r="AH7" s="1"/>
  <c r="AD15"/>
  <c r="AE15" s="1"/>
  <c r="AF15" s="1"/>
  <c r="AG15" s="1"/>
  <c r="AH15" s="1"/>
  <c r="AD4"/>
  <c r="AE4" s="1"/>
  <c r="AF4" s="1"/>
  <c r="AG4" s="1"/>
  <c r="AH4" s="1"/>
  <c r="AD12"/>
  <c r="AE12" s="1"/>
  <c r="AF12" s="1"/>
  <c r="AG12" s="1"/>
  <c r="AH12" s="1"/>
  <c r="AD2"/>
  <c r="AE2" s="1"/>
  <c r="AF2" s="1"/>
  <c r="AG2" s="1"/>
  <c r="AH2" s="1"/>
  <c r="B34" i="6" l="1"/>
  <c r="G32" i="13"/>
  <c r="B33" i="6"/>
  <c r="G31" i="13"/>
  <c r="C2" i="8"/>
  <c r="F3" s="1"/>
  <c r="B35" i="6" l="1"/>
  <c r="G33" i="13"/>
  <c r="B36" i="6"/>
  <c r="G34" i="13"/>
  <c r="K2" i="6"/>
  <c r="B2" i="12" s="1"/>
  <c r="F2" i="8"/>
  <c r="B3" i="7"/>
  <c r="E3" s="1"/>
  <c r="B2"/>
  <c r="E2" s="1"/>
  <c r="C3"/>
  <c r="C4" s="1"/>
  <c r="AC2" i="4"/>
  <c r="AB2"/>
  <c r="O5" i="13" l="1"/>
  <c r="B38" i="6"/>
  <c r="G36" i="13"/>
  <c r="K4" i="6"/>
  <c r="B4" i="12" s="1"/>
  <c r="B37" i="6"/>
  <c r="G35" i="13"/>
  <c r="K3" i="6"/>
  <c r="B3" i="12" s="1"/>
  <c r="C5" i="7"/>
  <c r="B4"/>
  <c r="K2"/>
  <c r="G2"/>
  <c r="K3"/>
  <c r="G3"/>
  <c r="B3" i="6"/>
  <c r="B4"/>
  <c r="B2"/>
  <c r="B39" l="1"/>
  <c r="G37" i="13"/>
  <c r="K5" i="6"/>
  <c r="B5" i="12" s="1"/>
  <c r="B40" i="6"/>
  <c r="G38" i="13"/>
  <c r="K6" i="6"/>
  <c r="B6" i="12" s="1"/>
  <c r="G4" i="13"/>
  <c r="G3"/>
  <c r="G2"/>
  <c r="C6" i="7"/>
  <c r="B5"/>
  <c r="K4"/>
  <c r="G4"/>
  <c r="E4"/>
  <c r="C2" i="6"/>
  <c r="B42" l="1"/>
  <c r="G40" i="13"/>
  <c r="K8" i="6"/>
  <c r="B8" i="12" s="1"/>
  <c r="B41" i="6"/>
  <c r="G39" i="13"/>
  <c r="K7" i="6"/>
  <c r="B7" i="12" s="1"/>
  <c r="C7" i="7"/>
  <c r="B6"/>
  <c r="E5"/>
  <c r="K5"/>
  <c r="G5"/>
  <c r="C3" i="6"/>
  <c r="B43" l="1"/>
  <c r="G41" i="13"/>
  <c r="K9" i="6"/>
  <c r="B9" i="12" s="1"/>
  <c r="B44" i="6"/>
  <c r="G42" i="13"/>
  <c r="K10" i="6"/>
  <c r="B10" i="12" s="1"/>
  <c r="G6" i="7"/>
  <c r="E6"/>
  <c r="K6"/>
  <c r="C8"/>
  <c r="B7"/>
  <c r="C4" i="6"/>
  <c r="B45" l="1"/>
  <c r="G43" i="13"/>
  <c r="K11" i="6"/>
  <c r="B11" i="12" s="1"/>
  <c r="B46" i="6"/>
  <c r="G44" i="13"/>
  <c r="K12" i="6"/>
  <c r="B12" i="12" s="1"/>
  <c r="K7" i="7"/>
  <c r="G7"/>
  <c r="E7"/>
  <c r="C9"/>
  <c r="B8"/>
  <c r="C5" i="6"/>
  <c r="B47" l="1"/>
  <c r="G45" i="13"/>
  <c r="K13" i="6"/>
  <c r="B13" i="12" s="1"/>
  <c r="B48" i="6"/>
  <c r="G46" i="13"/>
  <c r="K14" i="6"/>
  <c r="B14" i="12" s="1"/>
  <c r="K8" i="7"/>
  <c r="G8"/>
  <c r="E8"/>
  <c r="C10"/>
  <c r="B9"/>
  <c r="C7" i="6"/>
  <c r="C6"/>
  <c r="B50" l="1"/>
  <c r="G48" i="13"/>
  <c r="K16" i="6"/>
  <c r="B16" i="12" s="1"/>
  <c r="B49" i="6"/>
  <c r="G47" i="13"/>
  <c r="K15" i="6"/>
  <c r="B15" i="12" s="1"/>
  <c r="E9" i="7"/>
  <c r="K9"/>
  <c r="G9"/>
  <c r="C11"/>
  <c r="B10"/>
  <c r="B52" i="6" l="1"/>
  <c r="G50" i="13"/>
  <c r="K18" i="6"/>
  <c r="B18" i="12" s="1"/>
  <c r="B51" i="6"/>
  <c r="G49" i="13"/>
  <c r="K17" i="6"/>
  <c r="B17" i="12" s="1"/>
  <c r="G10" i="7"/>
  <c r="E10"/>
  <c r="K10"/>
  <c r="C12"/>
  <c r="B11"/>
  <c r="C8" i="6"/>
  <c r="B54" l="1"/>
  <c r="G52" i="13"/>
  <c r="K20" i="6"/>
  <c r="B20" i="12" s="1"/>
  <c r="B53" i="6"/>
  <c r="G51" i="13"/>
  <c r="K19" i="6"/>
  <c r="B19" i="12" s="1"/>
  <c r="C13" i="7"/>
  <c r="B12"/>
  <c r="K11"/>
  <c r="G11"/>
  <c r="E11"/>
  <c r="C9" i="6"/>
  <c r="C10"/>
  <c r="B56" l="1"/>
  <c r="G54" i="13"/>
  <c r="B55" i="6"/>
  <c r="G53" i="13"/>
  <c r="K21" i="6"/>
  <c r="B21" i="12" s="1"/>
  <c r="K12" i="7"/>
  <c r="G12"/>
  <c r="E12"/>
  <c r="C14"/>
  <c r="B13"/>
  <c r="B58" i="6" l="1"/>
  <c r="G56" i="13"/>
  <c r="B57" i="6"/>
  <c r="K23" s="1"/>
  <c r="B23" i="12" s="1"/>
  <c r="G55" i="13"/>
  <c r="K22" i="6"/>
  <c r="B22" i="12" s="1"/>
  <c r="C15" i="7"/>
  <c r="B14"/>
  <c r="E13"/>
  <c r="K13"/>
  <c r="G13"/>
  <c r="C11" i="6"/>
  <c r="C12"/>
  <c r="B60" l="1"/>
  <c r="G58" i="13"/>
  <c r="K26" i="6"/>
  <c r="B26" i="12" s="1"/>
  <c r="B59" i="6"/>
  <c r="G57" i="13"/>
  <c r="G14" i="7"/>
  <c r="E14"/>
  <c r="K14"/>
  <c r="C16"/>
  <c r="B15"/>
  <c r="C13" i="6"/>
  <c r="C14"/>
  <c r="B61" l="1"/>
  <c r="G59" i="13"/>
  <c r="B62" i="6"/>
  <c r="G62" i="13" s="1"/>
  <c r="G60"/>
  <c r="K24" i="6"/>
  <c r="B24" i="12" s="1"/>
  <c r="C17" i="7"/>
  <c r="B16"/>
  <c r="K15"/>
  <c r="G15"/>
  <c r="E15"/>
  <c r="C15" i="6"/>
  <c r="C16"/>
  <c r="G61" i="13" l="1"/>
  <c r="K25" i="6"/>
  <c r="B25" i="12" s="1"/>
  <c r="I3" i="6"/>
  <c r="B3" i="4" s="1"/>
  <c r="K16" i="7"/>
  <c r="G16"/>
  <c r="E16"/>
  <c r="C18"/>
  <c r="B17"/>
  <c r="C17" i="6"/>
  <c r="I4" s="1"/>
  <c r="B4" i="4" s="1"/>
  <c r="C19" i="7" l="1"/>
  <c r="B18"/>
  <c r="E17"/>
  <c r="K17"/>
  <c r="G17"/>
  <c r="C18" i="6"/>
  <c r="G18" i="7" l="1"/>
  <c r="E18"/>
  <c r="K18"/>
  <c r="C20"/>
  <c r="B19"/>
  <c r="C19" i="6"/>
  <c r="C21" i="7" l="1"/>
  <c r="B20"/>
  <c r="K19"/>
  <c r="G19"/>
  <c r="E19"/>
  <c r="C20" i="6"/>
  <c r="I5" l="1"/>
  <c r="B5" i="4" s="1"/>
  <c r="K20" i="7"/>
  <c r="G20"/>
  <c r="E20"/>
  <c r="C22"/>
  <c r="B21"/>
  <c r="C21" i="6"/>
  <c r="C23" i="7" l="1"/>
  <c r="B22"/>
  <c r="E21"/>
  <c r="K21"/>
  <c r="G21"/>
  <c r="C22" i="6"/>
  <c r="I6" s="1"/>
  <c r="B6" i="4" s="1"/>
  <c r="G22" i="7" l="1"/>
  <c r="E22"/>
  <c r="K22"/>
  <c r="C24"/>
  <c r="B23"/>
  <c r="C23" i="6"/>
  <c r="I7" l="1"/>
  <c r="B7" i="4" s="1"/>
  <c r="C25" i="7"/>
  <c r="B24"/>
  <c r="K23"/>
  <c r="G23"/>
  <c r="E23"/>
  <c r="C24" i="6"/>
  <c r="K24" i="7" l="1"/>
  <c r="G24"/>
  <c r="E24"/>
  <c r="C26"/>
  <c r="B26" s="1"/>
  <c r="B25"/>
  <c r="C25" i="6"/>
  <c r="G26" i="7" l="1"/>
  <c r="E26"/>
  <c r="K26"/>
  <c r="E25"/>
  <c r="K25"/>
  <c r="G25"/>
  <c r="C26" i="6"/>
  <c r="I8" s="1"/>
  <c r="B8" i="4" s="1"/>
  <c r="C27" i="6" l="1"/>
  <c r="I9" l="1"/>
  <c r="B9" i="4" s="1"/>
  <c r="C28" i="6"/>
  <c r="C29" l="1"/>
  <c r="I10" l="1"/>
  <c r="B10" i="4" s="1"/>
  <c r="C30" i="6"/>
  <c r="C31" l="1"/>
  <c r="I11" l="1"/>
  <c r="B11" i="4" s="1"/>
  <c r="C32" i="6"/>
  <c r="C33" l="1"/>
  <c r="C34" l="1"/>
  <c r="I12" s="1"/>
  <c r="B12" i="4" s="1"/>
  <c r="C35" i="6" l="1"/>
  <c r="I13" l="1"/>
  <c r="B13" i="4" s="1"/>
  <c r="C36" i="6"/>
  <c r="C37" l="1"/>
  <c r="I14" l="1"/>
  <c r="B14" i="4" s="1"/>
  <c r="C38" i="6"/>
  <c r="C39" l="1"/>
  <c r="C40" l="1"/>
  <c r="I15" l="1"/>
  <c r="B15" i="4" s="1"/>
  <c r="C41" i="6"/>
  <c r="C42" l="1"/>
  <c r="I16" s="1"/>
  <c r="B16" i="4" s="1"/>
  <c r="C43" i="6" l="1"/>
  <c r="C44" l="1"/>
  <c r="I17" s="1"/>
  <c r="B17" i="4" s="1"/>
  <c r="C45" i="6" l="1"/>
  <c r="I18" l="1"/>
  <c r="B18" i="4" s="1"/>
  <c r="C46" i="6"/>
  <c r="C47" l="1"/>
  <c r="C48" l="1"/>
  <c r="I19" s="1"/>
  <c r="B19" i="4" s="1"/>
  <c r="C49" i="6" l="1"/>
  <c r="C50" l="1"/>
  <c r="I20" s="1"/>
  <c r="B20" i="4" s="1"/>
  <c r="C51" i="6" l="1"/>
  <c r="C52" l="1"/>
  <c r="C53" l="1"/>
  <c r="I21" s="1"/>
  <c r="B21" i="4" s="1"/>
  <c r="C54" i="6" l="1"/>
  <c r="C55" l="1"/>
  <c r="I22" s="1"/>
  <c r="B22" i="4" s="1"/>
  <c r="C56" i="6" l="1"/>
  <c r="C57" l="1"/>
  <c r="C58" l="1"/>
  <c r="I23" s="1"/>
  <c r="B23" i="4" s="1"/>
  <c r="C59" i="6" l="1"/>
  <c r="C60" l="1"/>
  <c r="I24" s="1"/>
  <c r="B24" i="4" s="1"/>
  <c r="C61" i="6" l="1"/>
  <c r="C62" l="1"/>
  <c r="C63" l="1"/>
  <c r="I25" s="1"/>
  <c r="B25" i="4" s="1"/>
  <c r="C64" i="6" l="1"/>
  <c r="C65" l="1"/>
  <c r="C6" i="4" l="1"/>
  <c r="C5"/>
  <c r="C4"/>
  <c r="C3"/>
  <c r="V3"/>
  <c r="W3"/>
  <c r="V4"/>
  <c r="W4"/>
  <c r="V5"/>
  <c r="W5"/>
  <c r="V6"/>
  <c r="W6"/>
  <c r="V7"/>
  <c r="W7"/>
  <c r="V8"/>
  <c r="W8"/>
  <c r="V9"/>
  <c r="W9"/>
  <c r="V10"/>
  <c r="W10"/>
  <c r="V11"/>
  <c r="W11"/>
  <c r="V12"/>
  <c r="W12"/>
  <c r="V13"/>
  <c r="W13"/>
  <c r="V14"/>
  <c r="W14"/>
  <c r="V15"/>
  <c r="W15"/>
  <c r="V16"/>
  <c r="W16"/>
  <c r="V17"/>
  <c r="W17"/>
  <c r="V18"/>
  <c r="W18"/>
  <c r="V19"/>
  <c r="W19"/>
  <c r="V20"/>
  <c r="W20"/>
  <c r="V21"/>
  <c r="W21"/>
  <c r="V22"/>
  <c r="W22"/>
  <c r="V23"/>
  <c r="W23"/>
  <c r="V24"/>
  <c r="W24"/>
  <c r="V25"/>
  <c r="W25"/>
  <c r="V26"/>
  <c r="W26"/>
  <c r="W2"/>
  <c r="V2"/>
  <c r="P2"/>
  <c r="C66" i="6" l="1"/>
  <c r="C8" i="4"/>
  <c r="C7"/>
  <c r="I26" i="6" l="1"/>
  <c r="B26" i="4" s="1"/>
  <c r="I2" i="6"/>
  <c r="B2" i="4" s="1"/>
  <c r="C2" s="1"/>
  <c r="D2" s="1"/>
  <c r="C9"/>
  <c r="C10" l="1"/>
  <c r="C11" l="1"/>
  <c r="C12" l="1"/>
  <c r="C13" l="1"/>
  <c r="C14" l="1"/>
  <c r="C15" l="1"/>
  <c r="C16" l="1"/>
  <c r="C17" l="1"/>
  <c r="C18" l="1"/>
  <c r="C19" l="1"/>
  <c r="C20" l="1"/>
  <c r="C21" l="1"/>
  <c r="C22" l="1"/>
  <c r="C23" l="1"/>
  <c r="C24" l="1"/>
  <c r="C26" l="1"/>
  <c r="C25"/>
  <c r="Q2" l="1"/>
  <c r="E2" s="1"/>
  <c r="L2"/>
  <c r="AD2" s="1"/>
  <c r="I3"/>
  <c r="I4" s="1"/>
  <c r="D4" i="5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3"/>
  <c r="I3" s="1"/>
  <c r="O3" s="1"/>
  <c r="J3" l="1"/>
  <c r="P3" s="1"/>
  <c r="M2" i="4"/>
  <c r="AE2" s="1"/>
  <c r="X3"/>
  <c r="X7"/>
  <c r="X11"/>
  <c r="X15"/>
  <c r="X19"/>
  <c r="X23"/>
  <c r="X5"/>
  <c r="X9"/>
  <c r="X17"/>
  <c r="X21"/>
  <c r="X10"/>
  <c r="X14"/>
  <c r="X22"/>
  <c r="X2"/>
  <c r="X4"/>
  <c r="X8"/>
  <c r="X12"/>
  <c r="X16"/>
  <c r="X20"/>
  <c r="X24"/>
  <c r="X13"/>
  <c r="X25"/>
  <c r="X6"/>
  <c r="X18"/>
  <c r="X26"/>
  <c r="R2"/>
  <c r="F2" s="1"/>
  <c r="K3"/>
  <c r="L3" s="1"/>
  <c r="J3"/>
  <c r="I5"/>
  <c r="J4"/>
  <c r="K4"/>
  <c r="AB4" l="1"/>
  <c r="AD3"/>
  <c r="AB3"/>
  <c r="AC4"/>
  <c r="AC3"/>
  <c r="K3" i="5"/>
  <c r="Q3" s="1"/>
  <c r="P4" i="4"/>
  <c r="D4" s="1"/>
  <c r="I5" i="5" s="1"/>
  <c r="O5" s="1"/>
  <c r="P3" i="4"/>
  <c r="D3" s="1"/>
  <c r="I4" i="5" s="1"/>
  <c r="O4" s="1"/>
  <c r="N2" i="4"/>
  <c r="AF2" s="1"/>
  <c r="Y6"/>
  <c r="Y10"/>
  <c r="Y14"/>
  <c r="Y18"/>
  <c r="Y22"/>
  <c r="Y26"/>
  <c r="Y2"/>
  <c r="Y12"/>
  <c r="Y24"/>
  <c r="Y5"/>
  <c r="Y9"/>
  <c r="Y17"/>
  <c r="Y21"/>
  <c r="Y25"/>
  <c r="Y3"/>
  <c r="Y7"/>
  <c r="Y11"/>
  <c r="Y15"/>
  <c r="Y19"/>
  <c r="Y23"/>
  <c r="Y4"/>
  <c r="Y8"/>
  <c r="Y16"/>
  <c r="Y20"/>
  <c r="Y13"/>
  <c r="S2"/>
  <c r="Q3"/>
  <c r="E3" s="1"/>
  <c r="J4" i="5" s="1"/>
  <c r="P4" s="1"/>
  <c r="M3" i="4"/>
  <c r="R3"/>
  <c r="F3" s="1"/>
  <c r="K4" i="5" s="1"/>
  <c r="Q4" s="1"/>
  <c r="L4" i="4"/>
  <c r="Q4"/>
  <c r="E4" s="1"/>
  <c r="J5" i="5" s="1"/>
  <c r="P5" s="1"/>
  <c r="J5" i="4"/>
  <c r="K5"/>
  <c r="I6"/>
  <c r="I7" s="1"/>
  <c r="G2" l="1"/>
  <c r="L3" i="5" s="1"/>
  <c r="R3" s="1"/>
  <c r="AC5" i="4"/>
  <c r="AD4"/>
  <c r="AB5"/>
  <c r="AE3"/>
  <c r="Z5"/>
  <c r="Z9"/>
  <c r="Z13"/>
  <c r="Z17"/>
  <c r="Z21"/>
  <c r="Z25"/>
  <c r="Z15"/>
  <c r="Z19"/>
  <c r="Z12"/>
  <c r="Z6"/>
  <c r="Z10"/>
  <c r="Z14"/>
  <c r="Z18"/>
  <c r="Z22"/>
  <c r="Z26"/>
  <c r="Z2"/>
  <c r="Z3"/>
  <c r="Z7"/>
  <c r="Z11"/>
  <c r="Z23"/>
  <c r="Z4"/>
  <c r="Z8"/>
  <c r="Z16"/>
  <c r="Z20"/>
  <c r="Z24"/>
  <c r="T2"/>
  <c r="P5"/>
  <c r="D5" s="1"/>
  <c r="I6" i="5" s="1"/>
  <c r="O6" s="1"/>
  <c r="M4" i="4"/>
  <c r="R4"/>
  <c r="F4" s="1"/>
  <c r="K5" i="5" s="1"/>
  <c r="Q5" s="1"/>
  <c r="L5" i="4"/>
  <c r="Q5"/>
  <c r="E5" s="1"/>
  <c r="J6" i="5" s="1"/>
  <c r="P6" s="1"/>
  <c r="N3" i="4"/>
  <c r="S3"/>
  <c r="G3" s="1"/>
  <c r="L4" i="5" s="1"/>
  <c r="R4" s="1"/>
  <c r="J7" i="4"/>
  <c r="K7"/>
  <c r="J6"/>
  <c r="K6"/>
  <c r="I8"/>
  <c r="L7"/>
  <c r="AD5" l="1"/>
  <c r="AD7"/>
  <c r="AC7"/>
  <c r="AB7"/>
  <c r="AC6"/>
  <c r="AB6"/>
  <c r="AF3"/>
  <c r="AE4"/>
  <c r="H2"/>
  <c r="P7"/>
  <c r="D7" s="1"/>
  <c r="I8" i="5" s="1"/>
  <c r="O8" s="1"/>
  <c r="Q7" i="4"/>
  <c r="E7" s="1"/>
  <c r="J8" i="5" s="1"/>
  <c r="P8" s="1"/>
  <c r="P6" i="4"/>
  <c r="D6" s="1"/>
  <c r="I7" i="5" s="1"/>
  <c r="O7" s="1"/>
  <c r="T3" i="4"/>
  <c r="H3" s="1"/>
  <c r="M4" i="5" s="1"/>
  <c r="S4" s="1"/>
  <c r="V4" s="1"/>
  <c r="Y4" s="1"/>
  <c r="M7" i="4"/>
  <c r="R7"/>
  <c r="F7" s="1"/>
  <c r="K8" i="5" s="1"/>
  <c r="Q8" s="1"/>
  <c r="M5" i="4"/>
  <c r="R5"/>
  <c r="F5" s="1"/>
  <c r="K6" i="5" s="1"/>
  <c r="Q6" s="1"/>
  <c r="L6" i="4"/>
  <c r="Q6"/>
  <c r="E6" s="1"/>
  <c r="J7" i="5" s="1"/>
  <c r="P7" s="1"/>
  <c r="N4" i="4"/>
  <c r="S4"/>
  <c r="G4" s="1"/>
  <c r="L5" i="5" s="1"/>
  <c r="R5" s="1"/>
  <c r="J8" i="4"/>
  <c r="K8"/>
  <c r="I9"/>
  <c r="AB8" l="1"/>
  <c r="AD6"/>
  <c r="AE7"/>
  <c r="U4" i="5"/>
  <c r="X4" s="1"/>
  <c r="AF4" i="4"/>
  <c r="AE5"/>
  <c r="AC8"/>
  <c r="M3" i="5"/>
  <c r="S3" s="1"/>
  <c r="T4" i="4"/>
  <c r="H4" s="1"/>
  <c r="M5" i="5" s="1"/>
  <c r="S5" s="1"/>
  <c r="P8" i="4"/>
  <c r="D8" s="1"/>
  <c r="I9" i="5" s="1"/>
  <c r="O9" s="1"/>
  <c r="N5" i="4"/>
  <c r="S5"/>
  <c r="G5" s="1"/>
  <c r="L6" i="5" s="1"/>
  <c r="R6" s="1"/>
  <c r="L8" i="4"/>
  <c r="Q8"/>
  <c r="E8" s="1"/>
  <c r="J9" i="5" s="1"/>
  <c r="P9" s="1"/>
  <c r="M6" i="4"/>
  <c r="R6"/>
  <c r="F6" s="1"/>
  <c r="K7" i="5" s="1"/>
  <c r="Q7" s="1"/>
  <c r="N7" i="4"/>
  <c r="S7"/>
  <c r="G7" s="1"/>
  <c r="L8" i="5" s="1"/>
  <c r="R8" s="1"/>
  <c r="J9" i="4"/>
  <c r="K9"/>
  <c r="I10"/>
  <c r="U5" i="5" l="1"/>
  <c r="X5" s="1"/>
  <c r="V5"/>
  <c r="Y5" s="1"/>
  <c r="AF7" i="4"/>
  <c r="AC9"/>
  <c r="AD8"/>
  <c r="AB9"/>
  <c r="AE6"/>
  <c r="AF5"/>
  <c r="V3" i="5"/>
  <c r="Y3" s="1"/>
  <c r="U3"/>
  <c r="X3" s="1"/>
  <c r="T7" i="4"/>
  <c r="H7" s="1"/>
  <c r="M8" i="5" s="1"/>
  <c r="S8" s="1"/>
  <c r="V8" s="1"/>
  <c r="Y8" s="1"/>
  <c r="Q9" i="4"/>
  <c r="E9" s="1"/>
  <c r="J10" i="5" s="1"/>
  <c r="P10" s="1"/>
  <c r="P9" i="4"/>
  <c r="D9" s="1"/>
  <c r="I10" i="5" s="1"/>
  <c r="O10" s="1"/>
  <c r="T5" i="4"/>
  <c r="H5" s="1"/>
  <c r="M6" i="5" s="1"/>
  <c r="S6" s="1"/>
  <c r="L9" i="4"/>
  <c r="M8"/>
  <c r="R8"/>
  <c r="F8" s="1"/>
  <c r="K9" i="5" s="1"/>
  <c r="Q9" s="1"/>
  <c r="N6" i="4"/>
  <c r="S6"/>
  <c r="G6" s="1"/>
  <c r="L7" i="5" s="1"/>
  <c r="R7" s="1"/>
  <c r="J10" i="4"/>
  <c r="K10"/>
  <c r="I11"/>
  <c r="U6" i="5" l="1"/>
  <c r="X6" s="1"/>
  <c r="V6"/>
  <c r="Y6" s="1"/>
  <c r="AC10" i="4"/>
  <c r="AF6"/>
  <c r="AB10"/>
  <c r="AE8"/>
  <c r="U8" i="5"/>
  <c r="X8" s="1"/>
  <c r="AD9" i="4"/>
  <c r="P10"/>
  <c r="D10" s="1"/>
  <c r="I11" i="5" s="1"/>
  <c r="O11" s="1"/>
  <c r="T6" i="4"/>
  <c r="H6" s="1"/>
  <c r="M7" i="5" s="1"/>
  <c r="S7" s="1"/>
  <c r="Q10" i="4"/>
  <c r="E10" s="1"/>
  <c r="J11" i="5" s="1"/>
  <c r="P11" s="1"/>
  <c r="N8" i="4"/>
  <c r="S8"/>
  <c r="G8" s="1"/>
  <c r="L9" i="5" s="1"/>
  <c r="R9" s="1"/>
  <c r="L10" i="4"/>
  <c r="M9"/>
  <c r="R9"/>
  <c r="F9" s="1"/>
  <c r="K10" i="5" s="1"/>
  <c r="Q10" s="1"/>
  <c r="J11" i="4"/>
  <c r="K11"/>
  <c r="I12"/>
  <c r="V7" i="5" l="1"/>
  <c r="Y7" s="1"/>
  <c r="U7"/>
  <c r="X7" s="1"/>
  <c r="AF8" i="4"/>
  <c r="AB11"/>
  <c r="AE9"/>
  <c r="AC11"/>
  <c r="AD10"/>
  <c r="Q11"/>
  <c r="E11" s="1"/>
  <c r="J12" i="5" s="1"/>
  <c r="P12" s="1"/>
  <c r="P11" i="4"/>
  <c r="D11" s="1"/>
  <c r="I12" i="5" s="1"/>
  <c r="O12" s="1"/>
  <c r="T8" i="4"/>
  <c r="H8" s="1"/>
  <c r="M9" i="5" s="1"/>
  <c r="S9" s="1"/>
  <c r="V9" s="1"/>
  <c r="Y9" s="1"/>
  <c r="N9" i="4"/>
  <c r="S9"/>
  <c r="G9" s="1"/>
  <c r="L10" i="5" s="1"/>
  <c r="R10" s="1"/>
  <c r="M10" i="4"/>
  <c r="R10"/>
  <c r="F10" s="1"/>
  <c r="K11" i="5" s="1"/>
  <c r="Q11" s="1"/>
  <c r="L11" i="4"/>
  <c r="J12"/>
  <c r="K12"/>
  <c r="I13"/>
  <c r="AB12" l="1"/>
  <c r="AD11"/>
  <c r="AF9"/>
  <c r="AC12"/>
  <c r="AE10"/>
  <c r="U9" i="5"/>
  <c r="X9" s="1"/>
  <c r="P12" i="4"/>
  <c r="D12" s="1"/>
  <c r="I13" i="5" s="1"/>
  <c r="O13" s="1"/>
  <c r="T9" i="4"/>
  <c r="H9" s="1"/>
  <c r="M10" i="5" s="1"/>
  <c r="S10" s="1"/>
  <c r="U10" s="1"/>
  <c r="X10" s="1"/>
  <c r="L12" i="4"/>
  <c r="Q12"/>
  <c r="E12" s="1"/>
  <c r="J13" i="5" s="1"/>
  <c r="P13" s="1"/>
  <c r="N10" i="4"/>
  <c r="S10"/>
  <c r="G10" s="1"/>
  <c r="L11" i="5" s="1"/>
  <c r="R11" s="1"/>
  <c r="M11" i="4"/>
  <c r="R11"/>
  <c r="F11" s="1"/>
  <c r="K12" i="5" s="1"/>
  <c r="Q12" s="1"/>
  <c r="J13" i="4"/>
  <c r="K13"/>
  <c r="I14"/>
  <c r="V10" i="5" l="1"/>
  <c r="Y10" s="1"/>
  <c r="AC13" i="4"/>
  <c r="AE11"/>
  <c r="AD12"/>
  <c r="AB13"/>
  <c r="AF10"/>
  <c r="P13"/>
  <c r="D13" s="1"/>
  <c r="I14" i="5" s="1"/>
  <c r="O14" s="1"/>
  <c r="T10" i="4"/>
  <c r="H10" s="1"/>
  <c r="M11" i="5" s="1"/>
  <c r="S11" s="1"/>
  <c r="U11" s="1"/>
  <c r="X11" s="1"/>
  <c r="L13" i="4"/>
  <c r="Q13"/>
  <c r="E13" s="1"/>
  <c r="J14" i="5" s="1"/>
  <c r="P14" s="1"/>
  <c r="N11" i="4"/>
  <c r="S11"/>
  <c r="G11" s="1"/>
  <c r="L12" i="5" s="1"/>
  <c r="R12" s="1"/>
  <c r="M12" i="4"/>
  <c r="R12"/>
  <c r="F12" s="1"/>
  <c r="K13" i="5" s="1"/>
  <c r="Q13" s="1"/>
  <c r="J14" i="4"/>
  <c r="K14"/>
  <c r="I15"/>
  <c r="AD13" l="1"/>
  <c r="AC14"/>
  <c r="AB14"/>
  <c r="AF11"/>
  <c r="AE12"/>
  <c r="V11" i="5"/>
  <c r="Y11" s="1"/>
  <c r="Q14" i="4"/>
  <c r="E14" s="1"/>
  <c r="J15" i="5" s="1"/>
  <c r="P15" s="1"/>
  <c r="P14" i="4"/>
  <c r="D14" s="1"/>
  <c r="I15" i="5" s="1"/>
  <c r="O15" s="1"/>
  <c r="T11" i="4"/>
  <c r="H11" s="1"/>
  <c r="M12" i="5" s="1"/>
  <c r="S12" s="1"/>
  <c r="L14" i="4"/>
  <c r="N12"/>
  <c r="S12"/>
  <c r="G12" s="1"/>
  <c r="L13" i="5" s="1"/>
  <c r="R13" s="1"/>
  <c r="M13" i="4"/>
  <c r="R13"/>
  <c r="F13" s="1"/>
  <c r="K14" i="5" s="1"/>
  <c r="Q14" s="1"/>
  <c r="J15" i="4"/>
  <c r="K15"/>
  <c r="I16"/>
  <c r="U12" i="5" l="1"/>
  <c r="X12" s="1"/>
  <c r="V12"/>
  <c r="Y12" s="1"/>
  <c r="AC15" i="4"/>
  <c r="AD14"/>
  <c r="AE13"/>
  <c r="AB15"/>
  <c r="AF12"/>
  <c r="P15"/>
  <c r="D15" s="1"/>
  <c r="I16" i="5" s="1"/>
  <c r="O16" s="1"/>
  <c r="T12" i="4"/>
  <c r="H12" s="1"/>
  <c r="M13" i="5" s="1"/>
  <c r="S13" s="1"/>
  <c r="V13" s="1"/>
  <c r="Y13" s="1"/>
  <c r="N13" i="4"/>
  <c r="S13"/>
  <c r="G13" s="1"/>
  <c r="L14" i="5" s="1"/>
  <c r="R14" s="1"/>
  <c r="L15" i="4"/>
  <c r="Q15"/>
  <c r="E15" s="1"/>
  <c r="J16" i="5" s="1"/>
  <c r="P16" s="1"/>
  <c r="M14" i="4"/>
  <c r="R14"/>
  <c r="F14" s="1"/>
  <c r="K15" i="5" s="1"/>
  <c r="Q15" s="1"/>
  <c r="J16" i="4"/>
  <c r="K16"/>
  <c r="I17"/>
  <c r="AB16" l="1"/>
  <c r="AD15"/>
  <c r="AE14"/>
  <c r="AF13"/>
  <c r="U13" i="5"/>
  <c r="X13" s="1"/>
  <c r="AC16" i="4"/>
  <c r="T13"/>
  <c r="H13" s="1"/>
  <c r="M14" i="5" s="1"/>
  <c r="S14" s="1"/>
  <c r="P16" i="4"/>
  <c r="D16" s="1"/>
  <c r="I17" i="5" s="1"/>
  <c r="O17" s="1"/>
  <c r="L16" i="4"/>
  <c r="Q16"/>
  <c r="E16" s="1"/>
  <c r="J17" i="5" s="1"/>
  <c r="P17" s="1"/>
  <c r="M15" i="4"/>
  <c r="R15"/>
  <c r="F15" s="1"/>
  <c r="K16" i="5" s="1"/>
  <c r="Q16" s="1"/>
  <c r="N14" i="4"/>
  <c r="S14"/>
  <c r="G14" s="1"/>
  <c r="L15" i="5" s="1"/>
  <c r="R15" s="1"/>
  <c r="J17" i="4"/>
  <c r="K17"/>
  <c r="I18"/>
  <c r="U14" i="5" l="1"/>
  <c r="X14" s="1"/>
  <c r="V14"/>
  <c r="Y14" s="1"/>
  <c r="AE15" i="4"/>
  <c r="AF14"/>
  <c r="AD16"/>
  <c r="AC17"/>
  <c r="AB17"/>
  <c r="P17"/>
  <c r="D17" s="1"/>
  <c r="I18" i="5" s="1"/>
  <c r="O18" s="1"/>
  <c r="T14" i="4"/>
  <c r="H14" s="1"/>
  <c r="M15" i="5" s="1"/>
  <c r="S15" s="1"/>
  <c r="L17" i="4"/>
  <c r="Q17"/>
  <c r="E17" s="1"/>
  <c r="J18" i="5" s="1"/>
  <c r="P18" s="1"/>
  <c r="N15" i="4"/>
  <c r="S15"/>
  <c r="G15" s="1"/>
  <c r="L16" i="5" s="1"/>
  <c r="R16" s="1"/>
  <c r="M16" i="4"/>
  <c r="R16"/>
  <c r="F16" s="1"/>
  <c r="K17" i="5" s="1"/>
  <c r="Q17" s="1"/>
  <c r="J18" i="4"/>
  <c r="K18"/>
  <c r="I19"/>
  <c r="V15" i="5" l="1"/>
  <c r="Y15" s="1"/>
  <c r="U15"/>
  <c r="X15" s="1"/>
  <c r="AB18" i="4"/>
  <c r="AE16"/>
  <c r="AD17"/>
  <c r="AC18"/>
  <c r="AF15"/>
  <c r="Q18"/>
  <c r="E18" s="1"/>
  <c r="J19" i="5" s="1"/>
  <c r="P19" s="1"/>
  <c r="P18" i="4"/>
  <c r="D18" s="1"/>
  <c r="I19" i="5" s="1"/>
  <c r="O19" s="1"/>
  <c r="T15" i="4"/>
  <c r="H15" s="1"/>
  <c r="M16" i="5" s="1"/>
  <c r="S16" s="1"/>
  <c r="L18" i="4"/>
  <c r="N16"/>
  <c r="S16"/>
  <c r="G16" s="1"/>
  <c r="L17" i="5" s="1"/>
  <c r="R17" s="1"/>
  <c r="M17" i="4"/>
  <c r="R17"/>
  <c r="F17" s="1"/>
  <c r="K18" i="5" s="1"/>
  <c r="Q18" s="1"/>
  <c r="J19" i="4"/>
  <c r="K19"/>
  <c r="I20"/>
  <c r="U16" i="5" l="1"/>
  <c r="X16" s="1"/>
  <c r="V16"/>
  <c r="Y16" s="1"/>
  <c r="AC19" i="4"/>
  <c r="AB19"/>
  <c r="AF16"/>
  <c r="AD18"/>
  <c r="AE17"/>
  <c r="P19"/>
  <c r="D19" s="1"/>
  <c r="I20" i="5" s="1"/>
  <c r="O20" s="1"/>
  <c r="T16" i="4"/>
  <c r="H16" s="1"/>
  <c r="M17" i="5" s="1"/>
  <c r="S17" s="1"/>
  <c r="N17" i="4"/>
  <c r="S17"/>
  <c r="G17" s="1"/>
  <c r="L18" i="5" s="1"/>
  <c r="R18" s="1"/>
  <c r="L19" i="4"/>
  <c r="Q19"/>
  <c r="E19" s="1"/>
  <c r="J20" i="5" s="1"/>
  <c r="P20" s="1"/>
  <c r="M18" i="4"/>
  <c r="R18"/>
  <c r="F18" s="1"/>
  <c r="K19" i="5" s="1"/>
  <c r="Q19" s="1"/>
  <c r="J20" i="4"/>
  <c r="K20"/>
  <c r="I21"/>
  <c r="U17" i="5" l="1"/>
  <c r="X17" s="1"/>
  <c r="V17"/>
  <c r="Y17" s="1"/>
  <c r="AB20" i="4"/>
  <c r="AD19"/>
  <c r="AC20"/>
  <c r="AE18"/>
  <c r="AF17"/>
  <c r="T17"/>
  <c r="H17" s="1"/>
  <c r="M18" i="5" s="1"/>
  <c r="S18" s="1"/>
  <c r="Q20" i="4"/>
  <c r="E20" s="1"/>
  <c r="J21" i="5" s="1"/>
  <c r="P21" s="1"/>
  <c r="P20" i="4"/>
  <c r="D20" s="1"/>
  <c r="I21" i="5" s="1"/>
  <c r="O21" s="1"/>
  <c r="L20" i="4"/>
  <c r="R20" s="1"/>
  <c r="M19"/>
  <c r="R19"/>
  <c r="F19" s="1"/>
  <c r="K20" i="5" s="1"/>
  <c r="Q20" s="1"/>
  <c r="N18" i="4"/>
  <c r="S18"/>
  <c r="G18" s="1"/>
  <c r="L19" i="5" s="1"/>
  <c r="R19" s="1"/>
  <c r="J21" i="4"/>
  <c r="K21"/>
  <c r="I22"/>
  <c r="U18" i="5" l="1"/>
  <c r="X18" s="1"/>
  <c r="V18"/>
  <c r="Y18" s="1"/>
  <c r="AD20" i="4"/>
  <c r="F20"/>
  <c r="K21" i="5" s="1"/>
  <c r="Q21" s="1"/>
  <c r="AF18" i="4"/>
  <c r="AE19"/>
  <c r="AC21"/>
  <c r="AB21"/>
  <c r="M20"/>
  <c r="P21"/>
  <c r="D21" s="1"/>
  <c r="I22" i="5" s="1"/>
  <c r="O22" s="1"/>
  <c r="T18" i="4"/>
  <c r="H18" s="1"/>
  <c r="M19" i="5" s="1"/>
  <c r="S19" s="1"/>
  <c r="V19" s="1"/>
  <c r="Y19" s="1"/>
  <c r="Q21" i="4"/>
  <c r="E21" s="1"/>
  <c r="J22" i="5" s="1"/>
  <c r="P22" s="1"/>
  <c r="N20" i="4"/>
  <c r="S20"/>
  <c r="L21"/>
  <c r="N19"/>
  <c r="S19"/>
  <c r="G19" s="1"/>
  <c r="L20" i="5" s="1"/>
  <c r="R20" s="1"/>
  <c r="J22" i="4"/>
  <c r="K22"/>
  <c r="I23"/>
  <c r="AB22" l="1"/>
  <c r="AF20"/>
  <c r="AE20"/>
  <c r="G20"/>
  <c r="L21" i="5" s="1"/>
  <c r="R21" s="1"/>
  <c r="U19"/>
  <c r="X19" s="1"/>
  <c r="AF19" i="4"/>
  <c r="AC22"/>
  <c r="AD21"/>
  <c r="Q22"/>
  <c r="E22" s="1"/>
  <c r="J23" i="5" s="1"/>
  <c r="P23" s="1"/>
  <c r="P22" i="4"/>
  <c r="D22" s="1"/>
  <c r="I23" i="5" s="1"/>
  <c r="O23" s="1"/>
  <c r="T20" i="4"/>
  <c r="H20" s="1"/>
  <c r="M21" i="5" s="1"/>
  <c r="S21" s="1"/>
  <c r="L22" i="4"/>
  <c r="T19"/>
  <c r="H19" s="1"/>
  <c r="M20" i="5" s="1"/>
  <c r="S20" s="1"/>
  <c r="V20" s="1"/>
  <c r="Y20" s="1"/>
  <c r="M21" i="4"/>
  <c r="R21"/>
  <c r="F21" s="1"/>
  <c r="K22" i="5" s="1"/>
  <c r="Q22" s="1"/>
  <c r="J23" i="4"/>
  <c r="K23"/>
  <c r="I24"/>
  <c r="V21" i="5" l="1"/>
  <c r="Y21" s="1"/>
  <c r="AB23" i="4"/>
  <c r="AD22"/>
  <c r="AC23"/>
  <c r="U21" i="5"/>
  <c r="X21" s="1"/>
  <c r="U20"/>
  <c r="X20" s="1"/>
  <c r="AE21" i="4"/>
  <c r="Q23"/>
  <c r="E23" s="1"/>
  <c r="J24" i="5" s="1"/>
  <c r="P24" s="1"/>
  <c r="P23" i="4"/>
  <c r="D23" s="1"/>
  <c r="I24" i="5" s="1"/>
  <c r="O24" s="1"/>
  <c r="L23" i="4"/>
  <c r="R23" s="1"/>
  <c r="R22"/>
  <c r="F22" s="1"/>
  <c r="K23" i="5" s="1"/>
  <c r="Q23" s="1"/>
  <c r="M22" i="4"/>
  <c r="S22" s="1"/>
  <c r="N21"/>
  <c r="S21"/>
  <c r="G21" s="1"/>
  <c r="L22" i="5" s="1"/>
  <c r="R22" s="1"/>
  <c r="J24" i="4"/>
  <c r="K24"/>
  <c r="I25"/>
  <c r="AF21" l="1"/>
  <c r="AE22"/>
  <c r="G22"/>
  <c r="L23" i="5" s="1"/>
  <c r="R23" s="1"/>
  <c r="AB24" i="4"/>
  <c r="N22"/>
  <c r="AD23"/>
  <c r="F23"/>
  <c r="K24" i="5" s="1"/>
  <c r="Q24" s="1"/>
  <c r="AC24" i="4"/>
  <c r="T22"/>
  <c r="T21"/>
  <c r="H21" s="1"/>
  <c r="M22" i="5" s="1"/>
  <c r="S22" s="1"/>
  <c r="P24" i="4"/>
  <c r="D24" s="1"/>
  <c r="I25" i="5" s="1"/>
  <c r="O25" s="1"/>
  <c r="M23" i="4"/>
  <c r="N23" s="1"/>
  <c r="Q24"/>
  <c r="E24" s="1"/>
  <c r="J25" i="5" s="1"/>
  <c r="P25" s="1"/>
  <c r="L24" i="4"/>
  <c r="J25"/>
  <c r="K25"/>
  <c r="I26"/>
  <c r="AF23" l="1"/>
  <c r="V22" i="5"/>
  <c r="Y22" s="1"/>
  <c r="U22"/>
  <c r="X22" s="1"/>
  <c r="AC25" i="4"/>
  <c r="AD24"/>
  <c r="AB25"/>
  <c r="AE23"/>
  <c r="AF22"/>
  <c r="H22"/>
  <c r="M23" i="5" s="1"/>
  <c r="S23" s="1"/>
  <c r="V23" s="1"/>
  <c r="Y23" s="1"/>
  <c r="P25" i="4"/>
  <c r="D25" s="1"/>
  <c r="I26" i="5" s="1"/>
  <c r="O26" s="1"/>
  <c r="S23" i="4"/>
  <c r="G23" s="1"/>
  <c r="L24" i="5" s="1"/>
  <c r="R24" s="1"/>
  <c r="T23" i="4"/>
  <c r="H23" s="1"/>
  <c r="M24" i="5" s="1"/>
  <c r="S24" s="1"/>
  <c r="L25" i="4"/>
  <c r="Q25"/>
  <c r="E25" s="1"/>
  <c r="J26" i="5" s="1"/>
  <c r="P26" s="1"/>
  <c r="M24" i="4"/>
  <c r="R24"/>
  <c r="F24" s="1"/>
  <c r="K25" i="5" s="1"/>
  <c r="Q25" s="1"/>
  <c r="J26" i="4"/>
  <c r="K26"/>
  <c r="V24" i="5" l="1"/>
  <c r="Y24" s="1"/>
  <c r="U24"/>
  <c r="X24" s="1"/>
  <c r="U23"/>
  <c r="X23" s="1"/>
  <c r="AE24" i="4"/>
  <c r="AB26"/>
  <c r="AD25"/>
  <c r="AC26"/>
  <c r="P26"/>
  <c r="D26" s="1"/>
  <c r="I27" i="5" s="1"/>
  <c r="O27" s="1"/>
  <c r="N24" i="4"/>
  <c r="S24"/>
  <c r="G24" s="1"/>
  <c r="L25" i="5" s="1"/>
  <c r="R25" s="1"/>
  <c r="L26" i="4"/>
  <c r="Q26"/>
  <c r="E26" s="1"/>
  <c r="J27" i="5" s="1"/>
  <c r="P27" s="1"/>
  <c r="M25" i="4"/>
  <c r="R25"/>
  <c r="F25" s="1"/>
  <c r="K26" i="5" s="1"/>
  <c r="Q26" s="1"/>
  <c r="AD26" i="4" l="1"/>
  <c r="AE25"/>
  <c r="AF24"/>
  <c r="T24"/>
  <c r="H24" s="1"/>
  <c r="M25" i="5" s="1"/>
  <c r="S25" s="1"/>
  <c r="V25" s="1"/>
  <c r="Y25" s="1"/>
  <c r="M26" i="4"/>
  <c r="R26"/>
  <c r="F26" s="1"/>
  <c r="K27" i="5" s="1"/>
  <c r="Q27" s="1"/>
  <c r="N25" i="4"/>
  <c r="S25"/>
  <c r="G25" s="1"/>
  <c r="L26" i="5" s="1"/>
  <c r="R26" s="1"/>
  <c r="U25" l="1"/>
  <c r="X25" s="1"/>
  <c r="AF25" i="4"/>
  <c r="AE26"/>
  <c r="T25"/>
  <c r="H25" s="1"/>
  <c r="M26" i="5" s="1"/>
  <c r="S26" s="1"/>
  <c r="V26" s="1"/>
  <c r="Y26" s="1"/>
  <c r="N26" i="4"/>
  <c r="S26"/>
  <c r="G26" s="1"/>
  <c r="L27" i="5" s="1"/>
  <c r="R27" s="1"/>
  <c r="AF26" i="4" l="1"/>
  <c r="U26" i="5"/>
  <c r="X26" s="1"/>
  <c r="T26" i="4"/>
  <c r="H26" s="1"/>
  <c r="M27" i="5" s="1"/>
  <c r="S27" s="1"/>
  <c r="V27" s="1"/>
  <c r="Y27" s="1"/>
  <c r="U27" l="1"/>
  <c r="X27" s="1"/>
  <c r="AJ2" i="4"/>
  <c r="AI2"/>
  <c r="AH3"/>
  <c r="AH4" s="1"/>
  <c r="AH5" s="1"/>
  <c r="AH6" s="1"/>
  <c r="AH7" s="1"/>
  <c r="AH8" s="1"/>
  <c r="AH9" s="1"/>
  <c r="AH10" s="1"/>
  <c r="AH11" s="1"/>
  <c r="AH12" s="1"/>
  <c r="AH13" s="1"/>
  <c r="AH14" s="1"/>
  <c r="AH15" s="1"/>
  <c r="AH16" s="1"/>
  <c r="AH17" s="1"/>
  <c r="AH18" s="1"/>
  <c r="AH19" s="1"/>
  <c r="AH20" s="1"/>
  <c r="AH21" s="1"/>
  <c r="AH22" s="1"/>
  <c r="AH23" s="1"/>
  <c r="AH24" s="1"/>
  <c r="AH25" s="1"/>
  <c r="AH26" s="1"/>
  <c r="AI26" s="1"/>
  <c r="A29" i="5"/>
  <c r="A30"/>
  <c r="A31"/>
  <c r="A56" s="1"/>
  <c r="A32"/>
  <c r="A33"/>
  <c r="A34"/>
  <c r="A35"/>
  <c r="A36"/>
  <c r="A37"/>
  <c r="A38"/>
  <c r="A39"/>
  <c r="A64" s="1"/>
  <c r="A40"/>
  <c r="A41"/>
  <c r="A42"/>
  <c r="A43"/>
  <c r="A68" s="1"/>
  <c r="A44"/>
  <c r="A45"/>
  <c r="A46"/>
  <c r="A47"/>
  <c r="A72" s="1"/>
  <c r="A48"/>
  <c r="A49"/>
  <c r="A50"/>
  <c r="A51"/>
  <c r="A76" s="1"/>
  <c r="A52"/>
  <c r="A55"/>
  <c r="A59"/>
  <c r="A84" s="1"/>
  <c r="A60"/>
  <c r="A63"/>
  <c r="A88" s="1"/>
  <c r="A67"/>
  <c r="A71"/>
  <c r="A96" s="1"/>
  <c r="A75"/>
  <c r="A80"/>
  <c r="A28"/>
  <c r="A53" s="1"/>
  <c r="AO3" i="4"/>
  <c r="AO4"/>
  <c r="AO5"/>
  <c r="AO2"/>
  <c r="AP2" s="1"/>
  <c r="AN6"/>
  <c r="AN7" s="1"/>
  <c r="A78" i="5" l="1"/>
  <c r="D53"/>
  <c r="I53" s="1"/>
  <c r="O53" s="1"/>
  <c r="H53"/>
  <c r="M53" s="1"/>
  <c r="S53" s="1"/>
  <c r="G53"/>
  <c r="L53" s="1"/>
  <c r="R53" s="1"/>
  <c r="F53"/>
  <c r="K53" s="1"/>
  <c r="Q53" s="1"/>
  <c r="E53"/>
  <c r="J53" s="1"/>
  <c r="P53" s="1"/>
  <c r="A109"/>
  <c r="E84"/>
  <c r="J84" s="1"/>
  <c r="P84" s="1"/>
  <c r="D84"/>
  <c r="I84" s="1"/>
  <c r="O84" s="1"/>
  <c r="H84"/>
  <c r="M84" s="1"/>
  <c r="S84" s="1"/>
  <c r="G84"/>
  <c r="L84" s="1"/>
  <c r="R84" s="1"/>
  <c r="F84"/>
  <c r="K84" s="1"/>
  <c r="Q84" s="1"/>
  <c r="A113"/>
  <c r="E88"/>
  <c r="J88" s="1"/>
  <c r="P88" s="1"/>
  <c r="D88"/>
  <c r="I88" s="1"/>
  <c r="O88" s="1"/>
  <c r="H88"/>
  <c r="M88" s="1"/>
  <c r="S88" s="1"/>
  <c r="G88"/>
  <c r="L88" s="1"/>
  <c r="R88" s="1"/>
  <c r="F88"/>
  <c r="K88" s="1"/>
  <c r="Q88" s="1"/>
  <c r="F67"/>
  <c r="K67" s="1"/>
  <c r="Q67" s="1"/>
  <c r="E67"/>
  <c r="J67" s="1"/>
  <c r="P67" s="1"/>
  <c r="D67"/>
  <c r="I67" s="1"/>
  <c r="O67" s="1"/>
  <c r="G67"/>
  <c r="L67" s="1"/>
  <c r="R67" s="1"/>
  <c r="H67"/>
  <c r="M67" s="1"/>
  <c r="S67" s="1"/>
  <c r="A69"/>
  <c r="E44"/>
  <c r="J44" s="1"/>
  <c r="P44" s="1"/>
  <c r="D44"/>
  <c r="I44" s="1"/>
  <c r="O44" s="1"/>
  <c r="H44"/>
  <c r="M44" s="1"/>
  <c r="S44" s="1"/>
  <c r="G44"/>
  <c r="L44" s="1"/>
  <c r="R44" s="1"/>
  <c r="F44"/>
  <c r="K44" s="1"/>
  <c r="Q44" s="1"/>
  <c r="A61"/>
  <c r="E36"/>
  <c r="J36" s="1"/>
  <c r="P36" s="1"/>
  <c r="D36"/>
  <c r="I36" s="1"/>
  <c r="O36" s="1"/>
  <c r="H36"/>
  <c r="M36" s="1"/>
  <c r="S36" s="1"/>
  <c r="G36"/>
  <c r="L36" s="1"/>
  <c r="R36" s="1"/>
  <c r="F36"/>
  <c r="K36" s="1"/>
  <c r="Q36" s="1"/>
  <c r="A92"/>
  <c r="A101"/>
  <c r="E76"/>
  <c r="J76" s="1"/>
  <c r="P76" s="1"/>
  <c r="D76"/>
  <c r="I76" s="1"/>
  <c r="O76" s="1"/>
  <c r="H76"/>
  <c r="M76" s="1"/>
  <c r="S76" s="1"/>
  <c r="G76"/>
  <c r="L76" s="1"/>
  <c r="R76" s="1"/>
  <c r="F76"/>
  <c r="K76" s="1"/>
  <c r="Q76" s="1"/>
  <c r="A93"/>
  <c r="E68"/>
  <c r="J68" s="1"/>
  <c r="P68" s="1"/>
  <c r="D68"/>
  <c r="I68" s="1"/>
  <c r="O68" s="1"/>
  <c r="H68"/>
  <c r="M68" s="1"/>
  <c r="S68" s="1"/>
  <c r="G68"/>
  <c r="L68" s="1"/>
  <c r="R68" s="1"/>
  <c r="F68"/>
  <c r="K68" s="1"/>
  <c r="Q68" s="1"/>
  <c r="A85"/>
  <c r="E60"/>
  <c r="J60" s="1"/>
  <c r="P60" s="1"/>
  <c r="D60"/>
  <c r="I60" s="1"/>
  <c r="O60" s="1"/>
  <c r="H60"/>
  <c r="M60" s="1"/>
  <c r="S60" s="1"/>
  <c r="G60"/>
  <c r="L60" s="1"/>
  <c r="R60" s="1"/>
  <c r="F60"/>
  <c r="K60" s="1"/>
  <c r="Q60" s="1"/>
  <c r="A74"/>
  <c r="D49"/>
  <c r="I49" s="1"/>
  <c r="O49" s="1"/>
  <c r="H49"/>
  <c r="M49" s="1"/>
  <c r="S49" s="1"/>
  <c r="G49"/>
  <c r="L49" s="1"/>
  <c r="R49" s="1"/>
  <c r="F49"/>
  <c r="K49" s="1"/>
  <c r="Q49" s="1"/>
  <c r="E49"/>
  <c r="J49" s="1"/>
  <c r="P49" s="1"/>
  <c r="A70"/>
  <c r="D45"/>
  <c r="I45" s="1"/>
  <c r="O45" s="1"/>
  <c r="H45"/>
  <c r="M45" s="1"/>
  <c r="S45" s="1"/>
  <c r="G45"/>
  <c r="L45" s="1"/>
  <c r="R45" s="1"/>
  <c r="E45"/>
  <c r="J45" s="1"/>
  <c r="P45" s="1"/>
  <c r="F45"/>
  <c r="K45" s="1"/>
  <c r="Q45" s="1"/>
  <c r="A66"/>
  <c r="D41"/>
  <c r="I41" s="1"/>
  <c r="O41" s="1"/>
  <c r="H41"/>
  <c r="M41" s="1"/>
  <c r="S41" s="1"/>
  <c r="G41"/>
  <c r="L41" s="1"/>
  <c r="R41" s="1"/>
  <c r="F41"/>
  <c r="K41" s="1"/>
  <c r="Q41" s="1"/>
  <c r="E41"/>
  <c r="J41" s="1"/>
  <c r="P41" s="1"/>
  <c r="A62"/>
  <c r="D37"/>
  <c r="I37" s="1"/>
  <c r="O37" s="1"/>
  <c r="H37"/>
  <c r="M37" s="1"/>
  <c r="S37" s="1"/>
  <c r="G37"/>
  <c r="L37" s="1"/>
  <c r="R37" s="1"/>
  <c r="F37"/>
  <c r="K37" s="1"/>
  <c r="Q37" s="1"/>
  <c r="E37"/>
  <c r="J37" s="1"/>
  <c r="P37" s="1"/>
  <c r="A58"/>
  <c r="D33"/>
  <c r="I33" s="1"/>
  <c r="O33" s="1"/>
  <c r="H33"/>
  <c r="M33" s="1"/>
  <c r="S33" s="1"/>
  <c r="G33"/>
  <c r="L33" s="1"/>
  <c r="R33" s="1"/>
  <c r="F33"/>
  <c r="K33" s="1"/>
  <c r="Q33" s="1"/>
  <c r="E33"/>
  <c r="J33" s="1"/>
  <c r="P33" s="1"/>
  <c r="A54"/>
  <c r="D29"/>
  <c r="I29" s="1"/>
  <c r="O29" s="1"/>
  <c r="H29"/>
  <c r="M29" s="1"/>
  <c r="S29" s="1"/>
  <c r="G29"/>
  <c r="L29" s="1"/>
  <c r="R29" s="1"/>
  <c r="E29"/>
  <c r="J29" s="1"/>
  <c r="P29" s="1"/>
  <c r="F29"/>
  <c r="K29" s="1"/>
  <c r="Q29" s="1"/>
  <c r="F75"/>
  <c r="K75" s="1"/>
  <c r="Q75" s="1"/>
  <c r="E75"/>
  <c r="J75" s="1"/>
  <c r="P75" s="1"/>
  <c r="D75"/>
  <c r="I75" s="1"/>
  <c r="O75" s="1"/>
  <c r="H75"/>
  <c r="M75" s="1"/>
  <c r="S75" s="1"/>
  <c r="G75"/>
  <c r="L75" s="1"/>
  <c r="R75" s="1"/>
  <c r="A77"/>
  <c r="E52"/>
  <c r="J52" s="1"/>
  <c r="P52" s="1"/>
  <c r="D52"/>
  <c r="I52" s="1"/>
  <c r="O52" s="1"/>
  <c r="H52"/>
  <c r="M52" s="1"/>
  <c r="S52" s="1"/>
  <c r="G52"/>
  <c r="L52" s="1"/>
  <c r="R52" s="1"/>
  <c r="F52"/>
  <c r="K52" s="1"/>
  <c r="Q52" s="1"/>
  <c r="A65"/>
  <c r="E40"/>
  <c r="J40" s="1"/>
  <c r="P40" s="1"/>
  <c r="D40"/>
  <c r="I40" s="1"/>
  <c r="O40" s="1"/>
  <c r="H40"/>
  <c r="M40" s="1"/>
  <c r="S40" s="1"/>
  <c r="G40"/>
  <c r="L40" s="1"/>
  <c r="R40" s="1"/>
  <c r="F40"/>
  <c r="K40" s="1"/>
  <c r="Q40" s="1"/>
  <c r="A100"/>
  <c r="A97"/>
  <c r="E72"/>
  <c r="J72" s="1"/>
  <c r="P72" s="1"/>
  <c r="D72"/>
  <c r="I72" s="1"/>
  <c r="O72" s="1"/>
  <c r="H72"/>
  <c r="M72" s="1"/>
  <c r="S72" s="1"/>
  <c r="G72"/>
  <c r="L72" s="1"/>
  <c r="R72" s="1"/>
  <c r="F72"/>
  <c r="K72" s="1"/>
  <c r="Q72" s="1"/>
  <c r="A89"/>
  <c r="E64"/>
  <c r="J64" s="1"/>
  <c r="P64" s="1"/>
  <c r="D64"/>
  <c r="I64" s="1"/>
  <c r="O64" s="1"/>
  <c r="H64"/>
  <c r="M64" s="1"/>
  <c r="S64" s="1"/>
  <c r="F64"/>
  <c r="K64" s="1"/>
  <c r="Q64" s="1"/>
  <c r="G64"/>
  <c r="L64" s="1"/>
  <c r="R64" s="1"/>
  <c r="A81"/>
  <c r="E56"/>
  <c r="J56" s="1"/>
  <c r="P56" s="1"/>
  <c r="D56"/>
  <c r="I56" s="1"/>
  <c r="O56" s="1"/>
  <c r="H56"/>
  <c r="M56" s="1"/>
  <c r="S56" s="1"/>
  <c r="G56"/>
  <c r="L56" s="1"/>
  <c r="R56" s="1"/>
  <c r="F56"/>
  <c r="K56" s="1"/>
  <c r="Q56" s="1"/>
  <c r="F51"/>
  <c r="K51" s="1"/>
  <c r="Q51" s="1"/>
  <c r="E51"/>
  <c r="J51" s="1"/>
  <c r="P51" s="1"/>
  <c r="D51"/>
  <c r="I51" s="1"/>
  <c r="O51" s="1"/>
  <c r="G51"/>
  <c r="L51" s="1"/>
  <c r="R51" s="1"/>
  <c r="H51"/>
  <c r="M51" s="1"/>
  <c r="S51" s="1"/>
  <c r="F47"/>
  <c r="K47" s="1"/>
  <c r="Q47" s="1"/>
  <c r="E47"/>
  <c r="J47" s="1"/>
  <c r="P47" s="1"/>
  <c r="H47"/>
  <c r="M47" s="1"/>
  <c r="S47" s="1"/>
  <c r="G47"/>
  <c r="L47" s="1"/>
  <c r="R47" s="1"/>
  <c r="D47"/>
  <c r="I47" s="1"/>
  <c r="O47" s="1"/>
  <c r="F43"/>
  <c r="K43" s="1"/>
  <c r="Q43" s="1"/>
  <c r="E43"/>
  <c r="J43" s="1"/>
  <c r="P43" s="1"/>
  <c r="D43"/>
  <c r="I43" s="1"/>
  <c r="O43" s="1"/>
  <c r="H43"/>
  <c r="M43" s="1"/>
  <c r="S43" s="1"/>
  <c r="G43"/>
  <c r="L43" s="1"/>
  <c r="R43" s="1"/>
  <c r="F39"/>
  <c r="K39" s="1"/>
  <c r="Q39" s="1"/>
  <c r="E39"/>
  <c r="J39" s="1"/>
  <c r="P39" s="1"/>
  <c r="H39"/>
  <c r="M39" s="1"/>
  <c r="S39" s="1"/>
  <c r="G39"/>
  <c r="L39" s="1"/>
  <c r="R39" s="1"/>
  <c r="D39"/>
  <c r="I39" s="1"/>
  <c r="O39" s="1"/>
  <c r="F35"/>
  <c r="K35" s="1"/>
  <c r="Q35" s="1"/>
  <c r="E35"/>
  <c r="J35" s="1"/>
  <c r="P35" s="1"/>
  <c r="D35"/>
  <c r="I35" s="1"/>
  <c r="O35" s="1"/>
  <c r="G35"/>
  <c r="L35" s="1"/>
  <c r="R35" s="1"/>
  <c r="H35"/>
  <c r="M35" s="1"/>
  <c r="S35" s="1"/>
  <c r="F31"/>
  <c r="K31" s="1"/>
  <c r="Q31" s="1"/>
  <c r="E31"/>
  <c r="J31" s="1"/>
  <c r="P31" s="1"/>
  <c r="H31"/>
  <c r="M31" s="1"/>
  <c r="S31" s="1"/>
  <c r="G31"/>
  <c r="L31" s="1"/>
  <c r="R31" s="1"/>
  <c r="D31"/>
  <c r="I31" s="1"/>
  <c r="O31" s="1"/>
  <c r="E28"/>
  <c r="J28" s="1"/>
  <c r="P28" s="1"/>
  <c r="D28"/>
  <c r="I28" s="1"/>
  <c r="O28" s="1"/>
  <c r="H28"/>
  <c r="M28" s="1"/>
  <c r="S28" s="1"/>
  <c r="G28"/>
  <c r="L28" s="1"/>
  <c r="R28" s="1"/>
  <c r="F28"/>
  <c r="K28" s="1"/>
  <c r="Q28" s="1"/>
  <c r="F59"/>
  <c r="K59" s="1"/>
  <c r="Q59" s="1"/>
  <c r="E59"/>
  <c r="J59" s="1"/>
  <c r="P59" s="1"/>
  <c r="D59"/>
  <c r="I59" s="1"/>
  <c r="O59" s="1"/>
  <c r="H59"/>
  <c r="M59" s="1"/>
  <c r="S59" s="1"/>
  <c r="G59"/>
  <c r="L59" s="1"/>
  <c r="R59" s="1"/>
  <c r="A73"/>
  <c r="E48"/>
  <c r="J48" s="1"/>
  <c r="P48" s="1"/>
  <c r="D48"/>
  <c r="I48" s="1"/>
  <c r="O48" s="1"/>
  <c r="H48"/>
  <c r="M48" s="1"/>
  <c r="S48" s="1"/>
  <c r="F48"/>
  <c r="K48" s="1"/>
  <c r="Q48" s="1"/>
  <c r="G48"/>
  <c r="L48" s="1"/>
  <c r="R48" s="1"/>
  <c r="A57"/>
  <c r="E32"/>
  <c r="J32" s="1"/>
  <c r="P32" s="1"/>
  <c r="D32"/>
  <c r="I32" s="1"/>
  <c r="O32" s="1"/>
  <c r="H32"/>
  <c r="M32" s="1"/>
  <c r="S32" s="1"/>
  <c r="F32"/>
  <c r="K32" s="1"/>
  <c r="Q32" s="1"/>
  <c r="G32"/>
  <c r="L32" s="1"/>
  <c r="R32" s="1"/>
  <c r="A121"/>
  <c r="G96"/>
  <c r="L96" s="1"/>
  <c r="R96" s="1"/>
  <c r="F96"/>
  <c r="K96" s="1"/>
  <c r="Q96" s="1"/>
  <c r="D96"/>
  <c r="I96" s="1"/>
  <c r="O96" s="1"/>
  <c r="E96"/>
  <c r="J96" s="1"/>
  <c r="P96" s="1"/>
  <c r="H96"/>
  <c r="M96" s="1"/>
  <c r="S96" s="1"/>
  <c r="A105"/>
  <c r="E80"/>
  <c r="J80" s="1"/>
  <c r="P80" s="1"/>
  <c r="D80"/>
  <c r="I80" s="1"/>
  <c r="O80" s="1"/>
  <c r="H80"/>
  <c r="M80" s="1"/>
  <c r="S80" s="1"/>
  <c r="F80"/>
  <c r="K80" s="1"/>
  <c r="Q80" s="1"/>
  <c r="G80"/>
  <c r="L80" s="1"/>
  <c r="R80" s="1"/>
  <c r="F71"/>
  <c r="K71" s="1"/>
  <c r="Q71" s="1"/>
  <c r="E71"/>
  <c r="J71" s="1"/>
  <c r="P71" s="1"/>
  <c r="H71"/>
  <c r="M71" s="1"/>
  <c r="S71" s="1"/>
  <c r="G71"/>
  <c r="L71" s="1"/>
  <c r="R71" s="1"/>
  <c r="D71"/>
  <c r="I71" s="1"/>
  <c r="O71" s="1"/>
  <c r="F63"/>
  <c r="K63" s="1"/>
  <c r="Q63" s="1"/>
  <c r="E63"/>
  <c r="J63" s="1"/>
  <c r="P63" s="1"/>
  <c r="H63"/>
  <c r="M63" s="1"/>
  <c r="S63" s="1"/>
  <c r="G63"/>
  <c r="L63" s="1"/>
  <c r="R63" s="1"/>
  <c r="D63"/>
  <c r="I63" s="1"/>
  <c r="O63" s="1"/>
  <c r="F55"/>
  <c r="K55" s="1"/>
  <c r="Q55" s="1"/>
  <c r="E55"/>
  <c r="J55" s="1"/>
  <c r="P55" s="1"/>
  <c r="H55"/>
  <c r="M55" s="1"/>
  <c r="S55" s="1"/>
  <c r="G55"/>
  <c r="L55" s="1"/>
  <c r="R55" s="1"/>
  <c r="D55"/>
  <c r="I55" s="1"/>
  <c r="O55" s="1"/>
  <c r="G50"/>
  <c r="L50" s="1"/>
  <c r="R50" s="1"/>
  <c r="F50"/>
  <c r="K50" s="1"/>
  <c r="Q50" s="1"/>
  <c r="H50"/>
  <c r="M50" s="1"/>
  <c r="S50" s="1"/>
  <c r="E50"/>
  <c r="J50" s="1"/>
  <c r="P50" s="1"/>
  <c r="D50"/>
  <c r="I50" s="1"/>
  <c r="O50" s="1"/>
  <c r="G46"/>
  <c r="L46" s="1"/>
  <c r="R46" s="1"/>
  <c r="F46"/>
  <c r="K46" s="1"/>
  <c r="Q46" s="1"/>
  <c r="E46"/>
  <c r="J46" s="1"/>
  <c r="P46" s="1"/>
  <c r="D46"/>
  <c r="I46" s="1"/>
  <c r="O46" s="1"/>
  <c r="H46"/>
  <c r="M46" s="1"/>
  <c r="S46" s="1"/>
  <c r="G42"/>
  <c r="L42" s="1"/>
  <c r="R42" s="1"/>
  <c r="F42"/>
  <c r="K42" s="1"/>
  <c r="Q42" s="1"/>
  <c r="H42"/>
  <c r="M42" s="1"/>
  <c r="S42" s="1"/>
  <c r="D42"/>
  <c r="I42" s="1"/>
  <c r="O42" s="1"/>
  <c r="E42"/>
  <c r="J42" s="1"/>
  <c r="P42" s="1"/>
  <c r="G38"/>
  <c r="L38" s="1"/>
  <c r="R38" s="1"/>
  <c r="F38"/>
  <c r="K38" s="1"/>
  <c r="Q38" s="1"/>
  <c r="E38"/>
  <c r="J38" s="1"/>
  <c r="P38" s="1"/>
  <c r="D38"/>
  <c r="I38" s="1"/>
  <c r="O38" s="1"/>
  <c r="H38"/>
  <c r="M38" s="1"/>
  <c r="S38" s="1"/>
  <c r="G34"/>
  <c r="L34" s="1"/>
  <c r="R34" s="1"/>
  <c r="F34"/>
  <c r="K34" s="1"/>
  <c r="Q34" s="1"/>
  <c r="H34"/>
  <c r="M34" s="1"/>
  <c r="S34" s="1"/>
  <c r="E34"/>
  <c r="J34" s="1"/>
  <c r="P34" s="1"/>
  <c r="D34"/>
  <c r="I34" s="1"/>
  <c r="O34" s="1"/>
  <c r="G30"/>
  <c r="L30" s="1"/>
  <c r="R30" s="1"/>
  <c r="F30"/>
  <c r="K30" s="1"/>
  <c r="Q30" s="1"/>
  <c r="E30"/>
  <c r="J30" s="1"/>
  <c r="P30" s="1"/>
  <c r="D30"/>
  <c r="I30" s="1"/>
  <c r="O30" s="1"/>
  <c r="H30"/>
  <c r="M30" s="1"/>
  <c r="S30" s="1"/>
  <c r="AO6" i="4"/>
  <c r="AI17"/>
  <c r="AI13"/>
  <c r="AJ14"/>
  <c r="AI25"/>
  <c r="AI9"/>
  <c r="AJ10"/>
  <c r="AI21"/>
  <c r="AI5"/>
  <c r="AJ6"/>
  <c r="AI20"/>
  <c r="AI16"/>
  <c r="AI8"/>
  <c r="AI4"/>
  <c r="AJ21"/>
  <c r="AJ17"/>
  <c r="AJ9"/>
  <c r="AJ5"/>
  <c r="AI23"/>
  <c r="AI19"/>
  <c r="AI15"/>
  <c r="AI11"/>
  <c r="AI7"/>
  <c r="AI3"/>
  <c r="AJ24"/>
  <c r="AJ20"/>
  <c r="AJ16"/>
  <c r="AJ12"/>
  <c r="AJ8"/>
  <c r="AJ4"/>
  <c r="AJ26"/>
  <c r="AJ22"/>
  <c r="AJ18"/>
  <c r="AI24"/>
  <c r="AI12"/>
  <c r="AJ25"/>
  <c r="AJ13"/>
  <c r="AI22"/>
  <c r="AI18"/>
  <c r="AI14"/>
  <c r="AI10"/>
  <c r="AI6"/>
  <c r="AJ23"/>
  <c r="AJ19"/>
  <c r="AJ15"/>
  <c r="AJ11"/>
  <c r="AJ7"/>
  <c r="AJ3"/>
  <c r="AN8"/>
  <c r="AO7"/>
  <c r="AQ2"/>
  <c r="AL2"/>
  <c r="U32" i="5" l="1"/>
  <c r="X32" s="1"/>
  <c r="V32"/>
  <c r="Y32" s="1"/>
  <c r="A114"/>
  <c r="D89"/>
  <c r="I89" s="1"/>
  <c r="O89" s="1"/>
  <c r="F89"/>
  <c r="K89" s="1"/>
  <c r="Q89" s="1"/>
  <c r="E89"/>
  <c r="J89" s="1"/>
  <c r="P89" s="1"/>
  <c r="G89"/>
  <c r="L89" s="1"/>
  <c r="R89" s="1"/>
  <c r="H89"/>
  <c r="M89" s="1"/>
  <c r="S89" s="1"/>
  <c r="A99"/>
  <c r="G74"/>
  <c r="L74" s="1"/>
  <c r="R74" s="1"/>
  <c r="F74"/>
  <c r="K74" s="1"/>
  <c r="Q74" s="1"/>
  <c r="H74"/>
  <c r="M74" s="1"/>
  <c r="S74" s="1"/>
  <c r="D74"/>
  <c r="I74" s="1"/>
  <c r="O74" s="1"/>
  <c r="E74"/>
  <c r="J74" s="1"/>
  <c r="P74" s="1"/>
  <c r="U76"/>
  <c r="X76" s="1"/>
  <c r="V76"/>
  <c r="Y76" s="1"/>
  <c r="U30"/>
  <c r="X30" s="1"/>
  <c r="V30"/>
  <c r="Y30" s="1"/>
  <c r="V50"/>
  <c r="Y50" s="1"/>
  <c r="U50"/>
  <c r="X50" s="1"/>
  <c r="V29"/>
  <c r="Y29" s="1"/>
  <c r="U29"/>
  <c r="X29" s="1"/>
  <c r="U45"/>
  <c r="X45" s="1"/>
  <c r="V45"/>
  <c r="Y45" s="1"/>
  <c r="U38"/>
  <c r="X38" s="1"/>
  <c r="V38"/>
  <c r="Y38" s="1"/>
  <c r="U63"/>
  <c r="X63" s="1"/>
  <c r="V63"/>
  <c r="Y63" s="1"/>
  <c r="V59"/>
  <c r="Y59" s="1"/>
  <c r="U59"/>
  <c r="X59" s="1"/>
  <c r="U31"/>
  <c r="X31" s="1"/>
  <c r="V31"/>
  <c r="Y31" s="1"/>
  <c r="V47"/>
  <c r="Y47" s="1"/>
  <c r="U47"/>
  <c r="X47" s="1"/>
  <c r="A125"/>
  <c r="G100"/>
  <c r="L100" s="1"/>
  <c r="R100" s="1"/>
  <c r="F100"/>
  <c r="K100" s="1"/>
  <c r="Q100" s="1"/>
  <c r="E100"/>
  <c r="J100" s="1"/>
  <c r="P100" s="1"/>
  <c r="H100"/>
  <c r="M100" s="1"/>
  <c r="S100" s="1"/>
  <c r="D100"/>
  <c r="I100" s="1"/>
  <c r="O100" s="1"/>
  <c r="U40"/>
  <c r="X40" s="1"/>
  <c r="V40"/>
  <c r="Y40" s="1"/>
  <c r="A102"/>
  <c r="D77"/>
  <c r="I77" s="1"/>
  <c r="O77" s="1"/>
  <c r="H77"/>
  <c r="M77" s="1"/>
  <c r="S77" s="1"/>
  <c r="G77"/>
  <c r="L77" s="1"/>
  <c r="R77" s="1"/>
  <c r="E77"/>
  <c r="J77" s="1"/>
  <c r="P77" s="1"/>
  <c r="F77"/>
  <c r="K77" s="1"/>
  <c r="Q77" s="1"/>
  <c r="U33"/>
  <c r="X33" s="1"/>
  <c r="V33"/>
  <c r="Y33" s="1"/>
  <c r="U41"/>
  <c r="X41" s="1"/>
  <c r="V41"/>
  <c r="Y41" s="1"/>
  <c r="U49"/>
  <c r="X49" s="1"/>
  <c r="V49"/>
  <c r="Y49" s="1"/>
  <c r="A117"/>
  <c r="G92"/>
  <c r="L92" s="1"/>
  <c r="R92" s="1"/>
  <c r="F92"/>
  <c r="K92" s="1"/>
  <c r="Q92" s="1"/>
  <c r="E92"/>
  <c r="J92" s="1"/>
  <c r="P92" s="1"/>
  <c r="H92"/>
  <c r="M92" s="1"/>
  <c r="S92" s="1"/>
  <c r="D92"/>
  <c r="I92" s="1"/>
  <c r="O92" s="1"/>
  <c r="U36"/>
  <c r="X36" s="1"/>
  <c r="V36"/>
  <c r="Y36" s="1"/>
  <c r="A94"/>
  <c r="D69"/>
  <c r="I69" s="1"/>
  <c r="O69" s="1"/>
  <c r="H69"/>
  <c r="M69" s="1"/>
  <c r="S69" s="1"/>
  <c r="G69"/>
  <c r="L69" s="1"/>
  <c r="R69" s="1"/>
  <c r="F69"/>
  <c r="K69" s="1"/>
  <c r="Q69" s="1"/>
  <c r="E69"/>
  <c r="J69" s="1"/>
  <c r="P69" s="1"/>
  <c r="U88"/>
  <c r="X88" s="1"/>
  <c r="V88"/>
  <c r="Y88" s="1"/>
  <c r="A134"/>
  <c r="F109"/>
  <c r="K109" s="1"/>
  <c r="Q109" s="1"/>
  <c r="E109"/>
  <c r="J109" s="1"/>
  <c r="P109" s="1"/>
  <c r="H109"/>
  <c r="M109" s="1"/>
  <c r="S109" s="1"/>
  <c r="D109"/>
  <c r="I109" s="1"/>
  <c r="O109" s="1"/>
  <c r="G109"/>
  <c r="L109" s="1"/>
  <c r="R109" s="1"/>
  <c r="U80"/>
  <c r="X80" s="1"/>
  <c r="V80"/>
  <c r="Y80" s="1"/>
  <c r="A98"/>
  <c r="D73"/>
  <c r="I73" s="1"/>
  <c r="O73" s="1"/>
  <c r="H73"/>
  <c r="M73" s="1"/>
  <c r="S73" s="1"/>
  <c r="G73"/>
  <c r="L73" s="1"/>
  <c r="R73" s="1"/>
  <c r="F73"/>
  <c r="K73" s="1"/>
  <c r="Q73" s="1"/>
  <c r="E73"/>
  <c r="J73" s="1"/>
  <c r="P73" s="1"/>
  <c r="U56"/>
  <c r="X56" s="1"/>
  <c r="V56"/>
  <c r="Y56" s="1"/>
  <c r="A83"/>
  <c r="G58"/>
  <c r="L58" s="1"/>
  <c r="R58" s="1"/>
  <c r="F58"/>
  <c r="K58" s="1"/>
  <c r="Q58" s="1"/>
  <c r="H58"/>
  <c r="M58" s="1"/>
  <c r="S58" s="1"/>
  <c r="D58"/>
  <c r="I58" s="1"/>
  <c r="O58" s="1"/>
  <c r="E58"/>
  <c r="J58" s="1"/>
  <c r="P58" s="1"/>
  <c r="U34"/>
  <c r="X34" s="1"/>
  <c r="V34"/>
  <c r="Y34" s="1"/>
  <c r="V46"/>
  <c r="Y46" s="1"/>
  <c r="U46"/>
  <c r="X46" s="1"/>
  <c r="V52"/>
  <c r="Y52" s="1"/>
  <c r="U52"/>
  <c r="X52" s="1"/>
  <c r="A86"/>
  <c r="D61"/>
  <c r="I61" s="1"/>
  <c r="O61" s="1"/>
  <c r="H61"/>
  <c r="M61" s="1"/>
  <c r="S61" s="1"/>
  <c r="G61"/>
  <c r="L61" s="1"/>
  <c r="R61" s="1"/>
  <c r="E61"/>
  <c r="J61" s="1"/>
  <c r="P61" s="1"/>
  <c r="F61"/>
  <c r="K61" s="1"/>
  <c r="Q61" s="1"/>
  <c r="U44"/>
  <c r="X44" s="1"/>
  <c r="V44"/>
  <c r="Y44" s="1"/>
  <c r="U53"/>
  <c r="X53" s="1"/>
  <c r="V53"/>
  <c r="Y53" s="1"/>
  <c r="V42"/>
  <c r="Y42" s="1"/>
  <c r="U42"/>
  <c r="X42" s="1"/>
  <c r="U71"/>
  <c r="X71" s="1"/>
  <c r="V71"/>
  <c r="Y71" s="1"/>
  <c r="A146"/>
  <c r="F121"/>
  <c r="K121" s="1"/>
  <c r="Q121" s="1"/>
  <c r="E121"/>
  <c r="J121" s="1"/>
  <c r="P121" s="1"/>
  <c r="D121"/>
  <c r="I121" s="1"/>
  <c r="O121" s="1"/>
  <c r="G121"/>
  <c r="L121" s="1"/>
  <c r="R121" s="1"/>
  <c r="H121"/>
  <c r="M121" s="1"/>
  <c r="S121" s="1"/>
  <c r="V43"/>
  <c r="Y43" s="1"/>
  <c r="U43"/>
  <c r="X43" s="1"/>
  <c r="U72"/>
  <c r="X72" s="1"/>
  <c r="V72"/>
  <c r="Y72" s="1"/>
  <c r="A91"/>
  <c r="G66"/>
  <c r="L66" s="1"/>
  <c r="R66" s="1"/>
  <c r="F66"/>
  <c r="K66" s="1"/>
  <c r="Q66" s="1"/>
  <c r="H66"/>
  <c r="M66" s="1"/>
  <c r="S66" s="1"/>
  <c r="E66"/>
  <c r="J66" s="1"/>
  <c r="P66" s="1"/>
  <c r="D66"/>
  <c r="I66" s="1"/>
  <c r="O66" s="1"/>
  <c r="V60"/>
  <c r="Y60" s="1"/>
  <c r="U60"/>
  <c r="X60" s="1"/>
  <c r="A118"/>
  <c r="F93"/>
  <c r="K93" s="1"/>
  <c r="Q93" s="1"/>
  <c r="E93"/>
  <c r="J93" s="1"/>
  <c r="P93" s="1"/>
  <c r="H93"/>
  <c r="M93" s="1"/>
  <c r="S93" s="1"/>
  <c r="D93"/>
  <c r="I93" s="1"/>
  <c r="O93" s="1"/>
  <c r="G93"/>
  <c r="L93" s="1"/>
  <c r="R93" s="1"/>
  <c r="U96"/>
  <c r="X96" s="1"/>
  <c r="V96"/>
  <c r="Y96" s="1"/>
  <c r="V28"/>
  <c r="Y28" s="1"/>
  <c r="U28"/>
  <c r="X28" s="1"/>
  <c r="U39"/>
  <c r="X39" s="1"/>
  <c r="V39"/>
  <c r="Y39" s="1"/>
  <c r="A90"/>
  <c r="D65"/>
  <c r="I65" s="1"/>
  <c r="O65" s="1"/>
  <c r="H65"/>
  <c r="M65" s="1"/>
  <c r="S65" s="1"/>
  <c r="G65"/>
  <c r="L65" s="1"/>
  <c r="R65" s="1"/>
  <c r="F65"/>
  <c r="K65" s="1"/>
  <c r="Q65" s="1"/>
  <c r="E65"/>
  <c r="J65" s="1"/>
  <c r="P65" s="1"/>
  <c r="V37"/>
  <c r="Y37" s="1"/>
  <c r="U37"/>
  <c r="X37" s="1"/>
  <c r="U55"/>
  <c r="X55" s="1"/>
  <c r="V55"/>
  <c r="Y55" s="1"/>
  <c r="A130"/>
  <c r="F105"/>
  <c r="K105" s="1"/>
  <c r="Q105" s="1"/>
  <c r="E105"/>
  <c r="J105" s="1"/>
  <c r="P105" s="1"/>
  <c r="D105"/>
  <c r="I105" s="1"/>
  <c r="O105" s="1"/>
  <c r="G105"/>
  <c r="L105" s="1"/>
  <c r="R105" s="1"/>
  <c r="H105"/>
  <c r="M105" s="1"/>
  <c r="S105" s="1"/>
  <c r="A82"/>
  <c r="D57"/>
  <c r="I57" s="1"/>
  <c r="O57" s="1"/>
  <c r="H57"/>
  <c r="M57" s="1"/>
  <c r="S57" s="1"/>
  <c r="G57"/>
  <c r="L57" s="1"/>
  <c r="R57" s="1"/>
  <c r="F57"/>
  <c r="K57" s="1"/>
  <c r="Q57" s="1"/>
  <c r="E57"/>
  <c r="J57" s="1"/>
  <c r="P57" s="1"/>
  <c r="U48"/>
  <c r="X48" s="1"/>
  <c r="V48"/>
  <c r="Y48" s="1"/>
  <c r="V35"/>
  <c r="Y35" s="1"/>
  <c r="U35"/>
  <c r="X35" s="1"/>
  <c r="V51"/>
  <c r="Y51" s="1"/>
  <c r="U51"/>
  <c r="X51" s="1"/>
  <c r="A106"/>
  <c r="D81"/>
  <c r="I81" s="1"/>
  <c r="O81" s="1"/>
  <c r="H81"/>
  <c r="M81" s="1"/>
  <c r="S81" s="1"/>
  <c r="G81"/>
  <c r="L81" s="1"/>
  <c r="R81" s="1"/>
  <c r="F81"/>
  <c r="K81" s="1"/>
  <c r="Q81" s="1"/>
  <c r="E81"/>
  <c r="J81" s="1"/>
  <c r="P81" s="1"/>
  <c r="V64"/>
  <c r="Y64" s="1"/>
  <c r="U64"/>
  <c r="X64" s="1"/>
  <c r="A122"/>
  <c r="F97"/>
  <c r="K97" s="1"/>
  <c r="Q97" s="1"/>
  <c r="E97"/>
  <c r="J97" s="1"/>
  <c r="P97" s="1"/>
  <c r="D97"/>
  <c r="I97" s="1"/>
  <c r="O97" s="1"/>
  <c r="G97"/>
  <c r="L97" s="1"/>
  <c r="R97" s="1"/>
  <c r="H97"/>
  <c r="M97" s="1"/>
  <c r="S97" s="1"/>
  <c r="V75"/>
  <c r="Y75" s="1"/>
  <c r="U75"/>
  <c r="X75" s="1"/>
  <c r="A79"/>
  <c r="G54"/>
  <c r="L54" s="1"/>
  <c r="R54" s="1"/>
  <c r="F54"/>
  <c r="K54" s="1"/>
  <c r="Q54" s="1"/>
  <c r="E54"/>
  <c r="J54" s="1"/>
  <c r="P54" s="1"/>
  <c r="D54"/>
  <c r="I54" s="1"/>
  <c r="O54" s="1"/>
  <c r="H54"/>
  <c r="M54" s="1"/>
  <c r="S54" s="1"/>
  <c r="A87"/>
  <c r="G62"/>
  <c r="L62" s="1"/>
  <c r="R62" s="1"/>
  <c r="F62"/>
  <c r="K62" s="1"/>
  <c r="Q62" s="1"/>
  <c r="E62"/>
  <c r="J62" s="1"/>
  <c r="P62" s="1"/>
  <c r="D62"/>
  <c r="I62" s="1"/>
  <c r="O62" s="1"/>
  <c r="H62"/>
  <c r="M62" s="1"/>
  <c r="S62" s="1"/>
  <c r="A95"/>
  <c r="G70"/>
  <c r="L70" s="1"/>
  <c r="R70" s="1"/>
  <c r="F70"/>
  <c r="K70" s="1"/>
  <c r="Q70" s="1"/>
  <c r="E70"/>
  <c r="J70" s="1"/>
  <c r="P70" s="1"/>
  <c r="D70"/>
  <c r="I70" s="1"/>
  <c r="O70" s="1"/>
  <c r="H70"/>
  <c r="M70" s="1"/>
  <c r="S70" s="1"/>
  <c r="A110"/>
  <c r="D85"/>
  <c r="I85" s="1"/>
  <c r="O85" s="1"/>
  <c r="H85"/>
  <c r="M85" s="1"/>
  <c r="S85" s="1"/>
  <c r="G85"/>
  <c r="L85" s="1"/>
  <c r="R85" s="1"/>
  <c r="F85"/>
  <c r="K85" s="1"/>
  <c r="Q85" s="1"/>
  <c r="E85"/>
  <c r="J85" s="1"/>
  <c r="P85" s="1"/>
  <c r="V68"/>
  <c r="Y68" s="1"/>
  <c r="U68"/>
  <c r="X68" s="1"/>
  <c r="A126"/>
  <c r="F101"/>
  <c r="K101" s="1"/>
  <c r="Q101" s="1"/>
  <c r="E101"/>
  <c r="J101" s="1"/>
  <c r="P101" s="1"/>
  <c r="H101"/>
  <c r="M101" s="1"/>
  <c r="S101" s="1"/>
  <c r="D101"/>
  <c r="I101" s="1"/>
  <c r="O101" s="1"/>
  <c r="G101"/>
  <c r="L101" s="1"/>
  <c r="R101" s="1"/>
  <c r="V67"/>
  <c r="Y67" s="1"/>
  <c r="U67"/>
  <c r="X67" s="1"/>
  <c r="A138"/>
  <c r="F113"/>
  <c r="K113" s="1"/>
  <c r="Q113" s="1"/>
  <c r="E113"/>
  <c r="J113" s="1"/>
  <c r="P113" s="1"/>
  <c r="D113"/>
  <c r="I113" s="1"/>
  <c r="O113" s="1"/>
  <c r="G113"/>
  <c r="L113" s="1"/>
  <c r="R113" s="1"/>
  <c r="H113"/>
  <c r="M113" s="1"/>
  <c r="S113" s="1"/>
  <c r="V84"/>
  <c r="Y84" s="1"/>
  <c r="U84"/>
  <c r="X84" s="1"/>
  <c r="A103"/>
  <c r="G78"/>
  <c r="L78" s="1"/>
  <c r="R78" s="1"/>
  <c r="F78"/>
  <c r="K78" s="1"/>
  <c r="Q78" s="1"/>
  <c r="E78"/>
  <c r="J78" s="1"/>
  <c r="P78" s="1"/>
  <c r="D78"/>
  <c r="I78" s="1"/>
  <c r="O78" s="1"/>
  <c r="H78"/>
  <c r="M78" s="1"/>
  <c r="S78" s="1"/>
  <c r="AR2" i="4"/>
  <c r="AN9"/>
  <c r="AO8"/>
  <c r="A147" i="5" l="1"/>
  <c r="E122"/>
  <c r="J122" s="1"/>
  <c r="P122" s="1"/>
  <c r="D122"/>
  <c r="I122" s="1"/>
  <c r="O122" s="1"/>
  <c r="H122"/>
  <c r="M122" s="1"/>
  <c r="S122" s="1"/>
  <c r="G122"/>
  <c r="L122" s="1"/>
  <c r="R122" s="1"/>
  <c r="F122"/>
  <c r="K122" s="1"/>
  <c r="Q122" s="1"/>
  <c r="A131"/>
  <c r="E106"/>
  <c r="J106" s="1"/>
  <c r="P106" s="1"/>
  <c r="D106"/>
  <c r="I106" s="1"/>
  <c r="O106" s="1"/>
  <c r="H106"/>
  <c r="M106" s="1"/>
  <c r="S106" s="1"/>
  <c r="G106"/>
  <c r="L106" s="1"/>
  <c r="R106" s="1"/>
  <c r="F106"/>
  <c r="K106" s="1"/>
  <c r="Q106" s="1"/>
  <c r="A107"/>
  <c r="G82"/>
  <c r="L82" s="1"/>
  <c r="R82" s="1"/>
  <c r="F82"/>
  <c r="K82" s="1"/>
  <c r="Q82" s="1"/>
  <c r="H82"/>
  <c r="M82" s="1"/>
  <c r="S82" s="1"/>
  <c r="E82"/>
  <c r="J82" s="1"/>
  <c r="P82" s="1"/>
  <c r="D82"/>
  <c r="I82" s="1"/>
  <c r="O82" s="1"/>
  <c r="U58"/>
  <c r="X58" s="1"/>
  <c r="V58"/>
  <c r="Y58" s="1"/>
  <c r="A108"/>
  <c r="F83"/>
  <c r="K83" s="1"/>
  <c r="Q83" s="1"/>
  <c r="E83"/>
  <c r="J83" s="1"/>
  <c r="P83" s="1"/>
  <c r="D83"/>
  <c r="I83" s="1"/>
  <c r="O83" s="1"/>
  <c r="G83"/>
  <c r="L83" s="1"/>
  <c r="R83" s="1"/>
  <c r="H83"/>
  <c r="M83" s="1"/>
  <c r="S83" s="1"/>
  <c r="U113"/>
  <c r="X113" s="1"/>
  <c r="V113"/>
  <c r="Y113" s="1"/>
  <c r="U81"/>
  <c r="X81" s="1"/>
  <c r="V81"/>
  <c r="Y81" s="1"/>
  <c r="U57"/>
  <c r="X57" s="1"/>
  <c r="V57"/>
  <c r="Y57" s="1"/>
  <c r="U105"/>
  <c r="X105" s="1"/>
  <c r="V105"/>
  <c r="Y105" s="1"/>
  <c r="V65"/>
  <c r="Y65" s="1"/>
  <c r="U65"/>
  <c r="X65" s="1"/>
  <c r="V66"/>
  <c r="Y66" s="1"/>
  <c r="U66"/>
  <c r="X66" s="1"/>
  <c r="U121"/>
  <c r="X121" s="1"/>
  <c r="V121"/>
  <c r="Y121" s="1"/>
  <c r="U61"/>
  <c r="X61" s="1"/>
  <c r="V61"/>
  <c r="Y61" s="1"/>
  <c r="U73"/>
  <c r="X73" s="1"/>
  <c r="V73"/>
  <c r="Y73" s="1"/>
  <c r="U69"/>
  <c r="X69" s="1"/>
  <c r="V69"/>
  <c r="Y69" s="1"/>
  <c r="U92"/>
  <c r="X92" s="1"/>
  <c r="V92"/>
  <c r="Y92" s="1"/>
  <c r="U77"/>
  <c r="X77" s="1"/>
  <c r="V77"/>
  <c r="Y77" s="1"/>
  <c r="V100"/>
  <c r="Y100" s="1"/>
  <c r="U100"/>
  <c r="X100" s="1"/>
  <c r="U89"/>
  <c r="X89" s="1"/>
  <c r="V89"/>
  <c r="Y89" s="1"/>
  <c r="U70"/>
  <c r="X70" s="1"/>
  <c r="V70"/>
  <c r="Y70" s="1"/>
  <c r="A120"/>
  <c r="D95"/>
  <c r="I95" s="1"/>
  <c r="O95" s="1"/>
  <c r="H95"/>
  <c r="M95" s="1"/>
  <c r="S95" s="1"/>
  <c r="G95"/>
  <c r="L95" s="1"/>
  <c r="R95" s="1"/>
  <c r="F95"/>
  <c r="K95" s="1"/>
  <c r="Q95" s="1"/>
  <c r="E95"/>
  <c r="J95" s="1"/>
  <c r="P95" s="1"/>
  <c r="A115"/>
  <c r="E90"/>
  <c r="J90" s="1"/>
  <c r="P90" s="1"/>
  <c r="D90"/>
  <c r="I90" s="1"/>
  <c r="O90" s="1"/>
  <c r="H90"/>
  <c r="M90" s="1"/>
  <c r="S90" s="1"/>
  <c r="G90"/>
  <c r="L90" s="1"/>
  <c r="R90" s="1"/>
  <c r="F90"/>
  <c r="K90" s="1"/>
  <c r="Q90" s="1"/>
  <c r="U93"/>
  <c r="X93" s="1"/>
  <c r="V93"/>
  <c r="Y93" s="1"/>
  <c r="A143"/>
  <c r="E118"/>
  <c r="J118" s="1"/>
  <c r="P118" s="1"/>
  <c r="D118"/>
  <c r="I118" s="1"/>
  <c r="O118" s="1"/>
  <c r="H118"/>
  <c r="M118" s="1"/>
  <c r="S118" s="1"/>
  <c r="F118"/>
  <c r="K118" s="1"/>
  <c r="Q118" s="1"/>
  <c r="G118"/>
  <c r="L118" s="1"/>
  <c r="R118" s="1"/>
  <c r="A116"/>
  <c r="D91"/>
  <c r="I91" s="1"/>
  <c r="O91" s="1"/>
  <c r="H91"/>
  <c r="M91" s="1"/>
  <c r="S91" s="1"/>
  <c r="G91"/>
  <c r="L91" s="1"/>
  <c r="R91" s="1"/>
  <c r="E91"/>
  <c r="J91" s="1"/>
  <c r="P91" s="1"/>
  <c r="F91"/>
  <c r="K91" s="1"/>
  <c r="Q91" s="1"/>
  <c r="A111"/>
  <c r="G86"/>
  <c r="L86" s="1"/>
  <c r="R86" s="1"/>
  <c r="F86"/>
  <c r="K86" s="1"/>
  <c r="Q86" s="1"/>
  <c r="E86"/>
  <c r="J86" s="1"/>
  <c r="P86" s="1"/>
  <c r="D86"/>
  <c r="I86" s="1"/>
  <c r="O86" s="1"/>
  <c r="H86"/>
  <c r="M86" s="1"/>
  <c r="S86" s="1"/>
  <c r="A123"/>
  <c r="E98"/>
  <c r="J98" s="1"/>
  <c r="P98" s="1"/>
  <c r="D98"/>
  <c r="I98" s="1"/>
  <c r="O98" s="1"/>
  <c r="H98"/>
  <c r="M98" s="1"/>
  <c r="S98" s="1"/>
  <c r="G98"/>
  <c r="L98" s="1"/>
  <c r="R98" s="1"/>
  <c r="F98"/>
  <c r="K98" s="1"/>
  <c r="Q98" s="1"/>
  <c r="A119"/>
  <c r="E94"/>
  <c r="J94" s="1"/>
  <c r="P94" s="1"/>
  <c r="D94"/>
  <c r="I94" s="1"/>
  <c r="O94" s="1"/>
  <c r="H94"/>
  <c r="M94" s="1"/>
  <c r="S94" s="1"/>
  <c r="F94"/>
  <c r="K94" s="1"/>
  <c r="Q94" s="1"/>
  <c r="G94"/>
  <c r="L94" s="1"/>
  <c r="R94" s="1"/>
  <c r="A142"/>
  <c r="F117"/>
  <c r="K117" s="1"/>
  <c r="Q117" s="1"/>
  <c r="E117"/>
  <c r="J117" s="1"/>
  <c r="P117" s="1"/>
  <c r="H117"/>
  <c r="M117" s="1"/>
  <c r="S117" s="1"/>
  <c r="D117"/>
  <c r="I117" s="1"/>
  <c r="O117" s="1"/>
  <c r="G117"/>
  <c r="L117" s="1"/>
  <c r="R117" s="1"/>
  <c r="A150"/>
  <c r="F125"/>
  <c r="K125" s="1"/>
  <c r="Q125" s="1"/>
  <c r="E125"/>
  <c r="J125" s="1"/>
  <c r="P125" s="1"/>
  <c r="H125"/>
  <c r="M125" s="1"/>
  <c r="S125" s="1"/>
  <c r="D125"/>
  <c r="I125" s="1"/>
  <c r="O125" s="1"/>
  <c r="G125"/>
  <c r="L125" s="1"/>
  <c r="R125" s="1"/>
  <c r="A139"/>
  <c r="E114"/>
  <c r="J114" s="1"/>
  <c r="P114" s="1"/>
  <c r="D114"/>
  <c r="I114" s="1"/>
  <c r="O114" s="1"/>
  <c r="H114"/>
  <c r="M114" s="1"/>
  <c r="S114" s="1"/>
  <c r="G114"/>
  <c r="L114" s="1"/>
  <c r="R114" s="1"/>
  <c r="F114"/>
  <c r="K114" s="1"/>
  <c r="Q114" s="1"/>
  <c r="U54"/>
  <c r="X54" s="1"/>
  <c r="V54"/>
  <c r="Y54" s="1"/>
  <c r="A104"/>
  <c r="F79"/>
  <c r="K79" s="1"/>
  <c r="Q79" s="1"/>
  <c r="E79"/>
  <c r="J79" s="1"/>
  <c r="P79" s="1"/>
  <c r="H79"/>
  <c r="M79" s="1"/>
  <c r="S79" s="1"/>
  <c r="G79"/>
  <c r="L79" s="1"/>
  <c r="R79" s="1"/>
  <c r="D79"/>
  <c r="I79" s="1"/>
  <c r="O79" s="1"/>
  <c r="U109"/>
  <c r="X109" s="1"/>
  <c r="V109"/>
  <c r="Y109" s="1"/>
  <c r="A159"/>
  <c r="D134"/>
  <c r="I134" s="1"/>
  <c r="O134" s="1"/>
  <c r="H134"/>
  <c r="M134" s="1"/>
  <c r="S134" s="1"/>
  <c r="E134"/>
  <c r="J134" s="1"/>
  <c r="P134" s="1"/>
  <c r="F134"/>
  <c r="K134" s="1"/>
  <c r="Q134" s="1"/>
  <c r="G134"/>
  <c r="L134" s="1"/>
  <c r="R134" s="1"/>
  <c r="A127"/>
  <c r="E102"/>
  <c r="J102" s="1"/>
  <c r="P102" s="1"/>
  <c r="D102"/>
  <c r="I102" s="1"/>
  <c r="O102" s="1"/>
  <c r="H102"/>
  <c r="M102" s="1"/>
  <c r="S102" s="1"/>
  <c r="F102"/>
  <c r="K102" s="1"/>
  <c r="Q102" s="1"/>
  <c r="G102"/>
  <c r="L102" s="1"/>
  <c r="R102" s="1"/>
  <c r="V85"/>
  <c r="Y85" s="1"/>
  <c r="U85"/>
  <c r="X85" s="1"/>
  <c r="U97"/>
  <c r="X97" s="1"/>
  <c r="V97"/>
  <c r="Y97" s="1"/>
  <c r="U78"/>
  <c r="X78" s="1"/>
  <c r="V78"/>
  <c r="Y78" s="1"/>
  <c r="A128"/>
  <c r="D103"/>
  <c r="I103" s="1"/>
  <c r="O103" s="1"/>
  <c r="H103"/>
  <c r="M103" s="1"/>
  <c r="S103" s="1"/>
  <c r="G103"/>
  <c r="L103" s="1"/>
  <c r="R103" s="1"/>
  <c r="F103"/>
  <c r="K103" s="1"/>
  <c r="Q103" s="1"/>
  <c r="E103"/>
  <c r="J103" s="1"/>
  <c r="P103" s="1"/>
  <c r="A163"/>
  <c r="D138"/>
  <c r="I138" s="1"/>
  <c r="O138" s="1"/>
  <c r="H138"/>
  <c r="M138" s="1"/>
  <c r="S138" s="1"/>
  <c r="F138"/>
  <c r="K138" s="1"/>
  <c r="Q138" s="1"/>
  <c r="E138"/>
  <c r="J138" s="1"/>
  <c r="P138" s="1"/>
  <c r="G138"/>
  <c r="L138" s="1"/>
  <c r="R138" s="1"/>
  <c r="V101"/>
  <c r="Y101" s="1"/>
  <c r="U101"/>
  <c r="X101" s="1"/>
  <c r="A151"/>
  <c r="D126"/>
  <c r="I126" s="1"/>
  <c r="O126" s="1"/>
  <c r="H126"/>
  <c r="M126" s="1"/>
  <c r="S126" s="1"/>
  <c r="E126"/>
  <c r="J126" s="1"/>
  <c r="P126" s="1"/>
  <c r="F126"/>
  <c r="K126" s="1"/>
  <c r="Q126" s="1"/>
  <c r="G126"/>
  <c r="L126" s="1"/>
  <c r="R126" s="1"/>
  <c r="A135"/>
  <c r="E110"/>
  <c r="J110" s="1"/>
  <c r="P110" s="1"/>
  <c r="D110"/>
  <c r="I110" s="1"/>
  <c r="O110" s="1"/>
  <c r="H110"/>
  <c r="M110" s="1"/>
  <c r="S110" s="1"/>
  <c r="F110"/>
  <c r="K110" s="1"/>
  <c r="Q110" s="1"/>
  <c r="G110"/>
  <c r="L110" s="1"/>
  <c r="R110" s="1"/>
  <c r="U62"/>
  <c r="X62" s="1"/>
  <c r="V62"/>
  <c r="Y62" s="1"/>
  <c r="A112"/>
  <c r="F87"/>
  <c r="K87" s="1"/>
  <c r="Q87" s="1"/>
  <c r="E87"/>
  <c r="J87" s="1"/>
  <c r="P87" s="1"/>
  <c r="H87"/>
  <c r="M87" s="1"/>
  <c r="S87" s="1"/>
  <c r="G87"/>
  <c r="L87" s="1"/>
  <c r="R87" s="1"/>
  <c r="D87"/>
  <c r="I87" s="1"/>
  <c r="O87" s="1"/>
  <c r="A155"/>
  <c r="D130"/>
  <c r="I130" s="1"/>
  <c r="O130" s="1"/>
  <c r="H130"/>
  <c r="M130" s="1"/>
  <c r="S130" s="1"/>
  <c r="E130"/>
  <c r="J130" s="1"/>
  <c r="P130" s="1"/>
  <c r="F130"/>
  <c r="K130" s="1"/>
  <c r="Q130" s="1"/>
  <c r="G130"/>
  <c r="L130" s="1"/>
  <c r="R130" s="1"/>
  <c r="D146"/>
  <c r="I146" s="1"/>
  <c r="O146" s="1"/>
  <c r="H146"/>
  <c r="M146" s="1"/>
  <c r="S146" s="1"/>
  <c r="F146"/>
  <c r="K146" s="1"/>
  <c r="Q146" s="1"/>
  <c r="E146"/>
  <c r="J146" s="1"/>
  <c r="P146" s="1"/>
  <c r="G146"/>
  <c r="L146" s="1"/>
  <c r="R146" s="1"/>
  <c r="A171"/>
  <c r="U74"/>
  <c r="X74" s="1"/>
  <c r="V74"/>
  <c r="Y74" s="1"/>
  <c r="A124"/>
  <c r="D99"/>
  <c r="I99" s="1"/>
  <c r="O99" s="1"/>
  <c r="H99"/>
  <c r="M99" s="1"/>
  <c r="S99" s="1"/>
  <c r="G99"/>
  <c r="L99" s="1"/>
  <c r="R99" s="1"/>
  <c r="E99"/>
  <c r="J99" s="1"/>
  <c r="P99" s="1"/>
  <c r="F99"/>
  <c r="K99" s="1"/>
  <c r="Q99" s="1"/>
  <c r="AP4" i="4"/>
  <c r="AP5"/>
  <c r="AP3"/>
  <c r="AS2"/>
  <c r="AN10"/>
  <c r="AO9"/>
  <c r="AL3"/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2"/>
  <c r="D2" s="1"/>
  <c r="B2" s="1"/>
  <c r="A149" i="5" l="1"/>
  <c r="G124"/>
  <c r="L124" s="1"/>
  <c r="R124" s="1"/>
  <c r="F124"/>
  <c r="K124" s="1"/>
  <c r="Q124" s="1"/>
  <c r="E124"/>
  <c r="J124" s="1"/>
  <c r="P124" s="1"/>
  <c r="H124"/>
  <c r="M124" s="1"/>
  <c r="S124" s="1"/>
  <c r="D124"/>
  <c r="I124" s="1"/>
  <c r="O124" s="1"/>
  <c r="U146"/>
  <c r="X146" s="1"/>
  <c r="V146"/>
  <c r="Y146" s="1"/>
  <c r="A137"/>
  <c r="G112"/>
  <c r="L112" s="1"/>
  <c r="R112" s="1"/>
  <c r="F112"/>
  <c r="K112" s="1"/>
  <c r="Q112" s="1"/>
  <c r="D112"/>
  <c r="I112" s="1"/>
  <c r="O112" s="1"/>
  <c r="E112"/>
  <c r="J112" s="1"/>
  <c r="P112" s="1"/>
  <c r="H112"/>
  <c r="M112" s="1"/>
  <c r="S112" s="1"/>
  <c r="A152"/>
  <c r="G127"/>
  <c r="L127" s="1"/>
  <c r="R127" s="1"/>
  <c r="D127"/>
  <c r="I127" s="1"/>
  <c r="O127" s="1"/>
  <c r="H127"/>
  <c r="M127" s="1"/>
  <c r="S127" s="1"/>
  <c r="E127"/>
  <c r="J127" s="1"/>
  <c r="P127" s="1"/>
  <c r="F127"/>
  <c r="K127" s="1"/>
  <c r="Q127" s="1"/>
  <c r="U114"/>
  <c r="X114" s="1"/>
  <c r="V114"/>
  <c r="Y114" s="1"/>
  <c r="U125"/>
  <c r="X125" s="1"/>
  <c r="V125"/>
  <c r="Y125" s="1"/>
  <c r="D150"/>
  <c r="I150" s="1"/>
  <c r="O150" s="1"/>
  <c r="H150"/>
  <c r="M150" s="1"/>
  <c r="S150" s="1"/>
  <c r="F150"/>
  <c r="K150" s="1"/>
  <c r="Q150" s="1"/>
  <c r="G150"/>
  <c r="L150" s="1"/>
  <c r="R150" s="1"/>
  <c r="E150"/>
  <c r="J150" s="1"/>
  <c r="P150" s="1"/>
  <c r="A175"/>
  <c r="A144"/>
  <c r="D119"/>
  <c r="I119" s="1"/>
  <c r="O119" s="1"/>
  <c r="H119"/>
  <c r="M119" s="1"/>
  <c r="S119" s="1"/>
  <c r="G119"/>
  <c r="L119" s="1"/>
  <c r="R119" s="1"/>
  <c r="F119"/>
  <c r="K119" s="1"/>
  <c r="Q119" s="1"/>
  <c r="E119"/>
  <c r="J119" s="1"/>
  <c r="P119" s="1"/>
  <c r="V98"/>
  <c r="Y98" s="1"/>
  <c r="U98"/>
  <c r="X98" s="1"/>
  <c r="U86"/>
  <c r="X86" s="1"/>
  <c r="V86"/>
  <c r="Y86" s="1"/>
  <c r="A136"/>
  <c r="D111"/>
  <c r="I111" s="1"/>
  <c r="O111" s="1"/>
  <c r="H111"/>
  <c r="M111" s="1"/>
  <c r="S111" s="1"/>
  <c r="G111"/>
  <c r="L111" s="1"/>
  <c r="R111" s="1"/>
  <c r="F111"/>
  <c r="K111" s="1"/>
  <c r="Q111" s="1"/>
  <c r="E111"/>
  <c r="J111" s="1"/>
  <c r="P111" s="1"/>
  <c r="G143"/>
  <c r="L143" s="1"/>
  <c r="R143" s="1"/>
  <c r="E143"/>
  <c r="J143" s="1"/>
  <c r="P143" s="1"/>
  <c r="D143"/>
  <c r="I143" s="1"/>
  <c r="O143" s="1"/>
  <c r="F143"/>
  <c r="K143" s="1"/>
  <c r="Q143" s="1"/>
  <c r="H143"/>
  <c r="M143" s="1"/>
  <c r="S143" s="1"/>
  <c r="A168"/>
  <c r="A140"/>
  <c r="D115"/>
  <c r="I115" s="1"/>
  <c r="O115" s="1"/>
  <c r="H115"/>
  <c r="M115" s="1"/>
  <c r="S115" s="1"/>
  <c r="G115"/>
  <c r="L115" s="1"/>
  <c r="R115" s="1"/>
  <c r="E115"/>
  <c r="J115" s="1"/>
  <c r="P115" s="1"/>
  <c r="F115"/>
  <c r="K115" s="1"/>
  <c r="Q115" s="1"/>
  <c r="V122"/>
  <c r="Y122" s="1"/>
  <c r="U122"/>
  <c r="X122" s="1"/>
  <c r="U130"/>
  <c r="X130" s="1"/>
  <c r="V130"/>
  <c r="Y130" s="1"/>
  <c r="U126"/>
  <c r="X126" s="1"/>
  <c r="V126"/>
  <c r="Y126" s="1"/>
  <c r="V79"/>
  <c r="Y79" s="1"/>
  <c r="U79"/>
  <c r="X79" s="1"/>
  <c r="V91"/>
  <c r="Y91" s="1"/>
  <c r="U91"/>
  <c r="X91" s="1"/>
  <c r="U95"/>
  <c r="X95" s="1"/>
  <c r="V95"/>
  <c r="Y95" s="1"/>
  <c r="V99"/>
  <c r="Y99" s="1"/>
  <c r="U99"/>
  <c r="X99" s="1"/>
  <c r="G171"/>
  <c r="L171" s="1"/>
  <c r="R171" s="1"/>
  <c r="E171"/>
  <c r="J171" s="1"/>
  <c r="P171" s="1"/>
  <c r="F171"/>
  <c r="K171" s="1"/>
  <c r="Q171" s="1"/>
  <c r="H171"/>
  <c r="M171" s="1"/>
  <c r="S171" s="1"/>
  <c r="D171"/>
  <c r="I171" s="1"/>
  <c r="O171" s="1"/>
  <c r="A196"/>
  <c r="U87"/>
  <c r="X87" s="1"/>
  <c r="V87"/>
  <c r="Y87" s="1"/>
  <c r="V103"/>
  <c r="Y103" s="1"/>
  <c r="U103"/>
  <c r="X103" s="1"/>
  <c r="V83"/>
  <c r="Y83" s="1"/>
  <c r="U83"/>
  <c r="X83" s="1"/>
  <c r="A160"/>
  <c r="G135"/>
  <c r="L135" s="1"/>
  <c r="R135" s="1"/>
  <c r="D135"/>
  <c r="I135" s="1"/>
  <c r="O135" s="1"/>
  <c r="H135"/>
  <c r="M135" s="1"/>
  <c r="S135" s="1"/>
  <c r="E135"/>
  <c r="J135" s="1"/>
  <c r="P135" s="1"/>
  <c r="F135"/>
  <c r="K135" s="1"/>
  <c r="Q135" s="1"/>
  <c r="A153"/>
  <c r="F128"/>
  <c r="K128" s="1"/>
  <c r="Q128" s="1"/>
  <c r="G128"/>
  <c r="L128" s="1"/>
  <c r="R128" s="1"/>
  <c r="D128"/>
  <c r="I128" s="1"/>
  <c r="O128" s="1"/>
  <c r="H128"/>
  <c r="M128" s="1"/>
  <c r="S128" s="1"/>
  <c r="E128"/>
  <c r="J128" s="1"/>
  <c r="P128" s="1"/>
  <c r="A156"/>
  <c r="G131"/>
  <c r="L131" s="1"/>
  <c r="R131" s="1"/>
  <c r="D131"/>
  <c r="I131" s="1"/>
  <c r="O131" s="1"/>
  <c r="H131"/>
  <c r="M131" s="1"/>
  <c r="S131" s="1"/>
  <c r="E131"/>
  <c r="J131" s="1"/>
  <c r="P131" s="1"/>
  <c r="F131"/>
  <c r="K131" s="1"/>
  <c r="Q131" s="1"/>
  <c r="V138"/>
  <c r="Y138" s="1"/>
  <c r="U138"/>
  <c r="X138" s="1"/>
  <c r="U134"/>
  <c r="X134" s="1"/>
  <c r="V134"/>
  <c r="Y134" s="1"/>
  <c r="U82"/>
  <c r="X82" s="1"/>
  <c r="V82"/>
  <c r="Y82" s="1"/>
  <c r="G155"/>
  <c r="L155" s="1"/>
  <c r="R155" s="1"/>
  <c r="E155"/>
  <c r="J155" s="1"/>
  <c r="P155" s="1"/>
  <c r="F155"/>
  <c r="K155" s="1"/>
  <c r="Q155" s="1"/>
  <c r="D155"/>
  <c r="I155" s="1"/>
  <c r="O155" s="1"/>
  <c r="H155"/>
  <c r="M155" s="1"/>
  <c r="S155" s="1"/>
  <c r="A180"/>
  <c r="V110"/>
  <c r="Y110" s="1"/>
  <c r="U110"/>
  <c r="X110" s="1"/>
  <c r="G151"/>
  <c r="L151" s="1"/>
  <c r="R151" s="1"/>
  <c r="E151"/>
  <c r="J151" s="1"/>
  <c r="P151" s="1"/>
  <c r="F151"/>
  <c r="K151" s="1"/>
  <c r="Q151" s="1"/>
  <c r="H151"/>
  <c r="M151" s="1"/>
  <c r="S151" s="1"/>
  <c r="D151"/>
  <c r="I151" s="1"/>
  <c r="O151" s="1"/>
  <c r="A176"/>
  <c r="G163"/>
  <c r="L163" s="1"/>
  <c r="R163" s="1"/>
  <c r="E163"/>
  <c r="J163" s="1"/>
  <c r="P163" s="1"/>
  <c r="F163"/>
  <c r="K163" s="1"/>
  <c r="Q163" s="1"/>
  <c r="H163"/>
  <c r="M163" s="1"/>
  <c r="S163" s="1"/>
  <c r="D163"/>
  <c r="I163" s="1"/>
  <c r="O163" s="1"/>
  <c r="A188"/>
  <c r="U102"/>
  <c r="X102" s="1"/>
  <c r="V102"/>
  <c r="Y102" s="1"/>
  <c r="G159"/>
  <c r="L159" s="1"/>
  <c r="R159" s="1"/>
  <c r="E159"/>
  <c r="J159" s="1"/>
  <c r="P159" s="1"/>
  <c r="F159"/>
  <c r="K159" s="1"/>
  <c r="Q159" s="1"/>
  <c r="H159"/>
  <c r="M159" s="1"/>
  <c r="S159" s="1"/>
  <c r="D159"/>
  <c r="I159" s="1"/>
  <c r="O159" s="1"/>
  <c r="A184"/>
  <c r="A129"/>
  <c r="G104"/>
  <c r="L104" s="1"/>
  <c r="R104" s="1"/>
  <c r="F104"/>
  <c r="K104" s="1"/>
  <c r="Q104" s="1"/>
  <c r="D104"/>
  <c r="I104" s="1"/>
  <c r="O104" s="1"/>
  <c r="E104"/>
  <c r="J104" s="1"/>
  <c r="P104" s="1"/>
  <c r="H104"/>
  <c r="M104" s="1"/>
  <c r="S104" s="1"/>
  <c r="G139"/>
  <c r="L139" s="1"/>
  <c r="R139" s="1"/>
  <c r="E139"/>
  <c r="J139" s="1"/>
  <c r="P139" s="1"/>
  <c r="F139"/>
  <c r="K139" s="1"/>
  <c r="Q139" s="1"/>
  <c r="H139"/>
  <c r="M139" s="1"/>
  <c r="S139" s="1"/>
  <c r="D139"/>
  <c r="I139" s="1"/>
  <c r="O139" s="1"/>
  <c r="A164"/>
  <c r="V117"/>
  <c r="Y117" s="1"/>
  <c r="U117"/>
  <c r="X117" s="1"/>
  <c r="D142"/>
  <c r="I142" s="1"/>
  <c r="O142" s="1"/>
  <c r="H142"/>
  <c r="M142" s="1"/>
  <c r="S142" s="1"/>
  <c r="F142"/>
  <c r="K142" s="1"/>
  <c r="Q142" s="1"/>
  <c r="G142"/>
  <c r="L142" s="1"/>
  <c r="R142" s="1"/>
  <c r="E142"/>
  <c r="J142" s="1"/>
  <c r="P142" s="1"/>
  <c r="A167"/>
  <c r="U94"/>
  <c r="X94" s="1"/>
  <c r="V94"/>
  <c r="Y94" s="1"/>
  <c r="A148"/>
  <c r="D123"/>
  <c r="I123" s="1"/>
  <c r="O123" s="1"/>
  <c r="H123"/>
  <c r="M123" s="1"/>
  <c r="S123" s="1"/>
  <c r="G123"/>
  <c r="L123" s="1"/>
  <c r="R123" s="1"/>
  <c r="E123"/>
  <c r="J123" s="1"/>
  <c r="P123" s="1"/>
  <c r="F123"/>
  <c r="K123" s="1"/>
  <c r="Q123" s="1"/>
  <c r="A141"/>
  <c r="G116"/>
  <c r="L116" s="1"/>
  <c r="R116" s="1"/>
  <c r="F116"/>
  <c r="K116" s="1"/>
  <c r="Q116" s="1"/>
  <c r="E116"/>
  <c r="J116" s="1"/>
  <c r="P116" s="1"/>
  <c r="H116"/>
  <c r="M116" s="1"/>
  <c r="S116" s="1"/>
  <c r="D116"/>
  <c r="I116" s="1"/>
  <c r="O116" s="1"/>
  <c r="U118"/>
  <c r="X118" s="1"/>
  <c r="V118"/>
  <c r="Y118" s="1"/>
  <c r="V90"/>
  <c r="Y90" s="1"/>
  <c r="U90"/>
  <c r="X90" s="1"/>
  <c r="A145"/>
  <c r="G120"/>
  <c r="L120" s="1"/>
  <c r="R120" s="1"/>
  <c r="F120"/>
  <c r="K120" s="1"/>
  <c r="Q120" s="1"/>
  <c r="D120"/>
  <c r="I120" s="1"/>
  <c r="O120" s="1"/>
  <c r="E120"/>
  <c r="J120" s="1"/>
  <c r="P120" s="1"/>
  <c r="H120"/>
  <c r="M120" s="1"/>
  <c r="S120" s="1"/>
  <c r="A133"/>
  <c r="G108"/>
  <c r="L108" s="1"/>
  <c r="R108" s="1"/>
  <c r="F108"/>
  <c r="K108" s="1"/>
  <c r="Q108" s="1"/>
  <c r="E108"/>
  <c r="J108" s="1"/>
  <c r="P108" s="1"/>
  <c r="H108"/>
  <c r="M108" s="1"/>
  <c r="S108" s="1"/>
  <c r="D108"/>
  <c r="I108" s="1"/>
  <c r="O108" s="1"/>
  <c r="A132"/>
  <c r="D107"/>
  <c r="I107" s="1"/>
  <c r="O107" s="1"/>
  <c r="H107"/>
  <c r="M107" s="1"/>
  <c r="S107" s="1"/>
  <c r="G107"/>
  <c r="L107" s="1"/>
  <c r="R107" s="1"/>
  <c r="E107"/>
  <c r="J107" s="1"/>
  <c r="P107" s="1"/>
  <c r="F107"/>
  <c r="K107" s="1"/>
  <c r="Q107" s="1"/>
  <c r="V106"/>
  <c r="Y106" s="1"/>
  <c r="U106"/>
  <c r="X106" s="1"/>
  <c r="G147"/>
  <c r="L147" s="1"/>
  <c r="R147" s="1"/>
  <c r="E147"/>
  <c r="J147" s="1"/>
  <c r="P147" s="1"/>
  <c r="F147"/>
  <c r="K147" s="1"/>
  <c r="Q147" s="1"/>
  <c r="D147"/>
  <c r="I147" s="1"/>
  <c r="O147" s="1"/>
  <c r="H147"/>
  <c r="M147" s="1"/>
  <c r="S147" s="1"/>
  <c r="A172"/>
  <c r="AP6" i="4"/>
  <c r="AT2"/>
  <c r="AN11"/>
  <c r="AO10"/>
  <c r="AQ3"/>
  <c r="AL4"/>
  <c r="B3" i="2"/>
  <c r="E3" i="13" s="1"/>
  <c r="F3" s="1"/>
  <c r="H3" l="1"/>
  <c r="C3"/>
  <c r="B3" s="1"/>
  <c r="G3" i="2"/>
  <c r="J3"/>
  <c r="K3" s="1"/>
  <c r="E3"/>
  <c r="A157" i="5"/>
  <c r="F132"/>
  <c r="K132" s="1"/>
  <c r="Q132" s="1"/>
  <c r="G132"/>
  <c r="L132" s="1"/>
  <c r="R132" s="1"/>
  <c r="D132"/>
  <c r="I132" s="1"/>
  <c r="O132" s="1"/>
  <c r="H132"/>
  <c r="M132" s="1"/>
  <c r="S132" s="1"/>
  <c r="E132"/>
  <c r="J132" s="1"/>
  <c r="P132" s="1"/>
  <c r="E145"/>
  <c r="J145" s="1"/>
  <c r="P145" s="1"/>
  <c r="G145"/>
  <c r="L145" s="1"/>
  <c r="R145" s="1"/>
  <c r="H145"/>
  <c r="M145" s="1"/>
  <c r="S145" s="1"/>
  <c r="D145"/>
  <c r="I145" s="1"/>
  <c r="O145" s="1"/>
  <c r="F145"/>
  <c r="K145" s="1"/>
  <c r="Q145" s="1"/>
  <c r="A170"/>
  <c r="F148"/>
  <c r="K148" s="1"/>
  <c r="Q148" s="1"/>
  <c r="D148"/>
  <c r="I148" s="1"/>
  <c r="O148" s="1"/>
  <c r="H148"/>
  <c r="M148" s="1"/>
  <c r="S148" s="1"/>
  <c r="E148"/>
  <c r="J148" s="1"/>
  <c r="P148" s="1"/>
  <c r="G148"/>
  <c r="L148" s="1"/>
  <c r="R148" s="1"/>
  <c r="A173"/>
  <c r="U139"/>
  <c r="X139" s="1"/>
  <c r="V139"/>
  <c r="Y139" s="1"/>
  <c r="V159"/>
  <c r="Y159" s="1"/>
  <c r="U159"/>
  <c r="X159" s="1"/>
  <c r="E153"/>
  <c r="J153" s="1"/>
  <c r="P153" s="1"/>
  <c r="G153"/>
  <c r="L153" s="1"/>
  <c r="R153" s="1"/>
  <c r="H153"/>
  <c r="M153" s="1"/>
  <c r="S153" s="1"/>
  <c r="D153"/>
  <c r="I153" s="1"/>
  <c r="O153" s="1"/>
  <c r="F153"/>
  <c r="K153" s="1"/>
  <c r="Q153" s="1"/>
  <c r="A178"/>
  <c r="F144"/>
  <c r="K144" s="1"/>
  <c r="Q144" s="1"/>
  <c r="D144"/>
  <c r="I144" s="1"/>
  <c r="O144" s="1"/>
  <c r="H144"/>
  <c r="M144" s="1"/>
  <c r="S144" s="1"/>
  <c r="E144"/>
  <c r="J144" s="1"/>
  <c r="P144" s="1"/>
  <c r="G144"/>
  <c r="L144" s="1"/>
  <c r="R144" s="1"/>
  <c r="A169"/>
  <c r="F152"/>
  <c r="K152" s="1"/>
  <c r="Q152" s="1"/>
  <c r="D152"/>
  <c r="I152" s="1"/>
  <c r="O152" s="1"/>
  <c r="H152"/>
  <c r="M152" s="1"/>
  <c r="S152" s="1"/>
  <c r="E152"/>
  <c r="J152" s="1"/>
  <c r="P152" s="1"/>
  <c r="G152"/>
  <c r="L152" s="1"/>
  <c r="R152" s="1"/>
  <c r="A177"/>
  <c r="F172"/>
  <c r="K172" s="1"/>
  <c r="Q172" s="1"/>
  <c r="D172"/>
  <c r="I172" s="1"/>
  <c r="O172" s="1"/>
  <c r="H172"/>
  <c r="M172" s="1"/>
  <c r="S172" s="1"/>
  <c r="E172"/>
  <c r="J172" s="1"/>
  <c r="P172" s="1"/>
  <c r="G172"/>
  <c r="L172" s="1"/>
  <c r="R172" s="1"/>
  <c r="A197"/>
  <c r="U107"/>
  <c r="X107" s="1"/>
  <c r="V107"/>
  <c r="Y107" s="1"/>
  <c r="U123"/>
  <c r="X123" s="1"/>
  <c r="V123"/>
  <c r="Y123" s="1"/>
  <c r="G167"/>
  <c r="L167" s="1"/>
  <c r="R167" s="1"/>
  <c r="E167"/>
  <c r="J167" s="1"/>
  <c r="P167" s="1"/>
  <c r="F167"/>
  <c r="K167" s="1"/>
  <c r="Q167" s="1"/>
  <c r="H167"/>
  <c r="M167" s="1"/>
  <c r="S167" s="1"/>
  <c r="D167"/>
  <c r="I167" s="1"/>
  <c r="O167" s="1"/>
  <c r="A192"/>
  <c r="F164"/>
  <c r="K164" s="1"/>
  <c r="Q164" s="1"/>
  <c r="D164"/>
  <c r="I164" s="1"/>
  <c r="O164" s="1"/>
  <c r="H164"/>
  <c r="M164" s="1"/>
  <c r="S164" s="1"/>
  <c r="E164"/>
  <c r="J164" s="1"/>
  <c r="P164" s="1"/>
  <c r="G164"/>
  <c r="L164" s="1"/>
  <c r="R164" s="1"/>
  <c r="A189"/>
  <c r="V104"/>
  <c r="Y104" s="1"/>
  <c r="U104"/>
  <c r="X104" s="1"/>
  <c r="F184"/>
  <c r="K184" s="1"/>
  <c r="Q184" s="1"/>
  <c r="G184"/>
  <c r="L184" s="1"/>
  <c r="R184" s="1"/>
  <c r="E184"/>
  <c r="J184" s="1"/>
  <c r="P184" s="1"/>
  <c r="D184"/>
  <c r="I184" s="1"/>
  <c r="O184" s="1"/>
  <c r="H184"/>
  <c r="M184" s="1"/>
  <c r="S184" s="1"/>
  <c r="A209"/>
  <c r="F188"/>
  <c r="K188" s="1"/>
  <c r="Q188" s="1"/>
  <c r="G188"/>
  <c r="L188" s="1"/>
  <c r="R188" s="1"/>
  <c r="E188"/>
  <c r="J188" s="1"/>
  <c r="P188" s="1"/>
  <c r="D188"/>
  <c r="I188" s="1"/>
  <c r="O188" s="1"/>
  <c r="H188"/>
  <c r="M188" s="1"/>
  <c r="S188" s="1"/>
  <c r="A213"/>
  <c r="U155"/>
  <c r="X155" s="1"/>
  <c r="V155"/>
  <c r="Y155" s="1"/>
  <c r="F168"/>
  <c r="K168" s="1"/>
  <c r="Q168" s="1"/>
  <c r="D168"/>
  <c r="I168" s="1"/>
  <c r="O168" s="1"/>
  <c r="H168"/>
  <c r="M168" s="1"/>
  <c r="S168" s="1"/>
  <c r="E168"/>
  <c r="J168" s="1"/>
  <c r="P168" s="1"/>
  <c r="G168"/>
  <c r="L168" s="1"/>
  <c r="R168" s="1"/>
  <c r="A193"/>
  <c r="U119"/>
  <c r="X119" s="1"/>
  <c r="V119"/>
  <c r="Y119" s="1"/>
  <c r="V112"/>
  <c r="Y112" s="1"/>
  <c r="U112"/>
  <c r="X112" s="1"/>
  <c r="V163"/>
  <c r="Y163" s="1"/>
  <c r="U163"/>
  <c r="X163" s="1"/>
  <c r="U108"/>
  <c r="X108" s="1"/>
  <c r="V108"/>
  <c r="Y108" s="1"/>
  <c r="U120"/>
  <c r="X120" s="1"/>
  <c r="V120"/>
  <c r="Y120" s="1"/>
  <c r="U116"/>
  <c r="X116" s="1"/>
  <c r="V116"/>
  <c r="Y116" s="1"/>
  <c r="F176"/>
  <c r="K176" s="1"/>
  <c r="Q176" s="1"/>
  <c r="D176"/>
  <c r="I176" s="1"/>
  <c r="O176" s="1"/>
  <c r="H176"/>
  <c r="M176" s="1"/>
  <c r="S176" s="1"/>
  <c r="E176"/>
  <c r="J176" s="1"/>
  <c r="P176" s="1"/>
  <c r="G176"/>
  <c r="L176" s="1"/>
  <c r="R176" s="1"/>
  <c r="A201"/>
  <c r="F180"/>
  <c r="K180" s="1"/>
  <c r="Q180" s="1"/>
  <c r="G180"/>
  <c r="L180" s="1"/>
  <c r="R180" s="1"/>
  <c r="E180"/>
  <c r="J180" s="1"/>
  <c r="P180" s="1"/>
  <c r="D180"/>
  <c r="I180" s="1"/>
  <c r="O180" s="1"/>
  <c r="H180"/>
  <c r="M180" s="1"/>
  <c r="S180" s="1"/>
  <c r="A205"/>
  <c r="U128"/>
  <c r="X128" s="1"/>
  <c r="V128"/>
  <c r="Y128" s="1"/>
  <c r="F196"/>
  <c r="K196" s="1"/>
  <c r="Q196" s="1"/>
  <c r="G196"/>
  <c r="L196" s="1"/>
  <c r="R196" s="1"/>
  <c r="E196"/>
  <c r="J196" s="1"/>
  <c r="P196" s="1"/>
  <c r="D196"/>
  <c r="I196" s="1"/>
  <c r="O196" s="1"/>
  <c r="H196"/>
  <c r="M196" s="1"/>
  <c r="S196" s="1"/>
  <c r="A221"/>
  <c r="U115"/>
  <c r="X115" s="1"/>
  <c r="V115"/>
  <c r="Y115" s="1"/>
  <c r="V111"/>
  <c r="Y111" s="1"/>
  <c r="U111"/>
  <c r="X111" s="1"/>
  <c r="G175"/>
  <c r="L175" s="1"/>
  <c r="R175" s="1"/>
  <c r="E175"/>
  <c r="J175" s="1"/>
  <c r="P175" s="1"/>
  <c r="D175"/>
  <c r="I175" s="1"/>
  <c r="O175" s="1"/>
  <c r="F175"/>
  <c r="K175" s="1"/>
  <c r="Q175" s="1"/>
  <c r="H175"/>
  <c r="M175" s="1"/>
  <c r="S175" s="1"/>
  <c r="A200"/>
  <c r="U124"/>
  <c r="X124" s="1"/>
  <c r="V124"/>
  <c r="Y124" s="1"/>
  <c r="V142"/>
  <c r="Y142" s="1"/>
  <c r="U142"/>
  <c r="X142" s="1"/>
  <c r="V131"/>
  <c r="Y131" s="1"/>
  <c r="U131"/>
  <c r="X131" s="1"/>
  <c r="V135"/>
  <c r="Y135" s="1"/>
  <c r="U135"/>
  <c r="X135" s="1"/>
  <c r="U147"/>
  <c r="X147" s="1"/>
  <c r="V147"/>
  <c r="Y147" s="1"/>
  <c r="A158"/>
  <c r="E133"/>
  <c r="J133" s="1"/>
  <c r="P133" s="1"/>
  <c r="F133"/>
  <c r="K133" s="1"/>
  <c r="Q133" s="1"/>
  <c r="G133"/>
  <c r="L133" s="1"/>
  <c r="R133" s="1"/>
  <c r="D133"/>
  <c r="I133" s="1"/>
  <c r="O133" s="1"/>
  <c r="H133"/>
  <c r="M133" s="1"/>
  <c r="S133" s="1"/>
  <c r="E141"/>
  <c r="J141" s="1"/>
  <c r="P141" s="1"/>
  <c r="G141"/>
  <c r="L141" s="1"/>
  <c r="R141" s="1"/>
  <c r="D141"/>
  <c r="I141" s="1"/>
  <c r="O141" s="1"/>
  <c r="F141"/>
  <c r="K141" s="1"/>
  <c r="Q141" s="1"/>
  <c r="H141"/>
  <c r="M141" s="1"/>
  <c r="S141" s="1"/>
  <c r="A166"/>
  <c r="A154"/>
  <c r="E129"/>
  <c r="J129" s="1"/>
  <c r="P129" s="1"/>
  <c r="F129"/>
  <c r="K129" s="1"/>
  <c r="Q129" s="1"/>
  <c r="G129"/>
  <c r="L129" s="1"/>
  <c r="R129" s="1"/>
  <c r="D129"/>
  <c r="I129" s="1"/>
  <c r="O129" s="1"/>
  <c r="H129"/>
  <c r="M129" s="1"/>
  <c r="S129" s="1"/>
  <c r="V151"/>
  <c r="Y151" s="1"/>
  <c r="U151"/>
  <c r="X151" s="1"/>
  <c r="F156"/>
  <c r="K156" s="1"/>
  <c r="Q156" s="1"/>
  <c r="D156"/>
  <c r="I156" s="1"/>
  <c r="O156" s="1"/>
  <c r="H156"/>
  <c r="M156" s="1"/>
  <c r="S156" s="1"/>
  <c r="E156"/>
  <c r="J156" s="1"/>
  <c r="P156" s="1"/>
  <c r="G156"/>
  <c r="L156" s="1"/>
  <c r="R156" s="1"/>
  <c r="A181"/>
  <c r="F160"/>
  <c r="K160" s="1"/>
  <c r="Q160" s="1"/>
  <c r="D160"/>
  <c r="I160" s="1"/>
  <c r="O160" s="1"/>
  <c r="H160"/>
  <c r="M160" s="1"/>
  <c r="S160" s="1"/>
  <c r="E160"/>
  <c r="J160" s="1"/>
  <c r="P160" s="1"/>
  <c r="G160"/>
  <c r="L160" s="1"/>
  <c r="R160" s="1"/>
  <c r="A185"/>
  <c r="U171"/>
  <c r="X171" s="1"/>
  <c r="V171"/>
  <c r="Y171" s="1"/>
  <c r="F140"/>
  <c r="K140" s="1"/>
  <c r="Q140" s="1"/>
  <c r="D140"/>
  <c r="I140" s="1"/>
  <c r="O140" s="1"/>
  <c r="H140"/>
  <c r="M140" s="1"/>
  <c r="S140" s="1"/>
  <c r="E140"/>
  <c r="J140" s="1"/>
  <c r="P140" s="1"/>
  <c r="G140"/>
  <c r="L140" s="1"/>
  <c r="R140" s="1"/>
  <c r="A165"/>
  <c r="U143"/>
  <c r="X143" s="1"/>
  <c r="V143"/>
  <c r="Y143" s="1"/>
  <c r="A161"/>
  <c r="F136"/>
  <c r="K136" s="1"/>
  <c r="Q136" s="1"/>
  <c r="G136"/>
  <c r="L136" s="1"/>
  <c r="R136" s="1"/>
  <c r="D136"/>
  <c r="I136" s="1"/>
  <c r="O136" s="1"/>
  <c r="H136"/>
  <c r="M136" s="1"/>
  <c r="S136" s="1"/>
  <c r="E136"/>
  <c r="J136" s="1"/>
  <c r="P136" s="1"/>
  <c r="U150"/>
  <c r="X150" s="1"/>
  <c r="V150"/>
  <c r="Y150" s="1"/>
  <c r="V127"/>
  <c r="Y127" s="1"/>
  <c r="U127"/>
  <c r="X127" s="1"/>
  <c r="A162"/>
  <c r="E137"/>
  <c r="J137" s="1"/>
  <c r="P137" s="1"/>
  <c r="G137"/>
  <c r="L137" s="1"/>
  <c r="R137" s="1"/>
  <c r="H137"/>
  <c r="M137" s="1"/>
  <c r="S137" s="1"/>
  <c r="D137"/>
  <c r="I137" s="1"/>
  <c r="O137" s="1"/>
  <c r="F137"/>
  <c r="K137" s="1"/>
  <c r="Q137" s="1"/>
  <c r="E149"/>
  <c r="J149" s="1"/>
  <c r="P149" s="1"/>
  <c r="G149"/>
  <c r="L149" s="1"/>
  <c r="R149" s="1"/>
  <c r="D149"/>
  <c r="I149" s="1"/>
  <c r="O149" s="1"/>
  <c r="F149"/>
  <c r="K149" s="1"/>
  <c r="Q149" s="1"/>
  <c r="H149"/>
  <c r="M149" s="1"/>
  <c r="S149" s="1"/>
  <c r="A174"/>
  <c r="B4" i="2"/>
  <c r="E4" i="13" s="1"/>
  <c r="F4" s="1"/>
  <c r="C3" i="8"/>
  <c r="F4" s="1"/>
  <c r="D3" i="1"/>
  <c r="B3" s="1"/>
  <c r="AP7" i="4"/>
  <c r="AN12"/>
  <c r="AO11"/>
  <c r="AQ4"/>
  <c r="AR3"/>
  <c r="AL5"/>
  <c r="C4" i="13" l="1"/>
  <c r="B4" s="1"/>
  <c r="H4"/>
  <c r="H3" i="2"/>
  <c r="C3" s="1"/>
  <c r="AD6"/>
  <c r="AE6" s="1"/>
  <c r="AF6" s="1"/>
  <c r="AG6" s="1"/>
  <c r="AH6" s="1"/>
  <c r="AD10"/>
  <c r="AE10" s="1"/>
  <c r="AF10" s="1"/>
  <c r="AG10" s="1"/>
  <c r="AH10" s="1"/>
  <c r="AD3"/>
  <c r="AE3" s="1"/>
  <c r="AF3" s="1"/>
  <c r="AG3" s="1"/>
  <c r="AH3" s="1"/>
  <c r="AD8"/>
  <c r="AE8" s="1"/>
  <c r="AF8" s="1"/>
  <c r="AG8" s="1"/>
  <c r="AH8" s="1"/>
  <c r="J4"/>
  <c r="G4"/>
  <c r="E4"/>
  <c r="E161" i="5"/>
  <c r="J161" s="1"/>
  <c r="P161" s="1"/>
  <c r="G161"/>
  <c r="L161" s="1"/>
  <c r="R161" s="1"/>
  <c r="H161"/>
  <c r="M161" s="1"/>
  <c r="S161" s="1"/>
  <c r="D161"/>
  <c r="I161" s="1"/>
  <c r="O161" s="1"/>
  <c r="F161"/>
  <c r="K161" s="1"/>
  <c r="Q161" s="1"/>
  <c r="A186"/>
  <c r="F181"/>
  <c r="K181" s="1"/>
  <c r="Q181" s="1"/>
  <c r="G181"/>
  <c r="L181" s="1"/>
  <c r="R181" s="1"/>
  <c r="D181"/>
  <c r="I181" s="1"/>
  <c r="O181" s="1"/>
  <c r="E181"/>
  <c r="J181" s="1"/>
  <c r="P181" s="1"/>
  <c r="H181"/>
  <c r="M181" s="1"/>
  <c r="S181" s="1"/>
  <c r="A206"/>
  <c r="V149"/>
  <c r="Y149" s="1"/>
  <c r="U149"/>
  <c r="X149" s="1"/>
  <c r="A199"/>
  <c r="D174"/>
  <c r="I174" s="1"/>
  <c r="O174" s="1"/>
  <c r="H174"/>
  <c r="M174" s="1"/>
  <c r="S174" s="1"/>
  <c r="F174"/>
  <c r="K174" s="1"/>
  <c r="Q174" s="1"/>
  <c r="G174"/>
  <c r="L174" s="1"/>
  <c r="R174" s="1"/>
  <c r="E174"/>
  <c r="J174" s="1"/>
  <c r="P174" s="1"/>
  <c r="E165"/>
  <c r="J165" s="1"/>
  <c r="P165" s="1"/>
  <c r="G165"/>
  <c r="L165" s="1"/>
  <c r="R165" s="1"/>
  <c r="D165"/>
  <c r="I165" s="1"/>
  <c r="O165" s="1"/>
  <c r="H165"/>
  <c r="M165" s="1"/>
  <c r="S165" s="1"/>
  <c r="F165"/>
  <c r="K165" s="1"/>
  <c r="Q165" s="1"/>
  <c r="A190"/>
  <c r="U140"/>
  <c r="X140" s="1"/>
  <c r="V140"/>
  <c r="Y140" s="1"/>
  <c r="F185"/>
  <c r="K185" s="1"/>
  <c r="Q185" s="1"/>
  <c r="G185"/>
  <c r="L185" s="1"/>
  <c r="R185" s="1"/>
  <c r="D185"/>
  <c r="I185" s="1"/>
  <c r="O185" s="1"/>
  <c r="E185"/>
  <c r="J185" s="1"/>
  <c r="P185" s="1"/>
  <c r="H185"/>
  <c r="M185" s="1"/>
  <c r="S185" s="1"/>
  <c r="A210"/>
  <c r="U160"/>
  <c r="X160" s="1"/>
  <c r="V160"/>
  <c r="Y160" s="1"/>
  <c r="A191"/>
  <c r="D166"/>
  <c r="I166" s="1"/>
  <c r="O166" s="1"/>
  <c r="H166"/>
  <c r="M166" s="1"/>
  <c r="S166" s="1"/>
  <c r="F166"/>
  <c r="K166" s="1"/>
  <c r="Q166" s="1"/>
  <c r="G166"/>
  <c r="L166" s="1"/>
  <c r="R166" s="1"/>
  <c r="E166"/>
  <c r="J166" s="1"/>
  <c r="P166" s="1"/>
  <c r="G221"/>
  <c r="L221" s="1"/>
  <c r="R221" s="1"/>
  <c r="H221"/>
  <c r="M221" s="1"/>
  <c r="S221" s="1"/>
  <c r="D221"/>
  <c r="I221" s="1"/>
  <c r="O221" s="1"/>
  <c r="E221"/>
  <c r="J221" s="1"/>
  <c r="P221" s="1"/>
  <c r="F221"/>
  <c r="K221" s="1"/>
  <c r="Q221" s="1"/>
  <c r="F205"/>
  <c r="K205" s="1"/>
  <c r="Q205" s="1"/>
  <c r="G205"/>
  <c r="L205" s="1"/>
  <c r="R205" s="1"/>
  <c r="D205"/>
  <c r="I205" s="1"/>
  <c r="O205" s="1"/>
  <c r="E205"/>
  <c r="J205" s="1"/>
  <c r="P205" s="1"/>
  <c r="H205"/>
  <c r="M205" s="1"/>
  <c r="S205" s="1"/>
  <c r="F193"/>
  <c r="K193" s="1"/>
  <c r="Q193" s="1"/>
  <c r="G193"/>
  <c r="L193" s="1"/>
  <c r="R193" s="1"/>
  <c r="D193"/>
  <c r="I193" s="1"/>
  <c r="O193" s="1"/>
  <c r="E193"/>
  <c r="J193" s="1"/>
  <c r="P193" s="1"/>
  <c r="H193"/>
  <c r="M193" s="1"/>
  <c r="S193" s="1"/>
  <c r="A218"/>
  <c r="U168"/>
  <c r="X168" s="1"/>
  <c r="V168"/>
  <c r="Y168" s="1"/>
  <c r="G213"/>
  <c r="L213" s="1"/>
  <c r="R213" s="1"/>
  <c r="H213"/>
  <c r="M213" s="1"/>
  <c r="S213" s="1"/>
  <c r="D213"/>
  <c r="I213" s="1"/>
  <c r="O213" s="1"/>
  <c r="E213"/>
  <c r="J213" s="1"/>
  <c r="P213" s="1"/>
  <c r="F213"/>
  <c r="K213" s="1"/>
  <c r="Q213" s="1"/>
  <c r="U184"/>
  <c r="X184" s="1"/>
  <c r="V184"/>
  <c r="Y184" s="1"/>
  <c r="F192"/>
  <c r="K192" s="1"/>
  <c r="Q192" s="1"/>
  <c r="G192"/>
  <c r="L192" s="1"/>
  <c r="R192" s="1"/>
  <c r="E192"/>
  <c r="J192" s="1"/>
  <c r="P192" s="1"/>
  <c r="D192"/>
  <c r="I192" s="1"/>
  <c r="O192" s="1"/>
  <c r="H192"/>
  <c r="M192" s="1"/>
  <c r="S192" s="1"/>
  <c r="A217"/>
  <c r="E177"/>
  <c r="J177" s="1"/>
  <c r="P177" s="1"/>
  <c r="G177"/>
  <c r="L177" s="1"/>
  <c r="R177" s="1"/>
  <c r="H177"/>
  <c r="M177" s="1"/>
  <c r="S177" s="1"/>
  <c r="D177"/>
  <c r="I177" s="1"/>
  <c r="O177" s="1"/>
  <c r="F177"/>
  <c r="K177" s="1"/>
  <c r="Q177" s="1"/>
  <c r="A202"/>
  <c r="V152"/>
  <c r="Y152" s="1"/>
  <c r="U152"/>
  <c r="X152" s="1"/>
  <c r="A203"/>
  <c r="F178"/>
  <c r="K178" s="1"/>
  <c r="Q178" s="1"/>
  <c r="E178"/>
  <c r="J178" s="1"/>
  <c r="P178" s="1"/>
  <c r="H178"/>
  <c r="M178" s="1"/>
  <c r="S178" s="1"/>
  <c r="G178"/>
  <c r="L178" s="1"/>
  <c r="R178" s="1"/>
  <c r="D178"/>
  <c r="I178" s="1"/>
  <c r="O178" s="1"/>
  <c r="A195"/>
  <c r="D170"/>
  <c r="I170" s="1"/>
  <c r="O170" s="1"/>
  <c r="H170"/>
  <c r="M170" s="1"/>
  <c r="S170" s="1"/>
  <c r="F170"/>
  <c r="K170" s="1"/>
  <c r="Q170" s="1"/>
  <c r="G170"/>
  <c r="L170" s="1"/>
  <c r="R170" s="1"/>
  <c r="E170"/>
  <c r="J170" s="1"/>
  <c r="P170" s="1"/>
  <c r="V132"/>
  <c r="Y132" s="1"/>
  <c r="U132"/>
  <c r="X132" s="1"/>
  <c r="U175"/>
  <c r="X175" s="1"/>
  <c r="V175"/>
  <c r="Y175" s="1"/>
  <c r="V167"/>
  <c r="Y167" s="1"/>
  <c r="U167"/>
  <c r="X167" s="1"/>
  <c r="F200"/>
  <c r="K200" s="1"/>
  <c r="Q200" s="1"/>
  <c r="G200"/>
  <c r="L200" s="1"/>
  <c r="R200" s="1"/>
  <c r="E200"/>
  <c r="J200" s="1"/>
  <c r="P200" s="1"/>
  <c r="D200"/>
  <c r="I200" s="1"/>
  <c r="O200" s="1"/>
  <c r="H200"/>
  <c r="M200" s="1"/>
  <c r="S200" s="1"/>
  <c r="A225"/>
  <c r="V196"/>
  <c r="Y196" s="1"/>
  <c r="U196"/>
  <c r="X196" s="1"/>
  <c r="V180"/>
  <c r="Y180" s="1"/>
  <c r="U180"/>
  <c r="X180" s="1"/>
  <c r="F201"/>
  <c r="K201" s="1"/>
  <c r="Q201" s="1"/>
  <c r="G201"/>
  <c r="L201" s="1"/>
  <c r="R201" s="1"/>
  <c r="D201"/>
  <c r="I201" s="1"/>
  <c r="O201" s="1"/>
  <c r="E201"/>
  <c r="J201" s="1"/>
  <c r="P201" s="1"/>
  <c r="H201"/>
  <c r="M201" s="1"/>
  <c r="S201" s="1"/>
  <c r="A226"/>
  <c r="V176"/>
  <c r="Y176" s="1"/>
  <c r="U176"/>
  <c r="X176" s="1"/>
  <c r="V188"/>
  <c r="Y188" s="1"/>
  <c r="U188"/>
  <c r="X188" s="1"/>
  <c r="G209"/>
  <c r="L209" s="1"/>
  <c r="R209" s="1"/>
  <c r="H209"/>
  <c r="M209" s="1"/>
  <c r="S209" s="1"/>
  <c r="D209"/>
  <c r="I209" s="1"/>
  <c r="O209" s="1"/>
  <c r="E209"/>
  <c r="J209" s="1"/>
  <c r="P209" s="1"/>
  <c r="F209"/>
  <c r="K209" s="1"/>
  <c r="Q209" s="1"/>
  <c r="F189"/>
  <c r="K189" s="1"/>
  <c r="Q189" s="1"/>
  <c r="G189"/>
  <c r="L189" s="1"/>
  <c r="R189" s="1"/>
  <c r="D189"/>
  <c r="I189" s="1"/>
  <c r="O189" s="1"/>
  <c r="E189"/>
  <c r="J189" s="1"/>
  <c r="P189" s="1"/>
  <c r="H189"/>
  <c r="M189" s="1"/>
  <c r="S189" s="1"/>
  <c r="A214"/>
  <c r="U164"/>
  <c r="X164" s="1"/>
  <c r="V164"/>
  <c r="Y164" s="1"/>
  <c r="F197"/>
  <c r="K197" s="1"/>
  <c r="Q197" s="1"/>
  <c r="G197"/>
  <c r="L197" s="1"/>
  <c r="R197" s="1"/>
  <c r="D197"/>
  <c r="I197" s="1"/>
  <c r="O197" s="1"/>
  <c r="E197"/>
  <c r="J197" s="1"/>
  <c r="P197" s="1"/>
  <c r="H197"/>
  <c r="M197" s="1"/>
  <c r="S197" s="1"/>
  <c r="A222"/>
  <c r="U172"/>
  <c r="X172" s="1"/>
  <c r="V172"/>
  <c r="Y172" s="1"/>
  <c r="E169"/>
  <c r="J169" s="1"/>
  <c r="P169" s="1"/>
  <c r="G169"/>
  <c r="L169" s="1"/>
  <c r="R169" s="1"/>
  <c r="H169"/>
  <c r="M169" s="1"/>
  <c r="S169" s="1"/>
  <c r="D169"/>
  <c r="I169" s="1"/>
  <c r="O169" s="1"/>
  <c r="F169"/>
  <c r="K169" s="1"/>
  <c r="Q169" s="1"/>
  <c r="A194"/>
  <c r="U144"/>
  <c r="X144" s="1"/>
  <c r="V144"/>
  <c r="Y144" s="1"/>
  <c r="V153"/>
  <c r="Y153" s="1"/>
  <c r="U153"/>
  <c r="X153" s="1"/>
  <c r="E173"/>
  <c r="J173" s="1"/>
  <c r="P173" s="1"/>
  <c r="G173"/>
  <c r="L173" s="1"/>
  <c r="R173" s="1"/>
  <c r="D173"/>
  <c r="I173" s="1"/>
  <c r="O173" s="1"/>
  <c r="H173"/>
  <c r="M173" s="1"/>
  <c r="S173" s="1"/>
  <c r="F173"/>
  <c r="K173" s="1"/>
  <c r="Q173" s="1"/>
  <c r="A198"/>
  <c r="V148"/>
  <c r="Y148" s="1"/>
  <c r="U148"/>
  <c r="X148" s="1"/>
  <c r="U145"/>
  <c r="X145" s="1"/>
  <c r="V145"/>
  <c r="Y145" s="1"/>
  <c r="U136"/>
  <c r="X136" s="1"/>
  <c r="V136"/>
  <c r="Y136" s="1"/>
  <c r="U156"/>
  <c r="X156" s="1"/>
  <c r="V156"/>
  <c r="Y156" s="1"/>
  <c r="U137"/>
  <c r="X137" s="1"/>
  <c r="V137"/>
  <c r="Y137" s="1"/>
  <c r="D162"/>
  <c r="I162" s="1"/>
  <c r="O162" s="1"/>
  <c r="H162"/>
  <c r="M162" s="1"/>
  <c r="S162" s="1"/>
  <c r="F162"/>
  <c r="K162" s="1"/>
  <c r="Q162" s="1"/>
  <c r="G162"/>
  <c r="L162" s="1"/>
  <c r="R162" s="1"/>
  <c r="E162"/>
  <c r="J162" s="1"/>
  <c r="P162" s="1"/>
  <c r="A187"/>
  <c r="U129"/>
  <c r="X129" s="1"/>
  <c r="V129"/>
  <c r="Y129" s="1"/>
  <c r="D154"/>
  <c r="I154" s="1"/>
  <c r="O154" s="1"/>
  <c r="H154"/>
  <c r="M154" s="1"/>
  <c r="S154" s="1"/>
  <c r="F154"/>
  <c r="K154" s="1"/>
  <c r="Q154" s="1"/>
  <c r="E154"/>
  <c r="J154" s="1"/>
  <c r="P154" s="1"/>
  <c r="G154"/>
  <c r="L154" s="1"/>
  <c r="R154" s="1"/>
  <c r="A179"/>
  <c r="U141"/>
  <c r="X141" s="1"/>
  <c r="V141"/>
  <c r="Y141" s="1"/>
  <c r="U133"/>
  <c r="X133" s="1"/>
  <c r="V133"/>
  <c r="Y133" s="1"/>
  <c r="D158"/>
  <c r="I158" s="1"/>
  <c r="O158" s="1"/>
  <c r="H158"/>
  <c r="M158" s="1"/>
  <c r="S158" s="1"/>
  <c r="F158"/>
  <c r="K158" s="1"/>
  <c r="Q158" s="1"/>
  <c r="G158"/>
  <c r="L158" s="1"/>
  <c r="R158" s="1"/>
  <c r="E158"/>
  <c r="J158" s="1"/>
  <c r="P158" s="1"/>
  <c r="A183"/>
  <c r="E157"/>
  <c r="J157" s="1"/>
  <c r="P157" s="1"/>
  <c r="G157"/>
  <c r="L157" s="1"/>
  <c r="R157" s="1"/>
  <c r="D157"/>
  <c r="I157" s="1"/>
  <c r="O157" s="1"/>
  <c r="F157"/>
  <c r="K157" s="1"/>
  <c r="Q157" s="1"/>
  <c r="H157"/>
  <c r="M157" s="1"/>
  <c r="S157" s="1"/>
  <c r="A182"/>
  <c r="B5" i="2"/>
  <c r="E5" i="13" s="1"/>
  <c r="F5" s="1"/>
  <c r="C4" i="8"/>
  <c r="D4" i="1"/>
  <c r="B4" s="1"/>
  <c r="AP8" i="4"/>
  <c r="AN13"/>
  <c r="AO12"/>
  <c r="AQ5"/>
  <c r="AR4"/>
  <c r="AS3"/>
  <c r="AL6"/>
  <c r="K4" i="2" l="1"/>
  <c r="AN6"/>
  <c r="AP6" s="1"/>
  <c r="AR6" s="1"/>
  <c r="AN7"/>
  <c r="AP7" s="1"/>
  <c r="AR7" s="1"/>
  <c r="AN5"/>
  <c r="AP5" s="1"/>
  <c r="AR5" s="1"/>
  <c r="AN4"/>
  <c r="AP4" s="1"/>
  <c r="AR4" s="1"/>
  <c r="AN2"/>
  <c r="AP2" s="1"/>
  <c r="AR2" s="1"/>
  <c r="AD38"/>
  <c r="AE38" s="1"/>
  <c r="AF38" s="1"/>
  <c r="AG38" s="1"/>
  <c r="AH38" s="1"/>
  <c r="H5" i="13"/>
  <c r="C5"/>
  <c r="B5" s="1"/>
  <c r="H4" i="2"/>
  <c r="AD14"/>
  <c r="AE14" s="1"/>
  <c r="AF14" s="1"/>
  <c r="AG14" s="1"/>
  <c r="AH14" s="1"/>
  <c r="AD11"/>
  <c r="AE11" s="1"/>
  <c r="AF11" s="1"/>
  <c r="AG11" s="1"/>
  <c r="AH11" s="1"/>
  <c r="J5"/>
  <c r="K5" s="1"/>
  <c r="G5"/>
  <c r="E5"/>
  <c r="U162" i="5"/>
  <c r="X162" s="1"/>
  <c r="V162"/>
  <c r="Y162" s="1"/>
  <c r="G226"/>
  <c r="L226" s="1"/>
  <c r="R226" s="1"/>
  <c r="H226"/>
  <c r="M226" s="1"/>
  <c r="S226" s="1"/>
  <c r="E226"/>
  <c r="J226" s="1"/>
  <c r="P226" s="1"/>
  <c r="F226"/>
  <c r="K226" s="1"/>
  <c r="Q226" s="1"/>
  <c r="D226"/>
  <c r="I226" s="1"/>
  <c r="O226" s="1"/>
  <c r="A227"/>
  <c r="F202"/>
  <c r="K202" s="1"/>
  <c r="Q202" s="1"/>
  <c r="G202"/>
  <c r="L202" s="1"/>
  <c r="R202" s="1"/>
  <c r="E202"/>
  <c r="J202" s="1"/>
  <c r="P202" s="1"/>
  <c r="H202"/>
  <c r="M202" s="1"/>
  <c r="S202" s="1"/>
  <c r="D202"/>
  <c r="I202" s="1"/>
  <c r="O202" s="1"/>
  <c r="A224"/>
  <c r="F199"/>
  <c r="K199" s="1"/>
  <c r="Q199" s="1"/>
  <c r="G199"/>
  <c r="L199" s="1"/>
  <c r="R199" s="1"/>
  <c r="D199"/>
  <c r="I199" s="1"/>
  <c r="O199" s="1"/>
  <c r="E199"/>
  <c r="J199" s="1"/>
  <c r="P199" s="1"/>
  <c r="H199"/>
  <c r="M199" s="1"/>
  <c r="S199" s="1"/>
  <c r="G222"/>
  <c r="L222" s="1"/>
  <c r="R222" s="1"/>
  <c r="H222"/>
  <c r="M222" s="1"/>
  <c r="S222" s="1"/>
  <c r="E222"/>
  <c r="J222" s="1"/>
  <c r="P222" s="1"/>
  <c r="D222"/>
  <c r="I222" s="1"/>
  <c r="O222" s="1"/>
  <c r="F222"/>
  <c r="K222" s="1"/>
  <c r="Q222" s="1"/>
  <c r="V209"/>
  <c r="Y209" s="1"/>
  <c r="U209"/>
  <c r="X209" s="1"/>
  <c r="G218"/>
  <c r="L218" s="1"/>
  <c r="R218" s="1"/>
  <c r="H218"/>
  <c r="M218" s="1"/>
  <c r="S218" s="1"/>
  <c r="E218"/>
  <c r="J218" s="1"/>
  <c r="P218" s="1"/>
  <c r="F218"/>
  <c r="K218" s="1"/>
  <c r="Q218" s="1"/>
  <c r="D218"/>
  <c r="I218" s="1"/>
  <c r="O218" s="1"/>
  <c r="V205"/>
  <c r="Y205" s="1"/>
  <c r="U205"/>
  <c r="X205" s="1"/>
  <c r="A215"/>
  <c r="F190"/>
  <c r="K190" s="1"/>
  <c r="Q190" s="1"/>
  <c r="G190"/>
  <c r="L190" s="1"/>
  <c r="R190" s="1"/>
  <c r="E190"/>
  <c r="J190" s="1"/>
  <c r="P190" s="1"/>
  <c r="H190"/>
  <c r="M190" s="1"/>
  <c r="S190" s="1"/>
  <c r="D190"/>
  <c r="I190" s="1"/>
  <c r="O190" s="1"/>
  <c r="V157"/>
  <c r="Y157" s="1"/>
  <c r="U157"/>
  <c r="X157" s="1"/>
  <c r="A207"/>
  <c r="F182"/>
  <c r="K182" s="1"/>
  <c r="Q182" s="1"/>
  <c r="G182"/>
  <c r="L182" s="1"/>
  <c r="R182" s="1"/>
  <c r="E182"/>
  <c r="J182" s="1"/>
  <c r="P182" s="1"/>
  <c r="H182"/>
  <c r="M182" s="1"/>
  <c r="S182" s="1"/>
  <c r="D182"/>
  <c r="I182" s="1"/>
  <c r="O182" s="1"/>
  <c r="F179"/>
  <c r="K179" s="1"/>
  <c r="Q179" s="1"/>
  <c r="G179"/>
  <c r="L179" s="1"/>
  <c r="R179" s="1"/>
  <c r="E179"/>
  <c r="J179" s="1"/>
  <c r="P179" s="1"/>
  <c r="H179"/>
  <c r="M179" s="1"/>
  <c r="S179" s="1"/>
  <c r="D179"/>
  <c r="I179" s="1"/>
  <c r="O179" s="1"/>
  <c r="A204"/>
  <c r="F187"/>
  <c r="K187" s="1"/>
  <c r="Q187" s="1"/>
  <c r="G187"/>
  <c r="L187" s="1"/>
  <c r="R187" s="1"/>
  <c r="E187"/>
  <c r="J187" s="1"/>
  <c r="P187" s="1"/>
  <c r="H187"/>
  <c r="M187" s="1"/>
  <c r="S187" s="1"/>
  <c r="D187"/>
  <c r="I187" s="1"/>
  <c r="O187" s="1"/>
  <c r="A212"/>
  <c r="A223"/>
  <c r="F198"/>
  <c r="K198" s="1"/>
  <c r="Q198" s="1"/>
  <c r="G198"/>
  <c r="L198" s="1"/>
  <c r="R198" s="1"/>
  <c r="E198"/>
  <c r="J198" s="1"/>
  <c r="P198" s="1"/>
  <c r="H198"/>
  <c r="M198" s="1"/>
  <c r="S198" s="1"/>
  <c r="D198"/>
  <c r="I198" s="1"/>
  <c r="O198" s="1"/>
  <c r="U169"/>
  <c r="X169" s="1"/>
  <c r="V169"/>
  <c r="Y169" s="1"/>
  <c r="V201"/>
  <c r="Y201" s="1"/>
  <c r="U201"/>
  <c r="X201" s="1"/>
  <c r="A220"/>
  <c r="F195"/>
  <c r="K195" s="1"/>
  <c r="Q195" s="1"/>
  <c r="G195"/>
  <c r="L195" s="1"/>
  <c r="R195" s="1"/>
  <c r="E195"/>
  <c r="J195" s="1"/>
  <c r="P195" s="1"/>
  <c r="H195"/>
  <c r="M195" s="1"/>
  <c r="S195" s="1"/>
  <c r="D195"/>
  <c r="I195" s="1"/>
  <c r="O195" s="1"/>
  <c r="V174"/>
  <c r="Y174" s="1"/>
  <c r="U174"/>
  <c r="X174" s="1"/>
  <c r="F206"/>
  <c r="K206" s="1"/>
  <c r="Q206" s="1"/>
  <c r="G206"/>
  <c r="L206" s="1"/>
  <c r="R206" s="1"/>
  <c r="E206"/>
  <c r="J206" s="1"/>
  <c r="P206" s="1"/>
  <c r="H206"/>
  <c r="M206" s="1"/>
  <c r="S206" s="1"/>
  <c r="D206"/>
  <c r="I206" s="1"/>
  <c r="O206" s="1"/>
  <c r="V161"/>
  <c r="Y161" s="1"/>
  <c r="U161"/>
  <c r="X161" s="1"/>
  <c r="U154"/>
  <c r="X154" s="1"/>
  <c r="V154"/>
  <c r="Y154" s="1"/>
  <c r="V197"/>
  <c r="Y197" s="1"/>
  <c r="U197"/>
  <c r="X197" s="1"/>
  <c r="V189"/>
  <c r="Y189" s="1"/>
  <c r="U189"/>
  <c r="X189" s="1"/>
  <c r="U200"/>
  <c r="X200" s="1"/>
  <c r="V200"/>
  <c r="Y200" s="1"/>
  <c r="U178"/>
  <c r="X178" s="1"/>
  <c r="V178"/>
  <c r="Y178" s="1"/>
  <c r="U192"/>
  <c r="X192" s="1"/>
  <c r="V192"/>
  <c r="Y192" s="1"/>
  <c r="U213"/>
  <c r="X213" s="1"/>
  <c r="V213"/>
  <c r="Y213" s="1"/>
  <c r="U193"/>
  <c r="X193" s="1"/>
  <c r="V193"/>
  <c r="Y193" s="1"/>
  <c r="U185"/>
  <c r="X185" s="1"/>
  <c r="V185"/>
  <c r="Y185" s="1"/>
  <c r="V165"/>
  <c r="Y165" s="1"/>
  <c r="U165"/>
  <c r="X165" s="1"/>
  <c r="F183"/>
  <c r="K183" s="1"/>
  <c r="Q183" s="1"/>
  <c r="G183"/>
  <c r="L183" s="1"/>
  <c r="R183" s="1"/>
  <c r="D183"/>
  <c r="I183" s="1"/>
  <c r="O183" s="1"/>
  <c r="E183"/>
  <c r="J183" s="1"/>
  <c r="P183" s="1"/>
  <c r="H183"/>
  <c r="M183" s="1"/>
  <c r="S183" s="1"/>
  <c r="A208"/>
  <c r="A219"/>
  <c r="F194"/>
  <c r="K194" s="1"/>
  <c r="Q194" s="1"/>
  <c r="G194"/>
  <c r="L194" s="1"/>
  <c r="R194" s="1"/>
  <c r="E194"/>
  <c r="J194" s="1"/>
  <c r="P194" s="1"/>
  <c r="H194"/>
  <c r="M194" s="1"/>
  <c r="S194" s="1"/>
  <c r="D194"/>
  <c r="I194" s="1"/>
  <c r="O194" s="1"/>
  <c r="G214"/>
  <c r="L214" s="1"/>
  <c r="R214" s="1"/>
  <c r="H214"/>
  <c r="M214" s="1"/>
  <c r="S214" s="1"/>
  <c r="E214"/>
  <c r="J214" s="1"/>
  <c r="P214" s="1"/>
  <c r="D214"/>
  <c r="I214" s="1"/>
  <c r="O214" s="1"/>
  <c r="F214"/>
  <c r="K214" s="1"/>
  <c r="Q214" s="1"/>
  <c r="F203"/>
  <c r="K203" s="1"/>
  <c r="Q203" s="1"/>
  <c r="G203"/>
  <c r="L203" s="1"/>
  <c r="R203" s="1"/>
  <c r="E203"/>
  <c r="J203" s="1"/>
  <c r="P203" s="1"/>
  <c r="H203"/>
  <c r="M203" s="1"/>
  <c r="S203" s="1"/>
  <c r="D203"/>
  <c r="I203" s="1"/>
  <c r="O203" s="1"/>
  <c r="V166"/>
  <c r="Y166" s="1"/>
  <c r="U166"/>
  <c r="X166" s="1"/>
  <c r="G210"/>
  <c r="L210" s="1"/>
  <c r="R210" s="1"/>
  <c r="H210"/>
  <c r="M210" s="1"/>
  <c r="S210" s="1"/>
  <c r="E210"/>
  <c r="J210" s="1"/>
  <c r="P210" s="1"/>
  <c r="F210"/>
  <c r="K210" s="1"/>
  <c r="Q210" s="1"/>
  <c r="D210"/>
  <c r="I210" s="1"/>
  <c r="O210" s="1"/>
  <c r="A211"/>
  <c r="F186"/>
  <c r="K186" s="1"/>
  <c r="Q186" s="1"/>
  <c r="G186"/>
  <c r="L186" s="1"/>
  <c r="R186" s="1"/>
  <c r="E186"/>
  <c r="J186" s="1"/>
  <c r="P186" s="1"/>
  <c r="H186"/>
  <c r="M186" s="1"/>
  <c r="S186" s="1"/>
  <c r="D186"/>
  <c r="I186" s="1"/>
  <c r="O186" s="1"/>
  <c r="U158"/>
  <c r="X158" s="1"/>
  <c r="V158"/>
  <c r="Y158" s="1"/>
  <c r="V173"/>
  <c r="Y173" s="1"/>
  <c r="U173"/>
  <c r="X173" s="1"/>
  <c r="G225"/>
  <c r="L225" s="1"/>
  <c r="R225" s="1"/>
  <c r="H225"/>
  <c r="M225" s="1"/>
  <c r="S225" s="1"/>
  <c r="D225"/>
  <c r="I225" s="1"/>
  <c r="O225" s="1"/>
  <c r="E225"/>
  <c r="J225" s="1"/>
  <c r="P225" s="1"/>
  <c r="F225"/>
  <c r="K225" s="1"/>
  <c r="Q225" s="1"/>
  <c r="U170"/>
  <c r="X170" s="1"/>
  <c r="V170"/>
  <c r="Y170" s="1"/>
  <c r="U177"/>
  <c r="X177" s="1"/>
  <c r="V177"/>
  <c r="Y177" s="1"/>
  <c r="G217"/>
  <c r="L217" s="1"/>
  <c r="R217" s="1"/>
  <c r="H217"/>
  <c r="M217" s="1"/>
  <c r="S217" s="1"/>
  <c r="D217"/>
  <c r="I217" s="1"/>
  <c r="O217" s="1"/>
  <c r="E217"/>
  <c r="J217" s="1"/>
  <c r="P217" s="1"/>
  <c r="F217"/>
  <c r="K217" s="1"/>
  <c r="Q217" s="1"/>
  <c r="U221"/>
  <c r="X221" s="1"/>
  <c r="V221"/>
  <c r="Y221" s="1"/>
  <c r="A216"/>
  <c r="F191"/>
  <c r="K191" s="1"/>
  <c r="Q191" s="1"/>
  <c r="G191"/>
  <c r="L191" s="1"/>
  <c r="R191" s="1"/>
  <c r="D191"/>
  <c r="I191" s="1"/>
  <c r="O191" s="1"/>
  <c r="E191"/>
  <c r="J191" s="1"/>
  <c r="P191" s="1"/>
  <c r="H191"/>
  <c r="M191" s="1"/>
  <c r="S191" s="1"/>
  <c r="V181"/>
  <c r="Y181" s="1"/>
  <c r="U181"/>
  <c r="X181" s="1"/>
  <c r="F6" i="8"/>
  <c r="F14"/>
  <c r="F11"/>
  <c r="F10"/>
  <c r="F5"/>
  <c r="F13"/>
  <c r="F12"/>
  <c r="F9"/>
  <c r="F8"/>
  <c r="F7"/>
  <c r="B6" i="2"/>
  <c r="E6" i="13" s="1"/>
  <c r="F6" s="1"/>
  <c r="C5" i="8"/>
  <c r="D5" i="1"/>
  <c r="B5" s="1"/>
  <c r="AP9" i="4"/>
  <c r="AT3"/>
  <c r="AN14"/>
  <c r="AO13"/>
  <c r="AR5"/>
  <c r="AQ6"/>
  <c r="AS4"/>
  <c r="AL7"/>
  <c r="C4" i="2" l="1"/>
  <c r="H6" i="13"/>
  <c r="C6"/>
  <c r="B6" s="1"/>
  <c r="H5" i="2"/>
  <c r="C5" s="1"/>
  <c r="AD39"/>
  <c r="AE39" s="1"/>
  <c r="AF39" s="1"/>
  <c r="AG39" s="1"/>
  <c r="AH39" s="1"/>
  <c r="G6"/>
  <c r="AW2" s="1"/>
  <c r="AY2" s="1"/>
  <c r="BA2" s="1"/>
  <c r="J6"/>
  <c r="E6"/>
  <c r="V225" i="5"/>
  <c r="Y225" s="1"/>
  <c r="U225"/>
  <c r="X225" s="1"/>
  <c r="G211"/>
  <c r="L211" s="1"/>
  <c r="R211" s="1"/>
  <c r="H211"/>
  <c r="M211" s="1"/>
  <c r="S211" s="1"/>
  <c r="F211"/>
  <c r="K211" s="1"/>
  <c r="Q211" s="1"/>
  <c r="D211"/>
  <c r="I211" s="1"/>
  <c r="O211" s="1"/>
  <c r="E211"/>
  <c r="J211" s="1"/>
  <c r="P211" s="1"/>
  <c r="U203"/>
  <c r="X203" s="1"/>
  <c r="V203"/>
  <c r="Y203" s="1"/>
  <c r="G208"/>
  <c r="L208" s="1"/>
  <c r="R208" s="1"/>
  <c r="D208"/>
  <c r="I208" s="1"/>
  <c r="O208" s="1"/>
  <c r="H208"/>
  <c r="M208" s="1"/>
  <c r="S208" s="1"/>
  <c r="E208"/>
  <c r="J208" s="1"/>
  <c r="P208" s="1"/>
  <c r="F208"/>
  <c r="K208" s="1"/>
  <c r="Q208" s="1"/>
  <c r="G220"/>
  <c r="L220" s="1"/>
  <c r="R220" s="1"/>
  <c r="D220"/>
  <c r="I220" s="1"/>
  <c r="O220" s="1"/>
  <c r="H220"/>
  <c r="M220" s="1"/>
  <c r="S220" s="1"/>
  <c r="E220"/>
  <c r="J220" s="1"/>
  <c r="P220" s="1"/>
  <c r="F220"/>
  <c r="K220" s="1"/>
  <c r="Q220" s="1"/>
  <c r="U187"/>
  <c r="X187" s="1"/>
  <c r="V187"/>
  <c r="Y187" s="1"/>
  <c r="G216"/>
  <c r="L216" s="1"/>
  <c r="R216" s="1"/>
  <c r="D216"/>
  <c r="I216" s="1"/>
  <c r="O216" s="1"/>
  <c r="H216"/>
  <c r="M216" s="1"/>
  <c r="S216" s="1"/>
  <c r="E216"/>
  <c r="J216" s="1"/>
  <c r="P216" s="1"/>
  <c r="F216"/>
  <c r="K216" s="1"/>
  <c r="Q216" s="1"/>
  <c r="U214"/>
  <c r="X214" s="1"/>
  <c r="V214"/>
  <c r="Y214" s="1"/>
  <c r="V194"/>
  <c r="Y194" s="1"/>
  <c r="U194"/>
  <c r="X194" s="1"/>
  <c r="V206"/>
  <c r="Y206" s="1"/>
  <c r="U206"/>
  <c r="X206" s="1"/>
  <c r="G223"/>
  <c r="L223" s="1"/>
  <c r="R223" s="1"/>
  <c r="H223"/>
  <c r="M223" s="1"/>
  <c r="S223" s="1"/>
  <c r="D223"/>
  <c r="I223" s="1"/>
  <c r="O223" s="1"/>
  <c r="E223"/>
  <c r="J223" s="1"/>
  <c r="P223" s="1"/>
  <c r="F223"/>
  <c r="K223" s="1"/>
  <c r="Q223" s="1"/>
  <c r="V179"/>
  <c r="Y179" s="1"/>
  <c r="U179"/>
  <c r="X179" s="1"/>
  <c r="G227"/>
  <c r="L227" s="1"/>
  <c r="R227" s="1"/>
  <c r="H227"/>
  <c r="M227" s="1"/>
  <c r="S227" s="1"/>
  <c r="E227"/>
  <c r="J227" s="1"/>
  <c r="P227" s="1"/>
  <c r="F227"/>
  <c r="K227" s="1"/>
  <c r="Q227" s="1"/>
  <c r="D227"/>
  <c r="I227" s="1"/>
  <c r="O227" s="1"/>
  <c r="V191"/>
  <c r="Y191" s="1"/>
  <c r="U191"/>
  <c r="X191" s="1"/>
  <c r="U217"/>
  <c r="X217" s="1"/>
  <c r="V217"/>
  <c r="Y217" s="1"/>
  <c r="V186"/>
  <c r="Y186" s="1"/>
  <c r="U186"/>
  <c r="X186" s="1"/>
  <c r="G219"/>
  <c r="L219" s="1"/>
  <c r="R219" s="1"/>
  <c r="H219"/>
  <c r="M219" s="1"/>
  <c r="S219" s="1"/>
  <c r="F219"/>
  <c r="K219" s="1"/>
  <c r="Q219" s="1"/>
  <c r="E219"/>
  <c r="J219" s="1"/>
  <c r="P219" s="1"/>
  <c r="D219"/>
  <c r="I219" s="1"/>
  <c r="O219" s="1"/>
  <c r="U183"/>
  <c r="X183" s="1"/>
  <c r="V183"/>
  <c r="Y183" s="1"/>
  <c r="U195"/>
  <c r="X195" s="1"/>
  <c r="V195"/>
  <c r="Y195" s="1"/>
  <c r="G212"/>
  <c r="L212" s="1"/>
  <c r="R212" s="1"/>
  <c r="D212"/>
  <c r="I212" s="1"/>
  <c r="O212" s="1"/>
  <c r="H212"/>
  <c r="M212" s="1"/>
  <c r="S212" s="1"/>
  <c r="E212"/>
  <c r="J212" s="1"/>
  <c r="P212" s="1"/>
  <c r="F212"/>
  <c r="K212" s="1"/>
  <c r="Q212" s="1"/>
  <c r="V182"/>
  <c r="Y182" s="1"/>
  <c r="U182"/>
  <c r="X182" s="1"/>
  <c r="U190"/>
  <c r="X190" s="1"/>
  <c r="V190"/>
  <c r="Y190" s="1"/>
  <c r="U218"/>
  <c r="X218" s="1"/>
  <c r="V218"/>
  <c r="Y218" s="1"/>
  <c r="V222"/>
  <c r="Y222" s="1"/>
  <c r="U222"/>
  <c r="X222" s="1"/>
  <c r="U226"/>
  <c r="X226" s="1"/>
  <c r="V226"/>
  <c r="Y226" s="1"/>
  <c r="G207"/>
  <c r="L207" s="1"/>
  <c r="R207" s="1"/>
  <c r="H207"/>
  <c r="M207" s="1"/>
  <c r="S207" s="1"/>
  <c r="D207"/>
  <c r="I207" s="1"/>
  <c r="O207" s="1"/>
  <c r="E207"/>
  <c r="J207" s="1"/>
  <c r="P207" s="1"/>
  <c r="F207"/>
  <c r="K207" s="1"/>
  <c r="Q207" s="1"/>
  <c r="G215"/>
  <c r="L215" s="1"/>
  <c r="R215" s="1"/>
  <c r="H215"/>
  <c r="M215" s="1"/>
  <c r="S215" s="1"/>
  <c r="D215"/>
  <c r="I215" s="1"/>
  <c r="O215" s="1"/>
  <c r="F215"/>
  <c r="K215" s="1"/>
  <c r="Q215" s="1"/>
  <c r="E215"/>
  <c r="J215" s="1"/>
  <c r="P215" s="1"/>
  <c r="G224"/>
  <c r="L224" s="1"/>
  <c r="R224" s="1"/>
  <c r="D224"/>
  <c r="I224" s="1"/>
  <c r="O224" s="1"/>
  <c r="H224"/>
  <c r="M224" s="1"/>
  <c r="S224" s="1"/>
  <c r="E224"/>
  <c r="J224" s="1"/>
  <c r="P224" s="1"/>
  <c r="F224"/>
  <c r="K224" s="1"/>
  <c r="Q224" s="1"/>
  <c r="V210"/>
  <c r="Y210" s="1"/>
  <c r="U210"/>
  <c r="X210" s="1"/>
  <c r="U198"/>
  <c r="X198" s="1"/>
  <c r="V198"/>
  <c r="Y198" s="1"/>
  <c r="F204"/>
  <c r="K204" s="1"/>
  <c r="Q204" s="1"/>
  <c r="G204"/>
  <c r="L204" s="1"/>
  <c r="R204" s="1"/>
  <c r="E204"/>
  <c r="J204" s="1"/>
  <c r="P204" s="1"/>
  <c r="D204"/>
  <c r="I204" s="1"/>
  <c r="O204" s="1"/>
  <c r="H204"/>
  <c r="M204" s="1"/>
  <c r="S204" s="1"/>
  <c r="U199"/>
  <c r="X199" s="1"/>
  <c r="V199"/>
  <c r="Y199" s="1"/>
  <c r="V202"/>
  <c r="Y202" s="1"/>
  <c r="U202"/>
  <c r="X202" s="1"/>
  <c r="B7" i="2"/>
  <c r="E7" i="13" s="1"/>
  <c r="F7" s="1"/>
  <c r="C6" i="8"/>
  <c r="D6" i="1"/>
  <c r="B6" s="1"/>
  <c r="F18" i="8"/>
  <c r="F15"/>
  <c r="F17"/>
  <c r="F16"/>
  <c r="AP10" i="4"/>
  <c r="AT4"/>
  <c r="AN15"/>
  <c r="AO14"/>
  <c r="AQ7"/>
  <c r="AS5"/>
  <c r="AR6"/>
  <c r="AL8"/>
  <c r="K6" i="2" l="1"/>
  <c r="AN9"/>
  <c r="AP9" s="1"/>
  <c r="AR9" s="1"/>
  <c r="AN8"/>
  <c r="AP8" s="1"/>
  <c r="AR8" s="1"/>
  <c r="AN10"/>
  <c r="AP10" s="1"/>
  <c r="AR10" s="1"/>
  <c r="H7" i="13"/>
  <c r="C7"/>
  <c r="B7" s="1"/>
  <c r="AD40" i="2"/>
  <c r="AE40" s="1"/>
  <c r="AF40" s="1"/>
  <c r="AG40" s="1"/>
  <c r="AH40" s="1"/>
  <c r="AD42"/>
  <c r="AE42" s="1"/>
  <c r="AF42" s="1"/>
  <c r="AG42" s="1"/>
  <c r="AH42" s="1"/>
  <c r="AD41"/>
  <c r="AE41" s="1"/>
  <c r="AF41" s="1"/>
  <c r="AG41" s="1"/>
  <c r="AH41" s="1"/>
  <c r="H6"/>
  <c r="C6" s="1"/>
  <c r="AD19"/>
  <c r="AE19" s="1"/>
  <c r="AF19" s="1"/>
  <c r="AG19" s="1"/>
  <c r="AH19" s="1"/>
  <c r="J7"/>
  <c r="G7"/>
  <c r="AW3" s="1"/>
  <c r="AY3" s="1"/>
  <c r="BA3" s="1"/>
  <c r="E7"/>
  <c r="U219" i="5"/>
  <c r="X219" s="1"/>
  <c r="V219"/>
  <c r="Y219" s="1"/>
  <c r="U223"/>
  <c r="X223" s="1"/>
  <c r="V223"/>
  <c r="Y223" s="1"/>
  <c r="U208"/>
  <c r="X208" s="1"/>
  <c r="V208"/>
  <c r="Y208" s="1"/>
  <c r="U215"/>
  <c r="X215" s="1"/>
  <c r="V215"/>
  <c r="Y215" s="1"/>
  <c r="V227"/>
  <c r="Y227" s="1"/>
  <c r="U227"/>
  <c r="X227" s="1"/>
  <c r="U220"/>
  <c r="X220" s="1"/>
  <c r="V220"/>
  <c r="Y220" s="1"/>
  <c r="U216"/>
  <c r="X216" s="1"/>
  <c r="V216"/>
  <c r="Y216" s="1"/>
  <c r="U224"/>
  <c r="X224" s="1"/>
  <c r="V224"/>
  <c r="Y224" s="1"/>
  <c r="V211"/>
  <c r="Y211" s="1"/>
  <c r="U211"/>
  <c r="X211" s="1"/>
  <c r="U204"/>
  <c r="X204" s="1"/>
  <c r="V204"/>
  <c r="Y204" s="1"/>
  <c r="U207"/>
  <c r="X207" s="1"/>
  <c r="V207"/>
  <c r="Y207" s="1"/>
  <c r="U212"/>
  <c r="X212" s="1"/>
  <c r="V212"/>
  <c r="Y212" s="1"/>
  <c r="B8" i="2"/>
  <c r="E8" i="13" s="1"/>
  <c r="F8" s="1"/>
  <c r="C7" i="8"/>
  <c r="D7" i="1"/>
  <c r="B7" s="1"/>
  <c r="F21" i="8"/>
  <c r="F20"/>
  <c r="F19"/>
  <c r="AP11" i="4"/>
  <c r="AT5"/>
  <c r="AN16"/>
  <c r="AO15"/>
  <c r="AS6"/>
  <c r="AR7"/>
  <c r="AQ8"/>
  <c r="AL9"/>
  <c r="K7" i="2" l="1"/>
  <c r="AN11"/>
  <c r="AP11" s="1"/>
  <c r="AR11" s="1"/>
  <c r="H8" i="13"/>
  <c r="C8"/>
  <c r="B8" s="1"/>
  <c r="H7" i="2"/>
  <c r="AD25"/>
  <c r="AE25" s="1"/>
  <c r="AF25" s="1"/>
  <c r="AG25" s="1"/>
  <c r="AH25" s="1"/>
  <c r="AD16"/>
  <c r="AE16" s="1"/>
  <c r="AF16" s="1"/>
  <c r="AG16" s="1"/>
  <c r="AH16" s="1"/>
  <c r="J8"/>
  <c r="K8" s="1"/>
  <c r="G8"/>
  <c r="AW4" s="1"/>
  <c r="AY4" s="1"/>
  <c r="BA4" s="1"/>
  <c r="E8"/>
  <c r="F22" i="8"/>
  <c r="F23"/>
  <c r="B9" i="2"/>
  <c r="E9" i="13" s="1"/>
  <c r="F9" s="1"/>
  <c r="C8" i="8"/>
  <c r="D8" i="1"/>
  <c r="B8" s="1"/>
  <c r="AP12" i="4"/>
  <c r="AT6"/>
  <c r="AN17"/>
  <c r="AO16"/>
  <c r="AR8"/>
  <c r="AQ9"/>
  <c r="AS7"/>
  <c r="AL10"/>
  <c r="C7" i="2" l="1"/>
  <c r="H9" i="13"/>
  <c r="C9"/>
  <c r="B9" s="1"/>
  <c r="H8" i="2"/>
  <c r="C8" s="1"/>
  <c r="AD23"/>
  <c r="AE23" s="1"/>
  <c r="AF23" s="1"/>
  <c r="AG23" s="1"/>
  <c r="AH23" s="1"/>
  <c r="AD20"/>
  <c r="AE20" s="1"/>
  <c r="AF20" s="1"/>
  <c r="AG20" s="1"/>
  <c r="AH20" s="1"/>
  <c r="J9"/>
  <c r="G9"/>
  <c r="AW5" s="1"/>
  <c r="AY5" s="1"/>
  <c r="BA5" s="1"/>
  <c r="E9"/>
  <c r="B10"/>
  <c r="E10" i="13" s="1"/>
  <c r="F10" s="1"/>
  <c r="C9" i="8"/>
  <c r="D9" i="1"/>
  <c r="B9" s="1"/>
  <c r="F25" i="8"/>
  <c r="F24"/>
  <c r="AP13" i="4"/>
  <c r="AT7"/>
  <c r="AN18"/>
  <c r="AO17"/>
  <c r="AQ10"/>
  <c r="AS8"/>
  <c r="AR9"/>
  <c r="AL11"/>
  <c r="K9" i="2" l="1"/>
  <c r="AN12"/>
  <c r="AP12" s="1"/>
  <c r="AR12" s="1"/>
  <c r="H10" i="13"/>
  <c r="C10"/>
  <c r="B10" s="1"/>
  <c r="AD44" i="2"/>
  <c r="AE44" s="1"/>
  <c r="AF44" s="1"/>
  <c r="AG44" s="1"/>
  <c r="AH44" s="1"/>
  <c r="AD43"/>
  <c r="AE43" s="1"/>
  <c r="AF43" s="1"/>
  <c r="AG43" s="1"/>
  <c r="AH43" s="1"/>
  <c r="H9"/>
  <c r="AD17"/>
  <c r="AE17" s="1"/>
  <c r="AF17" s="1"/>
  <c r="AG17" s="1"/>
  <c r="AH17" s="1"/>
  <c r="AD21"/>
  <c r="AE21" s="1"/>
  <c r="AF21" s="1"/>
  <c r="AG21" s="1"/>
  <c r="AH21" s="1"/>
  <c r="AD33"/>
  <c r="AE33" s="1"/>
  <c r="AF33" s="1"/>
  <c r="AG33" s="1"/>
  <c r="AH33" s="1"/>
  <c r="AD27"/>
  <c r="AE27" s="1"/>
  <c r="AF27" s="1"/>
  <c r="AG27" s="1"/>
  <c r="AH27" s="1"/>
  <c r="AD36"/>
  <c r="AE36" s="1"/>
  <c r="AF36" s="1"/>
  <c r="AG36" s="1"/>
  <c r="AH36" s="1"/>
  <c r="G10"/>
  <c r="AW6" s="1"/>
  <c r="AY6" s="1"/>
  <c r="BA6" s="1"/>
  <c r="J10"/>
  <c r="E10"/>
  <c r="B11"/>
  <c r="C10" i="8"/>
  <c r="F28" s="1"/>
  <c r="D10" i="1"/>
  <c r="B10" s="1"/>
  <c r="F27" i="8"/>
  <c r="F26"/>
  <c r="AP14" i="4"/>
  <c r="AT8"/>
  <c r="AN19"/>
  <c r="AO18"/>
  <c r="AQ11"/>
  <c r="AS9"/>
  <c r="AR10"/>
  <c r="AL12"/>
  <c r="C9" i="2" l="1"/>
  <c r="K10"/>
  <c r="AN13"/>
  <c r="AP13" s="1"/>
  <c r="AR13" s="1"/>
  <c r="H10"/>
  <c r="V29"/>
  <c r="E11" i="13"/>
  <c r="F11" s="1"/>
  <c r="C2" i="12"/>
  <c r="J11" i="2"/>
  <c r="G11"/>
  <c r="AW7" s="1"/>
  <c r="AY7" s="1"/>
  <c r="BA7" s="1"/>
  <c r="E11"/>
  <c r="B12"/>
  <c r="E12" i="13" s="1"/>
  <c r="F12" s="1"/>
  <c r="C11" i="8"/>
  <c r="F29" s="1"/>
  <c r="D11" i="1"/>
  <c r="B11" s="1"/>
  <c r="AP15" i="4"/>
  <c r="AT9"/>
  <c r="AN20"/>
  <c r="AO19"/>
  <c r="AS10"/>
  <c r="AR11"/>
  <c r="AQ12"/>
  <c r="AL13"/>
  <c r="K11" i="2" l="1"/>
  <c r="AN14"/>
  <c r="AP14" s="1"/>
  <c r="AR14" s="1"/>
  <c r="C10"/>
  <c r="AD45"/>
  <c r="AE45" s="1"/>
  <c r="AF45" s="1"/>
  <c r="AG45" s="1"/>
  <c r="AH45" s="1"/>
  <c r="H12" i="13"/>
  <c r="J12" s="1"/>
  <c r="J13" s="1"/>
  <c r="J14" s="1"/>
  <c r="J15" s="1"/>
  <c r="H11"/>
  <c r="C11"/>
  <c r="B11" s="1"/>
  <c r="H11" i="2"/>
  <c r="AD18"/>
  <c r="AE18" s="1"/>
  <c r="AF18" s="1"/>
  <c r="AG18" s="1"/>
  <c r="AH18" s="1"/>
  <c r="AD22"/>
  <c r="AE22" s="1"/>
  <c r="AF22" s="1"/>
  <c r="AG22" s="1"/>
  <c r="AH22" s="1"/>
  <c r="AD26"/>
  <c r="AE26" s="1"/>
  <c r="AF26" s="1"/>
  <c r="AG26" s="1"/>
  <c r="AH26" s="1"/>
  <c r="AD24"/>
  <c r="AE24" s="1"/>
  <c r="AF24" s="1"/>
  <c r="AG24" s="1"/>
  <c r="AH24" s="1"/>
  <c r="AD28"/>
  <c r="AE28" s="1"/>
  <c r="AF28" s="1"/>
  <c r="AG28" s="1"/>
  <c r="AH28" s="1"/>
  <c r="J12"/>
  <c r="G12"/>
  <c r="AW8" s="1"/>
  <c r="AY8" s="1"/>
  <c r="BA8" s="1"/>
  <c r="E12"/>
  <c r="B13"/>
  <c r="E13" i="13" s="1"/>
  <c r="F13" s="1"/>
  <c r="C12" i="8"/>
  <c r="F30" s="1"/>
  <c r="D12" i="1"/>
  <c r="B12" s="1"/>
  <c r="AP16" i="4"/>
  <c r="AT10"/>
  <c r="AN21"/>
  <c r="AO20"/>
  <c r="AR12"/>
  <c r="AQ13"/>
  <c r="AS11"/>
  <c r="AL14"/>
  <c r="K12" i="2" l="1"/>
  <c r="AN15"/>
  <c r="AP15" s="1"/>
  <c r="AR15" s="1"/>
  <c r="C11"/>
  <c r="H12"/>
  <c r="H13" i="13"/>
  <c r="C13"/>
  <c r="B13" s="1"/>
  <c r="C12"/>
  <c r="B12" s="1"/>
  <c r="J16"/>
  <c r="J17" s="1"/>
  <c r="O6"/>
  <c r="J13" i="2"/>
  <c r="K13" s="1"/>
  <c r="G13"/>
  <c r="AW9" s="1"/>
  <c r="AY9" s="1"/>
  <c r="BA9" s="1"/>
  <c r="E13"/>
  <c r="B14"/>
  <c r="E14" i="13" s="1"/>
  <c r="F14" s="1"/>
  <c r="C13" i="8"/>
  <c r="D13" i="1"/>
  <c r="B13" s="1"/>
  <c r="AT11" i="4"/>
  <c r="AP17"/>
  <c r="AN22"/>
  <c r="AO21"/>
  <c r="AS12"/>
  <c r="AQ14"/>
  <c r="AR13"/>
  <c r="AL15"/>
  <c r="C12" i="2" l="1"/>
  <c r="H14" i="13"/>
  <c r="C14"/>
  <c r="B14" s="1"/>
  <c r="J18"/>
  <c r="J19" s="1"/>
  <c r="J20" s="1"/>
  <c r="O7"/>
  <c r="H13" i="2"/>
  <c r="C13" s="1"/>
  <c r="AD29"/>
  <c r="AE29" s="1"/>
  <c r="AF29" s="1"/>
  <c r="AG29" s="1"/>
  <c r="AH29" s="1"/>
  <c r="AD37"/>
  <c r="AE37" s="1"/>
  <c r="AF37" s="1"/>
  <c r="AG37" s="1"/>
  <c r="AH37" s="1"/>
  <c r="AD34"/>
  <c r="AE34" s="1"/>
  <c r="AF34" s="1"/>
  <c r="AG34" s="1"/>
  <c r="AH34" s="1"/>
  <c r="G14"/>
  <c r="J14"/>
  <c r="K14" s="1"/>
  <c r="E14"/>
  <c r="B15"/>
  <c r="C14" i="8"/>
  <c r="D14" i="1"/>
  <c r="B14" s="1"/>
  <c r="F31" i="8"/>
  <c r="F32"/>
  <c r="AP18" i="4"/>
  <c r="AT12"/>
  <c r="AN23"/>
  <c r="AO22"/>
  <c r="AS13"/>
  <c r="AQ15"/>
  <c r="AR14"/>
  <c r="AL16"/>
  <c r="E15" i="13" l="1"/>
  <c r="F15" s="1"/>
  <c r="C3" i="12"/>
  <c r="J21" i="13"/>
  <c r="J22" s="1"/>
  <c r="O8"/>
  <c r="H14" i="2"/>
  <c r="C14" s="1"/>
  <c r="AD30"/>
  <c r="AE30" s="1"/>
  <c r="AF30" s="1"/>
  <c r="AG30" s="1"/>
  <c r="AH30" s="1"/>
  <c r="J15"/>
  <c r="K15" s="1"/>
  <c r="G15"/>
  <c r="E15"/>
  <c r="B16"/>
  <c r="E16" i="13" s="1"/>
  <c r="F16" s="1"/>
  <c r="C15" i="8"/>
  <c r="F33" s="1"/>
  <c r="D15" i="1"/>
  <c r="B15" s="1"/>
  <c r="AP19" i="4"/>
  <c r="AT13"/>
  <c r="AN24"/>
  <c r="AO23"/>
  <c r="AS14"/>
  <c r="AQ16"/>
  <c r="AR15"/>
  <c r="AL17"/>
  <c r="H15" i="2" l="1"/>
  <c r="C15" s="1"/>
  <c r="J23" i="13"/>
  <c r="J24" s="1"/>
  <c r="O10" s="1"/>
  <c r="O9"/>
  <c r="H16"/>
  <c r="C16"/>
  <c r="B16" s="1"/>
  <c r="H15"/>
  <c r="C15"/>
  <c r="B15" s="1"/>
  <c r="J16" i="2"/>
  <c r="G16"/>
  <c r="AW10" s="1"/>
  <c r="AY10" s="1"/>
  <c r="BA10" s="1"/>
  <c r="E16"/>
  <c r="B17"/>
  <c r="C16" i="8"/>
  <c r="F34" s="1"/>
  <c r="D16" i="1"/>
  <c r="B16" s="1"/>
  <c r="AT14" i="4"/>
  <c r="AP20"/>
  <c r="AN25"/>
  <c r="AO24"/>
  <c r="AS15"/>
  <c r="AQ17"/>
  <c r="AR16"/>
  <c r="AL18"/>
  <c r="K16" i="2" l="1"/>
  <c r="AN16"/>
  <c r="AP16" s="1"/>
  <c r="AR16" s="1"/>
  <c r="AN17"/>
  <c r="AP17" s="1"/>
  <c r="AR17" s="1"/>
  <c r="AN19"/>
  <c r="AP19" s="1"/>
  <c r="AR19" s="1"/>
  <c r="AN18"/>
  <c r="AP18" s="1"/>
  <c r="AR18" s="1"/>
  <c r="AD46"/>
  <c r="AE46" s="1"/>
  <c r="AF46" s="1"/>
  <c r="AG46" s="1"/>
  <c r="AH46" s="1"/>
  <c r="E17" i="13"/>
  <c r="F17" s="1"/>
  <c r="C4" i="12"/>
  <c r="H16" i="2"/>
  <c r="C16" s="1"/>
  <c r="AD31"/>
  <c r="AE31" s="1"/>
  <c r="AF31" s="1"/>
  <c r="AG31" s="1"/>
  <c r="AH31" s="1"/>
  <c r="AD35"/>
  <c r="AE35" s="1"/>
  <c r="AF35" s="1"/>
  <c r="AG35" s="1"/>
  <c r="AH35" s="1"/>
  <c r="AD32"/>
  <c r="AE32" s="1"/>
  <c r="AF32" s="1"/>
  <c r="AG32" s="1"/>
  <c r="AH32" s="1"/>
  <c r="J17"/>
  <c r="K17" s="1"/>
  <c r="G17"/>
  <c r="E17"/>
  <c r="B18"/>
  <c r="E18" i="13" s="1"/>
  <c r="F18" s="1"/>
  <c r="C17" i="8"/>
  <c r="D17" i="1"/>
  <c r="B17" s="1"/>
  <c r="AP21" i="4"/>
  <c r="AT15"/>
  <c r="AO25"/>
  <c r="AN26"/>
  <c r="AO26" s="1"/>
  <c r="AQ18"/>
  <c r="AS16"/>
  <c r="AR17"/>
  <c r="AL19"/>
  <c r="H17" i="2" l="1"/>
  <c r="C17" s="1"/>
  <c r="H18" i="13"/>
  <c r="C18"/>
  <c r="B18" s="1"/>
  <c r="H17"/>
  <c r="C17"/>
  <c r="B17" s="1"/>
  <c r="G18" i="2"/>
  <c r="J18"/>
  <c r="K18" s="1"/>
  <c r="E18"/>
  <c r="B19"/>
  <c r="E19" i="13" s="1"/>
  <c r="F19" s="1"/>
  <c r="C18" i="8"/>
  <c r="D18" i="1"/>
  <c r="B18" s="1"/>
  <c r="AP22" i="4"/>
  <c r="AT16"/>
  <c r="AS17"/>
  <c r="AR18"/>
  <c r="AQ19"/>
  <c r="AL20"/>
  <c r="H18" i="2" l="1"/>
  <c r="C18" s="1"/>
  <c r="H19" i="13"/>
  <c r="C19"/>
  <c r="B19" s="1"/>
  <c r="J19" i="2"/>
  <c r="G19"/>
  <c r="E19"/>
  <c r="B20"/>
  <c r="C19" i="8"/>
  <c r="Q3" s="1"/>
  <c r="D19" i="1"/>
  <c r="B19" s="1"/>
  <c r="AP23" i="4"/>
  <c r="AT17"/>
  <c r="AR19"/>
  <c r="AQ20"/>
  <c r="AS18"/>
  <c r="AL21"/>
  <c r="K19" i="2" l="1"/>
  <c r="AN20"/>
  <c r="AP20" s="1"/>
  <c r="AR20" s="1"/>
  <c r="H19"/>
  <c r="E20" i="13"/>
  <c r="F20" s="1"/>
  <c r="C5" i="12"/>
  <c r="J20" i="2"/>
  <c r="G20"/>
  <c r="E20"/>
  <c r="B21"/>
  <c r="C20" i="8"/>
  <c r="D20" i="1"/>
  <c r="B20" s="1"/>
  <c r="AP24" i="4"/>
  <c r="AT18"/>
  <c r="AS19"/>
  <c r="AQ21"/>
  <c r="AR20"/>
  <c r="AL22"/>
  <c r="C19" i="2" l="1"/>
  <c r="K20"/>
  <c r="AN21"/>
  <c r="AP21" s="1"/>
  <c r="AR21" s="1"/>
  <c r="H20"/>
  <c r="Q5" i="8"/>
  <c r="Q4"/>
  <c r="V30" i="2"/>
  <c r="E21" i="13"/>
  <c r="F21" s="1"/>
  <c r="H20"/>
  <c r="C20"/>
  <c r="B20" s="1"/>
  <c r="J21" i="2"/>
  <c r="G21"/>
  <c r="AW13" s="1"/>
  <c r="AY13" s="1"/>
  <c r="BA13" s="1"/>
  <c r="E21"/>
  <c r="B22"/>
  <c r="C21" i="8"/>
  <c r="D21" i="1"/>
  <c r="B21" s="1"/>
  <c r="AP25" i="4"/>
  <c r="AP26"/>
  <c r="AT19"/>
  <c r="AS20"/>
  <c r="AQ22"/>
  <c r="AR21"/>
  <c r="AL23"/>
  <c r="C20" i="2" l="1"/>
  <c r="K21"/>
  <c r="AN22"/>
  <c r="AP22" s="1"/>
  <c r="AR22" s="1"/>
  <c r="AN28"/>
  <c r="AP28" s="1"/>
  <c r="AR28" s="1"/>
  <c r="AD68"/>
  <c r="AE68" s="1"/>
  <c r="AF68" s="1"/>
  <c r="AG68" s="1"/>
  <c r="AH68" s="1"/>
  <c r="AD71"/>
  <c r="AE71" s="1"/>
  <c r="AF71" s="1"/>
  <c r="AG71" s="1"/>
  <c r="AH71" s="1"/>
  <c r="AD78"/>
  <c r="AE78" s="1"/>
  <c r="AF78" s="1"/>
  <c r="AG78" s="1"/>
  <c r="AH78" s="1"/>
  <c r="AD81"/>
  <c r="AE81" s="1"/>
  <c r="AF81" s="1"/>
  <c r="AG81" s="1"/>
  <c r="AH81" s="1"/>
  <c r="AD72"/>
  <c r="AE72" s="1"/>
  <c r="AF72" s="1"/>
  <c r="AG72" s="1"/>
  <c r="AH72" s="1"/>
  <c r="AD77"/>
  <c r="AE77" s="1"/>
  <c r="AF77" s="1"/>
  <c r="AG77" s="1"/>
  <c r="AH77" s="1"/>
  <c r="AD73"/>
  <c r="AE73" s="1"/>
  <c r="AF73" s="1"/>
  <c r="AG73" s="1"/>
  <c r="AH73" s="1"/>
  <c r="AD69"/>
  <c r="AE69" s="1"/>
  <c r="AF69" s="1"/>
  <c r="AG69" s="1"/>
  <c r="AH69" s="1"/>
  <c r="AD74"/>
  <c r="AE74" s="1"/>
  <c r="AF74" s="1"/>
  <c r="AG74" s="1"/>
  <c r="AH74" s="1"/>
  <c r="AD76"/>
  <c r="AE76" s="1"/>
  <c r="AF76" s="1"/>
  <c r="AG76" s="1"/>
  <c r="AH76" s="1"/>
  <c r="AD79"/>
  <c r="AE79" s="1"/>
  <c r="AF79" s="1"/>
  <c r="AG79" s="1"/>
  <c r="AH79" s="1"/>
  <c r="AD70"/>
  <c r="AE70" s="1"/>
  <c r="AF70" s="1"/>
  <c r="AG70" s="1"/>
  <c r="AH70" s="1"/>
  <c r="AD75"/>
  <c r="AE75" s="1"/>
  <c r="AF75" s="1"/>
  <c r="AG75" s="1"/>
  <c r="AH75" s="1"/>
  <c r="AD80"/>
  <c r="AE80" s="1"/>
  <c r="AF80" s="1"/>
  <c r="AG80" s="1"/>
  <c r="AH80" s="1"/>
  <c r="Q6" i="8"/>
  <c r="Q7"/>
  <c r="H21" i="13"/>
  <c r="C21"/>
  <c r="B21" s="1"/>
  <c r="E22"/>
  <c r="F22" s="1"/>
  <c r="C6" i="12"/>
  <c r="H21" i="2"/>
  <c r="AD49"/>
  <c r="AE49" s="1"/>
  <c r="AF49" s="1"/>
  <c r="AG49" s="1"/>
  <c r="AH49" s="1"/>
  <c r="AD53"/>
  <c r="AE53" s="1"/>
  <c r="AF53" s="1"/>
  <c r="AG53" s="1"/>
  <c r="AH53" s="1"/>
  <c r="AD57"/>
  <c r="AE57" s="1"/>
  <c r="AF57" s="1"/>
  <c r="AG57" s="1"/>
  <c r="AH57" s="1"/>
  <c r="AD61"/>
  <c r="AE61" s="1"/>
  <c r="AF61" s="1"/>
  <c r="AG61" s="1"/>
  <c r="AH61" s="1"/>
  <c r="AD65"/>
  <c r="AE65" s="1"/>
  <c r="AF65" s="1"/>
  <c r="AG65" s="1"/>
  <c r="AH65" s="1"/>
  <c r="AD50"/>
  <c r="AE50" s="1"/>
  <c r="AF50" s="1"/>
  <c r="AG50" s="1"/>
  <c r="AH50" s="1"/>
  <c r="AD54"/>
  <c r="AE54" s="1"/>
  <c r="AF54" s="1"/>
  <c r="AG54" s="1"/>
  <c r="AH54" s="1"/>
  <c r="AD58"/>
  <c r="AE58" s="1"/>
  <c r="AF58" s="1"/>
  <c r="AG58" s="1"/>
  <c r="AH58" s="1"/>
  <c r="AD66"/>
  <c r="AE66" s="1"/>
  <c r="AF66" s="1"/>
  <c r="AG66" s="1"/>
  <c r="AH66" s="1"/>
  <c r="AD47"/>
  <c r="AE47" s="1"/>
  <c r="AF47" s="1"/>
  <c r="AG47" s="1"/>
  <c r="AH47" s="1"/>
  <c r="AD51"/>
  <c r="AE51" s="1"/>
  <c r="AF51" s="1"/>
  <c r="AG51" s="1"/>
  <c r="AH51" s="1"/>
  <c r="AD55"/>
  <c r="AE55" s="1"/>
  <c r="AF55" s="1"/>
  <c r="AG55" s="1"/>
  <c r="AH55" s="1"/>
  <c r="AD59"/>
  <c r="AE59" s="1"/>
  <c r="AF59" s="1"/>
  <c r="AG59" s="1"/>
  <c r="AH59" s="1"/>
  <c r="AD63"/>
  <c r="AE63" s="1"/>
  <c r="AF63" s="1"/>
  <c r="AG63" s="1"/>
  <c r="AH63" s="1"/>
  <c r="AD67"/>
  <c r="AE67" s="1"/>
  <c r="AF67" s="1"/>
  <c r="AG67" s="1"/>
  <c r="AH67" s="1"/>
  <c r="AD48"/>
  <c r="AE48" s="1"/>
  <c r="AF48" s="1"/>
  <c r="AG48" s="1"/>
  <c r="AH48" s="1"/>
  <c r="AD52"/>
  <c r="AE52" s="1"/>
  <c r="AF52" s="1"/>
  <c r="AG52" s="1"/>
  <c r="AH52" s="1"/>
  <c r="AD56"/>
  <c r="AE56" s="1"/>
  <c r="AF56" s="1"/>
  <c r="AG56" s="1"/>
  <c r="AH56" s="1"/>
  <c r="AD60"/>
  <c r="AE60" s="1"/>
  <c r="AF60" s="1"/>
  <c r="AG60" s="1"/>
  <c r="AH60" s="1"/>
  <c r="AD64"/>
  <c r="AE64" s="1"/>
  <c r="AF64" s="1"/>
  <c r="AG64" s="1"/>
  <c r="AH64" s="1"/>
  <c r="AD62"/>
  <c r="AE62" s="1"/>
  <c r="AF62" s="1"/>
  <c r="AG62" s="1"/>
  <c r="AH62" s="1"/>
  <c r="G22"/>
  <c r="J22"/>
  <c r="E22"/>
  <c r="B23"/>
  <c r="E23" i="13" s="1"/>
  <c r="F23" s="1"/>
  <c r="C22" i="8"/>
  <c r="D22" i="1"/>
  <c r="B22" s="1"/>
  <c r="AT20" i="4"/>
  <c r="AQ23"/>
  <c r="AS21"/>
  <c r="AR22"/>
  <c r="AL24"/>
  <c r="C21" i="2" l="1"/>
  <c r="K22"/>
  <c r="AN23"/>
  <c r="AP23" s="1"/>
  <c r="AR23" s="1"/>
  <c r="H22"/>
  <c r="H23" i="13"/>
  <c r="C23"/>
  <c r="B23" s="1"/>
  <c r="H22"/>
  <c r="C22"/>
  <c r="B22" s="1"/>
  <c r="J23" i="2"/>
  <c r="K23" s="1"/>
  <c r="G23"/>
  <c r="AW14" s="1"/>
  <c r="AY14" s="1"/>
  <c r="BA14" s="1"/>
  <c r="E23"/>
  <c r="B24"/>
  <c r="C23" i="8"/>
  <c r="D23" i="1"/>
  <c r="B23" s="1"/>
  <c r="AT21" i="4"/>
  <c r="AQ24"/>
  <c r="AS22"/>
  <c r="AR23"/>
  <c r="AL25"/>
  <c r="C22" i="2" l="1"/>
  <c r="H23"/>
  <c r="C23" s="1"/>
  <c r="Q9" i="8"/>
  <c r="Q10"/>
  <c r="Q11"/>
  <c r="Q8"/>
  <c r="E24" i="13"/>
  <c r="F24" s="1"/>
  <c r="C7" i="12"/>
  <c r="J24" i="2"/>
  <c r="G24"/>
  <c r="AW15" s="1"/>
  <c r="AY15" s="1"/>
  <c r="BA15" s="1"/>
  <c r="E24"/>
  <c r="B25"/>
  <c r="E25" i="13" s="1"/>
  <c r="F25" s="1"/>
  <c r="C24" i="8"/>
  <c r="D24" i="1"/>
  <c r="B24" s="1"/>
  <c r="AT22" i="4"/>
  <c r="AQ25"/>
  <c r="AS23"/>
  <c r="AR24"/>
  <c r="AL26"/>
  <c r="K24" i="2" l="1"/>
  <c r="AN25"/>
  <c r="AP25" s="1"/>
  <c r="AR25" s="1"/>
  <c r="H24"/>
  <c r="Q13" i="8"/>
  <c r="Q14"/>
  <c r="Q15"/>
  <c r="Q12"/>
  <c r="Q16"/>
  <c r="H25" i="13"/>
  <c r="J25" s="1"/>
  <c r="J26" s="1"/>
  <c r="H24"/>
  <c r="C24"/>
  <c r="B24" s="1"/>
  <c r="J25" i="2"/>
  <c r="K25" s="1"/>
  <c r="G25"/>
  <c r="E25"/>
  <c r="B26"/>
  <c r="C25" i="8"/>
  <c r="D25" i="1"/>
  <c r="B25" s="1"/>
  <c r="AT23" i="4"/>
  <c r="AR25"/>
  <c r="AQ26"/>
  <c r="AS24"/>
  <c r="AW11" i="2" l="1"/>
  <c r="AY11" s="1"/>
  <c r="BA11" s="1"/>
  <c r="AW16"/>
  <c r="AY16" s="1"/>
  <c r="BA16" s="1"/>
  <c r="C24"/>
  <c r="H25"/>
  <c r="C25" s="1"/>
  <c r="C25" i="13"/>
  <c r="B25" s="1"/>
  <c r="J27"/>
  <c r="J28" s="1"/>
  <c r="O11"/>
  <c r="Q17" i="8"/>
  <c r="Q18"/>
  <c r="Q19"/>
  <c r="E26" i="13"/>
  <c r="F26" s="1"/>
  <c r="C8" i="12"/>
  <c r="G26" i="2"/>
  <c r="AW17" s="1"/>
  <c r="AY17" s="1"/>
  <c r="BA17" s="1"/>
  <c r="J26"/>
  <c r="E26"/>
  <c r="B27"/>
  <c r="E27" i="13" s="1"/>
  <c r="F27" s="1"/>
  <c r="C26" i="8"/>
  <c r="D26" i="1"/>
  <c r="B26" s="1"/>
  <c r="AT24" i="4"/>
  <c r="AS25"/>
  <c r="AR26"/>
  <c r="K26" i="2" l="1"/>
  <c r="AN30"/>
  <c r="AP30" s="1"/>
  <c r="AR30" s="1"/>
  <c r="AN29"/>
  <c r="AP29" s="1"/>
  <c r="AR29" s="1"/>
  <c r="AN24"/>
  <c r="AP24" s="1"/>
  <c r="AR24" s="1"/>
  <c r="AN31"/>
  <c r="AP31" s="1"/>
  <c r="AR31" s="1"/>
  <c r="AN27"/>
  <c r="AP27" s="1"/>
  <c r="AR27" s="1"/>
  <c r="AN26"/>
  <c r="AP26" s="1"/>
  <c r="AR26" s="1"/>
  <c r="H26"/>
  <c r="Q21" i="8"/>
  <c r="Q22"/>
  <c r="Q20"/>
  <c r="H26" i="13"/>
  <c r="C26"/>
  <c r="B26" s="1"/>
  <c r="H27"/>
  <c r="C27"/>
  <c r="B27" s="1"/>
  <c r="O12"/>
  <c r="J29"/>
  <c r="J30" s="1"/>
  <c r="J27" i="2"/>
  <c r="K27" s="1"/>
  <c r="G27"/>
  <c r="E27"/>
  <c r="B28"/>
  <c r="C27" i="8"/>
  <c r="Q23" s="1"/>
  <c r="D27" i="1"/>
  <c r="B27" s="1"/>
  <c r="AT25" i="4"/>
  <c r="AS26"/>
  <c r="AW12" i="2" l="1"/>
  <c r="AY12" s="1"/>
  <c r="BA12" s="1"/>
  <c r="AW18"/>
  <c r="AY18" s="1"/>
  <c r="BA18" s="1"/>
  <c r="C26"/>
  <c r="H27"/>
  <c r="C27" s="1"/>
  <c r="E28" i="13"/>
  <c r="F28" s="1"/>
  <c r="C9" i="12"/>
  <c r="J31" i="13"/>
  <c r="J32" s="1"/>
  <c r="O13"/>
  <c r="J28" i="2"/>
  <c r="K28" s="1"/>
  <c r="G28"/>
  <c r="AW19" s="1"/>
  <c r="AY19" s="1"/>
  <c r="BA19" s="1"/>
  <c r="E28"/>
  <c r="B29"/>
  <c r="E29" i="13" s="1"/>
  <c r="F29" s="1"/>
  <c r="C28" i="8"/>
  <c r="Q24" s="1"/>
  <c r="D28" i="1"/>
  <c r="B28" s="1"/>
  <c r="AT26" i="4"/>
  <c r="H28" i="2" l="1"/>
  <c r="C28" s="1"/>
  <c r="H29" i="13"/>
  <c r="C29"/>
  <c r="B29" s="1"/>
  <c r="J33"/>
  <c r="J34" s="1"/>
  <c r="O15" s="1"/>
  <c r="O14"/>
  <c r="C28"/>
  <c r="B28" s="1"/>
  <c r="H28"/>
  <c r="J29" i="2"/>
  <c r="K29" s="1"/>
  <c r="G29"/>
  <c r="AW20" s="1"/>
  <c r="AY20" s="1"/>
  <c r="BA20" s="1"/>
  <c r="E29"/>
  <c r="B30"/>
  <c r="C29" i="8"/>
  <c r="Q25" s="1"/>
  <c r="D29" i="1"/>
  <c r="B29" s="1"/>
  <c r="H29" i="2" l="1"/>
  <c r="C29" s="1"/>
  <c r="E30" i="13"/>
  <c r="F30" s="1"/>
  <c r="C10" i="12"/>
  <c r="G30" i="2"/>
  <c r="J30"/>
  <c r="K30" s="1"/>
  <c r="E30"/>
  <c r="B31"/>
  <c r="C30" i="8"/>
  <c r="D30" i="1"/>
  <c r="B30" s="1"/>
  <c r="AW21" i="2" l="1"/>
  <c r="AY21" s="1"/>
  <c r="BA21" s="1"/>
  <c r="AW22"/>
  <c r="AY22" s="1"/>
  <c r="BA22" s="1"/>
  <c r="H30"/>
  <c r="C30" s="1"/>
  <c r="V31"/>
  <c r="E31" i="13"/>
  <c r="F31" s="1"/>
  <c r="H30"/>
  <c r="C30"/>
  <c r="B30" s="1"/>
  <c r="J31" i="2"/>
  <c r="G31"/>
  <c r="AW23" s="1"/>
  <c r="AY23" s="1"/>
  <c r="BA23" s="1"/>
  <c r="E31"/>
  <c r="B32"/>
  <c r="C31" i="8"/>
  <c r="D31" i="1"/>
  <c r="B31" s="1"/>
  <c r="K31" i="2" l="1"/>
  <c r="AN32"/>
  <c r="AP32" s="1"/>
  <c r="AR32" s="1"/>
  <c r="H31"/>
  <c r="AD83"/>
  <c r="AE83" s="1"/>
  <c r="AF83" s="1"/>
  <c r="AG83" s="1"/>
  <c r="AH83" s="1"/>
  <c r="AD88"/>
  <c r="AE88" s="1"/>
  <c r="AF88" s="1"/>
  <c r="AG88" s="1"/>
  <c r="AH88" s="1"/>
  <c r="AD93"/>
  <c r="AE93" s="1"/>
  <c r="AF93" s="1"/>
  <c r="AG93" s="1"/>
  <c r="AH93" s="1"/>
  <c r="AD98"/>
  <c r="AE98" s="1"/>
  <c r="AF98" s="1"/>
  <c r="AG98" s="1"/>
  <c r="AH98" s="1"/>
  <c r="AD100"/>
  <c r="AE100" s="1"/>
  <c r="AF100" s="1"/>
  <c r="AG100" s="1"/>
  <c r="AH100" s="1"/>
  <c r="AD103"/>
  <c r="AE103" s="1"/>
  <c r="AF103" s="1"/>
  <c r="AG103" s="1"/>
  <c r="AH103" s="1"/>
  <c r="AD110"/>
  <c r="AE110" s="1"/>
  <c r="AF110" s="1"/>
  <c r="AG110" s="1"/>
  <c r="AH110" s="1"/>
  <c r="AD113"/>
  <c r="AE113" s="1"/>
  <c r="AF113" s="1"/>
  <c r="AG113" s="1"/>
  <c r="AH113" s="1"/>
  <c r="AD115"/>
  <c r="AE115" s="1"/>
  <c r="AF115" s="1"/>
  <c r="AG115" s="1"/>
  <c r="AH115" s="1"/>
  <c r="AD105"/>
  <c r="AE105" s="1"/>
  <c r="AF105" s="1"/>
  <c r="AG105" s="1"/>
  <c r="AH105" s="1"/>
  <c r="AD82"/>
  <c r="AE82" s="1"/>
  <c r="AF82" s="1"/>
  <c r="AG82" s="1"/>
  <c r="AH82" s="1"/>
  <c r="AD84"/>
  <c r="AE84" s="1"/>
  <c r="AF84" s="1"/>
  <c r="AG84" s="1"/>
  <c r="AH84" s="1"/>
  <c r="AD87"/>
  <c r="AE87" s="1"/>
  <c r="AF87" s="1"/>
  <c r="AG87" s="1"/>
  <c r="AH87" s="1"/>
  <c r="AD94"/>
  <c r="AE94" s="1"/>
  <c r="AF94" s="1"/>
  <c r="AG94" s="1"/>
  <c r="AH94" s="1"/>
  <c r="AD97"/>
  <c r="AE97" s="1"/>
  <c r="AF97" s="1"/>
  <c r="AG97" s="1"/>
  <c r="AH97" s="1"/>
  <c r="AD99"/>
  <c r="AE99" s="1"/>
  <c r="AF99" s="1"/>
  <c r="AG99" s="1"/>
  <c r="AH99" s="1"/>
  <c r="AD104"/>
  <c r="AE104" s="1"/>
  <c r="AF104" s="1"/>
  <c r="AG104" s="1"/>
  <c r="AH104" s="1"/>
  <c r="AD109"/>
  <c r="AE109" s="1"/>
  <c r="AF109" s="1"/>
  <c r="AG109" s="1"/>
  <c r="AH109" s="1"/>
  <c r="AD114"/>
  <c r="AE114" s="1"/>
  <c r="AF114" s="1"/>
  <c r="AG114" s="1"/>
  <c r="AH114" s="1"/>
  <c r="AD92"/>
  <c r="AE92" s="1"/>
  <c r="AF92" s="1"/>
  <c r="AG92" s="1"/>
  <c r="AH92" s="1"/>
  <c r="AD102"/>
  <c r="AE102" s="1"/>
  <c r="AF102" s="1"/>
  <c r="AG102" s="1"/>
  <c r="AH102" s="1"/>
  <c r="AD107"/>
  <c r="AE107" s="1"/>
  <c r="AF107" s="1"/>
  <c r="AG107" s="1"/>
  <c r="AH107" s="1"/>
  <c r="AD112"/>
  <c r="AE112" s="1"/>
  <c r="AF112" s="1"/>
  <c r="AG112" s="1"/>
  <c r="AH112" s="1"/>
  <c r="AD86"/>
  <c r="AE86" s="1"/>
  <c r="AF86" s="1"/>
  <c r="AG86" s="1"/>
  <c r="AH86" s="1"/>
  <c r="AD89"/>
  <c r="AE89" s="1"/>
  <c r="AF89" s="1"/>
  <c r="AG89" s="1"/>
  <c r="AH89" s="1"/>
  <c r="AD91"/>
  <c r="AE91" s="1"/>
  <c r="AF91" s="1"/>
  <c r="AG91" s="1"/>
  <c r="AH91" s="1"/>
  <c r="AD96"/>
  <c r="AE96" s="1"/>
  <c r="AF96" s="1"/>
  <c r="AG96" s="1"/>
  <c r="AH96" s="1"/>
  <c r="AD101"/>
  <c r="AE101" s="1"/>
  <c r="AF101" s="1"/>
  <c r="AG101" s="1"/>
  <c r="AH101" s="1"/>
  <c r="AD106"/>
  <c r="AE106" s="1"/>
  <c r="AF106" s="1"/>
  <c r="AG106" s="1"/>
  <c r="AH106" s="1"/>
  <c r="AD108"/>
  <c r="AE108" s="1"/>
  <c r="AF108" s="1"/>
  <c r="AG108" s="1"/>
  <c r="AH108" s="1"/>
  <c r="AD111"/>
  <c r="AE111" s="1"/>
  <c r="AF111" s="1"/>
  <c r="AG111" s="1"/>
  <c r="AH111" s="1"/>
  <c r="AD85"/>
  <c r="AE85" s="1"/>
  <c r="AF85" s="1"/>
  <c r="AG85" s="1"/>
  <c r="AH85" s="1"/>
  <c r="AD90"/>
  <c r="AE90" s="1"/>
  <c r="AF90" s="1"/>
  <c r="AG90" s="1"/>
  <c r="AH90" s="1"/>
  <c r="AD95"/>
  <c r="AE95" s="1"/>
  <c r="AF95" s="1"/>
  <c r="AG95" s="1"/>
  <c r="AH95" s="1"/>
  <c r="Q29" i="8"/>
  <c r="Q26"/>
  <c r="Q27"/>
  <c r="Q28"/>
  <c r="E32" i="13"/>
  <c r="F32" s="1"/>
  <c r="C11" i="12"/>
  <c r="H31" i="13"/>
  <c r="C31"/>
  <c r="B31" s="1"/>
  <c r="J32" i="2"/>
  <c r="G32"/>
  <c r="E32"/>
  <c r="B33"/>
  <c r="E33" i="13" s="1"/>
  <c r="F33" s="1"/>
  <c r="C32" i="8"/>
  <c r="D32" i="1"/>
  <c r="B32" s="1"/>
  <c r="AW24" i="2" l="1"/>
  <c r="AY24" s="1"/>
  <c r="BA24" s="1"/>
  <c r="AW50"/>
  <c r="AY50" s="1"/>
  <c r="BA50" s="1"/>
  <c r="C31"/>
  <c r="K32"/>
  <c r="AN33"/>
  <c r="AP33" s="1"/>
  <c r="AR33" s="1"/>
  <c r="H32"/>
  <c r="C32" s="1"/>
  <c r="H33" i="13"/>
  <c r="C33"/>
  <c r="B33" s="1"/>
  <c r="Q30" i="8"/>
  <c r="Q31"/>
  <c r="H32" i="13"/>
  <c r="C32"/>
  <c r="B32" s="1"/>
  <c r="J33" i="2"/>
  <c r="G33"/>
  <c r="E33"/>
  <c r="B34"/>
  <c r="C33" i="8"/>
  <c r="D33" i="1"/>
  <c r="B33" s="1"/>
  <c r="AW43" i="2" l="1"/>
  <c r="AY43" s="1"/>
  <c r="BA43" s="1"/>
  <c r="AW51"/>
  <c r="AY51" s="1"/>
  <c r="BA51" s="1"/>
  <c r="AW25"/>
  <c r="AY25" s="1"/>
  <c r="BA25" s="1"/>
  <c r="AW37"/>
  <c r="AY37" s="1"/>
  <c r="BA37" s="1"/>
  <c r="K33"/>
  <c r="AN34"/>
  <c r="AP34" s="1"/>
  <c r="AR34" s="1"/>
  <c r="H33"/>
  <c r="E34" i="13"/>
  <c r="F34" s="1"/>
  <c r="C12" i="12"/>
  <c r="Q33" i="8"/>
  <c r="Q32"/>
  <c r="G34" i="2"/>
  <c r="J34"/>
  <c r="E34"/>
  <c r="B35"/>
  <c r="E35" i="13" s="1"/>
  <c r="F35" s="1"/>
  <c r="C34" i="8"/>
  <c r="D34" i="1"/>
  <c r="B34" s="1"/>
  <c r="C33" i="2" l="1"/>
  <c r="AW36"/>
  <c r="AY36" s="1"/>
  <c r="BA36" s="1"/>
  <c r="AW52"/>
  <c r="AY52" s="1"/>
  <c r="BA52" s="1"/>
  <c r="AW38"/>
  <c r="AY38" s="1"/>
  <c r="BA38" s="1"/>
  <c r="AW26"/>
  <c r="AY26" s="1"/>
  <c r="BA26" s="1"/>
  <c r="K34"/>
  <c r="AN35"/>
  <c r="AP35" s="1"/>
  <c r="AR35" s="1"/>
  <c r="H34"/>
  <c r="H35" i="13"/>
  <c r="J35" s="1"/>
  <c r="J36" s="1"/>
  <c r="Q37" i="8"/>
  <c r="Q34"/>
  <c r="Q38"/>
  <c r="Q35"/>
  <c r="Q39"/>
  <c r="Q36"/>
  <c r="H34" i="13"/>
  <c r="C34"/>
  <c r="B34" s="1"/>
  <c r="J35" i="2"/>
  <c r="G35"/>
  <c r="E35"/>
  <c r="B36"/>
  <c r="C35" i="8"/>
  <c r="D35" i="1"/>
  <c r="B35" s="1"/>
  <c r="C34" i="2" l="1"/>
  <c r="AW27"/>
  <c r="AY27" s="1"/>
  <c r="BA27" s="1"/>
  <c r="AW39"/>
  <c r="AY39" s="1"/>
  <c r="BA39" s="1"/>
  <c r="AW53"/>
  <c r="AY53" s="1"/>
  <c r="BA53" s="1"/>
  <c r="AW48"/>
  <c r="AY48" s="1"/>
  <c r="BA48" s="1"/>
  <c r="AW34"/>
  <c r="AY34" s="1"/>
  <c r="BA34" s="1"/>
  <c r="K35"/>
  <c r="AN36"/>
  <c r="AP36" s="1"/>
  <c r="AR36" s="1"/>
  <c r="H35"/>
  <c r="C35" s="1"/>
  <c r="E36" i="13"/>
  <c r="F36" s="1"/>
  <c r="C13" i="12"/>
  <c r="C35" i="13"/>
  <c r="B35" s="1"/>
  <c r="Q41" i="8"/>
  <c r="Q45"/>
  <c r="Q42"/>
  <c r="Q46"/>
  <c r="Q43"/>
  <c r="Q47"/>
  <c r="Q40"/>
  <c r="Q44"/>
  <c r="J37" i="13"/>
  <c r="J38" s="1"/>
  <c r="O16"/>
  <c r="J36" i="2"/>
  <c r="G36"/>
  <c r="E36"/>
  <c r="B37"/>
  <c r="E37" i="13" s="1"/>
  <c r="F37" s="1"/>
  <c r="C36" i="8"/>
  <c r="D36" i="1"/>
  <c r="B36" s="1"/>
  <c r="AW35" i="2" l="1"/>
  <c r="AY35" s="1"/>
  <c r="BA35" s="1"/>
  <c r="AW28"/>
  <c r="AY28" s="1"/>
  <c r="BA28" s="1"/>
  <c r="AW40"/>
  <c r="AY40" s="1"/>
  <c r="BA40" s="1"/>
  <c r="AW44"/>
  <c r="AY44" s="1"/>
  <c r="BA44" s="1"/>
  <c r="AW54"/>
  <c r="AY54" s="1"/>
  <c r="BA54" s="1"/>
  <c r="K36"/>
  <c r="AN38"/>
  <c r="AP38" s="1"/>
  <c r="AR38" s="1"/>
  <c r="AN39"/>
  <c r="AP39" s="1"/>
  <c r="AR39" s="1"/>
  <c r="AN37"/>
  <c r="AP37" s="1"/>
  <c r="AR37" s="1"/>
  <c r="AN41"/>
  <c r="AP41" s="1"/>
  <c r="AR41" s="1"/>
  <c r="AN40"/>
  <c r="AP40" s="1"/>
  <c r="AR40" s="1"/>
  <c r="H36"/>
  <c r="J39" i="13"/>
  <c r="J40" s="1"/>
  <c r="O17"/>
  <c r="Q49" i="8"/>
  <c r="Q50"/>
  <c r="Q51"/>
  <c r="Q48"/>
  <c r="H37" i="13"/>
  <c r="C37"/>
  <c r="B37" s="1"/>
  <c r="H36"/>
  <c r="C36"/>
  <c r="B36" s="1"/>
  <c r="J37" i="2"/>
  <c r="K37" s="1"/>
  <c r="G37"/>
  <c r="E37"/>
  <c r="B38"/>
  <c r="C37" i="8"/>
  <c r="D37" i="1"/>
  <c r="B37" s="1"/>
  <c r="C36" i="2" l="1"/>
  <c r="AW55"/>
  <c r="AY55" s="1"/>
  <c r="BA55" s="1"/>
  <c r="AW29"/>
  <c r="AY29" s="1"/>
  <c r="BA29" s="1"/>
  <c r="AW41"/>
  <c r="AY41" s="1"/>
  <c r="BA41" s="1"/>
  <c r="AW49"/>
  <c r="AY49" s="1"/>
  <c r="BA49" s="1"/>
  <c r="H37"/>
  <c r="C37" s="1"/>
  <c r="E38" i="13"/>
  <c r="F38" s="1"/>
  <c r="C14" i="12"/>
  <c r="Q53" i="8"/>
  <c r="Q52"/>
  <c r="J41" i="13"/>
  <c r="J42" s="1"/>
  <c r="O18"/>
  <c r="G38" i="2"/>
  <c r="AW30" s="1"/>
  <c r="AY30" s="1"/>
  <c r="BA30" s="1"/>
  <c r="J38"/>
  <c r="K38" s="1"/>
  <c r="E38"/>
  <c r="B39"/>
  <c r="E39" i="13" s="1"/>
  <c r="F39" s="1"/>
  <c r="C38" i="8"/>
  <c r="D38" i="1"/>
  <c r="B38" s="1"/>
  <c r="H38" i="2" l="1"/>
  <c r="C38" s="1"/>
  <c r="H39" i="13"/>
  <c r="C39"/>
  <c r="B39" s="1"/>
  <c r="Q57" i="8"/>
  <c r="Q54"/>
  <c r="Q58"/>
  <c r="Q55"/>
  <c r="Q56"/>
  <c r="J43" i="13"/>
  <c r="J44" s="1"/>
  <c r="O20" s="1"/>
  <c r="O19"/>
  <c r="H38"/>
  <c r="C38"/>
  <c r="B38" s="1"/>
  <c r="J39" i="2"/>
  <c r="K39" s="1"/>
  <c r="G39"/>
  <c r="E39"/>
  <c r="B40"/>
  <c r="C39" i="8"/>
  <c r="D39" i="1"/>
  <c r="B39" s="1"/>
  <c r="AW45" i="2" l="1"/>
  <c r="AY45" s="1"/>
  <c r="BA45" s="1"/>
  <c r="AW42"/>
  <c r="AY42" s="1"/>
  <c r="BA42" s="1"/>
  <c r="H39"/>
  <c r="C39" s="1"/>
  <c r="Q59" i="8"/>
  <c r="Q60"/>
  <c r="E40" i="13"/>
  <c r="F40" s="1"/>
  <c r="C15" i="12"/>
  <c r="J40" i="2"/>
  <c r="K40" s="1"/>
  <c r="G40"/>
  <c r="E40"/>
  <c r="B41"/>
  <c r="C40" i="8"/>
  <c r="D40" i="1"/>
  <c r="B40" s="1"/>
  <c r="AW31" i="2" l="1"/>
  <c r="AY31" s="1"/>
  <c r="BA31" s="1"/>
  <c r="AW47"/>
  <c r="AY47" s="1"/>
  <c r="BA47" s="1"/>
  <c r="AW32"/>
  <c r="AY32" s="1"/>
  <c r="BA32" s="1"/>
  <c r="AW33"/>
  <c r="AY33" s="1"/>
  <c r="BA33" s="1"/>
  <c r="AW46"/>
  <c r="AY46" s="1"/>
  <c r="BA46" s="1"/>
  <c r="H40"/>
  <c r="C40" s="1"/>
  <c r="V32"/>
  <c r="E41" i="13"/>
  <c r="F41" s="1"/>
  <c r="H40"/>
  <c r="C40"/>
  <c r="B40" s="1"/>
  <c r="Q61" i="8"/>
  <c r="Q62"/>
  <c r="J41" i="2"/>
  <c r="G41"/>
  <c r="E41"/>
  <c r="B42"/>
  <c r="C41" i="8"/>
  <c r="D41" i="1"/>
  <c r="B41" s="1"/>
  <c r="K41" i="2" l="1"/>
  <c r="AN42"/>
  <c r="AP42" s="1"/>
  <c r="AR42" s="1"/>
  <c r="H41"/>
  <c r="AD120"/>
  <c r="AE120" s="1"/>
  <c r="AF120" s="1"/>
  <c r="AG120" s="1"/>
  <c r="AH120" s="1"/>
  <c r="AD141"/>
  <c r="AE141" s="1"/>
  <c r="AF141" s="1"/>
  <c r="AG141" s="1"/>
  <c r="AH141" s="1"/>
  <c r="AD143"/>
  <c r="AE143" s="1"/>
  <c r="AF143" s="1"/>
  <c r="AG143" s="1"/>
  <c r="AH143" s="1"/>
  <c r="AD126"/>
  <c r="AE126" s="1"/>
  <c r="AF126" s="1"/>
  <c r="AG126" s="1"/>
  <c r="AH126" s="1"/>
  <c r="AD134"/>
  <c r="AE134" s="1"/>
  <c r="AF134" s="1"/>
  <c r="AG134" s="1"/>
  <c r="AH134" s="1"/>
  <c r="AD140"/>
  <c r="AE140" s="1"/>
  <c r="AF140" s="1"/>
  <c r="AG140" s="1"/>
  <c r="AH140" s="1"/>
  <c r="AD145"/>
  <c r="AE145" s="1"/>
  <c r="AF145" s="1"/>
  <c r="AG145" s="1"/>
  <c r="AH145" s="1"/>
  <c r="AD116"/>
  <c r="AE116" s="1"/>
  <c r="AF116" s="1"/>
  <c r="AG116" s="1"/>
  <c r="AH116" s="1"/>
  <c r="AD119"/>
  <c r="AE119" s="1"/>
  <c r="AF119" s="1"/>
  <c r="AG119" s="1"/>
  <c r="AH119" s="1"/>
  <c r="AD142"/>
  <c r="AE142" s="1"/>
  <c r="AF142" s="1"/>
  <c r="AG142" s="1"/>
  <c r="AH142" s="1"/>
  <c r="AD144"/>
  <c r="AE144" s="1"/>
  <c r="AF144" s="1"/>
  <c r="AG144" s="1"/>
  <c r="AH144" s="1"/>
  <c r="AD151"/>
  <c r="AE151" s="1"/>
  <c r="AF151" s="1"/>
  <c r="AG151" s="1"/>
  <c r="AH151" s="1"/>
  <c r="AD117"/>
  <c r="AE117" s="1"/>
  <c r="AF117" s="1"/>
  <c r="AG117" s="1"/>
  <c r="AH117" s="1"/>
  <c r="AD122"/>
  <c r="AE122" s="1"/>
  <c r="AF122" s="1"/>
  <c r="AG122" s="1"/>
  <c r="AH122" s="1"/>
  <c r="AD128"/>
  <c r="AE128" s="1"/>
  <c r="AF128" s="1"/>
  <c r="AG128" s="1"/>
  <c r="AH128" s="1"/>
  <c r="AD132"/>
  <c r="AE132" s="1"/>
  <c r="AF132" s="1"/>
  <c r="AG132" s="1"/>
  <c r="AH132" s="1"/>
  <c r="AD136"/>
  <c r="AE136" s="1"/>
  <c r="AF136" s="1"/>
  <c r="AG136" s="1"/>
  <c r="AH136" s="1"/>
  <c r="AD147"/>
  <c r="AE147" s="1"/>
  <c r="AF147" s="1"/>
  <c r="AG147" s="1"/>
  <c r="AH147" s="1"/>
  <c r="AD118"/>
  <c r="AE118" s="1"/>
  <c r="AF118" s="1"/>
  <c r="AG118" s="1"/>
  <c r="AH118" s="1"/>
  <c r="AD121"/>
  <c r="AE121" s="1"/>
  <c r="AF121" s="1"/>
  <c r="AG121" s="1"/>
  <c r="AH121" s="1"/>
  <c r="AD123"/>
  <c r="AE123" s="1"/>
  <c r="AF123" s="1"/>
  <c r="AG123" s="1"/>
  <c r="AH123" s="1"/>
  <c r="AD125"/>
  <c r="AE125" s="1"/>
  <c r="AF125" s="1"/>
  <c r="AG125" s="1"/>
  <c r="AH125" s="1"/>
  <c r="AD127"/>
  <c r="AE127" s="1"/>
  <c r="AF127" s="1"/>
  <c r="AG127" s="1"/>
  <c r="AH127" s="1"/>
  <c r="AD129"/>
  <c r="AE129" s="1"/>
  <c r="AF129" s="1"/>
  <c r="AG129" s="1"/>
  <c r="AH129" s="1"/>
  <c r="AD131"/>
  <c r="AE131" s="1"/>
  <c r="AF131" s="1"/>
  <c r="AG131" s="1"/>
  <c r="AH131" s="1"/>
  <c r="AD133"/>
  <c r="AE133" s="1"/>
  <c r="AF133" s="1"/>
  <c r="AG133" s="1"/>
  <c r="AH133" s="1"/>
  <c r="AD135"/>
  <c r="AE135" s="1"/>
  <c r="AF135" s="1"/>
  <c r="AG135" s="1"/>
  <c r="AH135" s="1"/>
  <c r="AD137"/>
  <c r="AE137" s="1"/>
  <c r="AF137" s="1"/>
  <c r="AG137" s="1"/>
  <c r="AH137" s="1"/>
  <c r="AD139"/>
  <c r="AE139" s="1"/>
  <c r="AF139" s="1"/>
  <c r="AG139" s="1"/>
  <c r="AH139" s="1"/>
  <c r="AD146"/>
  <c r="AE146" s="1"/>
  <c r="AF146" s="1"/>
  <c r="AG146" s="1"/>
  <c r="AH146" s="1"/>
  <c r="AD148"/>
  <c r="AE148" s="1"/>
  <c r="AF148" s="1"/>
  <c r="AG148" s="1"/>
  <c r="AH148" s="1"/>
  <c r="AD150"/>
  <c r="AE150" s="1"/>
  <c r="AF150" s="1"/>
  <c r="AG150" s="1"/>
  <c r="AH150" s="1"/>
  <c r="AD124"/>
  <c r="AE124" s="1"/>
  <c r="AF124" s="1"/>
  <c r="AG124" s="1"/>
  <c r="AH124" s="1"/>
  <c r="AD130"/>
  <c r="AE130" s="1"/>
  <c r="AF130" s="1"/>
  <c r="AG130" s="1"/>
  <c r="AH130" s="1"/>
  <c r="AD138"/>
  <c r="AE138" s="1"/>
  <c r="AF138" s="1"/>
  <c r="AG138" s="1"/>
  <c r="AH138" s="1"/>
  <c r="AD149"/>
  <c r="AE149" s="1"/>
  <c r="AF149" s="1"/>
  <c r="AG149" s="1"/>
  <c r="AH149" s="1"/>
  <c r="Q65" i="8"/>
  <c r="Q66"/>
  <c r="Q63"/>
  <c r="Q64"/>
  <c r="E42" i="13"/>
  <c r="F42" s="1"/>
  <c r="C16" i="12"/>
  <c r="H41" i="13"/>
  <c r="C41"/>
  <c r="B41" s="1"/>
  <c r="G42" i="2"/>
  <c r="J42"/>
  <c r="E42"/>
  <c r="B43"/>
  <c r="E43" i="13" s="1"/>
  <c r="F43" s="1"/>
  <c r="C42" i="8"/>
  <c r="D42" i="1"/>
  <c r="B42" s="1"/>
  <c r="C41" i="2" l="1"/>
  <c r="K42"/>
  <c r="AN43"/>
  <c r="AP43" s="1"/>
  <c r="AR43" s="1"/>
  <c r="H42"/>
  <c r="C42" s="1"/>
  <c r="H43" i="13"/>
  <c r="C43"/>
  <c r="B43" s="1"/>
  <c r="Q69" i="8"/>
  <c r="Q67"/>
  <c r="Q68"/>
  <c r="H42" i="13"/>
  <c r="C42"/>
  <c r="B42" s="1"/>
  <c r="J43" i="2"/>
  <c r="K43" s="1"/>
  <c r="G43"/>
  <c r="E43"/>
  <c r="B44"/>
  <c r="C43" i="8"/>
  <c r="D43" i="1"/>
  <c r="B43" s="1"/>
  <c r="H43" i="2" l="1"/>
  <c r="C43" s="1"/>
  <c r="E44" i="13"/>
  <c r="F44" s="1"/>
  <c r="C17" i="12"/>
  <c r="Q73" i="8"/>
  <c r="Q70"/>
  <c r="Q74"/>
  <c r="Q71"/>
  <c r="Q72"/>
  <c r="J44" i="2"/>
  <c r="G44"/>
  <c r="E44"/>
  <c r="B45"/>
  <c r="E45" i="13" s="1"/>
  <c r="F45" s="1"/>
  <c r="C44" i="8"/>
  <c r="D44" i="1"/>
  <c r="B44" s="1"/>
  <c r="K44" i="2" l="1"/>
  <c r="AN44"/>
  <c r="AP44" s="1"/>
  <c r="AR44" s="1"/>
  <c r="H44"/>
  <c r="Q77" i="8"/>
  <c r="Q75"/>
  <c r="Q76"/>
  <c r="H45" i="13"/>
  <c r="J45" s="1"/>
  <c r="J46" s="1"/>
  <c r="C44"/>
  <c r="B44" s="1"/>
  <c r="H44"/>
  <c r="J45" i="2"/>
  <c r="G45"/>
  <c r="E45"/>
  <c r="B46"/>
  <c r="C45" i="8"/>
  <c r="Q78" s="1"/>
  <c r="D45" i="1"/>
  <c r="B45" s="1"/>
  <c r="K45" i="2" l="1"/>
  <c r="AN45"/>
  <c r="AP45" s="1"/>
  <c r="AR45" s="1"/>
  <c r="C44"/>
  <c r="H45"/>
  <c r="C45" s="1"/>
  <c r="J47" i="13"/>
  <c r="J48" s="1"/>
  <c r="O21"/>
  <c r="E46"/>
  <c r="F46" s="1"/>
  <c r="C18" i="12"/>
  <c r="C45" i="13"/>
  <c r="B45" s="1"/>
  <c r="G46" i="2"/>
  <c r="J46"/>
  <c r="E46"/>
  <c r="B47"/>
  <c r="E47" i="13" s="1"/>
  <c r="F47" s="1"/>
  <c r="C46" i="8"/>
  <c r="D46" i="1"/>
  <c r="B46" s="1"/>
  <c r="K46" i="2" l="1"/>
  <c r="AN46"/>
  <c r="AP46" s="1"/>
  <c r="AR46" s="1"/>
  <c r="AN52"/>
  <c r="AP52" s="1"/>
  <c r="AR52" s="1"/>
  <c r="AN50"/>
  <c r="AP50" s="1"/>
  <c r="AR50" s="1"/>
  <c r="AN49"/>
  <c r="AP49" s="1"/>
  <c r="AR49" s="1"/>
  <c r="AN48"/>
  <c r="AP48" s="1"/>
  <c r="AR48" s="1"/>
  <c r="AN51"/>
  <c r="AP51" s="1"/>
  <c r="AR51" s="1"/>
  <c r="AN47"/>
  <c r="AP47" s="1"/>
  <c r="AR47" s="1"/>
  <c r="H46"/>
  <c r="C46" s="1"/>
  <c r="Q81" i="8"/>
  <c r="Q82"/>
  <c r="Q79"/>
  <c r="Q80"/>
  <c r="H46" i="13"/>
  <c r="C46"/>
  <c r="B46" s="1"/>
  <c r="H47"/>
  <c r="C47"/>
  <c r="B47" s="1"/>
  <c r="J49"/>
  <c r="J50" s="1"/>
  <c r="O22"/>
  <c r="J47" i="2"/>
  <c r="K47" s="1"/>
  <c r="G47"/>
  <c r="E47"/>
  <c r="B48"/>
  <c r="C47" i="8"/>
  <c r="D47" i="1"/>
  <c r="B47" s="1"/>
  <c r="H47" i="2" l="1"/>
  <c r="C47" s="1"/>
  <c r="Q85" i="8"/>
  <c r="Q89"/>
  <c r="Q86"/>
  <c r="Q90"/>
  <c r="Q83"/>
  <c r="Q87"/>
  <c r="Q88"/>
  <c r="Q84"/>
  <c r="E48" i="13"/>
  <c r="F48" s="1"/>
  <c r="C19" i="12"/>
  <c r="J51" i="13"/>
  <c r="J52" s="1"/>
  <c r="O23"/>
  <c r="J48" i="2"/>
  <c r="K48" s="1"/>
  <c r="G48"/>
  <c r="E48"/>
  <c r="B49"/>
  <c r="E49" i="13" s="1"/>
  <c r="F49" s="1"/>
  <c r="C48" i="8"/>
  <c r="Q91" s="1"/>
  <c r="D48" i="1"/>
  <c r="B48" s="1"/>
  <c r="H48" i="2" l="1"/>
  <c r="C48" s="1"/>
  <c r="H49" i="13"/>
  <c r="C49"/>
  <c r="B49" s="1"/>
  <c r="J53"/>
  <c r="J54" s="1"/>
  <c r="O25" s="1"/>
  <c r="O24"/>
  <c r="H48"/>
  <c r="C48"/>
  <c r="B48" s="1"/>
  <c r="J49" i="2"/>
  <c r="K49" s="1"/>
  <c r="G49"/>
  <c r="E49"/>
  <c r="B50"/>
  <c r="C49" i="8"/>
  <c r="D49" i="1"/>
  <c r="B49" s="1"/>
  <c r="H49" i="2" l="1"/>
  <c r="C49" s="1"/>
  <c r="Q93" i="8"/>
  <c r="Q94"/>
  <c r="Q92"/>
  <c r="E50" i="13"/>
  <c r="F50" s="1"/>
  <c r="C20" i="12"/>
  <c r="G50" i="2"/>
  <c r="J50"/>
  <c r="K50" s="1"/>
  <c r="E50"/>
  <c r="B51"/>
  <c r="C50" i="8"/>
  <c r="Q95" s="1"/>
  <c r="D50" i="1"/>
  <c r="B50" s="1"/>
  <c r="H50" i="2" l="1"/>
  <c r="C50" s="1"/>
  <c r="V33"/>
  <c r="E51" i="13"/>
  <c r="F51" s="1"/>
  <c r="H50"/>
  <c r="C50"/>
  <c r="B50" s="1"/>
  <c r="J51" i="2"/>
  <c r="G51"/>
  <c r="E51"/>
  <c r="B52"/>
  <c r="C51" i="8"/>
  <c r="D51" i="1"/>
  <c r="B51" s="1"/>
  <c r="K51" i="2" l="1"/>
  <c r="AN53"/>
  <c r="AP53" s="1"/>
  <c r="AR53" s="1"/>
  <c r="H51"/>
  <c r="AD152"/>
  <c r="AE152" s="1"/>
  <c r="AF152" s="1"/>
  <c r="AG152" s="1"/>
  <c r="AH152" s="1"/>
  <c r="AD154"/>
  <c r="AE154" s="1"/>
  <c r="AF154" s="1"/>
  <c r="AG154" s="1"/>
  <c r="AH154" s="1"/>
  <c r="AD159"/>
  <c r="AE159" s="1"/>
  <c r="AF159" s="1"/>
  <c r="AG159" s="1"/>
  <c r="AH159" s="1"/>
  <c r="AD162"/>
  <c r="AE162" s="1"/>
  <c r="AF162" s="1"/>
  <c r="AG162" s="1"/>
  <c r="AH162" s="1"/>
  <c r="AD165"/>
  <c r="AE165" s="1"/>
  <c r="AF165" s="1"/>
  <c r="AG165" s="1"/>
  <c r="AH165" s="1"/>
  <c r="AD168"/>
  <c r="AE168" s="1"/>
  <c r="AF168" s="1"/>
  <c r="AG168" s="1"/>
  <c r="AH168" s="1"/>
  <c r="AD170"/>
  <c r="AE170" s="1"/>
  <c r="AF170" s="1"/>
  <c r="AG170" s="1"/>
  <c r="AH170" s="1"/>
  <c r="AD172"/>
  <c r="AE172" s="1"/>
  <c r="AF172" s="1"/>
  <c r="AG172" s="1"/>
  <c r="AH172" s="1"/>
  <c r="AD174"/>
  <c r="AE174" s="1"/>
  <c r="AF174" s="1"/>
  <c r="AG174" s="1"/>
  <c r="AH174" s="1"/>
  <c r="AD177"/>
  <c r="AE177" s="1"/>
  <c r="AF177" s="1"/>
  <c r="AG177" s="1"/>
  <c r="AH177" s="1"/>
  <c r="AD179"/>
  <c r="AE179" s="1"/>
  <c r="AF179" s="1"/>
  <c r="AG179" s="1"/>
  <c r="AH179" s="1"/>
  <c r="AD156"/>
  <c r="AE156" s="1"/>
  <c r="AF156" s="1"/>
  <c r="AG156" s="1"/>
  <c r="AH156" s="1"/>
  <c r="AD161"/>
  <c r="AE161" s="1"/>
  <c r="AF161" s="1"/>
  <c r="AG161" s="1"/>
  <c r="AH161" s="1"/>
  <c r="AD153"/>
  <c r="AE153" s="1"/>
  <c r="AF153" s="1"/>
  <c r="AG153" s="1"/>
  <c r="AH153" s="1"/>
  <c r="AD155"/>
  <c r="AE155" s="1"/>
  <c r="AF155" s="1"/>
  <c r="AG155" s="1"/>
  <c r="AH155" s="1"/>
  <c r="AD160"/>
  <c r="AE160" s="1"/>
  <c r="AF160" s="1"/>
  <c r="AG160" s="1"/>
  <c r="AH160" s="1"/>
  <c r="AD163"/>
  <c r="AE163" s="1"/>
  <c r="AF163" s="1"/>
  <c r="AG163" s="1"/>
  <c r="AH163" s="1"/>
  <c r="AD166"/>
  <c r="AE166" s="1"/>
  <c r="AF166" s="1"/>
  <c r="AG166" s="1"/>
  <c r="AH166" s="1"/>
  <c r="AD169"/>
  <c r="AE169" s="1"/>
  <c r="AF169" s="1"/>
  <c r="AG169" s="1"/>
  <c r="AH169" s="1"/>
  <c r="AD171"/>
  <c r="AE171" s="1"/>
  <c r="AF171" s="1"/>
  <c r="AG171" s="1"/>
  <c r="AH171" s="1"/>
  <c r="AD173"/>
  <c r="AE173" s="1"/>
  <c r="AF173" s="1"/>
  <c r="AG173" s="1"/>
  <c r="AH173" s="1"/>
  <c r="AD175"/>
  <c r="AE175" s="1"/>
  <c r="AF175" s="1"/>
  <c r="AG175" s="1"/>
  <c r="AH175" s="1"/>
  <c r="AD178"/>
  <c r="AE178" s="1"/>
  <c r="AF178" s="1"/>
  <c r="AG178" s="1"/>
  <c r="AH178" s="1"/>
  <c r="AD180"/>
  <c r="AE180" s="1"/>
  <c r="AF180" s="1"/>
  <c r="AG180" s="1"/>
  <c r="AH180" s="1"/>
  <c r="AD158"/>
  <c r="AE158" s="1"/>
  <c r="AF158" s="1"/>
  <c r="AG158" s="1"/>
  <c r="AH158" s="1"/>
  <c r="AD167"/>
  <c r="AE167" s="1"/>
  <c r="AF167" s="1"/>
  <c r="AG167" s="1"/>
  <c r="AH167" s="1"/>
  <c r="AD157"/>
  <c r="AE157" s="1"/>
  <c r="AF157" s="1"/>
  <c r="AG157" s="1"/>
  <c r="AH157" s="1"/>
  <c r="AD164"/>
  <c r="AE164" s="1"/>
  <c r="AF164" s="1"/>
  <c r="AG164" s="1"/>
  <c r="AH164" s="1"/>
  <c r="AD176"/>
  <c r="AE176" s="1"/>
  <c r="AF176" s="1"/>
  <c r="AG176" s="1"/>
  <c r="AH176" s="1"/>
  <c r="Q97" i="8"/>
  <c r="Q101"/>
  <c r="Q98"/>
  <c r="Q99"/>
  <c r="Q96"/>
  <c r="Q100"/>
  <c r="E52" i="13"/>
  <c r="F52" s="1"/>
  <c r="C21" i="12"/>
  <c r="H51" i="13"/>
  <c r="C51"/>
  <c r="B51" s="1"/>
  <c r="J52" i="2"/>
  <c r="G52"/>
  <c r="E52"/>
  <c r="B53"/>
  <c r="E53" i="13" s="1"/>
  <c r="F53" s="1"/>
  <c r="C52" i="8"/>
  <c r="Q102" s="1"/>
  <c r="D52" i="1"/>
  <c r="B52" s="1"/>
  <c r="C51" i="2" l="1"/>
  <c r="K52"/>
  <c r="AN54"/>
  <c r="AP54" s="1"/>
  <c r="AR54" s="1"/>
  <c r="H52"/>
  <c r="H52" i="13"/>
  <c r="C52"/>
  <c r="B52" s="1"/>
  <c r="H53"/>
  <c r="C53"/>
  <c r="B53" s="1"/>
  <c r="J53" i="2"/>
  <c r="G53"/>
  <c r="E53"/>
  <c r="B54"/>
  <c r="C53" i="8"/>
  <c r="D53" i="1"/>
  <c r="B53" s="1"/>
  <c r="C52" i="2" l="1"/>
  <c r="K53"/>
  <c r="AN55"/>
  <c r="AP55" s="1"/>
  <c r="AR55" s="1"/>
  <c r="H53"/>
  <c r="Q105" i="8"/>
  <c r="Q106"/>
  <c r="Q103"/>
  <c r="Q107"/>
  <c r="Q104"/>
  <c r="E54" i="13"/>
  <c r="F54" s="1"/>
  <c r="C22" i="12"/>
  <c r="G54" i="2"/>
  <c r="J54"/>
  <c r="E54"/>
  <c r="B55"/>
  <c r="E55" i="13" s="1"/>
  <c r="F55" s="1"/>
  <c r="C54" i="8"/>
  <c r="Q108" s="1"/>
  <c r="D54" i="1"/>
  <c r="B54" s="1"/>
  <c r="K54" i="2" l="1"/>
  <c r="AN56"/>
  <c r="AP56" s="1"/>
  <c r="AR56" s="1"/>
  <c r="AN57"/>
  <c r="AP57" s="1"/>
  <c r="AR57" s="1"/>
  <c r="C53"/>
  <c r="H54"/>
  <c r="H55" i="13"/>
  <c r="J55" s="1"/>
  <c r="J56" s="1"/>
  <c r="H54"/>
  <c r="C54"/>
  <c r="B54" s="1"/>
  <c r="J55" i="2"/>
  <c r="K55" s="1"/>
  <c r="G55"/>
  <c r="E55"/>
  <c r="B56"/>
  <c r="C55" i="8"/>
  <c r="D55" i="1"/>
  <c r="B55" s="1"/>
  <c r="C54" i="2" l="1"/>
  <c r="H55"/>
  <c r="C55" s="1"/>
  <c r="E56" i="13"/>
  <c r="F56" s="1"/>
  <c r="C23" i="12"/>
  <c r="C55" i="13"/>
  <c r="B55" s="1"/>
  <c r="Q109" i="8"/>
  <c r="Q113"/>
  <c r="Q110"/>
  <c r="Q111"/>
  <c r="Q112"/>
  <c r="J57" i="13"/>
  <c r="J58" s="1"/>
  <c r="J59" s="1"/>
  <c r="J60" s="1"/>
  <c r="O28" s="1"/>
  <c r="O26"/>
  <c r="J56" i="2"/>
  <c r="G56"/>
  <c r="E56"/>
  <c r="B57"/>
  <c r="E57" i="13" s="1"/>
  <c r="F57" s="1"/>
  <c r="C56" i="8"/>
  <c r="Q114" s="1"/>
  <c r="D56" i="1"/>
  <c r="B56" s="1"/>
  <c r="K56" i="2" l="1"/>
  <c r="AN62"/>
  <c r="AP62" s="1"/>
  <c r="AR62" s="1"/>
  <c r="AN61"/>
  <c r="AP61" s="1"/>
  <c r="AR61" s="1"/>
  <c r="AN60"/>
  <c r="AP60" s="1"/>
  <c r="AR60" s="1"/>
  <c r="AN63"/>
  <c r="AP63" s="1"/>
  <c r="AR63" s="1"/>
  <c r="AN59"/>
  <c r="AP59" s="1"/>
  <c r="AR59" s="1"/>
  <c r="AN65"/>
  <c r="AP65" s="1"/>
  <c r="AR65" s="1"/>
  <c r="AN58"/>
  <c r="AP58" s="1"/>
  <c r="AR58" s="1"/>
  <c r="AN66"/>
  <c r="AP66" s="1"/>
  <c r="AR66" s="1"/>
  <c r="AN64"/>
  <c r="AP64" s="1"/>
  <c r="AR64" s="1"/>
  <c r="H56"/>
  <c r="H57" i="13"/>
  <c r="C57"/>
  <c r="B57" s="1"/>
  <c r="H56"/>
  <c r="C56"/>
  <c r="B56" s="1"/>
  <c r="J57" i="2"/>
  <c r="K57" s="1"/>
  <c r="G57"/>
  <c r="E57"/>
  <c r="B58"/>
  <c r="C57" i="8"/>
  <c r="Q115" s="1"/>
  <c r="D57" i="1"/>
  <c r="B57" s="1"/>
  <c r="C56" i="2" l="1"/>
  <c r="H57"/>
  <c r="C57" s="1"/>
  <c r="E58" i="13"/>
  <c r="F58" s="1"/>
  <c r="C24" i="12"/>
  <c r="G58" i="2"/>
  <c r="J58"/>
  <c r="K58" s="1"/>
  <c r="E58"/>
  <c r="B59"/>
  <c r="E59" i="13" s="1"/>
  <c r="F59" s="1"/>
  <c r="C58" i="8"/>
  <c r="Q116" s="1"/>
  <c r="D58" i="1"/>
  <c r="B58" s="1"/>
  <c r="H58" i="2" l="1"/>
  <c r="C58" s="1"/>
  <c r="H59" i="13"/>
  <c r="C59"/>
  <c r="B59" s="1"/>
  <c r="H58"/>
  <c r="C58"/>
  <c r="B58" s="1"/>
  <c r="J59" i="2"/>
  <c r="K59" s="1"/>
  <c r="G59"/>
  <c r="E59"/>
  <c r="B60"/>
  <c r="C59" i="8"/>
  <c r="Q117" s="1"/>
  <c r="D59" i="1"/>
  <c r="B59" s="1"/>
  <c r="H59" i="2" l="1"/>
  <c r="C59" s="1"/>
  <c r="E60" i="13"/>
  <c r="F60" s="1"/>
  <c r="C25" i="12"/>
  <c r="J60" i="2"/>
  <c r="K60" s="1"/>
  <c r="G60"/>
  <c r="E60"/>
  <c r="B61"/>
  <c r="C60" i="8"/>
  <c r="D60" i="1"/>
  <c r="B60" s="1"/>
  <c r="H60" i="2" l="1"/>
  <c r="C60" s="1"/>
  <c r="V34"/>
  <c r="E61" i="13"/>
  <c r="F61" s="1"/>
  <c r="C60"/>
  <c r="B60" s="1"/>
  <c r="H60"/>
  <c r="J61" i="2"/>
  <c r="K61" s="1"/>
  <c r="G61"/>
  <c r="E61"/>
  <c r="B62"/>
  <c r="E62" i="13" s="1"/>
  <c r="F62" s="1"/>
  <c r="C61" i="8"/>
  <c r="Q118" s="1"/>
  <c r="D61" i="1"/>
  <c r="B61" s="1"/>
  <c r="H61" i="2" l="1"/>
  <c r="C61" s="1"/>
  <c r="H62" i="13"/>
  <c r="H61"/>
  <c r="J61" s="1"/>
  <c r="J62" s="1"/>
  <c r="J63" s="1"/>
  <c r="J64" s="1"/>
  <c r="J65" s="1"/>
  <c r="J66" s="1"/>
  <c r="G62" i="2"/>
  <c r="J62"/>
  <c r="K62" s="1"/>
  <c r="E62"/>
  <c r="B63"/>
  <c r="E63" i="13" s="1"/>
  <c r="F63" s="1"/>
  <c r="C62" i="8"/>
  <c r="D62" i="1"/>
  <c r="B62" s="1"/>
  <c r="H62" i="2" l="1"/>
  <c r="C62" s="1"/>
  <c r="H63" i="13"/>
  <c r="C63"/>
  <c r="B63" s="1"/>
  <c r="C61"/>
  <c r="B61" s="1"/>
  <c r="O29"/>
  <c r="O27"/>
  <c r="C62"/>
  <c r="B62" s="1"/>
  <c r="J63" i="2"/>
  <c r="K63" s="1"/>
  <c r="G63"/>
  <c r="E63"/>
  <c r="B64"/>
  <c r="E64" i="13" s="1"/>
  <c r="F64" s="1"/>
  <c r="C63" i="8"/>
  <c r="D63" i="1"/>
  <c r="B63" s="1"/>
  <c r="H63" i="2" l="1"/>
  <c r="C63" s="1"/>
  <c r="H64" i="13"/>
  <c r="C64"/>
  <c r="B64" s="1"/>
  <c r="J64" i="2"/>
  <c r="K64" s="1"/>
  <c r="G64"/>
  <c r="E64"/>
  <c r="B65"/>
  <c r="E65" i="13" s="1"/>
  <c r="F65" s="1"/>
  <c r="C64" i="8"/>
  <c r="D64" i="1"/>
  <c r="B64" s="1"/>
  <c r="H64" i="2" l="1"/>
  <c r="C64" s="1"/>
  <c r="H65" i="13"/>
  <c r="C65"/>
  <c r="B65" s="1"/>
  <c r="J65" i="2"/>
  <c r="K65" s="1"/>
  <c r="G65"/>
  <c r="E65"/>
  <c r="B66"/>
  <c r="C65" i="8"/>
  <c r="D65" i="1"/>
  <c r="B65" s="1"/>
  <c r="H65" i="2" l="1"/>
  <c r="C65" s="1"/>
  <c r="V35"/>
  <c r="E66" i="13"/>
  <c r="F66" s="1"/>
  <c r="C26" i="12"/>
  <c r="G66" i="2"/>
  <c r="J66"/>
  <c r="K66" s="1"/>
  <c r="E66"/>
  <c r="C66" i="8"/>
  <c r="D66" i="1"/>
  <c r="B66" s="1"/>
  <c r="H66" i="2" l="1"/>
  <c r="C66" s="1"/>
  <c r="H66" i="13"/>
  <c r="C66"/>
  <c r="B66" s="1"/>
</calcChain>
</file>

<file path=xl/sharedStrings.xml><?xml version="1.0" encoding="utf-8"?>
<sst xmlns="http://schemas.openxmlformats.org/spreadsheetml/2006/main" count="2720" uniqueCount="1008">
  <si>
    <t>等级</t>
    <phoneticPr fontId="5" type="noConversion"/>
  </si>
  <si>
    <t>单怪金币</t>
    <phoneticPr fontId="5" type="noConversion"/>
  </si>
  <si>
    <t>怪物数量</t>
    <phoneticPr fontId="5" type="noConversion"/>
  </si>
  <si>
    <t>杀怪金币</t>
    <phoneticPr fontId="5" type="noConversion"/>
  </si>
  <si>
    <t>猎杀狼崽</t>
    <phoneticPr fontId="5" type="noConversion"/>
  </si>
  <si>
    <t>寻找勇士</t>
    <phoneticPr fontId="5" type="noConversion"/>
  </si>
  <si>
    <t>通缉：狼王</t>
    <phoneticPr fontId="5" type="noConversion"/>
  </si>
  <si>
    <t>寻找走失的矿工</t>
    <phoneticPr fontId="5" type="noConversion"/>
  </si>
  <si>
    <t>采集矿石</t>
    <phoneticPr fontId="5" type="noConversion"/>
  </si>
  <si>
    <t>通缉：尸王</t>
    <phoneticPr fontId="5" type="noConversion"/>
  </si>
  <si>
    <t>任务名称</t>
    <phoneticPr fontId="5" type="noConversion"/>
  </si>
  <si>
    <t>任务目标</t>
    <phoneticPr fontId="5" type="noConversion"/>
  </si>
  <si>
    <t>寻找NPC</t>
    <phoneticPr fontId="5" type="noConversion"/>
  </si>
  <si>
    <t>杀死5只狼，获得3张狼皮</t>
    <phoneticPr fontId="5" type="noConversion"/>
  </si>
  <si>
    <t>击杀最终BOSS狼王,消灭狼前锋3只</t>
    <phoneticPr fontId="5" type="noConversion"/>
  </si>
  <si>
    <t>采集5块矿石</t>
    <phoneticPr fontId="5" type="noConversion"/>
  </si>
  <si>
    <t>市政厅</t>
    <phoneticPr fontId="5" type="noConversion"/>
  </si>
  <si>
    <t>建筑名称</t>
    <phoneticPr fontId="5" type="noConversion"/>
  </si>
  <si>
    <t>产出资源</t>
    <phoneticPr fontId="5" type="noConversion"/>
  </si>
  <si>
    <t>升级消耗1</t>
    <phoneticPr fontId="5" type="noConversion"/>
  </si>
  <si>
    <t>升级消耗2</t>
    <phoneticPr fontId="5" type="noConversion"/>
  </si>
  <si>
    <t>升级消耗3</t>
    <phoneticPr fontId="5" type="noConversion"/>
  </si>
  <si>
    <t>市政大厅</t>
  </si>
  <si>
    <t>资金</t>
    <phoneticPr fontId="5" type="noConversion"/>
  </si>
  <si>
    <t>粮食/石头</t>
    <phoneticPr fontId="5" type="noConversion"/>
  </si>
  <si>
    <t>木材/钢铁</t>
    <phoneticPr fontId="5" type="noConversion"/>
  </si>
  <si>
    <t>民居</t>
  </si>
  <si>
    <t>粮食</t>
    <phoneticPr fontId="5" type="noConversion"/>
  </si>
  <si>
    <t>木材</t>
    <phoneticPr fontId="5" type="noConversion"/>
  </si>
  <si>
    <t>农田</t>
    <phoneticPr fontId="5" type="noConversion"/>
  </si>
  <si>
    <t>石头</t>
    <phoneticPr fontId="5" type="noConversion"/>
  </si>
  <si>
    <t>钢铁</t>
    <phoneticPr fontId="5" type="noConversion"/>
  </si>
  <si>
    <t>伐木场</t>
    <phoneticPr fontId="5" type="noConversion"/>
  </si>
  <si>
    <t>采石场</t>
    <phoneticPr fontId="5" type="noConversion"/>
  </si>
  <si>
    <t>冶炼厂</t>
    <phoneticPr fontId="5" type="noConversion"/>
  </si>
  <si>
    <t>学院</t>
    <phoneticPr fontId="5" type="noConversion"/>
  </si>
  <si>
    <t>主角经验</t>
    <phoneticPr fontId="5" type="noConversion"/>
  </si>
  <si>
    <t>建筑等级</t>
    <phoneticPr fontId="5" type="noConversion"/>
  </si>
  <si>
    <t>钢铁</t>
    <phoneticPr fontId="5" type="noConversion"/>
  </si>
  <si>
    <t>资金</t>
    <phoneticPr fontId="5" type="noConversion"/>
  </si>
  <si>
    <t>粮食</t>
    <phoneticPr fontId="5" type="noConversion"/>
  </si>
  <si>
    <t>木材</t>
    <phoneticPr fontId="5" type="noConversion"/>
  </si>
  <si>
    <t>石头</t>
    <phoneticPr fontId="5" type="noConversion"/>
  </si>
  <si>
    <t>增长系数</t>
    <phoneticPr fontId="5" type="noConversion"/>
  </si>
  <si>
    <t>10秒收益</t>
    <phoneticPr fontId="5" type="noConversion"/>
  </si>
  <si>
    <t>升级天数</t>
    <phoneticPr fontId="5" type="noConversion"/>
  </si>
  <si>
    <t>升级(小时)</t>
    <phoneticPr fontId="5" type="noConversion"/>
  </si>
  <si>
    <t>要塞升级</t>
    <phoneticPr fontId="5" type="noConversion"/>
  </si>
  <si>
    <t>农场升级</t>
    <phoneticPr fontId="5" type="noConversion"/>
  </si>
  <si>
    <t>领地升级</t>
    <phoneticPr fontId="5" type="noConversion"/>
  </si>
  <si>
    <t>等级</t>
    <phoneticPr fontId="5" type="noConversion"/>
  </si>
  <si>
    <t>匹配值</t>
    <phoneticPr fontId="5" type="noConversion"/>
  </si>
  <si>
    <t>建筑名称</t>
    <phoneticPr fontId="5" type="noConversion"/>
  </si>
  <si>
    <t>商店升级</t>
    <phoneticPr fontId="5" type="noConversion"/>
  </si>
  <si>
    <t>匹配份额</t>
    <phoneticPr fontId="5" type="noConversion"/>
  </si>
  <si>
    <t>其他建筑等级限制</t>
    <phoneticPr fontId="5" type="noConversion"/>
  </si>
  <si>
    <t>要塞士兵上限</t>
    <phoneticPr fontId="5" type="noConversion"/>
  </si>
  <si>
    <t>农民产出/小时</t>
    <phoneticPr fontId="5" type="noConversion"/>
  </si>
  <si>
    <t>领地农民(单个)</t>
    <phoneticPr fontId="5" type="noConversion"/>
  </si>
  <si>
    <t>产出为6的倍数,因为每10秒弹一次资源获取</t>
    <phoneticPr fontId="5" type="noConversion"/>
  </si>
  <si>
    <t>建筑升级资源占比</t>
    <phoneticPr fontId="5" type="noConversion"/>
  </si>
  <si>
    <t>商店可以做生意</t>
    <phoneticPr fontId="5" type="noConversion"/>
  </si>
  <si>
    <t>资金</t>
    <phoneticPr fontId="5" type="noConversion"/>
  </si>
  <si>
    <t>农场系数</t>
    <phoneticPr fontId="5" type="noConversion"/>
  </si>
  <si>
    <t>农场每小时的收益和市政厅一致</t>
    <phoneticPr fontId="5" type="noConversion"/>
  </si>
  <si>
    <t>野外拾取</t>
    <phoneticPr fontId="5" type="noConversion"/>
  </si>
  <si>
    <t>升级时间</t>
    <phoneticPr fontId="5" type="noConversion"/>
  </si>
  <si>
    <t>玩家等级</t>
    <phoneticPr fontId="5" type="noConversion"/>
  </si>
  <si>
    <t>匹配等级</t>
    <phoneticPr fontId="5" type="noConversion"/>
  </si>
  <si>
    <t>建筑等级</t>
    <phoneticPr fontId="5" type="noConversion"/>
  </si>
  <si>
    <t>要塞</t>
    <phoneticPr fontId="5" type="noConversion"/>
  </si>
  <si>
    <t>农场</t>
    <phoneticPr fontId="5" type="noConversion"/>
  </si>
  <si>
    <t>配置资源类型</t>
    <phoneticPr fontId="5" type="noConversion"/>
  </si>
  <si>
    <t>配置资源量</t>
    <phoneticPr fontId="5" type="noConversion"/>
  </si>
  <si>
    <t>等级</t>
    <phoneticPr fontId="5" type="noConversion"/>
  </si>
  <si>
    <t>每级农民产出/小时</t>
    <phoneticPr fontId="5" type="noConversion"/>
  </si>
  <si>
    <t>农民上限</t>
    <phoneticPr fontId="5" type="noConversion"/>
  </si>
  <si>
    <t>上限系数</t>
    <phoneticPr fontId="5" type="noConversion"/>
  </si>
  <si>
    <t>要塞士兵上限</t>
    <phoneticPr fontId="5" type="noConversion"/>
  </si>
  <si>
    <t>要塞损失系数</t>
    <phoneticPr fontId="5" type="noConversion"/>
  </si>
  <si>
    <t>要塞触发事件</t>
    <phoneticPr fontId="5" type="noConversion"/>
  </si>
  <si>
    <t>要塞防守的产出是领地产出的3倍,要塞是随机产出1-3种，领地是单独产出</t>
    <phoneticPr fontId="5" type="noConversion"/>
  </si>
  <si>
    <t>农民只能在线产出,每隔一个小时 弹出一个指定的界面 告诉他有多少农民应召了</t>
    <phoneticPr fontId="5" type="noConversion"/>
  </si>
  <si>
    <t>农场产出</t>
    <phoneticPr fontId="5" type="noConversion"/>
  </si>
  <si>
    <t>农场产出为平时1小时的单个资源的收益</t>
    <phoneticPr fontId="5" type="noConversion"/>
  </si>
  <si>
    <t>防守收益判定</t>
    <phoneticPr fontId="5" type="noConversion"/>
  </si>
  <si>
    <t>赢</t>
    <phoneticPr fontId="5" type="noConversion"/>
  </si>
  <si>
    <t>随机3种资源</t>
    <phoneticPr fontId="5" type="noConversion"/>
  </si>
  <si>
    <t>1种</t>
    <phoneticPr fontId="5" type="noConversion"/>
  </si>
  <si>
    <t>2种</t>
    <phoneticPr fontId="5" type="noConversion"/>
  </si>
  <si>
    <t>3种</t>
    <phoneticPr fontId="5" type="noConversion"/>
  </si>
  <si>
    <t>对应每小时的产出系数</t>
    <phoneticPr fontId="5" type="noConversion"/>
  </si>
  <si>
    <t>要塞防守为自动进行,在关卡时也可以进行</t>
    <phoneticPr fontId="5" type="noConversion"/>
  </si>
  <si>
    <t>出现概率</t>
    <phoneticPr fontId="5" type="noConversion"/>
  </si>
  <si>
    <t>输</t>
    <phoneticPr fontId="5" type="noConversion"/>
  </si>
  <si>
    <t>随机掠夺一种资源</t>
    <phoneticPr fontId="5" type="noConversion"/>
  </si>
  <si>
    <t>当前额度10%</t>
    <phoneticPr fontId="5" type="noConversion"/>
  </si>
  <si>
    <t>最大值为1小时建筑产出</t>
    <phoneticPr fontId="5" type="noConversion"/>
  </si>
  <si>
    <t>玩家从关卡退出后，会弹出一个面板，告诉玩家经历了几次防守，累计收益的情况（输赢算在一次收益面板）</t>
    <phoneticPr fontId="5" type="noConversion"/>
  </si>
  <si>
    <t>击杀5只蝙蝠</t>
    <phoneticPr fontId="5" type="noConversion"/>
  </si>
  <si>
    <t>击杀僵尸队长</t>
    <phoneticPr fontId="5" type="noConversion"/>
  </si>
  <si>
    <t>唯一道具</t>
    <phoneticPr fontId="5" type="noConversion"/>
  </si>
  <si>
    <t>击杀任意怪物获得5个水晶</t>
    <phoneticPr fontId="5" type="noConversion"/>
  </si>
  <si>
    <t>找到僵尸队长埋藏的证据</t>
    <phoneticPr fontId="5" type="noConversion"/>
  </si>
  <si>
    <t>交给你任务之前你必须告诉我你是否会吞并此宝藏</t>
    <phoneticPr fontId="5" type="noConversion"/>
  </si>
  <si>
    <t>找到冒险先锋者</t>
    <phoneticPr fontId="5" type="noConversion"/>
  </si>
  <si>
    <t>进入第二层找到冒险先锋者</t>
    <phoneticPr fontId="5" type="noConversion"/>
  </si>
  <si>
    <t>获得冒险先锋者的证明*5</t>
    <phoneticPr fontId="5" type="noConversion"/>
  </si>
  <si>
    <t>找到村长的女儿询问为什么来到这里</t>
    <phoneticPr fontId="5" type="noConversion"/>
  </si>
  <si>
    <t>前往绿野郊外找到</t>
    <phoneticPr fontId="5" type="noConversion"/>
  </si>
  <si>
    <t>寻找他的队员</t>
    <phoneticPr fontId="5" type="noConversion"/>
  </si>
  <si>
    <t>矿工工服</t>
    <phoneticPr fontId="5" type="noConversion"/>
  </si>
  <si>
    <t>击杀尸王</t>
    <phoneticPr fontId="5" type="noConversion"/>
  </si>
  <si>
    <t>10030108</t>
  </si>
  <si>
    <t>10030111</t>
  </si>
  <si>
    <t>10030112</t>
  </si>
  <si>
    <t>10030113</t>
  </si>
  <si>
    <t>10030114</t>
  </si>
  <si>
    <t>头布</t>
  </si>
  <si>
    <t>铁盔</t>
  </si>
  <si>
    <t>小手套</t>
  </si>
  <si>
    <t>粗手套</t>
  </si>
  <si>
    <t>铁手套</t>
  </si>
  <si>
    <t>布带</t>
  </si>
  <si>
    <t>钢腰带</t>
  </si>
  <si>
    <t>小布鞋</t>
  </si>
  <si>
    <t>麻布裤</t>
  </si>
  <si>
    <t>银项链</t>
  </si>
  <si>
    <t>古铜戒指</t>
  </si>
  <si>
    <t>木剑</t>
  </si>
  <si>
    <t>匕首</t>
  </si>
  <si>
    <t>布衣</t>
  </si>
  <si>
    <t>青铜头盔</t>
  </si>
  <si>
    <t>玄铁头盔</t>
  </si>
  <si>
    <t>骷髅头盔</t>
  </si>
  <si>
    <t>纯银手套</t>
  </si>
  <si>
    <t>魔力手套</t>
  </si>
  <si>
    <t>纯金手套</t>
  </si>
  <si>
    <t>白纹手套</t>
  </si>
  <si>
    <t>布纹腰带</t>
  </si>
  <si>
    <t>骷髅腰带</t>
  </si>
  <si>
    <t>布纹布靴</t>
  </si>
  <si>
    <t>布纹长裤</t>
  </si>
  <si>
    <t>纯银项链</t>
  </si>
  <si>
    <t>白骨项链</t>
  </si>
  <si>
    <t>红宝石项链</t>
  </si>
  <si>
    <t>魅力戒指</t>
  </si>
  <si>
    <t>红宝石</t>
  </si>
  <si>
    <t>神兵护符</t>
  </si>
  <si>
    <t>短刀</t>
  </si>
  <si>
    <t>玄铁刀</t>
  </si>
  <si>
    <t>凌风剑</t>
  </si>
  <si>
    <t>轻型盔甲</t>
  </si>
  <si>
    <t>凌风盔甲</t>
  </si>
  <si>
    <t>1-10级</t>
    <phoneticPr fontId="5" type="noConversion"/>
  </si>
  <si>
    <t>材料名称</t>
    <phoneticPr fontId="5" type="noConversion"/>
  </si>
  <si>
    <t>掉落说明</t>
    <phoneticPr fontId="5" type="noConversion"/>
  </si>
  <si>
    <t>狼王之牙</t>
    <phoneticPr fontId="5" type="noConversion"/>
  </si>
  <si>
    <t>骷髅王的头颅</t>
    <phoneticPr fontId="5" type="noConversion"/>
  </si>
  <si>
    <t>狼皮</t>
    <phoneticPr fontId="5" type="noConversion"/>
  </si>
  <si>
    <t>矿石</t>
    <phoneticPr fontId="5" type="noConversion"/>
  </si>
  <si>
    <t>感染的布料</t>
    <phoneticPr fontId="5" type="noConversion"/>
  </si>
  <si>
    <t>水晶</t>
    <phoneticPr fontId="5" type="noConversion"/>
  </si>
  <si>
    <t>蜘蛛丝</t>
    <phoneticPr fontId="5" type="noConversion"/>
  </si>
  <si>
    <t>阴木</t>
    <phoneticPr fontId="5" type="noConversion"/>
  </si>
  <si>
    <t>狼王的项链</t>
  </si>
  <si>
    <t>狼王的项链</t>
    <phoneticPr fontId="5" type="noConversion"/>
  </si>
  <si>
    <t>制作装备</t>
    <phoneticPr fontId="5" type="noConversion"/>
  </si>
  <si>
    <t>需求材料</t>
    <phoneticPr fontId="5" type="noConversion"/>
  </si>
  <si>
    <t>僵尸护符</t>
    <phoneticPr fontId="5" type="noConversion"/>
  </si>
  <si>
    <t>骷髅王的桂冠</t>
    <phoneticPr fontId="5" type="noConversion"/>
  </si>
  <si>
    <t>蜘蛛护腿</t>
    <phoneticPr fontId="5" type="noConversion"/>
  </si>
  <si>
    <t>售价</t>
    <phoneticPr fontId="5" type="noConversion"/>
  </si>
  <si>
    <t>蜘蛛护胸</t>
    <phoneticPr fontId="5" type="noConversion"/>
  </si>
  <si>
    <t>防腐毒液</t>
    <phoneticPr fontId="5" type="noConversion"/>
  </si>
  <si>
    <t>通用材料</t>
    <phoneticPr fontId="5" type="noConversion"/>
  </si>
  <si>
    <t>精钢铁块</t>
    <phoneticPr fontId="5" type="noConversion"/>
  </si>
  <si>
    <t>毛皮卷</t>
    <phoneticPr fontId="5" type="noConversion"/>
  </si>
  <si>
    <t>绿叶郊外和绿叶森林中的红玉蜘蛛掉落.</t>
    <phoneticPr fontId="5" type="noConversion"/>
  </si>
  <si>
    <t>绿叶郊外和绿叶森林中的森林死尸掉落.</t>
    <phoneticPr fontId="5" type="noConversion"/>
  </si>
  <si>
    <t>古墓手套</t>
    <phoneticPr fontId="5" type="noConversion"/>
  </si>
  <si>
    <t>古墓腰带</t>
    <phoneticPr fontId="5" type="noConversion"/>
  </si>
  <si>
    <t>古墓鞋子</t>
    <phoneticPr fontId="5" type="noConversion"/>
  </si>
  <si>
    <t>古墓灵石</t>
    <phoneticPr fontId="5" type="noConversion"/>
  </si>
  <si>
    <t>黑暗之剑</t>
    <phoneticPr fontId="5" type="noConversion"/>
  </si>
  <si>
    <t>黑暗之心</t>
    <phoneticPr fontId="5" type="noConversion"/>
  </si>
  <si>
    <t>绿叶小镇的杂货店内出售.</t>
    <phoneticPr fontId="5" type="noConversion"/>
  </si>
  <si>
    <t>矿洞二层采集掉落.</t>
    <phoneticPr fontId="5" type="noConversion"/>
  </si>
  <si>
    <t>矿洞一层采集掉落,矿洞怪物矿鼠掉落.</t>
    <phoneticPr fontId="5" type="noConversion"/>
  </si>
  <si>
    <t>绿叶小镇郊外的狼型怪物掉落.</t>
    <phoneticPr fontId="5" type="noConversion"/>
  </si>
  <si>
    <t>矿洞内的怪物掉落.</t>
    <phoneticPr fontId="5" type="noConversion"/>
  </si>
  <si>
    <t>矿洞二层骷髅王BOSS掉落.</t>
    <phoneticPr fontId="5" type="noConversion"/>
  </si>
  <si>
    <t>绿叶小镇郊外狼王BOSS掉落.</t>
    <phoneticPr fontId="5" type="noConversion"/>
  </si>
  <si>
    <t>古墓内的怪物掉落.</t>
    <phoneticPr fontId="5" type="noConversion"/>
  </si>
  <si>
    <t>死亡洞穴血色骷髅王BOSS掉落.</t>
    <phoneticPr fontId="5" type="noConversion"/>
  </si>
  <si>
    <t>蝙蝠血液</t>
    <phoneticPr fontId="5" type="noConversion"/>
  </si>
  <si>
    <t>矿洞内的蝙蝠掉落.</t>
    <phoneticPr fontId="5" type="noConversion"/>
  </si>
  <si>
    <t>解毒草</t>
    <phoneticPr fontId="5" type="noConversion"/>
  </si>
  <si>
    <t>金币系数</t>
    <phoneticPr fontId="5" type="noConversion"/>
  </si>
  <si>
    <t>经验箱子来源</t>
    <phoneticPr fontId="5" type="noConversion"/>
  </si>
  <si>
    <t>小怪掉落</t>
    <phoneticPr fontId="5" type="noConversion"/>
  </si>
  <si>
    <t>地图一次性拾取</t>
    <phoneticPr fontId="5" type="noConversion"/>
  </si>
  <si>
    <t>金币箱子来源</t>
    <phoneticPr fontId="5" type="noConversion"/>
  </si>
  <si>
    <t>村民的信(购买、兑换)</t>
    <phoneticPr fontId="5" type="noConversion"/>
  </si>
  <si>
    <t>村民的信(兑换)</t>
    <phoneticPr fontId="5" type="noConversion"/>
  </si>
  <si>
    <t>金币箱子系数</t>
    <phoneticPr fontId="5" type="noConversion"/>
  </si>
  <si>
    <t>金币箱子值</t>
    <phoneticPr fontId="5" type="noConversion"/>
  </si>
  <si>
    <t>当前等级获得金币</t>
    <phoneticPr fontId="5" type="noConversion"/>
  </si>
  <si>
    <t>单怪装备掉落大概率：</t>
    <phoneticPr fontId="5" type="noConversion"/>
  </si>
  <si>
    <t>单只怪物掉落装备金币</t>
    <phoneticPr fontId="5" type="noConversion"/>
  </si>
  <si>
    <t>单怪掉落材料概率:</t>
    <phoneticPr fontId="5" type="noConversion"/>
  </si>
  <si>
    <t>怪物掉落系数</t>
    <phoneticPr fontId="5" type="noConversion"/>
  </si>
  <si>
    <t>单怪材料售价</t>
    <phoneticPr fontId="5" type="noConversion"/>
  </si>
  <si>
    <t>材料售价系数</t>
    <phoneticPr fontId="5" type="noConversion"/>
  </si>
  <si>
    <t>材料售价</t>
    <phoneticPr fontId="5" type="noConversion"/>
  </si>
  <si>
    <t>装备售价基础值</t>
    <phoneticPr fontId="5" type="noConversion"/>
  </si>
  <si>
    <t>装备售价品质系数</t>
    <phoneticPr fontId="5" type="noConversion"/>
  </si>
  <si>
    <t>装备列表</t>
    <phoneticPr fontId="5" type="noConversion"/>
  </si>
  <si>
    <t>装备等级</t>
    <phoneticPr fontId="5" type="noConversion"/>
  </si>
  <si>
    <t>装备品质</t>
    <phoneticPr fontId="5" type="noConversion"/>
  </si>
  <si>
    <t>装备售价系数</t>
    <phoneticPr fontId="5" type="noConversion"/>
  </si>
  <si>
    <t>材料售价系数</t>
    <phoneticPr fontId="5" type="noConversion"/>
  </si>
  <si>
    <t>头布</t>
    <phoneticPr fontId="5" type="noConversion"/>
  </si>
  <si>
    <t>铁盔</t>
    <phoneticPr fontId="5" type="noConversion"/>
  </si>
  <si>
    <t>小手套</t>
    <phoneticPr fontId="5" type="noConversion"/>
  </si>
  <si>
    <t>粗手套</t>
    <phoneticPr fontId="5" type="noConversion"/>
  </si>
  <si>
    <t>铁手套</t>
    <phoneticPr fontId="5" type="noConversion"/>
  </si>
  <si>
    <t>布带</t>
    <phoneticPr fontId="5" type="noConversion"/>
  </si>
  <si>
    <t>钢腰带</t>
    <phoneticPr fontId="5" type="noConversion"/>
  </si>
  <si>
    <t>小布鞋</t>
    <phoneticPr fontId="5" type="noConversion"/>
  </si>
  <si>
    <t>麻布裤</t>
    <phoneticPr fontId="5" type="noConversion"/>
  </si>
  <si>
    <t>银项链</t>
    <phoneticPr fontId="5" type="noConversion"/>
  </si>
  <si>
    <t>古铜戒指</t>
    <phoneticPr fontId="5" type="noConversion"/>
  </si>
  <si>
    <t>木剑</t>
    <phoneticPr fontId="5" type="noConversion"/>
  </si>
  <si>
    <t>匕首</t>
    <phoneticPr fontId="5" type="noConversion"/>
  </si>
  <si>
    <t>布衣</t>
    <phoneticPr fontId="5" type="noConversion"/>
  </si>
  <si>
    <t>青铜头盔</t>
    <phoneticPr fontId="5" type="noConversion"/>
  </si>
  <si>
    <t>玄铁头盔</t>
    <phoneticPr fontId="5" type="noConversion"/>
  </si>
  <si>
    <t>骷髅头盔</t>
    <phoneticPr fontId="5" type="noConversion"/>
  </si>
  <si>
    <t>纯银手套</t>
    <phoneticPr fontId="5" type="noConversion"/>
  </si>
  <si>
    <t>魔力手套</t>
    <phoneticPr fontId="5" type="noConversion"/>
  </si>
  <si>
    <t>纯金手套</t>
    <phoneticPr fontId="5" type="noConversion"/>
  </si>
  <si>
    <t>白纹手套</t>
    <phoneticPr fontId="5" type="noConversion"/>
  </si>
  <si>
    <t>布纹腰带</t>
    <phoneticPr fontId="5" type="noConversion"/>
  </si>
  <si>
    <t>骷髅腰带</t>
    <phoneticPr fontId="5" type="noConversion"/>
  </si>
  <si>
    <t>布纹布靴</t>
    <phoneticPr fontId="5" type="noConversion"/>
  </si>
  <si>
    <t>布纹长裤</t>
    <phoneticPr fontId="5" type="noConversion"/>
  </si>
  <si>
    <t>纯银项链</t>
    <phoneticPr fontId="5" type="noConversion"/>
  </si>
  <si>
    <t>白骨项链</t>
    <phoneticPr fontId="5" type="noConversion"/>
  </si>
  <si>
    <t>红宝石项链</t>
    <phoneticPr fontId="5" type="noConversion"/>
  </si>
  <si>
    <t>魅力戒指</t>
    <phoneticPr fontId="5" type="noConversion"/>
  </si>
  <si>
    <t>红宝石</t>
    <phoneticPr fontId="5" type="noConversion"/>
  </si>
  <si>
    <t>神兵护符</t>
    <phoneticPr fontId="5" type="noConversion"/>
  </si>
  <si>
    <t>短刀</t>
    <phoneticPr fontId="5" type="noConversion"/>
  </si>
  <si>
    <t>玄铁刀</t>
    <phoneticPr fontId="5" type="noConversion"/>
  </si>
  <si>
    <t>凌风剑</t>
    <phoneticPr fontId="5" type="noConversion"/>
  </si>
  <si>
    <t>轻型盔甲</t>
    <phoneticPr fontId="5" type="noConversion"/>
  </si>
  <si>
    <t>凌风盔甲</t>
    <phoneticPr fontId="5" type="noConversion"/>
  </si>
  <si>
    <t>骷髅王的桂冠</t>
    <phoneticPr fontId="5" type="noConversion"/>
  </si>
  <si>
    <t>蜘蛛护腿</t>
    <phoneticPr fontId="5" type="noConversion"/>
  </si>
  <si>
    <t>蜘蛛护胸</t>
    <phoneticPr fontId="5" type="noConversion"/>
  </si>
  <si>
    <t>古墓手套</t>
    <phoneticPr fontId="5" type="noConversion"/>
  </si>
  <si>
    <t>古墓腰带</t>
    <phoneticPr fontId="5" type="noConversion"/>
  </si>
  <si>
    <t>古墓鞋子</t>
    <phoneticPr fontId="5" type="noConversion"/>
  </si>
  <si>
    <t>黑暗之剑</t>
    <phoneticPr fontId="5" type="noConversion"/>
  </si>
  <si>
    <t>血域头盔</t>
  </si>
  <si>
    <t>灵巧头巾</t>
  </si>
  <si>
    <t>血域手镯</t>
  </si>
  <si>
    <t>精铁手镯</t>
  </si>
  <si>
    <t>血域腰带</t>
  </si>
  <si>
    <t>战斗腰带</t>
  </si>
  <si>
    <t>血域战靴</t>
  </si>
  <si>
    <t>战斗靴子</t>
  </si>
  <si>
    <t>血域长裤</t>
  </si>
  <si>
    <t>血色长裤</t>
  </si>
  <si>
    <t>血域战链</t>
  </si>
  <si>
    <t>骷髅项链</t>
  </si>
  <si>
    <t>血域戒指</t>
  </si>
  <si>
    <t>黑金戒指</t>
  </si>
  <si>
    <t>血域宝石</t>
  </si>
  <si>
    <t>血域护符</t>
  </si>
  <si>
    <t>血域战刃</t>
  </si>
  <si>
    <t>利刃长剑</t>
  </si>
  <si>
    <t>血色之刃</t>
  </si>
  <si>
    <t>血域战甲</t>
  </si>
  <si>
    <t>刀锋战衣</t>
  </si>
  <si>
    <t>装备部位系数</t>
    <phoneticPr fontId="5" type="noConversion"/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</si>
  <si>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</si>
  <si>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</si>
  <si>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</si>
  <si>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</si>
  <si>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</si>
  <si>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</si>
  <si>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</si>
  <si>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</si>
  <si>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</si>
  <si>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</si>
  <si>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</si>
  <si>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基本值</t>
    <phoneticPr fontId="5" type="noConversion"/>
  </si>
  <si>
    <t>品质影响</t>
    <phoneticPr fontId="5" type="noConversion"/>
  </si>
  <si>
    <t>部位影响</t>
    <phoneticPr fontId="5" type="noConversion"/>
  </si>
  <si>
    <t>装备部位</t>
    <phoneticPr fontId="5" type="noConversion"/>
  </si>
  <si>
    <t>出售金币</t>
    <phoneticPr fontId="5" type="noConversion"/>
  </si>
  <si>
    <t>购买金币</t>
    <phoneticPr fontId="5" type="noConversion"/>
  </si>
  <si>
    <t>洗练金币</t>
    <phoneticPr fontId="5" type="noConversion"/>
  </si>
  <si>
    <t>卷轴售价系数</t>
    <phoneticPr fontId="5" type="noConversion"/>
  </si>
  <si>
    <t>等级</t>
    <phoneticPr fontId="5" type="noConversion"/>
  </si>
  <si>
    <t>洗练系数</t>
    <phoneticPr fontId="5" type="noConversion"/>
  </si>
  <si>
    <t>装备洗炼价格</t>
    <phoneticPr fontId="5" type="noConversion"/>
  </si>
  <si>
    <t>洗练匹配等级</t>
    <phoneticPr fontId="5" type="noConversion"/>
  </si>
  <si>
    <t>装备洗练</t>
    <phoneticPr fontId="5" type="noConversion"/>
  </si>
  <si>
    <t>金币袋子掉率</t>
    <phoneticPr fontId="5" type="noConversion"/>
  </si>
  <si>
    <t>给予道具</t>
    <phoneticPr fontId="5" type="noConversion"/>
  </si>
  <si>
    <t>小型生命药水</t>
  </si>
  <si>
    <t>止血药</t>
  </si>
  <si>
    <t>金钥匙</t>
  </si>
  <si>
    <t>经验木桩</t>
  </si>
  <si>
    <t>金币袋子</t>
  </si>
  <si>
    <t>制作书：狼王项链</t>
  </si>
  <si>
    <t>制作书：僵尸护符</t>
  </si>
  <si>
    <t>制作书：骷髅王的桂冠</t>
  </si>
  <si>
    <t>制作书：蜘蛛护腿</t>
  </si>
  <si>
    <t>制作书：蜘蛛护胸</t>
  </si>
  <si>
    <t>制作书：古墓手套</t>
  </si>
  <si>
    <t>制作书：古墓腰带</t>
  </si>
  <si>
    <t>制作书：古墓鞋子</t>
  </si>
  <si>
    <t>制作书：黑暗之剑</t>
  </si>
  <si>
    <t>狼王之牙</t>
  </si>
  <si>
    <t>狼皮</t>
  </si>
  <si>
    <t>矿石</t>
  </si>
  <si>
    <t>蝙蝠血液</t>
  </si>
  <si>
    <t>矿洞水晶</t>
  </si>
  <si>
    <t>感染的布料</t>
  </si>
  <si>
    <t>骷髅王的头颅</t>
  </si>
  <si>
    <t>蜘蛛丝</t>
  </si>
  <si>
    <t>防腐毒液</t>
  </si>
  <si>
    <t>阴木</t>
  </si>
  <si>
    <t>古墓灵石</t>
  </si>
  <si>
    <t>黑暗之心</t>
  </si>
  <si>
    <t>毛皮卷</t>
  </si>
  <si>
    <t>精钢铁块</t>
  </si>
  <si>
    <t>60</t>
  </si>
  <si>
    <t>需要数量</t>
    <phoneticPr fontId="5" type="noConversion"/>
  </si>
  <si>
    <t>10</t>
    <phoneticPr fontId="5" type="noConversion"/>
  </si>
  <si>
    <t>1</t>
    <phoneticPr fontId="5" type="noConversion"/>
  </si>
  <si>
    <t>给予金币数量</t>
    <phoneticPr fontId="5" type="noConversion"/>
  </si>
  <si>
    <t>5000</t>
    <phoneticPr fontId="5" type="noConversion"/>
  </si>
  <si>
    <t>修正</t>
    <phoneticPr fontId="5" type="noConversion"/>
  </si>
  <si>
    <t>国家类</t>
    <phoneticPr fontId="5" type="noConversion"/>
  </si>
  <si>
    <t>国家升级系数</t>
    <phoneticPr fontId="5" type="noConversion"/>
  </si>
  <si>
    <t>等级</t>
    <phoneticPr fontId="5" type="noConversion"/>
  </si>
  <si>
    <t>对应角色等级</t>
    <phoneticPr fontId="5" type="noConversion"/>
  </si>
  <si>
    <t>升级消耗金币</t>
    <phoneticPr fontId="5" type="noConversion"/>
  </si>
  <si>
    <t>每天荣誉产出</t>
    <phoneticPr fontId="5" type="noConversion"/>
  </si>
  <si>
    <t>每小时荣誉产出</t>
    <phoneticPr fontId="5" type="noConversion"/>
  </si>
  <si>
    <t>每分钟荣誉产出</t>
    <phoneticPr fontId="5" type="noConversion"/>
  </si>
  <si>
    <t>每5秒荣誉产出</t>
    <phoneticPr fontId="5" type="noConversion"/>
  </si>
  <si>
    <t>领取系数</t>
    <phoneticPr fontId="5" type="noConversion"/>
  </si>
  <si>
    <t>金币</t>
    <phoneticPr fontId="5" type="noConversion"/>
  </si>
  <si>
    <t>领取金币</t>
    <phoneticPr fontId="5" type="noConversion"/>
  </si>
  <si>
    <t>对应建筑等级</t>
    <phoneticPr fontId="5" type="noConversion"/>
  </si>
  <si>
    <t>每日修炼次数</t>
    <phoneticPr fontId="5" type="noConversion"/>
  </si>
  <si>
    <t>国家升级增加系数</t>
    <phoneticPr fontId="5" type="noConversion"/>
  </si>
  <si>
    <t>当前领取金币</t>
    <phoneticPr fontId="5" type="noConversion"/>
  </si>
  <si>
    <t>每日获取总金币</t>
    <phoneticPr fontId="5" type="noConversion"/>
  </si>
  <si>
    <t>建筑附加金币</t>
    <phoneticPr fontId="5" type="noConversion"/>
  </si>
  <si>
    <t>参数</t>
    <phoneticPr fontId="5" type="noConversion"/>
  </si>
  <si>
    <t>建筑附加金币实际值</t>
    <phoneticPr fontId="5" type="noConversion"/>
  </si>
  <si>
    <t>建筑等级</t>
    <phoneticPr fontId="5" type="noConversion"/>
  </si>
  <si>
    <t>制作书：骷髅王的桂冠</t>
    <phoneticPr fontId="5" type="noConversion"/>
  </si>
  <si>
    <t>制作书：黑暗之剑</t>
    <phoneticPr fontId="5" type="noConversion"/>
  </si>
  <si>
    <t>小型生命药水</t>
    <phoneticPr fontId="5" type="noConversion"/>
  </si>
  <si>
    <t>止血药</t>
    <phoneticPr fontId="5" type="noConversion"/>
  </si>
  <si>
    <t>小经验卷轴</t>
    <phoneticPr fontId="5" type="noConversion"/>
  </si>
  <si>
    <t>小金币卷轴</t>
    <phoneticPr fontId="5" type="noConversion"/>
  </si>
  <si>
    <t>金币袋子金币</t>
    <phoneticPr fontId="5" type="noConversion"/>
  </si>
  <si>
    <t>闪闪发亮的宝石</t>
    <phoneticPr fontId="5" type="noConversion"/>
  </si>
  <si>
    <t>疾跑护符</t>
    <phoneticPr fontId="5" type="noConversion"/>
  </si>
  <si>
    <t>黑暗之心</t>
    <phoneticPr fontId="5" type="noConversion"/>
  </si>
  <si>
    <t>骷髅王的头颅</t>
    <phoneticPr fontId="5" type="noConversion"/>
  </si>
  <si>
    <t>制作书：古墓手套</t>
    <phoneticPr fontId="5" type="noConversion"/>
  </si>
  <si>
    <t>制作书：古墓腰带</t>
    <phoneticPr fontId="5" type="noConversion"/>
  </si>
  <si>
    <t>制作书：古墓鞋子</t>
    <phoneticPr fontId="5" type="noConversion"/>
  </si>
  <si>
    <t>荣誉兑换值</t>
    <phoneticPr fontId="5" type="noConversion"/>
  </si>
  <si>
    <t>道具名称</t>
    <phoneticPr fontId="5" type="noConversion"/>
  </si>
  <si>
    <t>道具ID</t>
    <phoneticPr fontId="5" type="noConversion"/>
  </si>
  <si>
    <t>国王等级</t>
    <phoneticPr fontId="5" type="noConversion"/>
  </si>
  <si>
    <t>第二章</t>
    <phoneticPr fontId="5" type="noConversion"/>
  </si>
  <si>
    <t>掉落道具</t>
    <phoneticPr fontId="5" type="noConversion"/>
  </si>
  <si>
    <t>掉落ID</t>
    <phoneticPr fontId="5" type="noConversion"/>
  </si>
  <si>
    <t>小怪掉落小散件装备</t>
    <phoneticPr fontId="5" type="noConversion"/>
  </si>
  <si>
    <t>小怪散件装备</t>
    <phoneticPr fontId="5" type="noConversion"/>
  </si>
  <si>
    <t>小怪套装装备</t>
    <phoneticPr fontId="5" type="noConversion"/>
  </si>
  <si>
    <t>BOSS1掉落</t>
    <phoneticPr fontId="5" type="noConversion"/>
  </si>
  <si>
    <t>装备掉落分档</t>
    <phoneticPr fontId="5" type="noConversion"/>
  </si>
  <si>
    <t>血域头盔</t>
    <phoneticPr fontId="5" type="noConversion"/>
  </si>
  <si>
    <t>血域手镯</t>
    <phoneticPr fontId="5" type="noConversion"/>
  </si>
  <si>
    <t>血域长裤</t>
    <phoneticPr fontId="5" type="noConversion"/>
  </si>
  <si>
    <t>血域战靴</t>
    <phoneticPr fontId="5" type="noConversion"/>
  </si>
  <si>
    <t>血域腰带</t>
    <phoneticPr fontId="5" type="noConversion"/>
  </si>
  <si>
    <t>血域战刃</t>
    <phoneticPr fontId="5" type="noConversion"/>
  </si>
  <si>
    <t>血域战甲</t>
    <phoneticPr fontId="5" type="noConversion"/>
  </si>
  <si>
    <t>血域宝石</t>
    <phoneticPr fontId="5" type="noConversion"/>
  </si>
  <si>
    <t>血域戒指</t>
    <phoneticPr fontId="5" type="noConversion"/>
  </si>
  <si>
    <t>血域护符</t>
    <phoneticPr fontId="5" type="noConversion"/>
  </si>
  <si>
    <t>掉落概率</t>
    <phoneticPr fontId="5" type="noConversion"/>
  </si>
  <si>
    <t>20-30级约杀怪10000个</t>
    <phoneticPr fontId="5" type="noConversion"/>
  </si>
  <si>
    <t>小怪通用掉落</t>
    <phoneticPr fontId="5" type="noConversion"/>
  </si>
  <si>
    <t>1级小怪掉落</t>
    <phoneticPr fontId="5" type="noConversion"/>
  </si>
  <si>
    <t>2级小怪掉落</t>
    <phoneticPr fontId="5" type="noConversion"/>
  </si>
  <si>
    <t>3级小怪掉落</t>
    <phoneticPr fontId="5" type="noConversion"/>
  </si>
  <si>
    <t>血域战链</t>
    <phoneticPr fontId="5" type="noConversion"/>
  </si>
  <si>
    <t>血域战靴</t>
    <phoneticPr fontId="5" type="noConversion"/>
  </si>
  <si>
    <t>血域腰带</t>
    <phoneticPr fontId="5" type="noConversion"/>
  </si>
  <si>
    <t>血域战靴</t>
    <phoneticPr fontId="5" type="noConversion"/>
  </si>
  <si>
    <t>血域腰带</t>
    <phoneticPr fontId="5" type="noConversion"/>
  </si>
  <si>
    <t>血域戒指</t>
    <phoneticPr fontId="5" type="noConversion"/>
  </si>
  <si>
    <t>血域护符</t>
    <phoneticPr fontId="5" type="noConversion"/>
  </si>
  <si>
    <t>1级BOSS掉落</t>
    <phoneticPr fontId="5" type="noConversion"/>
  </si>
  <si>
    <t>2级BOSS掉落</t>
    <phoneticPr fontId="5" type="noConversion"/>
  </si>
  <si>
    <t>3级BOSS掉落</t>
    <phoneticPr fontId="5" type="noConversion"/>
  </si>
  <si>
    <t>BOSS通用掉落</t>
    <phoneticPr fontId="5" type="noConversion"/>
  </si>
  <si>
    <t>金币掉落50-75</t>
    <phoneticPr fontId="5" type="noConversion"/>
  </si>
  <si>
    <t>金币袋子</t>
    <phoneticPr fontId="5" type="noConversion"/>
  </si>
  <si>
    <t>经验卷轴</t>
    <phoneticPr fontId="5" type="noConversion"/>
  </si>
  <si>
    <t>金币盒子</t>
    <phoneticPr fontId="5" type="noConversion"/>
  </si>
  <si>
    <t>经验盒子</t>
    <phoneticPr fontId="5" type="noConversion"/>
  </si>
  <si>
    <t>20-30级</t>
    <phoneticPr fontId="5" type="noConversion"/>
  </si>
  <si>
    <t>鳄鱼皮</t>
  </si>
  <si>
    <t>坚固的螃蟹壳</t>
  </si>
  <si>
    <t>诅咒结晶</t>
  </si>
  <si>
    <t>地牢灵魂</t>
  </si>
  <si>
    <t>启天灵石</t>
  </si>
  <si>
    <t>启天灵石碎片</t>
  </si>
  <si>
    <t>细布卷</t>
  </si>
  <si>
    <t>精致银块</t>
  </si>
  <si>
    <t>力量戒指</t>
    <phoneticPr fontId="5" type="noConversion"/>
  </si>
  <si>
    <t>幽冥项链</t>
    <phoneticPr fontId="5" type="noConversion"/>
  </si>
  <si>
    <t>制作装备</t>
    <phoneticPr fontId="5" type="noConversion"/>
  </si>
  <si>
    <t>需要材料2</t>
    <phoneticPr fontId="5" type="noConversion"/>
  </si>
  <si>
    <t>需要材料3</t>
    <phoneticPr fontId="5" type="noConversion"/>
  </si>
  <si>
    <t>需要材料1</t>
    <phoneticPr fontId="5" type="noConversion"/>
  </si>
  <si>
    <t>荒漠头盔</t>
    <phoneticPr fontId="5" type="noConversion"/>
  </si>
  <si>
    <t>荒漠手套</t>
    <phoneticPr fontId="5" type="noConversion"/>
  </si>
  <si>
    <t>荒漠腰带</t>
    <phoneticPr fontId="5" type="noConversion"/>
  </si>
  <si>
    <t>荒漠靴子</t>
    <phoneticPr fontId="5" type="noConversion"/>
  </si>
  <si>
    <t>生命护符</t>
    <phoneticPr fontId="5" type="noConversion"/>
  </si>
  <si>
    <t>生命饰品</t>
    <phoneticPr fontId="5" type="noConversion"/>
  </si>
  <si>
    <t>村民灵魄</t>
    <phoneticPr fontId="5" type="noConversion"/>
  </si>
  <si>
    <t>需要数量</t>
    <phoneticPr fontId="5" type="noConversion"/>
  </si>
  <si>
    <t>神秘魂石</t>
  </si>
  <si>
    <t>诅咒结晶</t>
    <phoneticPr fontId="5" type="noConversion"/>
  </si>
  <si>
    <t>坚固的螃蟹壳</t>
    <phoneticPr fontId="5" type="noConversion"/>
  </si>
  <si>
    <t>地牢灵魂</t>
    <phoneticPr fontId="5" type="noConversion"/>
  </si>
  <si>
    <t>鳄鱼皮</t>
    <phoneticPr fontId="5" type="noConversion"/>
  </si>
  <si>
    <t>30-40级</t>
    <phoneticPr fontId="5" type="noConversion"/>
  </si>
  <si>
    <t>冰狼皮</t>
    <phoneticPr fontId="5" type="noConversion"/>
  </si>
  <si>
    <t>千针石块</t>
    <phoneticPr fontId="5" type="noConversion"/>
  </si>
  <si>
    <t>白熊胆汁</t>
    <phoneticPr fontId="5" type="noConversion"/>
  </si>
  <si>
    <t>寒冰铁块</t>
    <phoneticPr fontId="5" type="noConversion"/>
  </si>
  <si>
    <t>40-50级</t>
    <phoneticPr fontId="5" type="noConversion"/>
  </si>
  <si>
    <t>树皮</t>
    <phoneticPr fontId="5" type="noConversion"/>
  </si>
  <si>
    <t>白熊毛皮</t>
    <phoneticPr fontId="5" type="noConversion"/>
  </si>
  <si>
    <t>僵尸布料</t>
    <phoneticPr fontId="5" type="noConversion"/>
  </si>
  <si>
    <t>精钢岩石</t>
    <phoneticPr fontId="5" type="noConversion"/>
  </si>
  <si>
    <t>暮色铁块</t>
    <phoneticPr fontId="5" type="noConversion"/>
  </si>
  <si>
    <t>火龙皮</t>
    <phoneticPr fontId="5" type="noConversion"/>
  </si>
  <si>
    <t>熔岩裂石</t>
    <phoneticPr fontId="5" type="noConversion"/>
  </si>
  <si>
    <t>黑暗骨块</t>
    <phoneticPr fontId="5" type="noConversion"/>
  </si>
  <si>
    <t>上古魔石碎片</t>
    <phoneticPr fontId="5" type="noConversion"/>
  </si>
  <si>
    <t>上古卷轴残卷(上)</t>
    <phoneticPr fontId="5" type="noConversion"/>
  </si>
  <si>
    <t>上古卷轴残卷(中)</t>
    <phoneticPr fontId="5" type="noConversion"/>
  </si>
  <si>
    <t>上古卷轴残卷(下)</t>
    <phoneticPr fontId="5" type="noConversion"/>
  </si>
  <si>
    <t>上古卷轴</t>
    <phoneticPr fontId="5" type="noConversion"/>
  </si>
  <si>
    <t>50-60级</t>
    <phoneticPr fontId="5" type="noConversion"/>
  </si>
  <si>
    <t>破灵腰带</t>
    <phoneticPr fontId="5" type="noConversion"/>
  </si>
  <si>
    <t>破灵靴子</t>
    <phoneticPr fontId="5" type="noConversion"/>
  </si>
  <si>
    <t>冰河战甲</t>
    <phoneticPr fontId="5" type="noConversion"/>
  </si>
  <si>
    <t>冰河战盔</t>
    <phoneticPr fontId="5" type="noConversion"/>
  </si>
  <si>
    <t>冰河长裤</t>
    <phoneticPr fontId="5" type="noConversion"/>
  </si>
  <si>
    <t>勇气长剑</t>
    <phoneticPr fontId="5" type="noConversion"/>
  </si>
  <si>
    <t>破灵护符</t>
    <phoneticPr fontId="5" type="noConversion"/>
  </si>
  <si>
    <t>冰狼皮</t>
  </si>
  <si>
    <t>蜘蛛腿</t>
    <phoneticPr fontId="5" type="noConversion"/>
  </si>
  <si>
    <t>冰布绸</t>
    <phoneticPr fontId="5" type="noConversion"/>
  </si>
  <si>
    <t>冰雪之心</t>
    <phoneticPr fontId="5" type="noConversion"/>
  </si>
  <si>
    <t>勇气之心</t>
    <phoneticPr fontId="5" type="noConversion"/>
  </si>
  <si>
    <t>精灵结晶</t>
    <phoneticPr fontId="5" type="noConversion"/>
  </si>
  <si>
    <t>千针石块</t>
    <phoneticPr fontId="5" type="noConversion"/>
  </si>
  <si>
    <t>白熊胆汁</t>
    <phoneticPr fontId="5" type="noConversion"/>
  </si>
  <si>
    <t>勇气之心</t>
    <phoneticPr fontId="5" type="noConversion"/>
  </si>
  <si>
    <t>冰雪之心</t>
    <phoneticPr fontId="5" type="noConversion"/>
  </si>
  <si>
    <t>精灵项链</t>
    <phoneticPr fontId="5" type="noConversion"/>
  </si>
  <si>
    <t>精灵指环</t>
    <phoneticPr fontId="5" type="noConversion"/>
  </si>
  <si>
    <t>暮色战甲</t>
  </si>
  <si>
    <t>暮色战盔</t>
  </si>
  <si>
    <t>暮色长裤</t>
  </si>
  <si>
    <t>暮色腰带</t>
    <phoneticPr fontId="5" type="noConversion"/>
  </si>
  <si>
    <t>暮色靴子</t>
    <phoneticPr fontId="5" type="noConversion"/>
  </si>
  <si>
    <t>暮色饰品</t>
    <phoneticPr fontId="5" type="noConversion"/>
  </si>
  <si>
    <t>岩石碎块</t>
    <phoneticPr fontId="5" type="noConversion"/>
  </si>
  <si>
    <t>岩石碎块</t>
    <phoneticPr fontId="5" type="noConversion"/>
  </si>
  <si>
    <t>暮色之心</t>
    <phoneticPr fontId="5" type="noConversion"/>
  </si>
  <si>
    <t>上好的木材</t>
    <phoneticPr fontId="5" type="noConversion"/>
  </si>
  <si>
    <t>暮色之心</t>
    <phoneticPr fontId="5" type="noConversion"/>
  </si>
  <si>
    <t>上好的木材</t>
    <phoneticPr fontId="5" type="noConversion"/>
  </si>
  <si>
    <t>暮色结晶</t>
    <phoneticPr fontId="5" type="noConversion"/>
  </si>
  <si>
    <t>暮色结晶</t>
    <phoneticPr fontId="5" type="noConversion"/>
  </si>
  <si>
    <t>暮色结晶</t>
    <phoneticPr fontId="5" type="noConversion"/>
  </si>
  <si>
    <t>僵尸布料</t>
    <phoneticPr fontId="5" type="noConversion"/>
  </si>
  <si>
    <t>白熊毛皮</t>
    <phoneticPr fontId="5" type="noConversion"/>
  </si>
  <si>
    <t>白熊毛皮</t>
    <phoneticPr fontId="5" type="noConversion"/>
  </si>
  <si>
    <t>暮色手套</t>
    <phoneticPr fontId="5" type="noConversion"/>
  </si>
  <si>
    <t>僵尸布料</t>
    <phoneticPr fontId="5" type="noConversion"/>
  </si>
  <si>
    <t>暮色铁块</t>
    <phoneticPr fontId="5" type="noConversion"/>
  </si>
  <si>
    <t>树皮</t>
    <phoneticPr fontId="5" type="noConversion"/>
  </si>
  <si>
    <t>树皮</t>
    <phoneticPr fontId="5" type="noConversion"/>
  </si>
  <si>
    <t>精钢岩石</t>
    <phoneticPr fontId="5" type="noConversion"/>
  </si>
  <si>
    <t>熔岩项链</t>
    <phoneticPr fontId="5" type="noConversion"/>
  </si>
  <si>
    <t>熔岩指环</t>
    <phoneticPr fontId="5" type="noConversion"/>
  </si>
  <si>
    <t>炙热战甲</t>
    <phoneticPr fontId="5" type="noConversion"/>
  </si>
  <si>
    <t>炙热战盔</t>
    <phoneticPr fontId="5" type="noConversion"/>
  </si>
  <si>
    <t>炙热长裤</t>
    <phoneticPr fontId="5" type="noConversion"/>
  </si>
  <si>
    <t>炙热手套</t>
    <phoneticPr fontId="5" type="noConversion"/>
  </si>
  <si>
    <t>炙热腰带</t>
    <phoneticPr fontId="5" type="noConversion"/>
  </si>
  <si>
    <t>炙热靴子</t>
    <phoneticPr fontId="5" type="noConversion"/>
  </si>
  <si>
    <t>黑暗灵魂</t>
    <phoneticPr fontId="5" type="noConversion"/>
  </si>
  <si>
    <t>黑暗骨块</t>
    <phoneticPr fontId="5" type="noConversion"/>
  </si>
  <si>
    <t>黑暗骨块</t>
    <phoneticPr fontId="5" type="noConversion"/>
  </si>
  <si>
    <t>黑暗灵魂</t>
    <phoneticPr fontId="5" type="noConversion"/>
  </si>
  <si>
    <t>熔岩裂石</t>
    <phoneticPr fontId="5" type="noConversion"/>
  </si>
  <si>
    <t>炙热布料</t>
    <phoneticPr fontId="5" type="noConversion"/>
  </si>
  <si>
    <t>炙热铁块</t>
    <phoneticPr fontId="5" type="noConversion"/>
  </si>
  <si>
    <t>火龙皮</t>
    <phoneticPr fontId="5" type="noConversion"/>
  </si>
  <si>
    <t>火龙皮</t>
    <phoneticPr fontId="5" type="noConversion"/>
  </si>
  <si>
    <t>熔岩裂石</t>
    <phoneticPr fontId="5" type="noConversion"/>
  </si>
  <si>
    <t>通用掉落</t>
    <phoneticPr fontId="5" type="noConversion"/>
  </si>
  <si>
    <t>熔岩之心</t>
    <phoneticPr fontId="5" type="noConversion"/>
  </si>
  <si>
    <t>稀有掉落</t>
    <phoneticPr fontId="5" type="noConversion"/>
  </si>
  <si>
    <t>拾取</t>
    <phoneticPr fontId="5" type="noConversion"/>
  </si>
  <si>
    <t>熔岩炙水</t>
    <phoneticPr fontId="5" type="noConversion"/>
  </si>
  <si>
    <t>炙热布料</t>
    <phoneticPr fontId="5" type="noConversion"/>
  </si>
  <si>
    <t>炙热铁块</t>
    <phoneticPr fontId="5" type="noConversion"/>
  </si>
  <si>
    <t>熔岩炙水</t>
    <phoneticPr fontId="5" type="noConversion"/>
  </si>
  <si>
    <t>冰封头盔</t>
  </si>
  <si>
    <t>精钢头盔</t>
  </si>
  <si>
    <t>冰封手镯</t>
  </si>
  <si>
    <t>精钢手镯</t>
  </si>
  <si>
    <t>冰封腰带</t>
  </si>
  <si>
    <t>意志腰带</t>
  </si>
  <si>
    <t>冰封战靴</t>
  </si>
  <si>
    <t>雪域靴子</t>
  </si>
  <si>
    <t>冰封长裤</t>
  </si>
  <si>
    <t>魔鬼长裤</t>
  </si>
  <si>
    <t>冰封战链</t>
  </si>
  <si>
    <t>冰灵项链</t>
  </si>
  <si>
    <t>冰封戒指</t>
  </si>
  <si>
    <t>鬼灵指环</t>
  </si>
  <si>
    <t>冰封饰品</t>
  </si>
  <si>
    <t>冰封护符</t>
  </si>
  <si>
    <t>血护符</t>
  </si>
  <si>
    <t>冰封战刃</t>
  </si>
  <si>
    <t>血泣</t>
  </si>
  <si>
    <t>冰封战甲</t>
  </si>
  <si>
    <t>战斗钢甲</t>
  </si>
  <si>
    <t>冰封饰品</t>
    <phoneticPr fontId="5" type="noConversion"/>
  </si>
  <si>
    <t>血域饰品</t>
    <phoneticPr fontId="5" type="noConversion"/>
  </si>
  <si>
    <t>骷髅盔甲</t>
  </si>
  <si>
    <t>永恒头盔</t>
    <phoneticPr fontId="5" type="noConversion"/>
  </si>
  <si>
    <t>战意头盔</t>
    <phoneticPr fontId="5" type="noConversion"/>
  </si>
  <si>
    <t>永恒手镯</t>
    <phoneticPr fontId="5" type="noConversion"/>
  </si>
  <si>
    <t>绿色手镯</t>
    <phoneticPr fontId="5" type="noConversion"/>
  </si>
  <si>
    <t>永恒腰带</t>
    <phoneticPr fontId="5" type="noConversion"/>
  </si>
  <si>
    <t>骷髅腰带</t>
    <phoneticPr fontId="5" type="noConversion"/>
  </si>
  <si>
    <t>永恒战靴</t>
    <phoneticPr fontId="5" type="noConversion"/>
  </si>
  <si>
    <t>旋风靴</t>
    <phoneticPr fontId="5" type="noConversion"/>
  </si>
  <si>
    <t>永恒长裤</t>
    <phoneticPr fontId="5" type="noConversion"/>
  </si>
  <si>
    <t>烈焰长裤</t>
    <phoneticPr fontId="5" type="noConversion"/>
  </si>
  <si>
    <t>永恒战链</t>
    <phoneticPr fontId="5" type="noConversion"/>
  </si>
  <si>
    <t>梦境项链</t>
    <phoneticPr fontId="5" type="noConversion"/>
  </si>
  <si>
    <t>永恒戒指</t>
    <phoneticPr fontId="5" type="noConversion"/>
  </si>
  <si>
    <t>鬼魅指环</t>
    <phoneticPr fontId="5" type="noConversion"/>
  </si>
  <si>
    <t>永恒饰品</t>
    <phoneticPr fontId="5" type="noConversion"/>
  </si>
  <si>
    <t>永恒护符</t>
    <phoneticPr fontId="5" type="noConversion"/>
  </si>
  <si>
    <t>鬼灵护符</t>
    <phoneticPr fontId="5" type="noConversion"/>
  </si>
  <si>
    <t>永恒战刃</t>
    <phoneticPr fontId="5" type="noConversion"/>
  </si>
  <si>
    <t>鬼头斩</t>
    <phoneticPr fontId="5" type="noConversion"/>
  </si>
  <si>
    <t>永恒战甲</t>
    <phoneticPr fontId="5" type="noConversion"/>
  </si>
  <si>
    <t>冰封护符</t>
    <phoneticPr fontId="5" type="noConversion"/>
  </si>
  <si>
    <t>圣光头盔</t>
  </si>
  <si>
    <t>邪灵头盔</t>
    <phoneticPr fontId="5" type="noConversion"/>
  </si>
  <si>
    <t>圣光手镯</t>
  </si>
  <si>
    <t>除魔手镯</t>
    <phoneticPr fontId="5" type="noConversion"/>
  </si>
  <si>
    <t>圣光腰带</t>
  </si>
  <si>
    <t>斩灵腰带</t>
    <phoneticPr fontId="5" type="noConversion"/>
  </si>
  <si>
    <t>圣光战靴</t>
  </si>
  <si>
    <t>战意靴子</t>
    <phoneticPr fontId="5" type="noConversion"/>
  </si>
  <si>
    <t>圣光长裤</t>
  </si>
  <si>
    <t>骨灵长裤</t>
    <phoneticPr fontId="5" type="noConversion"/>
  </si>
  <si>
    <t>圣光战链</t>
  </si>
  <si>
    <t>心爱之链</t>
    <phoneticPr fontId="5" type="noConversion"/>
  </si>
  <si>
    <t>圣光戒指</t>
  </si>
  <si>
    <t>灵魂指环</t>
    <phoneticPr fontId="5" type="noConversion"/>
  </si>
  <si>
    <t>圣光饰品</t>
    <phoneticPr fontId="5" type="noConversion"/>
  </si>
  <si>
    <t>圣光护符</t>
  </si>
  <si>
    <t>灵光护符</t>
    <phoneticPr fontId="5" type="noConversion"/>
  </si>
  <si>
    <t>圣光战刃</t>
  </si>
  <si>
    <t>降魔之刃</t>
    <phoneticPr fontId="5" type="noConversion"/>
  </si>
  <si>
    <t>圣光战甲</t>
  </si>
  <si>
    <t>降魔钢甲</t>
    <phoneticPr fontId="5" type="noConversion"/>
  </si>
  <si>
    <t>永恒手镯</t>
    <phoneticPr fontId="5" type="noConversion"/>
  </si>
  <si>
    <t>圣光头盔</t>
    <phoneticPr fontId="5" type="noConversion"/>
  </si>
  <si>
    <t>上古魔石</t>
    <phoneticPr fontId="5" type="noConversion"/>
  </si>
  <si>
    <t>上古魔石</t>
    <phoneticPr fontId="5" type="noConversion"/>
  </si>
  <si>
    <t>蜘蛛腿</t>
    <phoneticPr fontId="5" type="noConversion"/>
  </si>
  <si>
    <t>千针石块</t>
    <phoneticPr fontId="5" type="noConversion"/>
  </si>
  <si>
    <t>精灵结晶</t>
    <phoneticPr fontId="5" type="noConversion"/>
  </si>
  <si>
    <t>僵尸布料</t>
    <phoneticPr fontId="5" type="noConversion"/>
  </si>
  <si>
    <t>熔岩之心</t>
    <phoneticPr fontId="5" type="noConversion"/>
  </si>
  <si>
    <t>地狱领主的法术残片</t>
    <phoneticPr fontId="5" type="noConversion"/>
  </si>
  <si>
    <t>启天灵石</t>
    <phoneticPr fontId="5" type="noConversion"/>
  </si>
  <si>
    <t>地牢灵魂</t>
    <phoneticPr fontId="5" type="noConversion"/>
  </si>
  <si>
    <t>地狱领主的法术书</t>
    <phoneticPr fontId="5" type="noConversion"/>
  </si>
  <si>
    <t>防护宝石</t>
    <phoneticPr fontId="5" type="noConversion"/>
  </si>
  <si>
    <t>治愈灵石</t>
    <phoneticPr fontId="5" type="noConversion"/>
  </si>
  <si>
    <t>阿兹里斯的骨头</t>
    <phoneticPr fontId="5" type="noConversion"/>
  </si>
  <si>
    <t>艾力克斯的头颅</t>
    <phoneticPr fontId="5" type="noConversion"/>
  </si>
  <si>
    <t>阿兹里斯的冰魄</t>
    <phoneticPr fontId="5" type="noConversion"/>
  </si>
  <si>
    <t>艾力克斯的法术书</t>
    <phoneticPr fontId="5" type="noConversion"/>
  </si>
  <si>
    <t>狂暴魔法书</t>
    <phoneticPr fontId="5" type="noConversion"/>
  </si>
  <si>
    <t>高级治愈灵石</t>
    <phoneticPr fontId="5" type="noConversion"/>
  </si>
  <si>
    <t>毁灭</t>
    <phoneticPr fontId="5" type="noConversion"/>
  </si>
  <si>
    <t>艾力克斯的护符</t>
    <phoneticPr fontId="5" type="noConversion"/>
  </si>
  <si>
    <t>帝陨</t>
    <phoneticPr fontId="5" type="noConversion"/>
  </si>
  <si>
    <t>阿兹里斯的项链</t>
    <phoneticPr fontId="5" type="noConversion"/>
  </si>
  <si>
    <t>不败的意志</t>
    <phoneticPr fontId="5" type="noConversion"/>
  </si>
  <si>
    <t>地狱领主的盔甲</t>
    <phoneticPr fontId="5" type="noConversion"/>
  </si>
  <si>
    <t>永恒护符</t>
    <phoneticPr fontId="5" type="noConversion"/>
  </si>
  <si>
    <t>冰封战链</t>
    <phoneticPr fontId="5" type="noConversion"/>
  </si>
  <si>
    <t>艾力克斯的能量球</t>
    <phoneticPr fontId="5" type="noConversion"/>
  </si>
  <si>
    <t>永恒战刃</t>
    <phoneticPr fontId="5" type="noConversion"/>
  </si>
  <si>
    <t>冰封战刃</t>
    <phoneticPr fontId="5" type="noConversion"/>
  </si>
  <si>
    <t>血域战刃</t>
    <phoneticPr fontId="5" type="noConversion"/>
  </si>
  <si>
    <t>力量戒指</t>
    <phoneticPr fontId="5" type="noConversion"/>
  </si>
  <si>
    <t>幽冥项链</t>
    <phoneticPr fontId="5" type="noConversion"/>
  </si>
  <si>
    <t>荒漠头盔</t>
    <phoneticPr fontId="5" type="noConversion"/>
  </si>
  <si>
    <t>荒漠手套</t>
    <phoneticPr fontId="5" type="noConversion"/>
  </si>
  <si>
    <t>荒漠腰带</t>
    <phoneticPr fontId="5" type="noConversion"/>
  </si>
  <si>
    <t>荒漠靴子</t>
    <phoneticPr fontId="5" type="noConversion"/>
  </si>
  <si>
    <t>生命护符</t>
    <phoneticPr fontId="5" type="noConversion"/>
  </si>
  <si>
    <t>生命饰品</t>
    <phoneticPr fontId="5" type="noConversion"/>
  </si>
  <si>
    <t>防护宝石</t>
  </si>
  <si>
    <t>骷髅灵饰</t>
  </si>
  <si>
    <t>痛苦女王的吊坠</t>
  </si>
  <si>
    <t>地狱领主的法术书</t>
  </si>
  <si>
    <t>不败的意志</t>
    <phoneticPr fontId="5" type="noConversion"/>
  </si>
  <si>
    <t>地狱领主的盔甲</t>
    <phoneticPr fontId="5" type="noConversion"/>
  </si>
  <si>
    <t>冰封饰品</t>
    <phoneticPr fontId="5" type="noConversion"/>
  </si>
  <si>
    <t>血护符</t>
    <phoneticPr fontId="5" type="noConversion"/>
  </si>
  <si>
    <t>破灵腰带</t>
  </si>
  <si>
    <t>破灵靴子</t>
  </si>
  <si>
    <t>冰河战甲</t>
    <phoneticPr fontId="5" type="noConversion"/>
  </si>
  <si>
    <t>冰河战盔</t>
  </si>
  <si>
    <t>冰河长裤</t>
  </si>
  <si>
    <t>勇气长剑</t>
  </si>
  <si>
    <t>破灵护符</t>
  </si>
  <si>
    <t>治愈灵石</t>
  </si>
  <si>
    <t>超强防护宝石</t>
  </si>
  <si>
    <t>冰封守护之心</t>
  </si>
  <si>
    <t>阿兹里斯的骨头</t>
    <phoneticPr fontId="5" type="noConversion"/>
  </si>
  <si>
    <t>帝陨</t>
    <phoneticPr fontId="5" type="noConversion"/>
  </si>
  <si>
    <t>阿兹里斯的项链</t>
    <phoneticPr fontId="5" type="noConversion"/>
  </si>
  <si>
    <t>永恒头盔</t>
    <phoneticPr fontId="5" type="noConversion"/>
  </si>
  <si>
    <t>战意头盔</t>
    <phoneticPr fontId="5" type="noConversion"/>
  </si>
  <si>
    <t>永恒手镯</t>
    <phoneticPr fontId="5" type="noConversion"/>
  </si>
  <si>
    <t>绿色手镯</t>
    <phoneticPr fontId="5" type="noConversion"/>
  </si>
  <si>
    <t>永恒腰带</t>
    <phoneticPr fontId="5" type="noConversion"/>
  </si>
  <si>
    <t>骷髅腰带</t>
    <phoneticPr fontId="5" type="noConversion"/>
  </si>
  <si>
    <t>永恒战靴</t>
    <phoneticPr fontId="5" type="noConversion"/>
  </si>
  <si>
    <t>旋风靴</t>
    <phoneticPr fontId="5" type="noConversion"/>
  </si>
  <si>
    <t>永恒长裤</t>
    <phoneticPr fontId="5" type="noConversion"/>
  </si>
  <si>
    <t>烈焰长裤</t>
    <phoneticPr fontId="5" type="noConversion"/>
  </si>
  <si>
    <t>永恒战链</t>
    <phoneticPr fontId="5" type="noConversion"/>
  </si>
  <si>
    <t>梦境项链</t>
    <phoneticPr fontId="5" type="noConversion"/>
  </si>
  <si>
    <t>永恒戒指</t>
    <phoneticPr fontId="5" type="noConversion"/>
  </si>
  <si>
    <t>鬼魅指环</t>
    <phoneticPr fontId="5" type="noConversion"/>
  </si>
  <si>
    <t>永恒饰品</t>
    <phoneticPr fontId="5" type="noConversion"/>
  </si>
  <si>
    <t>永恒护符</t>
    <phoneticPr fontId="5" type="noConversion"/>
  </si>
  <si>
    <t>鬼灵护符</t>
    <phoneticPr fontId="5" type="noConversion"/>
  </si>
  <si>
    <t>永恒战刃</t>
    <phoneticPr fontId="5" type="noConversion"/>
  </si>
  <si>
    <t>鬼头斩</t>
    <phoneticPr fontId="5" type="noConversion"/>
  </si>
  <si>
    <t>永恒战甲</t>
    <phoneticPr fontId="5" type="noConversion"/>
  </si>
  <si>
    <t>精灵项链</t>
    <phoneticPr fontId="5" type="noConversion"/>
  </si>
  <si>
    <t>精灵指环</t>
    <phoneticPr fontId="5" type="noConversion"/>
  </si>
  <si>
    <t>暮色战甲</t>
    <phoneticPr fontId="5" type="noConversion"/>
  </si>
  <si>
    <t>暮色战盔</t>
    <phoneticPr fontId="5" type="noConversion"/>
  </si>
  <si>
    <t>暮色长裤</t>
    <phoneticPr fontId="5" type="noConversion"/>
  </si>
  <si>
    <t>暮色手套</t>
    <phoneticPr fontId="5" type="noConversion"/>
  </si>
  <si>
    <t>暮色腰带</t>
    <phoneticPr fontId="5" type="noConversion"/>
  </si>
  <si>
    <t>暮色靴子</t>
    <phoneticPr fontId="5" type="noConversion"/>
  </si>
  <si>
    <t>暮色饰品</t>
    <phoneticPr fontId="5" type="noConversion"/>
  </si>
  <si>
    <t>狂暴魔法书</t>
  </si>
  <si>
    <t>高级治愈灵石</t>
    <phoneticPr fontId="5" type="noConversion"/>
  </si>
  <si>
    <t>暮色士兵的遗产</t>
  </si>
  <si>
    <t>艾力克斯的能量球</t>
  </si>
  <si>
    <t>毁灭</t>
    <phoneticPr fontId="5" type="noConversion"/>
  </si>
  <si>
    <t>艾力克斯的护符</t>
    <phoneticPr fontId="5" type="noConversion"/>
  </si>
  <si>
    <t>邪灵头盔</t>
    <phoneticPr fontId="5" type="noConversion"/>
  </si>
  <si>
    <t>除魔手镯</t>
    <phoneticPr fontId="5" type="noConversion"/>
  </si>
  <si>
    <t>斩灵腰带</t>
    <phoneticPr fontId="5" type="noConversion"/>
  </si>
  <si>
    <t>战意靴子</t>
    <phoneticPr fontId="5" type="noConversion"/>
  </si>
  <si>
    <t>骨灵长裤</t>
    <phoneticPr fontId="5" type="noConversion"/>
  </si>
  <si>
    <t>心爱之链</t>
    <phoneticPr fontId="5" type="noConversion"/>
  </si>
  <si>
    <t>灵魂指环</t>
    <phoneticPr fontId="5" type="noConversion"/>
  </si>
  <si>
    <t>圣光饰品</t>
    <phoneticPr fontId="5" type="noConversion"/>
  </si>
  <si>
    <t>灵光护符</t>
    <phoneticPr fontId="5" type="noConversion"/>
  </si>
  <si>
    <t>降魔之刃</t>
    <phoneticPr fontId="5" type="noConversion"/>
  </si>
  <si>
    <t>降魔钢甲</t>
    <phoneticPr fontId="5" type="noConversion"/>
  </si>
  <si>
    <t>熔岩项链</t>
    <phoneticPr fontId="5" type="noConversion"/>
  </si>
  <si>
    <t>熔岩指环</t>
    <phoneticPr fontId="5" type="noConversion"/>
  </si>
  <si>
    <t>炙热战甲</t>
    <phoneticPr fontId="5" type="noConversion"/>
  </si>
  <si>
    <t>炙热战盔</t>
    <phoneticPr fontId="5" type="noConversion"/>
  </si>
  <si>
    <t>炙热长裤</t>
    <phoneticPr fontId="5" type="noConversion"/>
  </si>
  <si>
    <t>炙热手套</t>
    <phoneticPr fontId="5" type="noConversion"/>
  </si>
  <si>
    <t>炙热腰带</t>
    <phoneticPr fontId="5" type="noConversion"/>
  </si>
  <si>
    <t>炙热靴子</t>
    <phoneticPr fontId="5" type="noConversion"/>
  </si>
  <si>
    <t>怪物掉落装备概率</t>
    <phoneticPr fontId="5" type="noConversion"/>
  </si>
  <si>
    <t>每小时金币产出</t>
    <phoneticPr fontId="5" type="noConversion"/>
  </si>
  <si>
    <t>每小时杀怪数量:</t>
    <phoneticPr fontId="5" type="noConversion"/>
  </si>
  <si>
    <t>每小时产出</t>
  </si>
  <si>
    <t>金币洗炼成功概率</t>
    <phoneticPr fontId="5" type="noConversion"/>
  </si>
  <si>
    <t>洗练石洗炼100%</t>
    <phoneticPr fontId="5" type="noConversion"/>
  </si>
  <si>
    <t>产出天数</t>
    <phoneticPr fontId="5" type="noConversion"/>
  </si>
  <si>
    <t>中型生命药水</t>
    <phoneticPr fontId="5" type="noConversion"/>
  </si>
  <si>
    <t>遗失的金币袋子</t>
    <phoneticPr fontId="5" type="noConversion"/>
  </si>
  <si>
    <t>中型止血药</t>
    <phoneticPr fontId="5" type="noConversion"/>
  </si>
  <si>
    <t>制作书:荒漠头盔</t>
  </si>
  <si>
    <t>制作书:荒漠手套</t>
  </si>
  <si>
    <t>制作书:荒漠腰带</t>
  </si>
  <si>
    <t>制作书:荒漠靴子</t>
  </si>
  <si>
    <t>血域装备宝箱</t>
    <phoneticPr fontId="5" type="noConversion"/>
  </si>
  <si>
    <t>制作书:防护宝石</t>
  </si>
  <si>
    <t>制作书:地狱领主的法术书</t>
  </si>
  <si>
    <t>制作书:不败的意志</t>
  </si>
  <si>
    <t>制作书:生命护符</t>
  </si>
  <si>
    <t>制作书:生命饰品</t>
  </si>
  <si>
    <t>启天灵石碎片</t>
    <phoneticPr fontId="5" type="noConversion"/>
  </si>
  <si>
    <t>启天灵石</t>
    <phoneticPr fontId="5" type="noConversion"/>
  </si>
  <si>
    <t>制作书:地狱领主的盔甲</t>
    <phoneticPr fontId="5" type="noConversion"/>
  </si>
  <si>
    <t>地狱领主的法术残片</t>
    <phoneticPr fontId="5" type="noConversion"/>
  </si>
  <si>
    <t>血域战甲</t>
    <phoneticPr fontId="5" type="noConversion"/>
  </si>
  <si>
    <t>大型生命药水</t>
    <phoneticPr fontId="5" type="noConversion"/>
  </si>
  <si>
    <t>大型止血药</t>
    <phoneticPr fontId="5" type="noConversion"/>
  </si>
  <si>
    <t>制作书:破灵腰带</t>
  </si>
  <si>
    <t>制作书:破灵靴子</t>
  </si>
  <si>
    <t>制作书:冰河战甲</t>
  </si>
  <si>
    <t>制作书:冰河战盔</t>
  </si>
  <si>
    <t>制作书:冰河长裤</t>
    <phoneticPr fontId="5" type="noConversion"/>
  </si>
  <si>
    <t>制作书:破灵护符</t>
  </si>
  <si>
    <t>制作书:治愈灵石</t>
  </si>
  <si>
    <t>制作书:勇气长剑</t>
  </si>
  <si>
    <t>制作书:阿兹里斯的骨头</t>
  </si>
  <si>
    <t>阿兹里斯的冰魄</t>
    <phoneticPr fontId="5" type="noConversion"/>
  </si>
  <si>
    <t>超强防护宝石</t>
    <phoneticPr fontId="5" type="noConversion"/>
  </si>
  <si>
    <t>冰封装备宝箱</t>
    <phoneticPr fontId="5" type="noConversion"/>
  </si>
  <si>
    <t>经验卷轴</t>
    <phoneticPr fontId="5" type="noConversion"/>
  </si>
  <si>
    <t>勇气之心</t>
    <phoneticPr fontId="5" type="noConversion"/>
  </si>
  <si>
    <t>冰雪之心</t>
    <phoneticPr fontId="5" type="noConversion"/>
  </si>
  <si>
    <t>制作书:炙热战甲</t>
  </si>
  <si>
    <t>制作书:炙热战盔</t>
  </si>
  <si>
    <t>制作书:炙热长裤</t>
  </si>
  <si>
    <t>制作书:炙热手套</t>
  </si>
  <si>
    <t>制作书:炙热腰带</t>
  </si>
  <si>
    <t>制作书:炙热靴子</t>
  </si>
  <si>
    <t>高级止血药</t>
    <phoneticPr fontId="5" type="noConversion"/>
  </si>
  <si>
    <t>高级生命药水</t>
    <phoneticPr fontId="5" type="noConversion"/>
  </si>
  <si>
    <t>经验卷轴</t>
    <phoneticPr fontId="5" type="noConversion"/>
  </si>
  <si>
    <t>制作书:精灵项链</t>
  </si>
  <si>
    <t>制作书:精灵指环</t>
  </si>
  <si>
    <t>制作书:暮色战甲</t>
  </si>
  <si>
    <t>制作书:暮色战盔</t>
  </si>
  <si>
    <t>制作书:暮色长裤</t>
  </si>
  <si>
    <t>制作书:暮色手套</t>
  </si>
  <si>
    <t>制作书:暮色腰带</t>
  </si>
  <si>
    <t>制作书:暮色靴子</t>
  </si>
  <si>
    <t>制作书:暮色饰品</t>
  </si>
  <si>
    <t>遗失的金币袋子</t>
    <phoneticPr fontId="5" type="noConversion"/>
  </si>
  <si>
    <t>高级治愈灵石</t>
    <phoneticPr fontId="5" type="noConversion"/>
  </si>
  <si>
    <t>毁灭</t>
    <phoneticPr fontId="5" type="noConversion"/>
  </si>
  <si>
    <t>艾力克斯的护符</t>
    <phoneticPr fontId="5" type="noConversion"/>
  </si>
  <si>
    <t>制作书:狂暴魔法书</t>
  </si>
  <si>
    <t>制作书:高级治愈灵石</t>
  </si>
  <si>
    <t>制作书:艾力克斯的法术书</t>
  </si>
  <si>
    <t>艾力克斯的头颅</t>
    <phoneticPr fontId="5" type="noConversion"/>
  </si>
  <si>
    <t>永恒装备宝箱</t>
    <phoneticPr fontId="5" type="noConversion"/>
  </si>
  <si>
    <t>难</t>
    <phoneticPr fontId="5" type="noConversion"/>
  </si>
  <si>
    <t>难</t>
    <phoneticPr fontId="5" type="noConversion"/>
  </si>
  <si>
    <t>制作书:熔岩项链</t>
  </si>
  <si>
    <t>制作书:熔岩指环</t>
  </si>
  <si>
    <t>特级生命药水</t>
    <phoneticPr fontId="5" type="noConversion"/>
  </si>
  <si>
    <t>特级止血药</t>
    <phoneticPr fontId="5" type="noConversion"/>
  </si>
  <si>
    <t>遗失的金币袋子</t>
    <phoneticPr fontId="5" type="noConversion"/>
  </si>
  <si>
    <t>制作书:幽冥项链</t>
  </si>
  <si>
    <t>制作书:力量戒指</t>
    <phoneticPr fontId="5" type="noConversion"/>
  </si>
  <si>
    <t>血色之刃</t>
    <phoneticPr fontId="5" type="noConversion"/>
  </si>
  <si>
    <t>骷髅灵饰</t>
    <phoneticPr fontId="5" type="noConversion"/>
  </si>
  <si>
    <t>暮色之心</t>
    <phoneticPr fontId="5" type="noConversion"/>
  </si>
  <si>
    <t>圣光装备宝箱</t>
    <phoneticPr fontId="5" type="noConversion"/>
  </si>
  <si>
    <t>道具列表</t>
    <phoneticPr fontId="5" type="noConversion"/>
  </si>
  <si>
    <t>装备售价系数</t>
    <phoneticPr fontId="5" type="noConversion"/>
  </si>
  <si>
    <t>道具售价系数</t>
    <phoneticPr fontId="5" type="noConversion"/>
  </si>
  <si>
    <t>道具等级</t>
    <phoneticPr fontId="5" type="noConversion"/>
  </si>
  <si>
    <t>基本值</t>
    <phoneticPr fontId="5" type="noConversion"/>
  </si>
  <si>
    <t>出售金币</t>
    <phoneticPr fontId="5" type="noConversion"/>
  </si>
  <si>
    <t>解毒草</t>
  </si>
  <si>
    <t>矿工工具箱</t>
  </si>
  <si>
    <t>证据残片</t>
  </si>
  <si>
    <t>一桶清水</t>
  </si>
  <si>
    <t>村民灵魄</t>
  </si>
  <si>
    <t>毛主席语录</t>
  </si>
  <si>
    <t>地狱领主的法术残片</t>
  </si>
  <si>
    <t>蜘蛛蛋</t>
  </si>
  <si>
    <t>精灵结晶</t>
  </si>
  <si>
    <t>千针石块</t>
  </si>
  <si>
    <t>白熊胆汁</t>
  </si>
  <si>
    <t>勇气之心</t>
  </si>
  <si>
    <t>冰雪之心</t>
  </si>
  <si>
    <t>冰布绸</t>
  </si>
  <si>
    <t>寒冰铁块</t>
  </si>
  <si>
    <t>阿兹里斯的冰魄</t>
  </si>
  <si>
    <t>树皮</t>
  </si>
  <si>
    <t>白熊毛皮</t>
  </si>
  <si>
    <t>僵尸布料</t>
  </si>
  <si>
    <t>岩石碎块</t>
  </si>
  <si>
    <t>暮色结晶</t>
  </si>
  <si>
    <t>上好的木材</t>
  </si>
  <si>
    <t>暮色之心</t>
  </si>
  <si>
    <t>精钢岩石</t>
  </si>
  <si>
    <t>暮色铁块</t>
  </si>
  <si>
    <t>暮色灵石</t>
  </si>
  <si>
    <t>艾力克斯的头颅</t>
  </si>
  <si>
    <t>火龙皮</t>
  </si>
  <si>
    <t>熔岩裂石</t>
  </si>
  <si>
    <t>黑暗骨块</t>
  </si>
  <si>
    <t>黑暗灵魂</t>
  </si>
  <si>
    <t>熔岩炙水</t>
  </si>
  <si>
    <t>熔岩之心</t>
  </si>
  <si>
    <t>上古魔石碎片</t>
  </si>
  <si>
    <t>上古魔石</t>
  </si>
  <si>
    <t>上古卷轴残卷(上)</t>
  </si>
  <si>
    <t>上古卷轴残卷(中)</t>
  </si>
  <si>
    <t>上古卷轴残卷(下)</t>
  </si>
  <si>
    <t>上古卷轴</t>
  </si>
  <si>
    <t>品质</t>
    <phoneticPr fontId="5" type="noConversion"/>
  </si>
  <si>
    <t>炙热布料</t>
  </si>
  <si>
    <t>炙热铁块</t>
  </si>
  <si>
    <t>道具系数</t>
    <phoneticPr fontId="5" type="noConversion"/>
  </si>
  <si>
    <t>购买系数</t>
    <phoneticPr fontId="5" type="noConversion"/>
  </si>
  <si>
    <t>购买金币</t>
    <phoneticPr fontId="5" type="noConversion"/>
  </si>
  <si>
    <t>制作书:力量戒指</t>
  </si>
  <si>
    <t>制作书:地狱领主的盔甲</t>
  </si>
  <si>
    <t>制作书:冰河长裤</t>
  </si>
  <si>
    <t>制作书:帝陨</t>
  </si>
  <si>
    <t>制作书:阿兹里斯的项链</t>
  </si>
  <si>
    <t>制作书:毁灭</t>
  </si>
  <si>
    <t>制作书:艾力克斯的护符</t>
  </si>
  <si>
    <t>出售系数</t>
    <phoneticPr fontId="5" type="noConversion"/>
  </si>
  <si>
    <t>制作书出售系数</t>
    <phoneticPr fontId="5" type="noConversion"/>
  </si>
  <si>
    <t>道具ID</t>
  </si>
  <si>
    <t>道具名称</t>
  </si>
  <si>
    <t>道具数量</t>
  </si>
  <si>
    <t>掉落概率</t>
  </si>
  <si>
    <t>最小数量</t>
  </si>
  <si>
    <t>最大数量</t>
  </si>
  <si>
    <t>普通装备</t>
  </si>
  <si>
    <t>装备</t>
  </si>
  <si>
    <t>金币</t>
  </si>
  <si>
    <t>经验</t>
  </si>
  <si>
    <t>普通材料</t>
  </si>
  <si>
    <t>稀有材料</t>
  </si>
  <si>
    <t>终极材料</t>
  </si>
  <si>
    <t>终极制作书</t>
  </si>
  <si>
    <t>邪灵头盔</t>
  </si>
  <si>
    <t>药水</t>
  </si>
  <si>
    <t>除魔手镯</t>
  </si>
  <si>
    <t>钻石</t>
  </si>
  <si>
    <t>斩灵腰带</t>
  </si>
  <si>
    <t>荣誉</t>
  </si>
  <si>
    <t>战意靴子</t>
  </si>
  <si>
    <t>建筑经验</t>
  </si>
  <si>
    <t>战意头盔</t>
  </si>
  <si>
    <t>骨灵长裤</t>
  </si>
  <si>
    <t>盒子掉落</t>
  </si>
  <si>
    <t>绿色手镯</t>
  </si>
  <si>
    <t>心爱之链</t>
  </si>
  <si>
    <t>灵魂指环</t>
  </si>
  <si>
    <t>旋风靴</t>
  </si>
  <si>
    <t>灵光护符</t>
  </si>
  <si>
    <t>烈焰长裤</t>
  </si>
  <si>
    <t>降魔之刃</t>
  </si>
  <si>
    <t>红宝石戒指</t>
  </si>
  <si>
    <t>梦境项链</t>
  </si>
  <si>
    <t>降魔钢甲</t>
  </si>
  <si>
    <t>宝箱掉落</t>
  </si>
  <si>
    <t>装备掉落</t>
  </si>
  <si>
    <t>鬼魅指环</t>
  </si>
  <si>
    <t>鬼灵护符</t>
  </si>
  <si>
    <t>图纸掉落</t>
  </si>
  <si>
    <t>鬼头斩</t>
  </si>
  <si>
    <t>永恒头盔</t>
  </si>
  <si>
    <t>永恒手镯</t>
  </si>
  <si>
    <t>古旧的法术书</t>
  </si>
  <si>
    <t>永恒腰带</t>
  </si>
  <si>
    <t>闪闪发亮的宝石</t>
  </si>
  <si>
    <t>永恒战靴</t>
  </si>
  <si>
    <t>圣光饰品</t>
  </si>
  <si>
    <t>疾跑护符</t>
  </si>
  <si>
    <t>永恒长裤</t>
  </si>
  <si>
    <t>永恒战链</t>
  </si>
  <si>
    <t>经验卷轴</t>
  </si>
  <si>
    <t>永恒戒指</t>
  </si>
  <si>
    <t>永恒饰品</t>
  </si>
  <si>
    <t>永恒护符</t>
  </si>
  <si>
    <t>图纸</t>
  </si>
  <si>
    <t>金钥匙碎片</t>
  </si>
  <si>
    <t>永恒战刃</t>
  </si>
  <si>
    <t>衣服图纸</t>
  </si>
  <si>
    <t>永恒战甲</t>
  </si>
  <si>
    <t>武器掉落</t>
  </si>
  <si>
    <t>博士的研究成果</t>
  </si>
  <si>
    <t>黑暗魔王之心</t>
  </si>
  <si>
    <t>攻击药水</t>
  </si>
  <si>
    <t>大型攻击药水</t>
  </si>
  <si>
    <t>艾力克斯的石契</t>
  </si>
  <si>
    <t>防御药水</t>
  </si>
  <si>
    <t>大型防御药水</t>
  </si>
  <si>
    <t>无敌药水</t>
  </si>
  <si>
    <t>荣誉徽记</t>
  </si>
  <si>
    <t>繁荣度印章</t>
  </si>
  <si>
    <t>血域装备宝箱</t>
  </si>
  <si>
    <t>冰封装备宝箱</t>
  </si>
  <si>
    <t>圣光装备宝箱</t>
  </si>
  <si>
    <t>永恒装备宝箱</t>
  </si>
  <si>
    <t>月卡奖励</t>
    <phoneticPr fontId="5" type="noConversion"/>
  </si>
  <si>
    <t>10000钻石开启</t>
    <phoneticPr fontId="5" type="noConversion"/>
  </si>
  <si>
    <t>666钻石</t>
    <phoneticPr fontId="5" type="noConversion"/>
  </si>
  <si>
    <t>经验木桩</t>
    <phoneticPr fontId="5" type="noConversion"/>
  </si>
  <si>
    <t>精炼石</t>
    <phoneticPr fontId="5" type="noConversion"/>
  </si>
  <si>
    <t>装备洗炼石</t>
  </si>
  <si>
    <t>后面新增</t>
    <phoneticPr fontId="5" type="noConversion"/>
  </si>
  <si>
    <t>金钥匙碎片</t>
    <phoneticPr fontId="5" type="noConversion"/>
  </si>
  <si>
    <t>村民的信</t>
    <phoneticPr fontId="5" type="noConversion"/>
  </si>
  <si>
    <t>触发等级</t>
    <phoneticPr fontId="5" type="noConversion"/>
  </si>
  <si>
    <t>数量</t>
    <phoneticPr fontId="5" type="noConversion"/>
  </si>
  <si>
    <t>商店价格</t>
    <phoneticPr fontId="5" type="noConversion"/>
  </si>
  <si>
    <t>价格</t>
    <phoneticPr fontId="5" type="noConversion"/>
  </si>
  <si>
    <t>概率</t>
    <phoneticPr fontId="5" type="noConversion"/>
  </si>
  <si>
    <t>倍率</t>
    <phoneticPr fontId="5" type="noConversion"/>
  </si>
  <si>
    <t>触发概率</t>
    <phoneticPr fontId="5" type="noConversion"/>
  </si>
  <si>
    <t>奖励类型</t>
    <phoneticPr fontId="5" type="noConversion"/>
  </si>
  <si>
    <t>月卡奖励</t>
    <phoneticPr fontId="5" type="noConversion"/>
  </si>
  <si>
    <t>钻石</t>
    <phoneticPr fontId="5" type="noConversion"/>
  </si>
  <si>
    <t>道具</t>
    <phoneticPr fontId="5" type="noConversion"/>
  </si>
  <si>
    <t>数量</t>
    <phoneticPr fontId="5" type="noConversion"/>
  </si>
  <si>
    <t>经验木桩</t>
    <phoneticPr fontId="5" type="noConversion"/>
  </si>
  <si>
    <t>金币袋子</t>
    <phoneticPr fontId="5" type="noConversion"/>
  </si>
  <si>
    <t>在线登录</t>
    <phoneticPr fontId="5" type="noConversion"/>
  </si>
  <si>
    <t>赞助礼包</t>
    <phoneticPr fontId="5" type="noConversion"/>
  </si>
  <si>
    <t>额度</t>
    <phoneticPr fontId="5" type="noConversion"/>
  </si>
  <si>
    <t>第1天</t>
    <phoneticPr fontId="5" type="noConversion"/>
  </si>
  <si>
    <t>第2天</t>
  </si>
  <si>
    <t>第3天</t>
  </si>
  <si>
    <t>第4天</t>
  </si>
  <si>
    <t>第5天</t>
  </si>
  <si>
    <t>第6天</t>
  </si>
  <si>
    <t>第7天</t>
  </si>
  <si>
    <t>金钥匙</t>
    <phoneticPr fontId="5" type="noConversion"/>
  </si>
  <si>
    <t>毛皮卷</t>
    <phoneticPr fontId="5" type="noConversion"/>
  </si>
  <si>
    <t>精钢铁块</t>
    <phoneticPr fontId="5" type="noConversion"/>
  </si>
  <si>
    <t>小型止血药</t>
    <phoneticPr fontId="5" type="noConversion"/>
  </si>
  <si>
    <t>金钥匙碎片</t>
    <phoneticPr fontId="5" type="noConversion"/>
  </si>
  <si>
    <t>荣誉徽记</t>
    <phoneticPr fontId="5" type="noConversion"/>
  </si>
  <si>
    <t>装备洗炼石</t>
    <phoneticPr fontId="5" type="noConversion"/>
  </si>
  <si>
    <t>遗失的金币袋子1</t>
    <phoneticPr fontId="5" type="noConversion"/>
  </si>
  <si>
    <t>经验卷轴2</t>
    <phoneticPr fontId="5" type="noConversion"/>
  </si>
  <si>
    <t>经验卷轴3</t>
    <phoneticPr fontId="5" type="noConversion"/>
  </si>
  <si>
    <t>遗失的金币袋子3</t>
    <phoneticPr fontId="5" type="noConversion"/>
  </si>
  <si>
    <t>冷却时间清空卷轴</t>
    <phoneticPr fontId="5" type="noConversion"/>
  </si>
  <si>
    <t>血域盒子</t>
    <phoneticPr fontId="5" type="noConversion"/>
  </si>
  <si>
    <t>传说神器:圣光传说战甲</t>
  </si>
  <si>
    <t>血域盒子*2</t>
    <phoneticPr fontId="5" type="noConversion"/>
  </si>
  <si>
    <t>永恒盒子*2</t>
    <phoneticPr fontId="5" type="noConversion"/>
  </si>
  <si>
    <t>圣光盒子*2</t>
    <phoneticPr fontId="5" type="noConversion"/>
  </si>
  <si>
    <t>冰封盒子*2</t>
    <phoneticPr fontId="5" type="noConversion"/>
  </si>
  <si>
    <t>血域战刃</t>
    <phoneticPr fontId="5" type="noConversion"/>
  </si>
  <si>
    <t>血域战刃</t>
    <phoneticPr fontId="5" type="noConversion"/>
  </si>
  <si>
    <t>冰封盒子</t>
    <phoneticPr fontId="5" type="noConversion"/>
  </si>
  <si>
    <t>冰封战刃</t>
    <phoneticPr fontId="5" type="noConversion"/>
  </si>
  <si>
    <t>冰封战刃</t>
    <phoneticPr fontId="5" type="noConversion"/>
  </si>
  <si>
    <t>永恒盒子</t>
    <phoneticPr fontId="5" type="noConversion"/>
  </si>
  <si>
    <t>永恒战刃</t>
    <phoneticPr fontId="5" type="noConversion"/>
  </si>
  <si>
    <t>永恒战刃</t>
    <phoneticPr fontId="5" type="noConversion"/>
  </si>
  <si>
    <t>圣光盒子</t>
    <phoneticPr fontId="5" type="noConversion"/>
  </si>
  <si>
    <t>圣光战刃</t>
    <phoneticPr fontId="5" type="noConversion"/>
  </si>
  <si>
    <t>圣光战刃</t>
    <phoneticPr fontId="5" type="noConversion"/>
  </si>
  <si>
    <t>传说:圣光战刃制作书</t>
  </si>
  <si>
    <t>传说:圣光战甲制作书</t>
  </si>
  <si>
    <t>圣光装备宝箱</t>
    <phoneticPr fontId="5" type="noConversion"/>
  </si>
</sst>
</file>

<file path=xl/styles.xml><?xml version="1.0" encoding="utf-8"?>
<styleSheet xmlns="http://schemas.openxmlformats.org/spreadsheetml/2006/main">
  <fonts count="35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0"/>
      <name val="宋体"/>
      <family val="3"/>
      <charset val="134"/>
      <scheme val="maj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ajor"/>
    </font>
    <font>
      <sz val="10"/>
      <color theme="1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rgb="FFFF000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Tahoma"/>
      <family val="2"/>
      <charset val="134"/>
    </font>
    <font>
      <b/>
      <sz val="10"/>
      <color theme="1"/>
      <name val="宋体"/>
      <family val="2"/>
      <scheme val="minor"/>
    </font>
    <font>
      <sz val="1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7558519241921"/>
      </top>
      <bottom style="hair">
        <color theme="1" tint="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7558519241921"/>
      </top>
      <bottom style="thin">
        <color theme="4" tint="0.39997558519241921"/>
      </bottom>
      <diagonal/>
    </border>
  </borders>
  <cellStyleXfs count="193">
    <xf numFmtId="0" fontId="0" fillId="0" borderId="0"/>
    <xf numFmtId="0" fontId="14" fillId="0" borderId="0"/>
    <xf numFmtId="0" fontId="13" fillId="0" borderId="0"/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5" fillId="10" borderId="14" applyNumberFormat="0" applyAlignment="0" applyProtection="0">
      <alignment vertical="center"/>
    </xf>
    <xf numFmtId="0" fontId="26" fillId="10" borderId="13" applyNumberFormat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11" borderId="16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12" borderId="17" applyNumberFormat="0" applyFont="0" applyAlignment="0" applyProtection="0">
      <alignment vertical="center"/>
    </xf>
    <xf numFmtId="0" fontId="13" fillId="0" borderId="0"/>
    <xf numFmtId="0" fontId="3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2" borderId="17" applyNumberFormat="0" applyFont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17" applyNumberFormat="0" applyFont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7" applyNumberFormat="0" applyFont="0" applyAlignment="0" applyProtection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17" applyNumberFormat="0" applyFont="0" applyAlignment="0" applyProtection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17" applyNumberFormat="0" applyFont="0" applyAlignment="0" applyProtection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17" applyNumberFormat="0" applyFont="0" applyAlignment="0" applyProtection="0">
      <alignment vertical="center"/>
    </xf>
    <xf numFmtId="0" fontId="1" fillId="0" borderId="0">
      <alignment vertical="center"/>
    </xf>
  </cellStyleXfs>
  <cellXfs count="136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49" fontId="6" fillId="5" borderId="4" xfId="0" applyNumberFormat="1" applyFont="1" applyFill="1" applyBorder="1" applyAlignment="1">
      <alignment horizontal="center" vertical="center"/>
    </xf>
    <xf numFmtId="49" fontId="6" fillId="5" borderId="5" xfId="0" applyNumberFormat="1" applyFont="1" applyFill="1" applyBorder="1" applyAlignment="1">
      <alignment horizontal="center" vertical="center"/>
    </xf>
    <xf numFmtId="0" fontId="8" fillId="0" borderId="0" xfId="0" applyFont="1"/>
    <xf numFmtId="0" fontId="6" fillId="0" borderId="0" xfId="0" applyFont="1"/>
    <xf numFmtId="0" fontId="6" fillId="0" borderId="0" xfId="0" applyFont="1" applyFill="1" applyBorder="1"/>
    <xf numFmtId="0" fontId="0" fillId="0" borderId="0" xfId="0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NumberFormat="1"/>
    <xf numFmtId="0" fontId="6" fillId="3" borderId="2" xfId="0" applyFont="1" applyFill="1" applyBorder="1" applyAlignment="1">
      <alignment horizontal="center" vertical="center"/>
    </xf>
    <xf numFmtId="49" fontId="6" fillId="5" borderId="9" xfId="0" applyNumberFormat="1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9" fillId="0" borderId="0" xfId="0" applyNumberFormat="1" applyFont="1" applyAlignment="1">
      <alignment vertical="center"/>
    </xf>
    <xf numFmtId="0" fontId="9" fillId="0" borderId="0" xfId="0" applyNumberFormat="1" applyFont="1" applyAlignment="1">
      <alignment horizontal="center" vertical="center"/>
    </xf>
    <xf numFmtId="0" fontId="9" fillId="0" borderId="0" xfId="0" applyFont="1"/>
    <xf numFmtId="0" fontId="4" fillId="2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49" fontId="10" fillId="5" borderId="0" xfId="0" applyNumberFormat="1" applyFont="1" applyFill="1" applyBorder="1" applyAlignment="1">
      <alignment horizontal="center" vertical="center"/>
    </xf>
    <xf numFmtId="0" fontId="6" fillId="5" borderId="0" xfId="0" applyNumberFormat="1" applyFont="1" applyFill="1" applyBorder="1" applyAlignment="1">
      <alignment horizontal="center" vertical="center"/>
    </xf>
    <xf numFmtId="0" fontId="6" fillId="5" borderId="7" xfId="0" applyNumberFormat="1" applyFont="1" applyFill="1" applyBorder="1" applyAlignment="1">
      <alignment horizontal="center" vertical="center"/>
    </xf>
    <xf numFmtId="49" fontId="6" fillId="5" borderId="7" xfId="0" applyNumberFormat="1" applyFont="1" applyFill="1" applyBorder="1" applyAlignment="1">
      <alignment horizontal="center" vertical="center"/>
    </xf>
    <xf numFmtId="49" fontId="6" fillId="5" borderId="4" xfId="0" applyNumberFormat="1" applyFont="1" applyFill="1" applyBorder="1" applyAlignment="1">
      <alignment horizontal="center" vertical="center"/>
    </xf>
    <xf numFmtId="0" fontId="6" fillId="5" borderId="4" xfId="0" applyNumberFormat="1" applyFont="1" applyFill="1" applyBorder="1" applyAlignment="1">
      <alignment horizontal="center" vertical="center"/>
    </xf>
    <xf numFmtId="49" fontId="10" fillId="5" borderId="7" xfId="0" applyNumberFormat="1" applyFont="1" applyFill="1" applyBorder="1" applyAlignment="1">
      <alignment horizontal="center" vertical="center"/>
    </xf>
    <xf numFmtId="0" fontId="6" fillId="5" borderId="8" xfId="0" applyNumberFormat="1" applyFont="1" applyFill="1" applyBorder="1" applyAlignment="1">
      <alignment horizontal="center" vertical="center"/>
    </xf>
    <xf numFmtId="49" fontId="10" fillId="5" borderId="7" xfId="0" applyNumberFormat="1" applyFont="1" applyFill="1" applyBorder="1" applyAlignment="1">
      <alignment horizontal="center" vertical="center"/>
    </xf>
    <xf numFmtId="49" fontId="10" fillId="5" borderId="4" xfId="0" applyNumberFormat="1" applyFont="1" applyFill="1" applyBorder="1" applyAlignment="1">
      <alignment horizontal="center" vertical="center"/>
    </xf>
    <xf numFmtId="49" fontId="10" fillId="5" borderId="8" xfId="0" applyNumberFormat="1" applyFont="1" applyFill="1" applyBorder="1" applyAlignment="1">
      <alignment horizontal="center" vertical="center"/>
    </xf>
    <xf numFmtId="49" fontId="6" fillId="5" borderId="8" xfId="0" applyNumberFormat="1" applyFont="1" applyFill="1" applyBorder="1" applyAlignment="1">
      <alignment horizontal="center" vertical="center"/>
    </xf>
    <xf numFmtId="0" fontId="6" fillId="5" borderId="8" xfId="0" applyNumberFormat="1" applyFont="1" applyFill="1" applyBorder="1" applyAlignment="1">
      <alignment horizontal="center" vertical="center"/>
    </xf>
    <xf numFmtId="0" fontId="0" fillId="0" borderId="0" xfId="0"/>
    <xf numFmtId="0" fontId="6" fillId="5" borderId="4" xfId="0" applyNumberFormat="1" applyFont="1" applyFill="1" applyBorder="1" applyAlignment="1">
      <alignment horizontal="center" vertical="center"/>
    </xf>
    <xf numFmtId="0" fontId="0" fillId="0" borderId="0" xfId="0"/>
    <xf numFmtId="49" fontId="6" fillId="5" borderId="8" xfId="0" applyNumberFormat="1" applyFont="1" applyFill="1" applyBorder="1" applyAlignment="1">
      <alignment horizontal="center" vertical="center"/>
    </xf>
    <xf numFmtId="0" fontId="6" fillId="5" borderId="4" xfId="0" applyNumberFormat="1" applyFont="1" applyFill="1" applyBorder="1" applyAlignment="1">
      <alignment horizontal="center" vertical="center"/>
    </xf>
    <xf numFmtId="49" fontId="10" fillId="5" borderId="7" xfId="0" applyNumberFormat="1" applyFont="1" applyFill="1" applyBorder="1" applyAlignment="1">
      <alignment horizontal="center" vertical="center"/>
    </xf>
    <xf numFmtId="49" fontId="10" fillId="5" borderId="4" xfId="0" applyNumberFormat="1" applyFont="1" applyFill="1" applyBorder="1" applyAlignment="1">
      <alignment horizontal="center" vertical="center"/>
    </xf>
    <xf numFmtId="49" fontId="10" fillId="5" borderId="8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5" borderId="7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6" fillId="5" borderId="8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6" fillId="5" borderId="7" xfId="0" applyNumberFormat="1" applyFont="1" applyFill="1" applyBorder="1" applyAlignment="1">
      <alignment horizontal="center" vertical="center"/>
    </xf>
    <xf numFmtId="49" fontId="16" fillId="5" borderId="7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5" borderId="9" xfId="0" applyNumberFormat="1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10" fillId="5" borderId="7" xfId="0" applyNumberFormat="1" applyFont="1" applyFill="1" applyBorder="1" applyAlignment="1">
      <alignment horizontal="center" vertical="center"/>
    </xf>
    <xf numFmtId="49" fontId="16" fillId="5" borderId="7" xfId="0" applyNumberFormat="1" applyFont="1" applyFill="1" applyBorder="1" applyAlignment="1">
      <alignment horizontal="center" vertical="center"/>
    </xf>
    <xf numFmtId="49" fontId="16" fillId="5" borderId="8" xfId="0" applyNumberFormat="1" applyFont="1" applyFill="1" applyBorder="1" applyAlignment="1">
      <alignment horizontal="center" vertical="center"/>
    </xf>
    <xf numFmtId="49" fontId="16" fillId="5" borderId="4" xfId="0" applyNumberFormat="1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49" fontId="10" fillId="5" borderId="7" xfId="0" applyNumberFormat="1" applyFont="1" applyFill="1" applyBorder="1" applyAlignment="1">
      <alignment horizontal="center" vertical="center"/>
    </xf>
    <xf numFmtId="49" fontId="16" fillId="5" borderId="19" xfId="0" applyNumberFormat="1" applyFont="1" applyFill="1" applyBorder="1" applyAlignment="1">
      <alignment horizontal="center" vertical="center"/>
    </xf>
    <xf numFmtId="49" fontId="6" fillId="5" borderId="4" xfId="0" applyNumberFormat="1" applyFont="1" applyFill="1" applyBorder="1" applyAlignment="1">
      <alignment horizontal="center" vertical="center"/>
    </xf>
    <xf numFmtId="0" fontId="6" fillId="5" borderId="4" xfId="0" applyNumberFormat="1" applyFont="1" applyFill="1" applyBorder="1" applyAlignment="1">
      <alignment horizontal="center" vertical="center"/>
    </xf>
    <xf numFmtId="49" fontId="6" fillId="5" borderId="7" xfId="0" applyNumberFormat="1" applyFont="1" applyFill="1" applyBorder="1" applyAlignment="1">
      <alignment horizontal="center" vertical="center"/>
    </xf>
    <xf numFmtId="0" fontId="6" fillId="5" borderId="8" xfId="0" applyNumberFormat="1" applyFont="1" applyFill="1" applyBorder="1" applyAlignment="1">
      <alignment horizontal="center" vertical="center"/>
    </xf>
    <xf numFmtId="0" fontId="6" fillId="5" borderId="7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 vertical="center"/>
    </xf>
    <xf numFmtId="49" fontId="6" fillId="5" borderId="7" xfId="0" applyNumberFormat="1" applyFont="1" applyFill="1" applyBorder="1" applyAlignment="1">
      <alignment horizontal="center" vertical="center"/>
    </xf>
    <xf numFmtId="0" fontId="6" fillId="5" borderId="7" xfId="0" applyNumberFormat="1" applyFont="1" applyFill="1" applyBorder="1" applyAlignment="1">
      <alignment horizontal="center" vertical="center"/>
    </xf>
    <xf numFmtId="49" fontId="6" fillId="5" borderId="9" xfId="0" applyNumberFormat="1" applyFont="1" applyFill="1" applyBorder="1" applyAlignment="1">
      <alignment horizontal="center" vertical="center"/>
    </xf>
    <xf numFmtId="0" fontId="6" fillId="5" borderId="9" xfId="0" applyNumberFormat="1" applyFont="1" applyFill="1" applyBorder="1" applyAlignment="1">
      <alignment horizontal="center" vertical="center"/>
    </xf>
    <xf numFmtId="49" fontId="16" fillId="5" borderId="7" xfId="0" applyNumberFormat="1" applyFont="1" applyFill="1" applyBorder="1" applyAlignment="1">
      <alignment horizontal="center" vertical="center"/>
    </xf>
    <xf numFmtId="0" fontId="16" fillId="5" borderId="7" xfId="0" applyNumberFormat="1" applyFont="1" applyFill="1" applyBorder="1" applyAlignment="1">
      <alignment horizontal="center" vertical="center"/>
    </xf>
    <xf numFmtId="49" fontId="16" fillId="5" borderId="9" xfId="0" applyNumberFormat="1" applyFont="1" applyFill="1" applyBorder="1" applyAlignment="1">
      <alignment horizontal="center" vertical="center"/>
    </xf>
    <xf numFmtId="49" fontId="16" fillId="5" borderId="5" xfId="0" applyNumberFormat="1" applyFont="1" applyFill="1" applyBorder="1" applyAlignment="1">
      <alignment horizontal="center" vertical="center"/>
    </xf>
    <xf numFmtId="49" fontId="10" fillId="5" borderId="7" xfId="0" applyNumberFormat="1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49" fontId="16" fillId="5" borderId="20" xfId="0" applyNumberFormat="1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49" fontId="16" fillId="5" borderId="0" xfId="0" applyNumberFormat="1" applyFont="1" applyFill="1" applyBorder="1" applyAlignment="1">
      <alignment horizontal="center" vertical="center"/>
    </xf>
    <xf numFmtId="49" fontId="6" fillId="5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/>
    </xf>
    <xf numFmtId="0" fontId="8" fillId="5" borderId="7" xfId="0" applyNumberFormat="1" applyFont="1" applyFill="1" applyBorder="1" applyAlignment="1">
      <alignment horizontal="center" vertical="center"/>
    </xf>
    <xf numFmtId="49" fontId="8" fillId="5" borderId="7" xfId="0" applyNumberFormat="1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/>
    </xf>
    <xf numFmtId="0" fontId="8" fillId="5" borderId="9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6" fillId="5" borderId="7" xfId="0" applyNumberFormat="1" applyFont="1" applyFill="1" applyBorder="1" applyAlignment="1">
      <alignment horizontal="center" vertical="center"/>
    </xf>
    <xf numFmtId="0" fontId="6" fillId="5" borderId="7" xfId="0" applyNumberFormat="1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4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4" xfId="0" applyNumberFormat="1" applyFont="1" applyFill="1" applyBorder="1" applyAlignment="1">
      <alignment horizontal="center" vertical="center"/>
    </xf>
    <xf numFmtId="0" fontId="10" fillId="5" borderId="7" xfId="0" applyNumberFormat="1" applyFont="1" applyFill="1" applyBorder="1" applyAlignment="1">
      <alignment horizontal="center" vertical="center"/>
    </xf>
    <xf numFmtId="49" fontId="10" fillId="5" borderId="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5" borderId="7" xfId="0" applyNumberFormat="1" applyFont="1" applyFill="1" applyBorder="1" applyAlignment="1">
      <alignment horizontal="center" vertical="center"/>
    </xf>
    <xf numFmtId="49" fontId="6" fillId="5" borderId="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7" xfId="0" applyNumberFormat="1" applyFont="1" applyFill="1" applyBorder="1" applyAlignment="1">
      <alignment horizontal="center" vertical="center"/>
    </xf>
    <xf numFmtId="49" fontId="6" fillId="5" borderId="7" xfId="0" applyNumberFormat="1" applyFont="1" applyFill="1" applyBorder="1" applyAlignment="1">
      <alignment horizontal="center" vertical="center"/>
    </xf>
    <xf numFmtId="0" fontId="6" fillId="5" borderId="4" xfId="0" applyNumberFormat="1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</cellXfs>
  <cellStyles count="193">
    <cellStyle name="20% - 强调文字颜色 1" xfId="20" builtinId="30" customBuiltin="1"/>
    <cellStyle name="20% - 强调文字颜色 1 2" xfId="49"/>
    <cellStyle name="20% - 强调文字颜色 1 2 2" xfId="113"/>
    <cellStyle name="20% - 强调文字颜色 1 2 2 2" xfId="177"/>
    <cellStyle name="20% - 强调文字颜色 1 2 3" xfId="81"/>
    <cellStyle name="20% - 强调文字颜色 1 2 4" xfId="145"/>
    <cellStyle name="20% - 强调文字颜色 1 3" xfId="97"/>
    <cellStyle name="20% - 强调文字颜色 1 3 2" xfId="161"/>
    <cellStyle name="20% - 强调文字颜色 1 4" xfId="66"/>
    <cellStyle name="20% - 强调文字颜色 1 5" xfId="130"/>
    <cellStyle name="20% - 强调文字颜色 2" xfId="24" builtinId="34" customBuiltin="1"/>
    <cellStyle name="20% - 强调文字颜色 2 2" xfId="51"/>
    <cellStyle name="20% - 强调文字颜色 2 2 2" xfId="115"/>
    <cellStyle name="20% - 强调文字颜色 2 2 2 2" xfId="179"/>
    <cellStyle name="20% - 强调文字颜色 2 2 3" xfId="83"/>
    <cellStyle name="20% - 强调文字颜色 2 2 4" xfId="147"/>
    <cellStyle name="20% - 强调文字颜色 2 3" xfId="99"/>
    <cellStyle name="20% - 强调文字颜色 2 3 2" xfId="163"/>
    <cellStyle name="20% - 强调文字颜色 2 4" xfId="68"/>
    <cellStyle name="20% - 强调文字颜色 2 5" xfId="132"/>
    <cellStyle name="20% - 强调文字颜色 3" xfId="28" builtinId="38" customBuiltin="1"/>
    <cellStyle name="20% - 强调文字颜色 3 2" xfId="53"/>
    <cellStyle name="20% - 强调文字颜色 3 2 2" xfId="117"/>
    <cellStyle name="20% - 强调文字颜色 3 2 2 2" xfId="181"/>
    <cellStyle name="20% - 强调文字颜色 3 2 3" xfId="85"/>
    <cellStyle name="20% - 强调文字颜色 3 2 4" xfId="149"/>
    <cellStyle name="20% - 强调文字颜色 3 3" xfId="101"/>
    <cellStyle name="20% - 强调文字颜色 3 3 2" xfId="165"/>
    <cellStyle name="20% - 强调文字颜色 3 4" xfId="70"/>
    <cellStyle name="20% - 强调文字颜色 3 5" xfId="134"/>
    <cellStyle name="20% - 强调文字颜色 4" xfId="32" builtinId="42" customBuiltin="1"/>
    <cellStyle name="20% - 强调文字颜色 4 2" xfId="55"/>
    <cellStyle name="20% - 强调文字颜色 4 2 2" xfId="119"/>
    <cellStyle name="20% - 强调文字颜色 4 2 2 2" xfId="183"/>
    <cellStyle name="20% - 强调文字颜色 4 2 3" xfId="87"/>
    <cellStyle name="20% - 强调文字颜色 4 2 4" xfId="151"/>
    <cellStyle name="20% - 强调文字颜色 4 3" xfId="103"/>
    <cellStyle name="20% - 强调文字颜色 4 3 2" xfId="167"/>
    <cellStyle name="20% - 强调文字颜色 4 4" xfId="72"/>
    <cellStyle name="20% - 强调文字颜色 4 5" xfId="136"/>
    <cellStyle name="20% - 强调文字颜色 5" xfId="36" builtinId="46" customBuiltin="1"/>
    <cellStyle name="20% - 强调文字颜色 5 2" xfId="57"/>
    <cellStyle name="20% - 强调文字颜色 5 2 2" xfId="121"/>
    <cellStyle name="20% - 强调文字颜色 5 2 2 2" xfId="185"/>
    <cellStyle name="20% - 强调文字颜色 5 2 3" xfId="89"/>
    <cellStyle name="20% - 强调文字颜色 5 2 4" xfId="153"/>
    <cellStyle name="20% - 强调文字颜色 5 3" xfId="105"/>
    <cellStyle name="20% - 强调文字颜色 5 3 2" xfId="169"/>
    <cellStyle name="20% - 强调文字颜色 5 4" xfId="74"/>
    <cellStyle name="20% - 强调文字颜色 5 5" xfId="138"/>
    <cellStyle name="20% - 强调文字颜色 6" xfId="40" builtinId="50" customBuiltin="1"/>
    <cellStyle name="20% - 强调文字颜色 6 2" xfId="59"/>
    <cellStyle name="20% - 强调文字颜色 6 2 2" xfId="123"/>
    <cellStyle name="20% - 强调文字颜色 6 2 2 2" xfId="187"/>
    <cellStyle name="20% - 强调文字颜色 6 2 3" xfId="91"/>
    <cellStyle name="20% - 强调文字颜色 6 2 4" xfId="155"/>
    <cellStyle name="20% - 强调文字颜色 6 3" xfId="107"/>
    <cellStyle name="20% - 强调文字颜色 6 3 2" xfId="171"/>
    <cellStyle name="20% - 强调文字颜色 6 4" xfId="76"/>
    <cellStyle name="20% - 强调文字颜色 6 5" xfId="140"/>
    <cellStyle name="40% - 强调文字颜色 1" xfId="21" builtinId="31" customBuiltin="1"/>
    <cellStyle name="40% - 强调文字颜色 1 2" xfId="50"/>
    <cellStyle name="40% - 强调文字颜色 1 2 2" xfId="114"/>
    <cellStyle name="40% - 强调文字颜色 1 2 2 2" xfId="178"/>
    <cellStyle name="40% - 强调文字颜色 1 2 3" xfId="82"/>
    <cellStyle name="40% - 强调文字颜色 1 2 4" xfId="146"/>
    <cellStyle name="40% - 强调文字颜色 1 3" xfId="98"/>
    <cellStyle name="40% - 强调文字颜色 1 3 2" xfId="162"/>
    <cellStyle name="40% - 强调文字颜色 1 4" xfId="67"/>
    <cellStyle name="40% - 强调文字颜色 1 5" xfId="131"/>
    <cellStyle name="40% - 强调文字颜色 2" xfId="25" builtinId="35" customBuiltin="1"/>
    <cellStyle name="40% - 强调文字颜色 2 2" xfId="52"/>
    <cellStyle name="40% - 强调文字颜色 2 2 2" xfId="116"/>
    <cellStyle name="40% - 强调文字颜色 2 2 2 2" xfId="180"/>
    <cellStyle name="40% - 强调文字颜色 2 2 3" xfId="84"/>
    <cellStyle name="40% - 强调文字颜色 2 2 4" xfId="148"/>
    <cellStyle name="40% - 强调文字颜色 2 3" xfId="100"/>
    <cellStyle name="40% - 强调文字颜色 2 3 2" xfId="164"/>
    <cellStyle name="40% - 强调文字颜色 2 4" xfId="69"/>
    <cellStyle name="40% - 强调文字颜色 2 5" xfId="133"/>
    <cellStyle name="40% - 强调文字颜色 3" xfId="29" builtinId="39" customBuiltin="1"/>
    <cellStyle name="40% - 强调文字颜色 3 2" xfId="54"/>
    <cellStyle name="40% - 强调文字颜色 3 2 2" xfId="118"/>
    <cellStyle name="40% - 强调文字颜色 3 2 2 2" xfId="182"/>
    <cellStyle name="40% - 强调文字颜色 3 2 3" xfId="86"/>
    <cellStyle name="40% - 强调文字颜色 3 2 4" xfId="150"/>
    <cellStyle name="40% - 强调文字颜色 3 3" xfId="102"/>
    <cellStyle name="40% - 强调文字颜色 3 3 2" xfId="166"/>
    <cellStyle name="40% - 强调文字颜色 3 4" xfId="71"/>
    <cellStyle name="40% - 强调文字颜色 3 5" xfId="135"/>
    <cellStyle name="40% - 强调文字颜色 4" xfId="33" builtinId="43" customBuiltin="1"/>
    <cellStyle name="40% - 强调文字颜色 4 2" xfId="56"/>
    <cellStyle name="40% - 强调文字颜色 4 2 2" xfId="120"/>
    <cellStyle name="40% - 强调文字颜色 4 2 2 2" xfId="184"/>
    <cellStyle name="40% - 强调文字颜色 4 2 3" xfId="88"/>
    <cellStyle name="40% - 强调文字颜色 4 2 4" xfId="152"/>
    <cellStyle name="40% - 强调文字颜色 4 3" xfId="104"/>
    <cellStyle name="40% - 强调文字颜色 4 3 2" xfId="168"/>
    <cellStyle name="40% - 强调文字颜色 4 4" xfId="73"/>
    <cellStyle name="40% - 强调文字颜色 4 5" xfId="137"/>
    <cellStyle name="40% - 强调文字颜色 5" xfId="37" builtinId="47" customBuiltin="1"/>
    <cellStyle name="40% - 强调文字颜色 5 2" xfId="58"/>
    <cellStyle name="40% - 强调文字颜色 5 2 2" xfId="122"/>
    <cellStyle name="40% - 强调文字颜色 5 2 2 2" xfId="186"/>
    <cellStyle name="40% - 强调文字颜色 5 2 3" xfId="90"/>
    <cellStyle name="40% - 强调文字颜色 5 2 4" xfId="154"/>
    <cellStyle name="40% - 强调文字颜色 5 3" xfId="106"/>
    <cellStyle name="40% - 强调文字颜色 5 3 2" xfId="170"/>
    <cellStyle name="40% - 强调文字颜色 5 4" xfId="75"/>
    <cellStyle name="40% - 强调文字颜色 5 5" xfId="139"/>
    <cellStyle name="40% - 强调文字颜色 6" xfId="41" builtinId="51" customBuiltin="1"/>
    <cellStyle name="40% - 强调文字颜色 6 2" xfId="60"/>
    <cellStyle name="40% - 强调文字颜色 6 2 2" xfId="124"/>
    <cellStyle name="40% - 强调文字颜色 6 2 2 2" xfId="188"/>
    <cellStyle name="40% - 强调文字颜色 6 2 3" xfId="92"/>
    <cellStyle name="40% - 强调文字颜色 6 2 4" xfId="156"/>
    <cellStyle name="40% - 强调文字颜色 6 3" xfId="108"/>
    <cellStyle name="40% - 强调文字颜色 6 3 2" xfId="172"/>
    <cellStyle name="40% - 强调文字颜色 6 4" xfId="77"/>
    <cellStyle name="40% - 强调文字颜色 6 5" xfId="141"/>
    <cellStyle name="60% - 强调文字颜色 1" xfId="22" builtinId="32" customBuiltin="1"/>
    <cellStyle name="60% - 强调文字颜色 2" xfId="26" builtinId="36" customBuiltin="1"/>
    <cellStyle name="60% - 强调文字颜色 3" xfId="30" builtinId="40" customBuiltin="1"/>
    <cellStyle name="60% - 强调文字颜色 4" xfId="34" builtinId="44" customBuiltin="1"/>
    <cellStyle name="60% - 强调文字颜色 5" xfId="38" builtinId="48" customBuiltin="1"/>
    <cellStyle name="60% - 强调文字颜色 6" xfId="42" builtinId="52" customBuiltin="1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2"/>
    <cellStyle name="常规 2 2" xfId="44"/>
    <cellStyle name="常规 2 3" xfId="43"/>
    <cellStyle name="常规 2 3 2" xfId="48"/>
    <cellStyle name="常规 2 3 2 2" xfId="64"/>
    <cellStyle name="常规 2 3 2 2 2" xfId="128"/>
    <cellStyle name="常规 2 3 2 2 2 2" xfId="192"/>
    <cellStyle name="常规 2 3 2 2 3" xfId="96"/>
    <cellStyle name="常规 2 3 2 2 4" xfId="160"/>
    <cellStyle name="常规 2 3 2 3" xfId="112"/>
    <cellStyle name="常规 2 3 2 3 2" xfId="176"/>
    <cellStyle name="常规 2 3 2 4" xfId="80"/>
    <cellStyle name="常规 2 3 2 5" xfId="144"/>
    <cellStyle name="常规 2 3 3" xfId="61"/>
    <cellStyle name="常规 2 3 3 2" xfId="125"/>
    <cellStyle name="常规 2 3 3 2 2" xfId="189"/>
    <cellStyle name="常规 2 3 3 3" xfId="93"/>
    <cellStyle name="常规 2 3 3 4" xfId="157"/>
    <cellStyle name="常规 2 3 4" xfId="109"/>
    <cellStyle name="常规 2 3 4 2" xfId="173"/>
    <cellStyle name="常规 2 3 5" xfId="65"/>
    <cellStyle name="常规 2 3 6" xfId="129"/>
    <cellStyle name="常规 3" xfId="1"/>
    <cellStyle name="常规 4" xfId="47"/>
    <cellStyle name="常规 5" xfId="45"/>
    <cellStyle name="常规 5 2" xfId="62"/>
    <cellStyle name="常规 5 2 2" xfId="126"/>
    <cellStyle name="常规 5 2 2 2" xfId="190"/>
    <cellStyle name="常规 5 2 3" xfId="94"/>
    <cellStyle name="常规 5 2 4" xfId="158"/>
    <cellStyle name="常规 5 3" xfId="110"/>
    <cellStyle name="常规 5 3 2" xfId="174"/>
    <cellStyle name="常规 5 4" xfId="78"/>
    <cellStyle name="常规 5 5" xfId="142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强调文字颜色 1" xfId="19" builtinId="29" customBuiltin="1"/>
    <cellStyle name="强调文字颜色 2" xfId="23" builtinId="33" customBuiltin="1"/>
    <cellStyle name="强调文字颜色 3" xfId="27" builtinId="37" customBuiltin="1"/>
    <cellStyle name="强调文字颜色 4" xfId="31" builtinId="41" customBuiltin="1"/>
    <cellStyle name="强调文字颜色 5" xfId="35" builtinId="45" customBuiltin="1"/>
    <cellStyle name="强调文字颜色 6" xfId="39" builtinId="49" customBuiltin="1"/>
    <cellStyle name="适中" xfId="10" builtinId="28" customBuiltin="1"/>
    <cellStyle name="输出" xfId="12" builtinId="21" customBuiltin="1"/>
    <cellStyle name="输入" xfId="11" builtinId="20" customBuiltin="1"/>
    <cellStyle name="注释 2" xfId="46"/>
    <cellStyle name="注释 2 2" xfId="63"/>
    <cellStyle name="注释 2 2 2" xfId="127"/>
    <cellStyle name="注释 2 2 2 2" xfId="191"/>
    <cellStyle name="注释 2 2 3" xfId="95"/>
    <cellStyle name="注释 2 2 4" xfId="159"/>
    <cellStyle name="注释 2 3" xfId="111"/>
    <cellStyle name="注释 2 3 2" xfId="175"/>
    <cellStyle name="注释 2 4" xfId="79"/>
    <cellStyle name="注释 2 5" xfId="143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504825</xdr:colOff>
      <xdr:row>59</xdr:row>
      <xdr:rowOff>9525</xdr:rowOff>
    </xdr:from>
    <xdr:to>
      <xdr:col>14</xdr:col>
      <xdr:colOff>313521</xdr:colOff>
      <xdr:row>69</xdr:row>
      <xdr:rowOff>142644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38750" y="13935075"/>
          <a:ext cx="6428571" cy="1847619"/>
        </a:xfrm>
        <a:prstGeom prst="rect">
          <a:avLst/>
        </a:prstGeom>
      </xdr:spPr>
    </xdr:pic>
    <xdr:clientData/>
  </xdr:twoCellAnchor>
  <xdr:twoCellAnchor editAs="oneCell">
    <xdr:from>
      <xdr:col>6</xdr:col>
      <xdr:colOff>514350</xdr:colOff>
      <xdr:row>71</xdr:row>
      <xdr:rowOff>142875</xdr:rowOff>
    </xdr:from>
    <xdr:to>
      <xdr:col>14</xdr:col>
      <xdr:colOff>8761</xdr:colOff>
      <xdr:row>82</xdr:row>
      <xdr:rowOff>95020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248275" y="16125825"/>
          <a:ext cx="6114286" cy="183809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.Sc-201406252341\Desktop\&#26032;&#24314;&#25991;&#20214;&#22841;%20(2)\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X_GameDemo\S_&#25968;&#25454;&#34920;\Item_Templa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X_GameDemo\3.&#25968;&#20540;&#25991;&#26723;\&#32463;&#39564;&#349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X_GameDemo/S_&#25968;&#25454;&#34920;/Item_Templat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经验表"/>
      <sheetName val="怪物经验"/>
    </sheetNames>
    <sheetDataSet>
      <sheetData sheetId="0">
        <row r="2">
          <cell r="E2">
            <v>2.5</v>
          </cell>
        </row>
        <row r="3">
          <cell r="E3">
            <v>5.5</v>
          </cell>
        </row>
        <row r="4">
          <cell r="E4">
            <v>8</v>
          </cell>
        </row>
        <row r="5">
          <cell r="E5">
            <v>10</v>
          </cell>
        </row>
        <row r="6">
          <cell r="E6">
            <v>12</v>
          </cell>
        </row>
        <row r="7">
          <cell r="E7">
            <v>17</v>
          </cell>
        </row>
        <row r="8">
          <cell r="E8">
            <v>22</v>
          </cell>
        </row>
        <row r="9">
          <cell r="E9">
            <v>27</v>
          </cell>
        </row>
        <row r="10">
          <cell r="E10">
            <v>32</v>
          </cell>
        </row>
        <row r="11">
          <cell r="E11">
            <v>42</v>
          </cell>
        </row>
        <row r="12">
          <cell r="E12">
            <v>52</v>
          </cell>
        </row>
        <row r="13">
          <cell r="E13">
            <v>67</v>
          </cell>
        </row>
        <row r="14">
          <cell r="E14">
            <v>82</v>
          </cell>
        </row>
        <row r="15">
          <cell r="E15">
            <v>102</v>
          </cell>
        </row>
        <row r="16">
          <cell r="E16">
            <v>122</v>
          </cell>
        </row>
        <row r="17">
          <cell r="E17">
            <v>147</v>
          </cell>
        </row>
        <row r="18">
          <cell r="E18">
            <v>172</v>
          </cell>
        </row>
        <row r="19">
          <cell r="E19">
            <v>197</v>
          </cell>
        </row>
        <row r="20">
          <cell r="E20">
            <v>222</v>
          </cell>
        </row>
        <row r="21">
          <cell r="E21">
            <v>322</v>
          </cell>
        </row>
        <row r="22">
          <cell r="E22">
            <v>352</v>
          </cell>
        </row>
        <row r="23">
          <cell r="E23">
            <v>382</v>
          </cell>
        </row>
        <row r="24">
          <cell r="E24">
            <v>412</v>
          </cell>
        </row>
        <row r="25">
          <cell r="E25">
            <v>442</v>
          </cell>
        </row>
        <row r="26">
          <cell r="E26">
            <v>472</v>
          </cell>
        </row>
        <row r="27">
          <cell r="E27">
            <v>502</v>
          </cell>
        </row>
        <row r="28">
          <cell r="E28">
            <v>532</v>
          </cell>
        </row>
        <row r="29">
          <cell r="E29">
            <v>562</v>
          </cell>
        </row>
        <row r="30">
          <cell r="E30">
            <v>592</v>
          </cell>
        </row>
        <row r="31">
          <cell r="E31">
            <v>892</v>
          </cell>
        </row>
        <row r="32">
          <cell r="E32">
            <v>942</v>
          </cell>
        </row>
        <row r="33">
          <cell r="E33">
            <v>992</v>
          </cell>
        </row>
        <row r="34">
          <cell r="E34">
            <v>1042</v>
          </cell>
        </row>
        <row r="35">
          <cell r="E35">
            <v>1092</v>
          </cell>
        </row>
        <row r="36">
          <cell r="E36">
            <v>1152</v>
          </cell>
        </row>
        <row r="37">
          <cell r="E37">
            <v>1212</v>
          </cell>
        </row>
        <row r="38">
          <cell r="E38">
            <v>1272</v>
          </cell>
        </row>
        <row r="39">
          <cell r="E39">
            <v>1332</v>
          </cell>
        </row>
        <row r="40">
          <cell r="E40">
            <v>1392</v>
          </cell>
        </row>
        <row r="41">
          <cell r="E41">
            <v>1892</v>
          </cell>
        </row>
        <row r="42">
          <cell r="E42">
            <v>1962</v>
          </cell>
        </row>
        <row r="43">
          <cell r="E43">
            <v>2032</v>
          </cell>
        </row>
        <row r="44">
          <cell r="E44">
            <v>2102</v>
          </cell>
        </row>
        <row r="45">
          <cell r="E45">
            <v>2172</v>
          </cell>
        </row>
        <row r="46">
          <cell r="E46">
            <v>2242</v>
          </cell>
        </row>
        <row r="47">
          <cell r="E47">
            <v>2312</v>
          </cell>
        </row>
        <row r="48">
          <cell r="E48">
            <v>2382</v>
          </cell>
        </row>
        <row r="49">
          <cell r="E49">
            <v>2452</v>
          </cell>
        </row>
        <row r="50">
          <cell r="E50">
            <v>2522</v>
          </cell>
        </row>
        <row r="51">
          <cell r="E51">
            <v>3322</v>
          </cell>
        </row>
        <row r="52">
          <cell r="E52">
            <v>3402</v>
          </cell>
        </row>
        <row r="53">
          <cell r="E53">
            <v>3482</v>
          </cell>
        </row>
        <row r="54">
          <cell r="E54">
            <v>3562</v>
          </cell>
        </row>
        <row r="55">
          <cell r="E55">
            <v>3642</v>
          </cell>
        </row>
        <row r="56">
          <cell r="E56">
            <v>3722</v>
          </cell>
        </row>
        <row r="57">
          <cell r="E57">
            <v>3802</v>
          </cell>
        </row>
        <row r="58">
          <cell r="E58">
            <v>3882</v>
          </cell>
        </row>
        <row r="59">
          <cell r="E59">
            <v>3962</v>
          </cell>
        </row>
        <row r="60">
          <cell r="E60">
            <v>4042</v>
          </cell>
        </row>
        <row r="61">
          <cell r="E61">
            <v>5042</v>
          </cell>
        </row>
        <row r="62">
          <cell r="E62">
            <v>5142</v>
          </cell>
        </row>
        <row r="63">
          <cell r="E63">
            <v>5242</v>
          </cell>
        </row>
        <row r="64">
          <cell r="E64">
            <v>5342</v>
          </cell>
        </row>
        <row r="65">
          <cell r="E65">
            <v>5442</v>
          </cell>
        </row>
        <row r="66">
          <cell r="E66">
            <v>5542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A1" t="str">
            <v>ID</v>
          </cell>
          <cell r="B1" t="str">
            <v>道具名称</v>
          </cell>
          <cell r="J1" t="str">
            <v>商店购买需要金钱</v>
          </cell>
        </row>
        <row r="2">
          <cell r="A2" t="str">
            <v>int</v>
          </cell>
          <cell r="B2" t="str">
            <v>string</v>
          </cell>
          <cell r="J2" t="str">
            <v>int</v>
          </cell>
        </row>
        <row r="3">
          <cell r="A3">
            <v>8</v>
          </cell>
          <cell r="B3">
            <v>16</v>
          </cell>
          <cell r="J3">
            <v>8</v>
          </cell>
        </row>
        <row r="4">
          <cell r="A4" t="str">
            <v>all</v>
          </cell>
          <cell r="B4" t="str">
            <v>all</v>
          </cell>
          <cell r="J4" t="str">
            <v>all</v>
          </cell>
        </row>
        <row r="5">
          <cell r="A5" t="str">
            <v>ID</v>
          </cell>
          <cell r="B5" t="str">
            <v>ItemName</v>
          </cell>
          <cell r="J5" t="str">
            <v>BuyMoney</v>
          </cell>
        </row>
        <row r="6">
          <cell r="A6">
            <v>1</v>
          </cell>
          <cell r="B6" t="str">
            <v>金币</v>
          </cell>
          <cell r="J6">
            <v>0</v>
          </cell>
        </row>
        <row r="7">
          <cell r="A7">
            <v>2</v>
          </cell>
          <cell r="B7" t="str">
            <v>经验</v>
          </cell>
          <cell r="J7">
            <v>0</v>
          </cell>
        </row>
        <row r="8">
          <cell r="A8">
            <v>3</v>
          </cell>
          <cell r="B8" t="str">
            <v>钻石</v>
          </cell>
          <cell r="J8">
            <v>0</v>
          </cell>
        </row>
        <row r="9">
          <cell r="A9">
            <v>10010001</v>
          </cell>
          <cell r="B9" t="str">
            <v>小型生命药水</v>
          </cell>
          <cell r="J9">
            <v>100</v>
          </cell>
        </row>
        <row r="10">
          <cell r="A10">
            <v>10010002</v>
          </cell>
          <cell r="B10" t="str">
            <v>中型生命药水</v>
          </cell>
          <cell r="J10">
            <v>200</v>
          </cell>
        </row>
        <row r="11">
          <cell r="A11">
            <v>10010003</v>
          </cell>
          <cell r="B11" t="str">
            <v>大型生命药水</v>
          </cell>
          <cell r="J11">
            <v>300</v>
          </cell>
        </row>
        <row r="12">
          <cell r="A12">
            <v>10010004</v>
          </cell>
          <cell r="B12" t="str">
            <v>高级生命药水</v>
          </cell>
          <cell r="J12">
            <v>400</v>
          </cell>
        </row>
        <row r="13">
          <cell r="A13">
            <v>10010005</v>
          </cell>
          <cell r="B13" t="str">
            <v>特级生命药水</v>
          </cell>
          <cell r="J13">
            <v>500</v>
          </cell>
        </row>
        <row r="14">
          <cell r="A14">
            <v>10010011</v>
          </cell>
          <cell r="B14" t="str">
            <v>小型止血药</v>
          </cell>
          <cell r="J14">
            <v>30</v>
          </cell>
        </row>
        <row r="15">
          <cell r="A15">
            <v>10010012</v>
          </cell>
          <cell r="B15" t="str">
            <v>中型止血药</v>
          </cell>
          <cell r="J15">
            <v>60</v>
          </cell>
        </row>
        <row r="16">
          <cell r="A16">
            <v>10010013</v>
          </cell>
          <cell r="B16" t="str">
            <v>大型止血药</v>
          </cell>
          <cell r="J16">
            <v>120</v>
          </cell>
        </row>
        <row r="17">
          <cell r="A17">
            <v>10010014</v>
          </cell>
          <cell r="B17" t="str">
            <v>高级止血药</v>
          </cell>
          <cell r="J17">
            <v>180</v>
          </cell>
        </row>
        <row r="18">
          <cell r="A18">
            <v>10010015</v>
          </cell>
          <cell r="B18" t="str">
            <v>特级止血药</v>
          </cell>
          <cell r="J18">
            <v>240</v>
          </cell>
        </row>
        <row r="19">
          <cell r="A19">
            <v>10010021</v>
          </cell>
          <cell r="B19" t="str">
            <v>攻击药水</v>
          </cell>
          <cell r="J19">
            <v>2500</v>
          </cell>
        </row>
        <row r="20">
          <cell r="A20">
            <v>10010022</v>
          </cell>
          <cell r="B20" t="str">
            <v>大型攻击药水</v>
          </cell>
          <cell r="J20">
            <v>5000</v>
          </cell>
        </row>
        <row r="21">
          <cell r="A21">
            <v>10010023</v>
          </cell>
          <cell r="B21" t="str">
            <v>防御药水</v>
          </cell>
          <cell r="J21">
            <v>2500</v>
          </cell>
        </row>
        <row r="22">
          <cell r="A22">
            <v>10010024</v>
          </cell>
          <cell r="B22" t="str">
            <v>大型防御药水</v>
          </cell>
          <cell r="J22">
            <v>5000</v>
          </cell>
        </row>
        <row r="23">
          <cell r="A23">
            <v>10010025</v>
          </cell>
          <cell r="B23" t="str">
            <v>闪避药水</v>
          </cell>
          <cell r="J23">
            <v>10000</v>
          </cell>
        </row>
        <row r="24">
          <cell r="A24">
            <v>10010026</v>
          </cell>
          <cell r="B24" t="str">
            <v>冷却时间清空卷轴</v>
          </cell>
          <cell r="J24">
            <v>0</v>
          </cell>
        </row>
        <row r="25">
          <cell r="A25">
            <v>10010027</v>
          </cell>
          <cell r="B25" t="str">
            <v>体力恢复</v>
          </cell>
          <cell r="J25">
            <v>0</v>
          </cell>
        </row>
        <row r="26">
          <cell r="A26">
            <v>10010031</v>
          </cell>
          <cell r="B26" t="str">
            <v>铜钥匙</v>
          </cell>
          <cell r="J26">
            <v>0</v>
          </cell>
        </row>
        <row r="27">
          <cell r="A27">
            <v>10010032</v>
          </cell>
          <cell r="B27" t="str">
            <v>银钥匙</v>
          </cell>
          <cell r="J27">
            <v>0</v>
          </cell>
        </row>
        <row r="28">
          <cell r="A28">
            <v>10010033</v>
          </cell>
          <cell r="B28" t="str">
            <v>金钥匙</v>
          </cell>
          <cell r="J28">
            <v>0</v>
          </cell>
        </row>
        <row r="29">
          <cell r="A29">
            <v>10010034</v>
          </cell>
          <cell r="B29" t="str">
            <v>金钥匙碎片</v>
          </cell>
          <cell r="J29">
            <v>0</v>
          </cell>
        </row>
        <row r="30">
          <cell r="A30">
            <v>10010041</v>
          </cell>
          <cell r="B30" t="str">
            <v>经验木桩</v>
          </cell>
          <cell r="J30">
            <v>100</v>
          </cell>
        </row>
        <row r="31">
          <cell r="A31">
            <v>10010042</v>
          </cell>
          <cell r="B31" t="str">
            <v>金币袋子</v>
          </cell>
          <cell r="J31">
            <v>150</v>
          </cell>
        </row>
        <row r="32">
          <cell r="A32">
            <v>10010051</v>
          </cell>
          <cell r="B32" t="str">
            <v>绿叶小镇回城卷</v>
          </cell>
          <cell r="J32">
            <v>200</v>
          </cell>
        </row>
        <row r="33">
          <cell r="A33">
            <v>10010052</v>
          </cell>
          <cell r="B33" t="str">
            <v>热荒沙漠回城卷</v>
          </cell>
          <cell r="J33">
            <v>250</v>
          </cell>
        </row>
        <row r="34">
          <cell r="A34">
            <v>10010053</v>
          </cell>
          <cell r="B34" t="str">
            <v>冰封城镇回城卷</v>
          </cell>
          <cell r="J34">
            <v>300</v>
          </cell>
        </row>
        <row r="35">
          <cell r="A35">
            <v>10010054</v>
          </cell>
          <cell r="B35" t="str">
            <v>暮色城镇回城卷</v>
          </cell>
          <cell r="J35">
            <v>0</v>
          </cell>
        </row>
        <row r="36">
          <cell r="A36">
            <v>10010055</v>
          </cell>
          <cell r="B36" t="str">
            <v>黑暗小镇回城卷</v>
          </cell>
          <cell r="J36">
            <v>0</v>
          </cell>
        </row>
        <row r="37">
          <cell r="A37">
            <v>10010061</v>
          </cell>
          <cell r="B37" t="str">
            <v>经验卷轴</v>
          </cell>
          <cell r="J37">
            <v>0</v>
          </cell>
        </row>
        <row r="38">
          <cell r="A38">
            <v>10010062</v>
          </cell>
          <cell r="B38" t="str">
            <v>经验卷轴</v>
          </cell>
          <cell r="J38">
            <v>0</v>
          </cell>
        </row>
        <row r="39">
          <cell r="A39">
            <v>10010063</v>
          </cell>
          <cell r="B39" t="str">
            <v>经验卷轴</v>
          </cell>
          <cell r="J39">
            <v>0</v>
          </cell>
        </row>
        <row r="40">
          <cell r="A40">
            <v>10010064</v>
          </cell>
          <cell r="B40" t="str">
            <v>经验卷轴</v>
          </cell>
          <cell r="J40">
            <v>0</v>
          </cell>
        </row>
        <row r="41">
          <cell r="A41">
            <v>10010065</v>
          </cell>
          <cell r="B41" t="str">
            <v>经验卷轴</v>
          </cell>
          <cell r="J41">
            <v>0</v>
          </cell>
        </row>
        <row r="42">
          <cell r="A42">
            <v>10010066</v>
          </cell>
          <cell r="B42" t="str">
            <v>经验卷轴</v>
          </cell>
          <cell r="J42">
            <v>0</v>
          </cell>
        </row>
        <row r="43">
          <cell r="A43">
            <v>10010067</v>
          </cell>
          <cell r="B43" t="str">
            <v>经验卷轴</v>
          </cell>
          <cell r="J43">
            <v>0</v>
          </cell>
        </row>
        <row r="44">
          <cell r="A44">
            <v>10010071</v>
          </cell>
          <cell r="B44" t="str">
            <v>遗失的金币袋子</v>
          </cell>
          <cell r="J44">
            <v>0</v>
          </cell>
        </row>
        <row r="45">
          <cell r="A45">
            <v>10010072</v>
          </cell>
          <cell r="B45" t="str">
            <v>遗失的金币袋子</v>
          </cell>
          <cell r="J45">
            <v>99999999</v>
          </cell>
        </row>
        <row r="46">
          <cell r="A46">
            <v>10010073</v>
          </cell>
          <cell r="B46" t="str">
            <v>遗失的金币袋子</v>
          </cell>
          <cell r="J46">
            <v>99999999</v>
          </cell>
        </row>
        <row r="47">
          <cell r="A47">
            <v>10010074</v>
          </cell>
          <cell r="B47" t="str">
            <v>遗失的金币袋子</v>
          </cell>
          <cell r="J47">
            <v>99999999</v>
          </cell>
        </row>
        <row r="48">
          <cell r="A48">
            <v>10010075</v>
          </cell>
          <cell r="B48" t="str">
            <v>遗失的金币袋子</v>
          </cell>
          <cell r="J48">
            <v>10000</v>
          </cell>
        </row>
        <row r="49">
          <cell r="A49">
            <v>10010076</v>
          </cell>
          <cell r="B49" t="str">
            <v>支持作者</v>
          </cell>
          <cell r="J49">
            <v>3300</v>
          </cell>
        </row>
        <row r="50">
          <cell r="A50">
            <v>10010081</v>
          </cell>
          <cell r="B50" t="str">
            <v>荣誉徽记</v>
          </cell>
          <cell r="J50">
            <v>1250</v>
          </cell>
        </row>
        <row r="51">
          <cell r="A51">
            <v>10010082</v>
          </cell>
          <cell r="B51" t="str">
            <v>繁荣度印章</v>
          </cell>
          <cell r="J51">
            <v>4200</v>
          </cell>
        </row>
        <row r="52">
          <cell r="A52">
            <v>10010083</v>
          </cell>
          <cell r="B52" t="str">
            <v>装备洗炼石</v>
          </cell>
          <cell r="J52">
            <v>1550</v>
          </cell>
        </row>
        <row r="53">
          <cell r="A53">
            <v>10010101</v>
          </cell>
          <cell r="B53" t="str">
            <v>制作书：狼王项链</v>
          </cell>
          <cell r="J53">
            <v>1700</v>
          </cell>
        </row>
        <row r="54">
          <cell r="A54">
            <v>10010102</v>
          </cell>
          <cell r="B54" t="str">
            <v>制作书：僵尸护符</v>
          </cell>
          <cell r="J54">
            <v>1850</v>
          </cell>
        </row>
        <row r="55">
          <cell r="A55">
            <v>10010103</v>
          </cell>
          <cell r="B55" t="str">
            <v>制作书：骷髅王的桂冠</v>
          </cell>
          <cell r="J55">
            <v>2000</v>
          </cell>
        </row>
        <row r="56">
          <cell r="A56">
            <v>10010104</v>
          </cell>
          <cell r="B56" t="str">
            <v>制作书：蜘蛛护腿</v>
          </cell>
          <cell r="J56">
            <v>2150</v>
          </cell>
        </row>
        <row r="57">
          <cell r="A57">
            <v>10010105</v>
          </cell>
          <cell r="B57" t="str">
            <v>制作书：蜘蛛护胸</v>
          </cell>
          <cell r="J57">
            <v>26000</v>
          </cell>
        </row>
        <row r="58">
          <cell r="A58">
            <v>10010106</v>
          </cell>
          <cell r="B58" t="str">
            <v>制作书：古墓手套</v>
          </cell>
          <cell r="J58">
            <v>29625</v>
          </cell>
        </row>
        <row r="59">
          <cell r="A59">
            <v>10010107</v>
          </cell>
          <cell r="B59" t="str">
            <v>制作书：古墓腰带</v>
          </cell>
          <cell r="J59">
            <v>31875</v>
          </cell>
        </row>
        <row r="60">
          <cell r="A60">
            <v>10010108</v>
          </cell>
          <cell r="B60" t="str">
            <v>制作书：古墓鞋子</v>
          </cell>
          <cell r="J60">
            <v>8375</v>
          </cell>
        </row>
        <row r="61">
          <cell r="A61">
            <v>10010109</v>
          </cell>
          <cell r="B61" t="str">
            <v>制作书：黑暗之剑</v>
          </cell>
          <cell r="J61">
            <v>9125</v>
          </cell>
        </row>
        <row r="62">
          <cell r="A62">
            <v>10010201</v>
          </cell>
          <cell r="B62" t="str">
            <v>制作书:力量戒指</v>
          </cell>
          <cell r="J62">
            <v>9500</v>
          </cell>
        </row>
        <row r="63">
          <cell r="A63">
            <v>10010202</v>
          </cell>
          <cell r="B63" t="str">
            <v>制作书:幽冥项链</v>
          </cell>
          <cell r="J63">
            <v>9875</v>
          </cell>
        </row>
        <row r="64">
          <cell r="A64">
            <v>10010204</v>
          </cell>
          <cell r="B64" t="str">
            <v>制作书:荒漠头盔</v>
          </cell>
          <cell r="J64">
            <v>30750</v>
          </cell>
        </row>
        <row r="65">
          <cell r="A65">
            <v>10010205</v>
          </cell>
          <cell r="B65" t="str">
            <v>制作书:荒漠手套</v>
          </cell>
          <cell r="J65">
            <v>31875</v>
          </cell>
        </row>
        <row r="66">
          <cell r="A66">
            <v>10010206</v>
          </cell>
          <cell r="B66" t="str">
            <v>制作书:荒漠腰带</v>
          </cell>
          <cell r="J66">
            <v>33000</v>
          </cell>
        </row>
        <row r="67">
          <cell r="A67">
            <v>10010207</v>
          </cell>
          <cell r="B67" t="str">
            <v>制作书:荒漠靴子</v>
          </cell>
          <cell r="J67">
            <v>34125</v>
          </cell>
        </row>
        <row r="68">
          <cell r="A68">
            <v>10010209</v>
          </cell>
          <cell r="B68" t="str">
            <v>制作书:生命护符</v>
          </cell>
          <cell r="J68">
            <v>35250</v>
          </cell>
        </row>
        <row r="69">
          <cell r="A69">
            <v>10010210</v>
          </cell>
          <cell r="B69" t="str">
            <v>制作书:生命饰品</v>
          </cell>
          <cell r="J69">
            <v>35250</v>
          </cell>
        </row>
        <row r="70">
          <cell r="A70">
            <v>10010211</v>
          </cell>
          <cell r="B70" t="str">
            <v>制作书:防护宝石</v>
          </cell>
          <cell r="J70">
            <v>12125</v>
          </cell>
        </row>
        <row r="71">
          <cell r="A71">
            <v>10010212</v>
          </cell>
          <cell r="B71" t="str">
            <v>制作书:地狱领主的法术书</v>
          </cell>
          <cell r="J71">
            <v>12500</v>
          </cell>
        </row>
        <row r="72">
          <cell r="A72">
            <v>10010213</v>
          </cell>
          <cell r="B72" t="str">
            <v>制作书:不败的意志</v>
          </cell>
          <cell r="J72">
            <v>12875</v>
          </cell>
        </row>
        <row r="73">
          <cell r="A73">
            <v>10010214</v>
          </cell>
          <cell r="B73" t="str">
            <v>制作书:地狱领主的盔甲</v>
          </cell>
          <cell r="J73">
            <v>13250</v>
          </cell>
        </row>
        <row r="74">
          <cell r="A74">
            <v>10010301</v>
          </cell>
          <cell r="B74" t="str">
            <v>制作书:破灵腰带</v>
          </cell>
          <cell r="J74">
            <v>13625</v>
          </cell>
        </row>
        <row r="75">
          <cell r="A75">
            <v>10010302</v>
          </cell>
          <cell r="B75" t="str">
            <v>制作书:破灵靴子</v>
          </cell>
          <cell r="J75">
            <v>42000</v>
          </cell>
        </row>
        <row r="76">
          <cell r="A76">
            <v>10010303</v>
          </cell>
          <cell r="B76" t="str">
            <v>制作书:冰河战甲</v>
          </cell>
          <cell r="J76">
            <v>43125</v>
          </cell>
        </row>
        <row r="77">
          <cell r="A77">
            <v>10010304</v>
          </cell>
          <cell r="B77" t="str">
            <v>制作书:冰河战盔</v>
          </cell>
          <cell r="J77">
            <v>44250</v>
          </cell>
        </row>
        <row r="78">
          <cell r="A78">
            <v>10010305</v>
          </cell>
          <cell r="B78" t="str">
            <v>制作书:冰河长裤</v>
          </cell>
          <cell r="J78">
            <v>46500</v>
          </cell>
        </row>
        <row r="79">
          <cell r="A79">
            <v>10010306</v>
          </cell>
          <cell r="B79" t="str">
            <v>制作书:勇气长剑</v>
          </cell>
          <cell r="J79">
            <v>155000</v>
          </cell>
        </row>
        <row r="80">
          <cell r="A80">
            <v>10010307</v>
          </cell>
          <cell r="B80" t="str">
            <v>制作书:破灵护符</v>
          </cell>
          <cell r="J80">
            <v>155000</v>
          </cell>
        </row>
        <row r="81">
          <cell r="A81">
            <v>10010308</v>
          </cell>
          <cell r="B81" t="str">
            <v>制作书:治愈灵石</v>
          </cell>
          <cell r="J81">
            <v>40875</v>
          </cell>
        </row>
        <row r="82">
          <cell r="A82">
            <v>10010309</v>
          </cell>
          <cell r="B82" t="str">
            <v>制作书:阿兹里斯的骨头</v>
          </cell>
          <cell r="J82">
            <v>42000</v>
          </cell>
        </row>
        <row r="83">
          <cell r="A83">
            <v>10010310</v>
          </cell>
          <cell r="B83" t="str">
            <v>制作书:帝陨</v>
          </cell>
          <cell r="J83">
            <v>13250</v>
          </cell>
        </row>
        <row r="84">
          <cell r="A84">
            <v>10010311</v>
          </cell>
          <cell r="B84" t="str">
            <v>制作书:阿兹里斯的项链</v>
          </cell>
          <cell r="J84">
            <v>12875</v>
          </cell>
        </row>
        <row r="85">
          <cell r="A85">
            <v>10010401</v>
          </cell>
          <cell r="B85" t="str">
            <v>制作书:精灵项链</v>
          </cell>
          <cell r="J85">
            <v>13250</v>
          </cell>
        </row>
        <row r="86">
          <cell r="A86">
            <v>10010402</v>
          </cell>
          <cell r="B86" t="str">
            <v>制作书:精灵指环</v>
          </cell>
          <cell r="J86">
            <v>13625</v>
          </cell>
        </row>
        <row r="87">
          <cell r="A87">
            <v>10010403</v>
          </cell>
          <cell r="B87" t="str">
            <v>制作书:暮色战甲</v>
          </cell>
          <cell r="J87">
            <v>14000</v>
          </cell>
        </row>
        <row r="88">
          <cell r="A88">
            <v>10010404</v>
          </cell>
          <cell r="B88" t="str">
            <v>制作书:暮色战盔</v>
          </cell>
          <cell r="J88">
            <v>14375</v>
          </cell>
        </row>
        <row r="89">
          <cell r="A89">
            <v>10010405</v>
          </cell>
          <cell r="B89" t="str">
            <v>制作书:暮色长裤</v>
          </cell>
          <cell r="J89">
            <v>45375</v>
          </cell>
        </row>
        <row r="90">
          <cell r="A90">
            <v>10010406</v>
          </cell>
          <cell r="B90" t="str">
            <v>制作书:暮色手套</v>
          </cell>
          <cell r="J90">
            <v>38625</v>
          </cell>
        </row>
        <row r="91">
          <cell r="A91">
            <v>10010407</v>
          </cell>
          <cell r="B91" t="str">
            <v>制作书:暮色腰带</v>
          </cell>
          <cell r="J91">
            <v>42000</v>
          </cell>
        </row>
        <row r="92">
          <cell r="A92">
            <v>10010408</v>
          </cell>
          <cell r="B92" t="str">
            <v>制作书:暮色靴子</v>
          </cell>
          <cell r="J92">
            <v>45375</v>
          </cell>
        </row>
        <row r="93">
          <cell r="A93">
            <v>10010409</v>
          </cell>
          <cell r="B93" t="str">
            <v>制作书:暮色饰品</v>
          </cell>
          <cell r="J93">
            <v>155000</v>
          </cell>
        </row>
        <row r="94">
          <cell r="A94">
            <v>10010410</v>
          </cell>
          <cell r="B94" t="str">
            <v>制作书:狂暴魔法书</v>
          </cell>
          <cell r="J94">
            <v>155000</v>
          </cell>
        </row>
        <row r="95">
          <cell r="A95">
            <v>10010411</v>
          </cell>
          <cell r="B95" t="str">
            <v>制作书:高级治愈灵石</v>
          </cell>
          <cell r="J95">
            <v>40875</v>
          </cell>
        </row>
        <row r="96">
          <cell r="A96">
            <v>10010412</v>
          </cell>
          <cell r="B96" t="str">
            <v>制作书:艾力克斯的法术书</v>
          </cell>
          <cell r="J96">
            <v>43125</v>
          </cell>
        </row>
        <row r="97">
          <cell r="A97">
            <v>10010413</v>
          </cell>
          <cell r="B97" t="str">
            <v>制作书:毁灭</v>
          </cell>
          <cell r="J97">
            <v>12500</v>
          </cell>
        </row>
        <row r="98">
          <cell r="A98">
            <v>10010414</v>
          </cell>
          <cell r="B98" t="str">
            <v>制作书:艾力克斯的护符</v>
          </cell>
          <cell r="J98">
            <v>12875</v>
          </cell>
        </row>
        <row r="99">
          <cell r="A99">
            <v>10010501</v>
          </cell>
          <cell r="B99" t="str">
            <v>制作书:熔岩项链</v>
          </cell>
          <cell r="J99">
            <v>13250</v>
          </cell>
        </row>
        <row r="100">
          <cell r="A100">
            <v>10010502</v>
          </cell>
          <cell r="B100" t="str">
            <v>制作书:熔岩指环</v>
          </cell>
          <cell r="J100">
            <v>13625</v>
          </cell>
        </row>
        <row r="101">
          <cell r="A101">
            <v>10010503</v>
          </cell>
          <cell r="B101" t="str">
            <v>制作书:炙热战甲</v>
          </cell>
          <cell r="J101">
            <v>14000</v>
          </cell>
        </row>
        <row r="102">
          <cell r="A102">
            <v>10010504</v>
          </cell>
          <cell r="B102" t="str">
            <v>制作书:炙热战盔</v>
          </cell>
          <cell r="J102">
            <v>14375</v>
          </cell>
        </row>
        <row r="103">
          <cell r="A103">
            <v>10010505</v>
          </cell>
          <cell r="B103" t="str">
            <v>制作书:炙热长裤</v>
          </cell>
          <cell r="J103">
            <v>200000</v>
          </cell>
        </row>
        <row r="104">
          <cell r="A104">
            <v>10010506</v>
          </cell>
          <cell r="B104" t="str">
            <v>制作书:炙热手套</v>
          </cell>
          <cell r="J104">
            <v>300000</v>
          </cell>
        </row>
        <row r="105">
          <cell r="A105">
            <v>10010507</v>
          </cell>
          <cell r="B105" t="str">
            <v>制作书:炙热腰带</v>
          </cell>
          <cell r="J105">
            <v>400000</v>
          </cell>
        </row>
        <row r="106">
          <cell r="A106">
            <v>10010508</v>
          </cell>
          <cell r="B106" t="str">
            <v>制作书:炙热靴子</v>
          </cell>
          <cell r="J106">
            <v>500000</v>
          </cell>
        </row>
        <row r="107">
          <cell r="A107">
            <v>10010521</v>
          </cell>
          <cell r="B107" t="str">
            <v>传说:圣光头盔制作书</v>
          </cell>
          <cell r="J107">
            <v>720</v>
          </cell>
        </row>
        <row r="108">
          <cell r="A108">
            <v>10010522</v>
          </cell>
          <cell r="B108" t="str">
            <v>传说:圣光护手制作书</v>
          </cell>
          <cell r="J108">
            <v>75</v>
          </cell>
        </row>
        <row r="109">
          <cell r="A109">
            <v>10010523</v>
          </cell>
          <cell r="B109" t="str">
            <v>传说:圣光腰带制作书</v>
          </cell>
          <cell r="J109">
            <v>60</v>
          </cell>
        </row>
        <row r="110">
          <cell r="A110">
            <v>10010524</v>
          </cell>
          <cell r="B110" t="str">
            <v>传说:圣光战靴制作书</v>
          </cell>
          <cell r="J110">
            <v>120</v>
          </cell>
        </row>
        <row r="111">
          <cell r="A111">
            <v>10010525</v>
          </cell>
          <cell r="B111" t="str">
            <v>传说:圣光长裤制作书</v>
          </cell>
          <cell r="J111">
            <v>120</v>
          </cell>
        </row>
        <row r="112">
          <cell r="A112">
            <v>10010526</v>
          </cell>
          <cell r="B112" t="str">
            <v>传说:圣光战链制作书</v>
          </cell>
          <cell r="J112">
            <v>60</v>
          </cell>
        </row>
        <row r="113">
          <cell r="A113">
            <v>10010527</v>
          </cell>
          <cell r="B113" t="str">
            <v>传说:圣光戒指制作书</v>
          </cell>
          <cell r="J113">
            <v>85</v>
          </cell>
        </row>
        <row r="114">
          <cell r="A114">
            <v>10010528</v>
          </cell>
          <cell r="B114" t="str">
            <v>传说:圣光饰品制作书</v>
          </cell>
          <cell r="J114">
            <v>165</v>
          </cell>
        </row>
        <row r="115">
          <cell r="A115">
            <v>10010529</v>
          </cell>
          <cell r="B115" t="str">
            <v>传说:圣光护符制作书</v>
          </cell>
          <cell r="J115">
            <v>165</v>
          </cell>
        </row>
        <row r="116">
          <cell r="A116">
            <v>10010530</v>
          </cell>
          <cell r="B116" t="str">
            <v>传说:圣光战刃制作书</v>
          </cell>
          <cell r="J116">
            <v>1140</v>
          </cell>
        </row>
        <row r="117">
          <cell r="A117">
            <v>10010531</v>
          </cell>
          <cell r="B117" t="str">
            <v>传说:圣光战甲制作书</v>
          </cell>
          <cell r="J117">
            <v>235</v>
          </cell>
        </row>
        <row r="118">
          <cell r="A118">
            <v>10010532</v>
          </cell>
          <cell r="B118" t="str">
            <v>制作书:上古卷轴</v>
          </cell>
          <cell r="J118">
            <v>255</v>
          </cell>
        </row>
        <row r="119">
          <cell r="A119">
            <v>10011001</v>
          </cell>
          <cell r="B119" t="str">
            <v>血域装备宝箱</v>
          </cell>
          <cell r="J119">
            <v>280</v>
          </cell>
        </row>
        <row r="120">
          <cell r="A120">
            <v>10011002</v>
          </cell>
          <cell r="B120" t="str">
            <v>冰封装备宝箱</v>
          </cell>
          <cell r="J120">
            <v>300</v>
          </cell>
        </row>
        <row r="121">
          <cell r="A121">
            <v>10011003</v>
          </cell>
          <cell r="B121" t="str">
            <v>永恒装备宝箱</v>
          </cell>
          <cell r="J121">
            <v>3900</v>
          </cell>
        </row>
        <row r="122">
          <cell r="A122">
            <v>10011004</v>
          </cell>
          <cell r="B122" t="str">
            <v>圣光装备宝箱</v>
          </cell>
          <cell r="J122">
            <v>234</v>
          </cell>
        </row>
        <row r="123">
          <cell r="A123">
            <v>10020001</v>
          </cell>
          <cell r="B123" t="str">
            <v>狼王之牙</v>
          </cell>
          <cell r="J123">
            <v>410</v>
          </cell>
        </row>
        <row r="124">
          <cell r="A124">
            <v>10020002</v>
          </cell>
          <cell r="B124" t="str">
            <v>狼皮</v>
          </cell>
          <cell r="J124">
            <v>195</v>
          </cell>
        </row>
        <row r="125">
          <cell r="A125">
            <v>10020003</v>
          </cell>
          <cell r="B125" t="str">
            <v>矿石</v>
          </cell>
          <cell r="J125">
            <v>460</v>
          </cell>
        </row>
        <row r="126">
          <cell r="A126">
            <v>10020004</v>
          </cell>
          <cell r="B126" t="str">
            <v>解毒草</v>
          </cell>
          <cell r="J126">
            <v>480</v>
          </cell>
        </row>
        <row r="127">
          <cell r="A127">
            <v>10020005</v>
          </cell>
          <cell r="B127" t="str">
            <v>蝙蝠血液</v>
          </cell>
          <cell r="J127">
            <v>505</v>
          </cell>
        </row>
        <row r="128">
          <cell r="A128">
            <v>10020006</v>
          </cell>
          <cell r="B128" t="str">
            <v>矿工工具箱</v>
          </cell>
          <cell r="J128">
            <v>525</v>
          </cell>
        </row>
        <row r="129">
          <cell r="A129">
            <v>10020007</v>
          </cell>
          <cell r="B129" t="str">
            <v>矿洞水晶</v>
          </cell>
          <cell r="J129">
            <v>1845</v>
          </cell>
        </row>
        <row r="130">
          <cell r="A130">
            <v>10020008</v>
          </cell>
          <cell r="B130" t="str">
            <v>证据残片</v>
          </cell>
          <cell r="J130">
            <v>570</v>
          </cell>
        </row>
        <row r="131">
          <cell r="A131">
            <v>10020009</v>
          </cell>
          <cell r="B131" t="str">
            <v>感染的布料</v>
          </cell>
          <cell r="J131">
            <v>369</v>
          </cell>
        </row>
        <row r="132">
          <cell r="A132">
            <v>10020010</v>
          </cell>
          <cell r="B132" t="str">
            <v>骷髅王的头颅</v>
          </cell>
          <cell r="J132">
            <v>646</v>
          </cell>
        </row>
        <row r="133">
          <cell r="A133">
            <v>10020011</v>
          </cell>
          <cell r="B133" t="str">
            <v>蜘蛛丝</v>
          </cell>
          <cell r="J133">
            <v>380</v>
          </cell>
        </row>
        <row r="134">
          <cell r="A134">
            <v>10020012</v>
          </cell>
          <cell r="B134" t="str">
            <v>防腐毒液</v>
          </cell>
          <cell r="J134">
            <v>615</v>
          </cell>
        </row>
        <row r="135">
          <cell r="A135">
            <v>10020013</v>
          </cell>
          <cell r="B135" t="str">
            <v>阴木</v>
          </cell>
          <cell r="J135">
            <v>46125</v>
          </cell>
        </row>
        <row r="136">
          <cell r="A136">
            <v>10020014</v>
          </cell>
          <cell r="B136" t="str">
            <v>古墓灵石</v>
          </cell>
          <cell r="J136">
            <v>6150</v>
          </cell>
        </row>
        <row r="137">
          <cell r="A137">
            <v>10020015</v>
          </cell>
          <cell r="B137" t="str">
            <v>黑暗之心</v>
          </cell>
          <cell r="J137">
            <v>730</v>
          </cell>
        </row>
        <row r="138">
          <cell r="A138">
            <v>10020016</v>
          </cell>
          <cell r="B138" t="str">
            <v>毛皮卷</v>
          </cell>
          <cell r="J138">
            <v>750</v>
          </cell>
        </row>
        <row r="139">
          <cell r="A139">
            <v>10020017</v>
          </cell>
          <cell r="B139" t="str">
            <v>精钢铁块</v>
          </cell>
          <cell r="J139">
            <v>775</v>
          </cell>
        </row>
        <row r="140">
          <cell r="A140">
            <v>10020051</v>
          </cell>
          <cell r="B140" t="str">
            <v>一桶清水</v>
          </cell>
          <cell r="J140">
            <v>795</v>
          </cell>
        </row>
        <row r="141">
          <cell r="A141">
            <v>10020052</v>
          </cell>
          <cell r="B141" t="str">
            <v>鳄鱼皮</v>
          </cell>
          <cell r="J141">
            <v>820</v>
          </cell>
        </row>
        <row r="142">
          <cell r="A142">
            <v>10020053</v>
          </cell>
          <cell r="B142" t="str">
            <v>坚固的螃蟹壳</v>
          </cell>
          <cell r="J142">
            <v>2520</v>
          </cell>
        </row>
        <row r="143">
          <cell r="A143">
            <v>10020054</v>
          </cell>
          <cell r="B143" t="str">
            <v>诅咒结晶</v>
          </cell>
          <cell r="J143">
            <v>2520</v>
          </cell>
        </row>
        <row r="144">
          <cell r="A144">
            <v>10020055</v>
          </cell>
          <cell r="B144" t="str">
            <v>地牢灵魂</v>
          </cell>
          <cell r="J144">
            <v>504</v>
          </cell>
        </row>
        <row r="145">
          <cell r="A145">
            <v>10020056</v>
          </cell>
          <cell r="B145" t="str">
            <v>启天灵石</v>
          </cell>
          <cell r="J145">
            <v>882</v>
          </cell>
        </row>
        <row r="146">
          <cell r="A146">
            <v>10020057</v>
          </cell>
          <cell r="B146" t="str">
            <v>启天灵石碎片</v>
          </cell>
          <cell r="J146">
            <v>8400</v>
          </cell>
        </row>
        <row r="147">
          <cell r="A147">
            <v>10020058</v>
          </cell>
          <cell r="B147" t="str">
            <v>细布卷</v>
          </cell>
          <cell r="J147">
            <v>955</v>
          </cell>
        </row>
        <row r="148">
          <cell r="A148">
            <v>10020059</v>
          </cell>
          <cell r="B148" t="str">
            <v>精致银块</v>
          </cell>
          <cell r="J148">
            <v>975</v>
          </cell>
        </row>
        <row r="149">
          <cell r="A149">
            <v>10020060</v>
          </cell>
          <cell r="B149" t="str">
            <v>村民灵魄</v>
          </cell>
          <cell r="J149">
            <v>1020</v>
          </cell>
        </row>
        <row r="150">
          <cell r="A150">
            <v>10020061</v>
          </cell>
          <cell r="B150" t="str">
            <v>神秘魂石</v>
          </cell>
          <cell r="J150">
            <v>1045</v>
          </cell>
        </row>
        <row r="151">
          <cell r="A151">
            <v>10020062</v>
          </cell>
          <cell r="B151" t="str">
            <v>1刀88级秘籍</v>
          </cell>
          <cell r="J151">
            <v>1065</v>
          </cell>
        </row>
        <row r="152">
          <cell r="A152">
            <v>10020063</v>
          </cell>
          <cell r="B152" t="str">
            <v>地狱领主的法术残片</v>
          </cell>
          <cell r="J152">
            <v>800</v>
          </cell>
        </row>
        <row r="153">
          <cell r="A153">
            <v>10020101</v>
          </cell>
          <cell r="B153" t="str">
            <v>冰狼皮</v>
          </cell>
          <cell r="J153">
            <v>3195</v>
          </cell>
        </row>
        <row r="154">
          <cell r="A154">
            <v>10020102</v>
          </cell>
          <cell r="B154" t="str">
            <v>蜘蛛蛋</v>
          </cell>
          <cell r="J154">
            <v>639</v>
          </cell>
        </row>
        <row r="155">
          <cell r="A155">
            <v>10020103</v>
          </cell>
          <cell r="B155" t="str">
            <v>精灵结晶</v>
          </cell>
          <cell r="J155">
            <v>1118</v>
          </cell>
        </row>
        <row r="156">
          <cell r="A156">
            <v>10020104</v>
          </cell>
          <cell r="B156" t="str">
            <v>千针石块</v>
          </cell>
          <cell r="J156">
            <v>1065</v>
          </cell>
        </row>
        <row r="157">
          <cell r="A157">
            <v>10020105</v>
          </cell>
          <cell r="B157" t="str">
            <v>白熊胆汁</v>
          </cell>
          <cell r="J157">
            <v>10650</v>
          </cell>
        </row>
        <row r="158">
          <cell r="A158">
            <v>10020106</v>
          </cell>
          <cell r="B158" t="str">
            <v>勇气之心</v>
          </cell>
          <cell r="J158">
            <v>1180</v>
          </cell>
        </row>
        <row r="159">
          <cell r="A159">
            <v>10020107</v>
          </cell>
          <cell r="B159" t="str">
            <v>冰雪之心</v>
          </cell>
          <cell r="J159">
            <v>1200</v>
          </cell>
        </row>
        <row r="160">
          <cell r="A160">
            <v>10020108</v>
          </cell>
          <cell r="B160" t="str">
            <v>冰布绸</v>
          </cell>
          <cell r="J160">
            <v>1225</v>
          </cell>
        </row>
        <row r="161">
          <cell r="A161">
            <v>10020109</v>
          </cell>
          <cell r="B161" t="str">
            <v>寒冰铁块</v>
          </cell>
          <cell r="J161">
            <v>1245</v>
          </cell>
        </row>
        <row r="162">
          <cell r="A162">
            <v>10020110</v>
          </cell>
          <cell r="B162" t="str">
            <v>阿兹里斯的冰魄</v>
          </cell>
          <cell r="J162">
            <v>935</v>
          </cell>
        </row>
        <row r="163">
          <cell r="A163">
            <v>10020151</v>
          </cell>
          <cell r="B163" t="str">
            <v>树皮</v>
          </cell>
          <cell r="J163">
            <v>1290</v>
          </cell>
        </row>
        <row r="164">
          <cell r="A164">
            <v>10020152</v>
          </cell>
          <cell r="B164" t="str">
            <v>白熊毛皮</v>
          </cell>
          <cell r="J164">
            <v>3870</v>
          </cell>
        </row>
        <row r="165">
          <cell r="A165">
            <v>10020153</v>
          </cell>
          <cell r="B165" t="str">
            <v>僵尸布料</v>
          </cell>
          <cell r="J165">
            <v>3870</v>
          </cell>
        </row>
        <row r="166">
          <cell r="A166">
            <v>10020154</v>
          </cell>
          <cell r="B166" t="str">
            <v>岩石碎块</v>
          </cell>
          <cell r="J166">
            <v>3870</v>
          </cell>
        </row>
        <row r="167">
          <cell r="A167">
            <v>10020155</v>
          </cell>
          <cell r="B167" t="str">
            <v>暮色结晶</v>
          </cell>
          <cell r="J167">
            <v>3870</v>
          </cell>
        </row>
        <row r="168">
          <cell r="A168">
            <v>10020156</v>
          </cell>
          <cell r="B168" t="str">
            <v>上好的木材</v>
          </cell>
          <cell r="J168">
            <v>3870</v>
          </cell>
        </row>
        <row r="169">
          <cell r="A169">
            <v>10020157</v>
          </cell>
          <cell r="B169" t="str">
            <v>暮色之心</v>
          </cell>
          <cell r="J169">
            <v>3870</v>
          </cell>
        </row>
        <row r="170">
          <cell r="A170">
            <v>10020158</v>
          </cell>
          <cell r="B170" t="str">
            <v>精钢岩石</v>
          </cell>
          <cell r="J170">
            <v>774</v>
          </cell>
        </row>
        <row r="171">
          <cell r="A171">
            <v>10020159</v>
          </cell>
          <cell r="B171" t="str">
            <v>暮色铁块</v>
          </cell>
          <cell r="J171">
            <v>1355</v>
          </cell>
        </row>
        <row r="172">
          <cell r="A172">
            <v>10020160</v>
          </cell>
          <cell r="B172" t="str">
            <v>暮色灵石</v>
          </cell>
          <cell r="J172">
            <v>3870</v>
          </cell>
        </row>
        <row r="173">
          <cell r="A173">
            <v>10020161</v>
          </cell>
          <cell r="B173" t="str">
            <v>艾力克斯的石契</v>
          </cell>
          <cell r="J173">
            <v>3870</v>
          </cell>
        </row>
        <row r="174">
          <cell r="A174">
            <v>10020201</v>
          </cell>
          <cell r="B174" t="str">
            <v>火龙皮</v>
          </cell>
          <cell r="J174">
            <v>420</v>
          </cell>
        </row>
        <row r="175">
          <cell r="A175">
            <v>10020202</v>
          </cell>
          <cell r="B175" t="str">
            <v>熔岩裂石</v>
          </cell>
          <cell r="J175">
            <v>720</v>
          </cell>
        </row>
        <row r="176">
          <cell r="A176">
            <v>10020203</v>
          </cell>
          <cell r="B176" t="str">
            <v>黑暗骨块</v>
          </cell>
          <cell r="J176">
            <v>380</v>
          </cell>
        </row>
        <row r="177">
          <cell r="A177">
            <v>10020204</v>
          </cell>
          <cell r="B177" t="str">
            <v>黑暗灵魂</v>
          </cell>
          <cell r="J177">
            <v>500</v>
          </cell>
        </row>
        <row r="178">
          <cell r="A178">
            <v>10020205</v>
          </cell>
          <cell r="B178" t="str">
            <v>熔岩炙水</v>
          </cell>
          <cell r="J178">
            <v>660</v>
          </cell>
        </row>
        <row r="179">
          <cell r="A179">
            <v>10020206</v>
          </cell>
          <cell r="B179" t="str">
            <v>熔岩之心</v>
          </cell>
          <cell r="J179">
            <v>300</v>
          </cell>
        </row>
        <row r="180">
          <cell r="A180">
            <v>10020207</v>
          </cell>
          <cell r="B180" t="str">
            <v>上古魔石碎片</v>
          </cell>
          <cell r="J180">
            <v>520</v>
          </cell>
        </row>
        <row r="181">
          <cell r="A181">
            <v>10020208</v>
          </cell>
          <cell r="B181" t="str">
            <v>上古魔石</v>
          </cell>
          <cell r="J181">
            <v>300</v>
          </cell>
        </row>
        <row r="182">
          <cell r="A182">
            <v>10020209</v>
          </cell>
          <cell r="B182" t="str">
            <v>上古卷轴残卷(上)</v>
          </cell>
          <cell r="J182">
            <v>520</v>
          </cell>
        </row>
        <row r="183">
          <cell r="A183">
            <v>10020210</v>
          </cell>
          <cell r="B183" t="str">
            <v>上古卷轴残卷(中)</v>
          </cell>
          <cell r="J183">
            <v>1040</v>
          </cell>
        </row>
        <row r="184">
          <cell r="A184">
            <v>10020211</v>
          </cell>
          <cell r="B184" t="str">
            <v>上古卷轴残卷(下)</v>
          </cell>
          <cell r="J184">
            <v>800</v>
          </cell>
        </row>
        <row r="185">
          <cell r="A185">
            <v>10020212</v>
          </cell>
          <cell r="B185" t="str">
            <v>上古卷轴</v>
          </cell>
          <cell r="J185">
            <v>2280</v>
          </cell>
        </row>
        <row r="186">
          <cell r="A186">
            <v>10020213</v>
          </cell>
          <cell r="B186" t="str">
            <v>炙热布料</v>
          </cell>
          <cell r="J186">
            <v>4800</v>
          </cell>
        </row>
        <row r="187">
          <cell r="A187">
            <v>10020214</v>
          </cell>
          <cell r="B187" t="str">
            <v>炙热铁块</v>
          </cell>
          <cell r="J187">
            <v>1140</v>
          </cell>
        </row>
        <row r="188">
          <cell r="A188">
            <v>10020215</v>
          </cell>
          <cell r="B188" t="str">
            <v>博士的研究成果</v>
          </cell>
          <cell r="J188">
            <v>1380</v>
          </cell>
        </row>
        <row r="189">
          <cell r="A189">
            <v>10020216</v>
          </cell>
          <cell r="B189" t="str">
            <v>黑暗魔王之心</v>
          </cell>
          <cell r="J189">
            <v>1700</v>
          </cell>
        </row>
        <row r="190">
          <cell r="A190">
            <v>10030101</v>
          </cell>
          <cell r="B190" t="str">
            <v>头布</v>
          </cell>
          <cell r="J190">
            <v>5100</v>
          </cell>
        </row>
        <row r="191">
          <cell r="A191">
            <v>10030102</v>
          </cell>
          <cell r="B191" t="str">
            <v>铁盔</v>
          </cell>
          <cell r="J191">
            <v>1100</v>
          </cell>
        </row>
        <row r="192">
          <cell r="A192">
            <v>10030103</v>
          </cell>
          <cell r="B192" t="str">
            <v>小手套</v>
          </cell>
          <cell r="J192">
            <v>1400</v>
          </cell>
        </row>
        <row r="193">
          <cell r="A193">
            <v>10030104</v>
          </cell>
          <cell r="B193" t="str">
            <v>粗手套</v>
          </cell>
          <cell r="J193">
            <v>1560</v>
          </cell>
        </row>
        <row r="194">
          <cell r="A194">
            <v>10030105</v>
          </cell>
          <cell r="B194" t="str">
            <v>铁手套</v>
          </cell>
          <cell r="J194">
            <v>4640</v>
          </cell>
        </row>
        <row r="195">
          <cell r="A195">
            <v>10030106</v>
          </cell>
          <cell r="B195" t="str">
            <v>布带</v>
          </cell>
          <cell r="J195">
            <v>1120</v>
          </cell>
        </row>
        <row r="196">
          <cell r="A196">
            <v>10030107</v>
          </cell>
          <cell r="B196" t="str">
            <v>钢腰带</v>
          </cell>
          <cell r="J196">
            <v>3700</v>
          </cell>
        </row>
        <row r="197">
          <cell r="A197" t="str">
            <v>10030108</v>
          </cell>
          <cell r="B197" t="str">
            <v>小布鞋</v>
          </cell>
          <cell r="J197">
            <v>1000</v>
          </cell>
        </row>
        <row r="198">
          <cell r="A198">
            <v>10030109</v>
          </cell>
          <cell r="B198" t="str">
            <v>麻布裤</v>
          </cell>
          <cell r="J198">
            <v>2220</v>
          </cell>
        </row>
        <row r="199">
          <cell r="A199">
            <v>10030110</v>
          </cell>
          <cell r="B199" t="str">
            <v>银项链</v>
          </cell>
          <cell r="J199">
            <v>2020</v>
          </cell>
        </row>
        <row r="200">
          <cell r="A200" t="str">
            <v>10030111</v>
          </cell>
          <cell r="B200" t="str">
            <v>古铜戒指</v>
          </cell>
          <cell r="J200">
            <v>2400</v>
          </cell>
        </row>
        <row r="201">
          <cell r="A201" t="str">
            <v>10030112</v>
          </cell>
          <cell r="B201" t="str">
            <v>屠龙宝刀</v>
          </cell>
          <cell r="J201">
            <v>7000</v>
          </cell>
        </row>
        <row r="202">
          <cell r="A202" t="str">
            <v>10030113</v>
          </cell>
          <cell r="B202" t="str">
            <v>匕首</v>
          </cell>
          <cell r="J202">
            <v>9200</v>
          </cell>
        </row>
        <row r="203">
          <cell r="A203" t="str">
            <v>10030114</v>
          </cell>
          <cell r="B203" t="str">
            <v>布衣</v>
          </cell>
          <cell r="J203">
            <v>10400</v>
          </cell>
        </row>
        <row r="204">
          <cell r="A204">
            <v>10030201</v>
          </cell>
          <cell r="B204" t="str">
            <v>青铜头盔</v>
          </cell>
          <cell r="J204">
            <v>25600</v>
          </cell>
        </row>
        <row r="205">
          <cell r="A205">
            <v>10030202</v>
          </cell>
          <cell r="B205" t="str">
            <v>玄铁头盔</v>
          </cell>
          <cell r="J205">
            <v>9300</v>
          </cell>
        </row>
        <row r="206">
          <cell r="A206">
            <v>10030203</v>
          </cell>
          <cell r="B206" t="str">
            <v>骷髅头盔</v>
          </cell>
          <cell r="J206">
            <v>32280</v>
          </cell>
        </row>
        <row r="207">
          <cell r="A207">
            <v>10030204</v>
          </cell>
          <cell r="B207" t="str">
            <v>纯银手套</v>
          </cell>
          <cell r="J207">
            <v>39000</v>
          </cell>
        </row>
        <row r="208">
          <cell r="A208">
            <v>10030205</v>
          </cell>
          <cell r="B208" t="str">
            <v>魔力手套</v>
          </cell>
          <cell r="J208">
            <v>4660</v>
          </cell>
        </row>
        <row r="209">
          <cell r="A209">
            <v>10030206</v>
          </cell>
          <cell r="B209" t="str">
            <v>纯金手套</v>
          </cell>
          <cell r="J209">
            <v>16140</v>
          </cell>
        </row>
        <row r="210">
          <cell r="A210">
            <v>10030207</v>
          </cell>
          <cell r="B210" t="str">
            <v>白纹手套</v>
          </cell>
          <cell r="J210">
            <v>2600</v>
          </cell>
        </row>
        <row r="211">
          <cell r="A211">
            <v>10030208</v>
          </cell>
          <cell r="B211" t="str">
            <v>布纹腰带</v>
          </cell>
          <cell r="J211">
            <v>2280</v>
          </cell>
        </row>
        <row r="212">
          <cell r="A212">
            <v>10030209</v>
          </cell>
          <cell r="B212" t="str">
            <v>骷髅腰带</v>
          </cell>
          <cell r="J212">
            <v>3020</v>
          </cell>
        </row>
        <row r="213">
          <cell r="A213">
            <v>10030210</v>
          </cell>
          <cell r="B213" t="str">
            <v>布纹布靴</v>
          </cell>
          <cell r="J213">
            <v>1320</v>
          </cell>
        </row>
        <row r="214">
          <cell r="A214">
            <v>10030211</v>
          </cell>
          <cell r="B214" t="str">
            <v>布纹长裤</v>
          </cell>
          <cell r="J214">
            <v>3300</v>
          </cell>
        </row>
        <row r="215">
          <cell r="A215">
            <v>10030212</v>
          </cell>
          <cell r="B215" t="str">
            <v>纯银项链</v>
          </cell>
          <cell r="J215">
            <v>1560</v>
          </cell>
        </row>
        <row r="216">
          <cell r="A216">
            <v>10030213</v>
          </cell>
          <cell r="B216" t="str">
            <v>白骨项链</v>
          </cell>
          <cell r="J216">
            <v>1240</v>
          </cell>
        </row>
        <row r="217">
          <cell r="A217">
            <v>10030214</v>
          </cell>
          <cell r="B217" t="str">
            <v>红宝石项链</v>
          </cell>
          <cell r="J217">
            <v>1480</v>
          </cell>
        </row>
        <row r="218">
          <cell r="A218">
            <v>10030215</v>
          </cell>
          <cell r="B218" t="str">
            <v>魅力戒指</v>
          </cell>
          <cell r="J218">
            <v>78000</v>
          </cell>
        </row>
        <row r="219">
          <cell r="A219">
            <v>10030216</v>
          </cell>
          <cell r="B219" t="str">
            <v>红宝石戒指</v>
          </cell>
          <cell r="J219">
            <v>2280</v>
          </cell>
        </row>
        <row r="220">
          <cell r="A220">
            <v>10030217</v>
          </cell>
          <cell r="B220" t="str">
            <v>神兵护符</v>
          </cell>
          <cell r="J220">
            <v>2280</v>
          </cell>
        </row>
        <row r="221">
          <cell r="A221">
            <v>10030218</v>
          </cell>
          <cell r="B221" t="str">
            <v>短刀</v>
          </cell>
          <cell r="J221">
            <v>2280</v>
          </cell>
        </row>
        <row r="222">
          <cell r="A222">
            <v>10030219</v>
          </cell>
          <cell r="B222" t="str">
            <v>玄铁刀</v>
          </cell>
          <cell r="J222">
            <v>2280</v>
          </cell>
        </row>
        <row r="223">
          <cell r="A223">
            <v>10030220</v>
          </cell>
          <cell r="B223" t="str">
            <v>凌风剑</v>
          </cell>
          <cell r="J223">
            <v>13830</v>
          </cell>
        </row>
        <row r="224">
          <cell r="A224">
            <v>10030221</v>
          </cell>
          <cell r="B224" t="str">
            <v>轻型盔甲</v>
          </cell>
          <cell r="J224">
            <v>5520</v>
          </cell>
        </row>
        <row r="225">
          <cell r="A225">
            <v>10030222</v>
          </cell>
          <cell r="B225" t="str">
            <v>凌风盔甲</v>
          </cell>
          <cell r="J225">
            <v>12570</v>
          </cell>
        </row>
        <row r="226">
          <cell r="A226">
            <v>10030251</v>
          </cell>
          <cell r="B226" t="str">
            <v>狼王的项链</v>
          </cell>
          <cell r="J226">
            <v>5040</v>
          </cell>
        </row>
        <row r="227">
          <cell r="A227">
            <v>10030252</v>
          </cell>
          <cell r="B227" t="str">
            <v>僵尸护符</v>
          </cell>
          <cell r="J227">
            <v>10050</v>
          </cell>
        </row>
        <row r="228">
          <cell r="A228">
            <v>10030253</v>
          </cell>
          <cell r="B228" t="str">
            <v>骷髅王的桂冠</v>
          </cell>
          <cell r="J228">
            <v>4020</v>
          </cell>
        </row>
        <row r="229">
          <cell r="A229">
            <v>10030254</v>
          </cell>
          <cell r="B229" t="str">
            <v>蜘蛛护腿</v>
          </cell>
          <cell r="J229">
            <v>10050</v>
          </cell>
        </row>
        <row r="230">
          <cell r="A230">
            <v>10030255</v>
          </cell>
          <cell r="B230" t="str">
            <v>蜘蛛护胸</v>
          </cell>
          <cell r="J230">
            <v>4020</v>
          </cell>
        </row>
        <row r="231">
          <cell r="A231">
            <v>10030256</v>
          </cell>
          <cell r="B231" t="str">
            <v>古墓手套</v>
          </cell>
          <cell r="J231">
            <v>15090</v>
          </cell>
        </row>
        <row r="232">
          <cell r="A232">
            <v>10030257</v>
          </cell>
          <cell r="B232" t="str">
            <v>古墓腰带</v>
          </cell>
          <cell r="J232">
            <v>6030</v>
          </cell>
        </row>
        <row r="233">
          <cell r="A233">
            <v>10030258</v>
          </cell>
          <cell r="B233" t="str">
            <v>古墓鞋子</v>
          </cell>
          <cell r="J233">
            <v>16350</v>
          </cell>
        </row>
        <row r="234">
          <cell r="A234">
            <v>10030259</v>
          </cell>
          <cell r="B234" t="str">
            <v>黑暗之剑</v>
          </cell>
          <cell r="J234">
            <v>6540</v>
          </cell>
        </row>
        <row r="235">
          <cell r="A235">
            <v>10030260</v>
          </cell>
          <cell r="B235" t="str">
            <v>古旧的法术书</v>
          </cell>
          <cell r="J235">
            <v>20100</v>
          </cell>
        </row>
        <row r="236">
          <cell r="A236">
            <v>10030261</v>
          </cell>
          <cell r="B236" t="str">
            <v>闪闪发亮的宝石</v>
          </cell>
          <cell r="J236">
            <v>8040</v>
          </cell>
        </row>
        <row r="237">
          <cell r="A237">
            <v>10030262</v>
          </cell>
          <cell r="B237" t="str">
            <v>疾跑护符</v>
          </cell>
          <cell r="J237">
            <v>47760</v>
          </cell>
        </row>
        <row r="238">
          <cell r="A238">
            <v>10030263</v>
          </cell>
          <cell r="B238" t="str">
            <v>爱心之剑</v>
          </cell>
          <cell r="J238">
            <v>30180</v>
          </cell>
        </row>
        <row r="239">
          <cell r="A239">
            <v>10030301</v>
          </cell>
          <cell r="B239" t="str">
            <v>血域头盔</v>
          </cell>
          <cell r="J239">
            <v>75420</v>
          </cell>
        </row>
        <row r="240">
          <cell r="A240">
            <v>10030302</v>
          </cell>
          <cell r="B240" t="str">
            <v>灵巧头巾</v>
          </cell>
          <cell r="J240">
            <v>30150</v>
          </cell>
        </row>
        <row r="241">
          <cell r="A241">
            <v>10030303</v>
          </cell>
          <cell r="B241" t="str">
            <v>血域护手</v>
          </cell>
          <cell r="J241">
            <v>30150</v>
          </cell>
        </row>
        <row r="242">
          <cell r="A242">
            <v>10030304</v>
          </cell>
          <cell r="B242" t="str">
            <v>精铁手套</v>
          </cell>
          <cell r="J242">
            <v>37710</v>
          </cell>
        </row>
        <row r="243">
          <cell r="A243">
            <v>10030305</v>
          </cell>
          <cell r="B243" t="str">
            <v>血域腰带</v>
          </cell>
          <cell r="J243">
            <v>27520</v>
          </cell>
        </row>
        <row r="244">
          <cell r="A244">
            <v>10030306</v>
          </cell>
          <cell r="B244" t="str">
            <v>战斗腰带</v>
          </cell>
          <cell r="J244">
            <v>20100</v>
          </cell>
        </row>
        <row r="245">
          <cell r="A245">
            <v>10030307</v>
          </cell>
          <cell r="B245" t="str">
            <v>血域战靴</v>
          </cell>
          <cell r="J245">
            <v>16350</v>
          </cell>
        </row>
        <row r="246">
          <cell r="A246">
            <v>10030308</v>
          </cell>
          <cell r="B246" t="str">
            <v>战斗靴子</v>
          </cell>
          <cell r="J246">
            <v>13830</v>
          </cell>
        </row>
        <row r="247">
          <cell r="A247">
            <v>10030309</v>
          </cell>
          <cell r="B247" t="str">
            <v>血域长裤</v>
          </cell>
          <cell r="J247">
            <v>12570</v>
          </cell>
        </row>
        <row r="248">
          <cell r="A248">
            <v>10030310</v>
          </cell>
          <cell r="B248" t="str">
            <v>血色长裤</v>
          </cell>
          <cell r="J248">
            <v>10050</v>
          </cell>
        </row>
        <row r="249">
          <cell r="A249">
            <v>10030311</v>
          </cell>
          <cell r="B249" t="str">
            <v>血域战链</v>
          </cell>
          <cell r="J249">
            <v>10050</v>
          </cell>
        </row>
        <row r="250">
          <cell r="A250">
            <v>10030312</v>
          </cell>
          <cell r="B250" t="str">
            <v>骷髅项链</v>
          </cell>
          <cell r="J250">
            <v>30180</v>
          </cell>
        </row>
        <row r="251">
          <cell r="A251">
            <v>10030313</v>
          </cell>
          <cell r="B251" t="str">
            <v>血域戒指</v>
          </cell>
          <cell r="J251">
            <v>47760</v>
          </cell>
        </row>
        <row r="252">
          <cell r="A252">
            <v>10030314</v>
          </cell>
          <cell r="B252" t="str">
            <v>黑金戒指</v>
          </cell>
          <cell r="J252">
            <v>47760</v>
          </cell>
        </row>
        <row r="253">
          <cell r="A253">
            <v>10030315</v>
          </cell>
          <cell r="B253" t="str">
            <v>血域宝石</v>
          </cell>
          <cell r="J253">
            <v>47760</v>
          </cell>
        </row>
        <row r="254">
          <cell r="A254">
            <v>10030316</v>
          </cell>
          <cell r="B254" t="str">
            <v>血域护符</v>
          </cell>
          <cell r="J254">
            <v>47760</v>
          </cell>
        </row>
        <row r="255">
          <cell r="A255">
            <v>10030317</v>
          </cell>
          <cell r="B255" t="str">
            <v>血域战刃</v>
          </cell>
          <cell r="J255">
            <v>47760</v>
          </cell>
        </row>
        <row r="256">
          <cell r="A256">
            <v>10030318</v>
          </cell>
          <cell r="B256" t="str">
            <v>利刃长剑</v>
          </cell>
          <cell r="J256">
            <v>150750</v>
          </cell>
        </row>
        <row r="257">
          <cell r="A257">
            <v>10030319</v>
          </cell>
          <cell r="B257" t="str">
            <v>血色之刃</v>
          </cell>
          <cell r="J257">
            <v>75390</v>
          </cell>
        </row>
        <row r="258">
          <cell r="A258">
            <v>10030320</v>
          </cell>
          <cell r="B258" t="str">
            <v>血域战甲</v>
          </cell>
          <cell r="J258">
            <v>20010</v>
          </cell>
        </row>
        <row r="259">
          <cell r="A259">
            <v>10030321</v>
          </cell>
          <cell r="B259" t="str">
            <v>刀锋战衣</v>
          </cell>
          <cell r="J259">
            <v>8010</v>
          </cell>
        </row>
        <row r="260">
          <cell r="A260">
            <v>10030322</v>
          </cell>
          <cell r="B260" t="str">
            <v>力量戒指</v>
          </cell>
          <cell r="J260">
            <v>18210</v>
          </cell>
        </row>
        <row r="261">
          <cell r="A261">
            <v>10030323</v>
          </cell>
          <cell r="B261" t="str">
            <v>幽冥项链</v>
          </cell>
          <cell r="J261">
            <v>7290</v>
          </cell>
        </row>
        <row r="262">
          <cell r="A262">
            <v>10030324</v>
          </cell>
          <cell r="B262" t="str">
            <v>荒漠头盔</v>
          </cell>
          <cell r="J262">
            <v>14550</v>
          </cell>
        </row>
        <row r="263">
          <cell r="A263">
            <v>10030325</v>
          </cell>
          <cell r="B263" t="str">
            <v>荒漠手套</v>
          </cell>
          <cell r="J263">
            <v>5820</v>
          </cell>
        </row>
        <row r="264">
          <cell r="A264">
            <v>10030326</v>
          </cell>
          <cell r="B264" t="str">
            <v>荒漠腰带</v>
          </cell>
          <cell r="J264">
            <v>14550</v>
          </cell>
        </row>
        <row r="265">
          <cell r="A265">
            <v>10030327</v>
          </cell>
          <cell r="B265" t="str">
            <v>荒漠靴子</v>
          </cell>
          <cell r="J265">
            <v>5820</v>
          </cell>
        </row>
        <row r="266">
          <cell r="A266">
            <v>10030328</v>
          </cell>
          <cell r="B266" t="str">
            <v>生命护符</v>
          </cell>
          <cell r="J266">
            <v>21840</v>
          </cell>
        </row>
        <row r="267">
          <cell r="A267">
            <v>10030329</v>
          </cell>
          <cell r="B267" t="str">
            <v>生命饰品</v>
          </cell>
          <cell r="J267">
            <v>8730</v>
          </cell>
        </row>
        <row r="268">
          <cell r="A268">
            <v>10030330</v>
          </cell>
          <cell r="B268" t="str">
            <v>防护宝石</v>
          </cell>
          <cell r="J268">
            <v>23640</v>
          </cell>
        </row>
        <row r="269">
          <cell r="A269">
            <v>10030331</v>
          </cell>
          <cell r="B269" t="str">
            <v>沙漠灵饰</v>
          </cell>
          <cell r="J269">
            <v>9450</v>
          </cell>
        </row>
        <row r="270">
          <cell r="A270">
            <v>10030332</v>
          </cell>
          <cell r="B270" t="str">
            <v>痛苦女王的吊坠</v>
          </cell>
          <cell r="J270">
            <v>29100</v>
          </cell>
        </row>
        <row r="271">
          <cell r="A271">
            <v>10030333</v>
          </cell>
          <cell r="B271" t="str">
            <v>地狱领主的法术书</v>
          </cell>
          <cell r="J271">
            <v>11640</v>
          </cell>
        </row>
        <row r="272">
          <cell r="A272">
            <v>10030334</v>
          </cell>
          <cell r="B272" t="str">
            <v>不败的意志</v>
          </cell>
          <cell r="J272">
            <v>69150</v>
          </cell>
        </row>
        <row r="273">
          <cell r="A273">
            <v>10030335</v>
          </cell>
          <cell r="B273" t="str">
            <v>地狱领主的盔甲</v>
          </cell>
          <cell r="J273">
            <v>43680</v>
          </cell>
        </row>
        <row r="274">
          <cell r="A274">
            <v>10030401</v>
          </cell>
          <cell r="B274" t="str">
            <v>冰封头盔</v>
          </cell>
          <cell r="J274">
            <v>17460</v>
          </cell>
        </row>
        <row r="275">
          <cell r="A275">
            <v>10030402</v>
          </cell>
          <cell r="B275" t="str">
            <v>精钢头盔</v>
          </cell>
          <cell r="J275">
            <v>109170</v>
          </cell>
        </row>
        <row r="276">
          <cell r="A276">
            <v>10030403</v>
          </cell>
          <cell r="B276" t="str">
            <v>冰封护手</v>
          </cell>
          <cell r="J276">
            <v>109170</v>
          </cell>
        </row>
        <row r="277">
          <cell r="A277">
            <v>10030404</v>
          </cell>
          <cell r="B277" t="str">
            <v>精钢手套</v>
          </cell>
          <cell r="J277">
            <v>54600</v>
          </cell>
        </row>
        <row r="278">
          <cell r="A278">
            <v>10030405</v>
          </cell>
          <cell r="B278" t="str">
            <v>冰封腰带</v>
          </cell>
          <cell r="J278">
            <v>21840</v>
          </cell>
        </row>
        <row r="279">
          <cell r="A279">
            <v>10030406</v>
          </cell>
          <cell r="B279" t="str">
            <v>意志腰带</v>
          </cell>
          <cell r="J279">
            <v>14550</v>
          </cell>
        </row>
        <row r="280">
          <cell r="A280">
            <v>10030407</v>
          </cell>
          <cell r="B280" t="str">
            <v>冰封战靴</v>
          </cell>
          <cell r="J280">
            <v>14550</v>
          </cell>
        </row>
        <row r="281">
          <cell r="A281">
            <v>10030408</v>
          </cell>
          <cell r="B281" t="str">
            <v>雪域靴子</v>
          </cell>
          <cell r="J281">
            <v>54600</v>
          </cell>
        </row>
        <row r="282">
          <cell r="A282">
            <v>10030409</v>
          </cell>
          <cell r="B282" t="str">
            <v>冰封长裤</v>
          </cell>
          <cell r="J282">
            <v>20010</v>
          </cell>
        </row>
        <row r="283">
          <cell r="A283">
            <v>10030410</v>
          </cell>
          <cell r="B283" t="str">
            <v>魔鬼长裤</v>
          </cell>
          <cell r="J283">
            <v>21840</v>
          </cell>
        </row>
        <row r="284">
          <cell r="A284">
            <v>10030411</v>
          </cell>
          <cell r="B284" t="str">
            <v>冰封战链</v>
          </cell>
          <cell r="J284">
            <v>109170</v>
          </cell>
        </row>
        <row r="285">
          <cell r="A285">
            <v>10030412</v>
          </cell>
          <cell r="B285" t="str">
            <v>冰灵项链</v>
          </cell>
          <cell r="J285">
            <v>43680</v>
          </cell>
        </row>
        <row r="286">
          <cell r="A286">
            <v>10030413</v>
          </cell>
          <cell r="B286" t="str">
            <v>冰封戒指</v>
          </cell>
          <cell r="J286">
            <v>69150</v>
          </cell>
        </row>
        <row r="287">
          <cell r="A287">
            <v>10030414</v>
          </cell>
          <cell r="B287" t="str">
            <v>鬼灵指环</v>
          </cell>
          <cell r="J287">
            <v>69150</v>
          </cell>
        </row>
        <row r="288">
          <cell r="A288">
            <v>10030415</v>
          </cell>
          <cell r="B288" t="str">
            <v>冰封饰品</v>
          </cell>
          <cell r="J288">
            <v>69150</v>
          </cell>
        </row>
        <row r="289">
          <cell r="A289">
            <v>10030416</v>
          </cell>
          <cell r="B289" t="str">
            <v>冰封护符</v>
          </cell>
          <cell r="J289">
            <v>69150</v>
          </cell>
        </row>
        <row r="290">
          <cell r="A290">
            <v>10030417</v>
          </cell>
          <cell r="B290" t="str">
            <v>血护符</v>
          </cell>
          <cell r="J290">
            <v>218250</v>
          </cell>
        </row>
        <row r="291">
          <cell r="A291">
            <v>10030418</v>
          </cell>
          <cell r="B291" t="str">
            <v>冰封战刃</v>
          </cell>
          <cell r="J291">
            <v>47280</v>
          </cell>
        </row>
        <row r="292">
          <cell r="A292">
            <v>10030419</v>
          </cell>
          <cell r="B292" t="str">
            <v>血泣</v>
          </cell>
          <cell r="J292">
            <v>26190</v>
          </cell>
        </row>
        <row r="293">
          <cell r="A293">
            <v>10030420</v>
          </cell>
          <cell r="B293" t="str">
            <v>冰封战甲</v>
          </cell>
          <cell r="J293">
            <v>10470</v>
          </cell>
        </row>
        <row r="294">
          <cell r="A294">
            <v>10030421</v>
          </cell>
          <cell r="B294" t="str">
            <v>战斗钢甲</v>
          </cell>
          <cell r="J294">
            <v>23820</v>
          </cell>
        </row>
        <row r="295">
          <cell r="A295">
            <v>10030422</v>
          </cell>
          <cell r="B295" t="str">
            <v>破灵腰带</v>
          </cell>
          <cell r="J295">
            <v>9540</v>
          </cell>
        </row>
        <row r="296">
          <cell r="A296">
            <v>10030423</v>
          </cell>
          <cell r="B296" t="str">
            <v>破灵靴子</v>
          </cell>
          <cell r="J296">
            <v>19050</v>
          </cell>
        </row>
        <row r="297">
          <cell r="A297">
            <v>10030424</v>
          </cell>
          <cell r="B297" t="str">
            <v>冰河战甲</v>
          </cell>
          <cell r="J297">
            <v>7620</v>
          </cell>
        </row>
        <row r="298">
          <cell r="A298">
            <v>10030425</v>
          </cell>
          <cell r="B298" t="str">
            <v>冰河战盔</v>
          </cell>
          <cell r="J298">
            <v>19050</v>
          </cell>
        </row>
        <row r="299">
          <cell r="A299">
            <v>10030426</v>
          </cell>
          <cell r="B299" t="str">
            <v>冰河长裤</v>
          </cell>
          <cell r="J299">
            <v>7620</v>
          </cell>
        </row>
        <row r="300">
          <cell r="A300">
            <v>10030427</v>
          </cell>
          <cell r="B300" t="str">
            <v>勇气长剑</v>
          </cell>
          <cell r="J300">
            <v>28590</v>
          </cell>
        </row>
        <row r="301">
          <cell r="A301">
            <v>10030428</v>
          </cell>
          <cell r="B301" t="str">
            <v>破灵护符</v>
          </cell>
          <cell r="J301">
            <v>11430</v>
          </cell>
        </row>
        <row r="302">
          <cell r="A302">
            <v>10030429</v>
          </cell>
          <cell r="B302" t="str">
            <v>治愈灵石</v>
          </cell>
          <cell r="J302">
            <v>30960</v>
          </cell>
        </row>
        <row r="303">
          <cell r="A303">
            <v>10030430</v>
          </cell>
          <cell r="B303" t="str">
            <v>超强防护宝石</v>
          </cell>
          <cell r="J303">
            <v>12390</v>
          </cell>
        </row>
        <row r="304">
          <cell r="A304">
            <v>10030431</v>
          </cell>
          <cell r="B304" t="str">
            <v>冰封守护之心</v>
          </cell>
          <cell r="J304">
            <v>38100</v>
          </cell>
        </row>
        <row r="305">
          <cell r="A305">
            <v>10030432</v>
          </cell>
          <cell r="B305" t="str">
            <v>阿兹里斯的骨头</v>
          </cell>
          <cell r="J305">
            <v>15240</v>
          </cell>
        </row>
        <row r="306">
          <cell r="A306">
            <v>10030433</v>
          </cell>
          <cell r="B306" t="str">
            <v>帝陨</v>
          </cell>
          <cell r="J306">
            <v>90510</v>
          </cell>
        </row>
        <row r="307">
          <cell r="A307">
            <v>10030434</v>
          </cell>
          <cell r="B307" t="str">
            <v>阿兹里斯的项链</v>
          </cell>
          <cell r="J307">
            <v>57180</v>
          </cell>
        </row>
        <row r="308">
          <cell r="A308">
            <v>10030501</v>
          </cell>
          <cell r="B308" t="str">
            <v>永恒头盔</v>
          </cell>
          <cell r="J308">
            <v>22860</v>
          </cell>
        </row>
        <row r="309">
          <cell r="A309">
            <v>10030502</v>
          </cell>
          <cell r="B309" t="str">
            <v>战意头盔</v>
          </cell>
          <cell r="J309">
            <v>142920</v>
          </cell>
        </row>
        <row r="310">
          <cell r="A310">
            <v>10030503</v>
          </cell>
          <cell r="B310" t="str">
            <v>永恒护手</v>
          </cell>
          <cell r="J310">
            <v>142920</v>
          </cell>
        </row>
        <row r="311">
          <cell r="A311">
            <v>10030504</v>
          </cell>
          <cell r="B311" t="str">
            <v>绿色手套</v>
          </cell>
          <cell r="J311">
            <v>71460</v>
          </cell>
        </row>
        <row r="312">
          <cell r="A312">
            <v>10030505</v>
          </cell>
          <cell r="B312" t="str">
            <v>永恒腰带</v>
          </cell>
          <cell r="J312">
            <v>28590</v>
          </cell>
        </row>
        <row r="313">
          <cell r="A313">
            <v>10030506</v>
          </cell>
          <cell r="B313" t="str">
            <v>骷髅腰带</v>
          </cell>
          <cell r="J313">
            <v>30960</v>
          </cell>
        </row>
        <row r="314">
          <cell r="A314">
            <v>10030507</v>
          </cell>
          <cell r="B314" t="str">
            <v>永恒战靴</v>
          </cell>
          <cell r="J314">
            <v>15240</v>
          </cell>
        </row>
        <row r="315">
          <cell r="A315">
            <v>10030508</v>
          </cell>
          <cell r="B315" t="str">
            <v>旋风靴</v>
          </cell>
          <cell r="J315">
            <v>71460</v>
          </cell>
        </row>
        <row r="316">
          <cell r="A316">
            <v>10030509</v>
          </cell>
          <cell r="B316" t="str">
            <v>永恒长裤</v>
          </cell>
          <cell r="J316">
            <v>26190</v>
          </cell>
        </row>
        <row r="317">
          <cell r="A317">
            <v>10030510</v>
          </cell>
          <cell r="B317" t="str">
            <v>烈焰长裤</v>
          </cell>
          <cell r="J317">
            <v>28590</v>
          </cell>
        </row>
        <row r="318">
          <cell r="A318">
            <v>10030511</v>
          </cell>
          <cell r="B318" t="str">
            <v>永恒战链</v>
          </cell>
          <cell r="J318">
            <v>23820</v>
          </cell>
        </row>
        <row r="319">
          <cell r="A319">
            <v>10030512</v>
          </cell>
          <cell r="B319" t="str">
            <v>梦境项链</v>
          </cell>
          <cell r="J319">
            <v>19050</v>
          </cell>
        </row>
        <row r="320">
          <cell r="A320">
            <v>10030513</v>
          </cell>
          <cell r="B320" t="str">
            <v>永恒戒指</v>
          </cell>
          <cell r="J320">
            <v>19050</v>
          </cell>
        </row>
        <row r="321">
          <cell r="A321">
            <v>10030514</v>
          </cell>
          <cell r="B321" t="str">
            <v>鬼魅指环</v>
          </cell>
          <cell r="J321">
            <v>90510</v>
          </cell>
        </row>
        <row r="322">
          <cell r="A322">
            <v>10030515</v>
          </cell>
          <cell r="B322" t="str">
            <v>永恒饰品</v>
          </cell>
          <cell r="J322">
            <v>90510</v>
          </cell>
        </row>
        <row r="323">
          <cell r="A323">
            <v>10030516</v>
          </cell>
          <cell r="B323" t="str">
            <v>永恒护符</v>
          </cell>
          <cell r="J323">
            <v>90510</v>
          </cell>
        </row>
        <row r="324">
          <cell r="A324">
            <v>10030517</v>
          </cell>
          <cell r="B324" t="str">
            <v>鬼灵护符</v>
          </cell>
          <cell r="J324">
            <v>90510</v>
          </cell>
        </row>
        <row r="325">
          <cell r="A325">
            <v>10030518</v>
          </cell>
          <cell r="B325" t="str">
            <v>永恒战刃</v>
          </cell>
          <cell r="J325">
            <v>90510</v>
          </cell>
        </row>
        <row r="326">
          <cell r="A326">
            <v>10030519</v>
          </cell>
          <cell r="B326" t="str">
            <v>鬼头斩</v>
          </cell>
          <cell r="J326">
            <v>285750</v>
          </cell>
        </row>
        <row r="327">
          <cell r="A327">
            <v>10030520</v>
          </cell>
          <cell r="B327" t="str">
            <v>永恒战甲</v>
          </cell>
          <cell r="J327">
            <v>114300</v>
          </cell>
        </row>
        <row r="328">
          <cell r="A328">
            <v>10030521</v>
          </cell>
          <cell r="B328" t="str">
            <v>骷髅盔甲</v>
          </cell>
          <cell r="J328">
            <v>32400</v>
          </cell>
        </row>
        <row r="329">
          <cell r="A329">
            <v>10030522</v>
          </cell>
          <cell r="B329" t="str">
            <v>精灵项链</v>
          </cell>
          <cell r="J329">
            <v>12960</v>
          </cell>
        </row>
        <row r="330">
          <cell r="A330">
            <v>10030523</v>
          </cell>
          <cell r="B330" t="str">
            <v>精灵指环</v>
          </cell>
          <cell r="J330">
            <v>29460</v>
          </cell>
        </row>
        <row r="331">
          <cell r="A331">
            <v>10030524</v>
          </cell>
          <cell r="B331" t="str">
            <v>暮色战甲</v>
          </cell>
          <cell r="J331">
            <v>11790</v>
          </cell>
        </row>
        <row r="332">
          <cell r="A332">
            <v>10030525</v>
          </cell>
          <cell r="B332" t="str">
            <v>暮色战盔</v>
          </cell>
          <cell r="J332">
            <v>23550</v>
          </cell>
        </row>
        <row r="333">
          <cell r="A333">
            <v>10030526</v>
          </cell>
          <cell r="B333" t="str">
            <v>暮色长裤</v>
          </cell>
          <cell r="J333">
            <v>9420</v>
          </cell>
        </row>
        <row r="334">
          <cell r="A334">
            <v>10030527</v>
          </cell>
          <cell r="B334" t="str">
            <v>暮色手套</v>
          </cell>
          <cell r="J334">
            <v>23550</v>
          </cell>
        </row>
        <row r="335">
          <cell r="A335">
            <v>10030528</v>
          </cell>
          <cell r="B335" t="str">
            <v>暮色腰带</v>
          </cell>
          <cell r="J335">
            <v>9420</v>
          </cell>
        </row>
        <row r="336">
          <cell r="A336">
            <v>10030529</v>
          </cell>
          <cell r="B336" t="str">
            <v>暮色靴子</v>
          </cell>
          <cell r="J336">
            <v>35340</v>
          </cell>
        </row>
        <row r="337">
          <cell r="A337">
            <v>10030530</v>
          </cell>
          <cell r="B337" t="str">
            <v>暮色饰品</v>
          </cell>
          <cell r="J337">
            <v>14130</v>
          </cell>
        </row>
        <row r="338">
          <cell r="A338">
            <v>10030531</v>
          </cell>
          <cell r="B338" t="str">
            <v>狂暴魔法书</v>
          </cell>
          <cell r="J338">
            <v>38280</v>
          </cell>
        </row>
        <row r="339">
          <cell r="A339">
            <v>10030532</v>
          </cell>
          <cell r="B339" t="str">
            <v>高级治愈灵石</v>
          </cell>
          <cell r="J339">
            <v>15300</v>
          </cell>
        </row>
        <row r="340">
          <cell r="A340">
            <v>10030533</v>
          </cell>
          <cell r="B340" t="str">
            <v>暮色士兵的遗产</v>
          </cell>
          <cell r="J340">
            <v>47100</v>
          </cell>
        </row>
        <row r="341">
          <cell r="A341">
            <v>10030534</v>
          </cell>
          <cell r="B341" t="str">
            <v>艾力克斯的能量球</v>
          </cell>
          <cell r="J341">
            <v>18840</v>
          </cell>
        </row>
        <row r="342">
          <cell r="A342">
            <v>10030535</v>
          </cell>
          <cell r="B342" t="str">
            <v>毁灭</v>
          </cell>
          <cell r="J342">
            <v>111900</v>
          </cell>
        </row>
        <row r="343">
          <cell r="A343">
            <v>10030536</v>
          </cell>
          <cell r="B343" t="str">
            <v>艾力克斯的护符</v>
          </cell>
          <cell r="J343">
            <v>70680</v>
          </cell>
        </row>
        <row r="344">
          <cell r="A344">
            <v>10030601</v>
          </cell>
          <cell r="B344" t="str">
            <v>圣光头盔</v>
          </cell>
          <cell r="J344">
            <v>28260</v>
          </cell>
        </row>
        <row r="345">
          <cell r="A345">
            <v>10030602</v>
          </cell>
          <cell r="B345" t="str">
            <v>邪灵头盔</v>
          </cell>
          <cell r="J345">
            <v>176670</v>
          </cell>
        </row>
        <row r="346">
          <cell r="A346">
            <v>10030603</v>
          </cell>
          <cell r="B346" t="str">
            <v>圣光护手</v>
          </cell>
          <cell r="J346">
            <v>176670</v>
          </cell>
        </row>
        <row r="347">
          <cell r="A347">
            <v>10030604</v>
          </cell>
          <cell r="B347" t="str">
            <v>除魔手套</v>
          </cell>
          <cell r="J347">
            <v>88350</v>
          </cell>
        </row>
        <row r="348">
          <cell r="A348">
            <v>10030605</v>
          </cell>
          <cell r="B348" t="str">
            <v>圣光腰带</v>
          </cell>
          <cell r="J348">
            <v>35340</v>
          </cell>
        </row>
        <row r="349">
          <cell r="A349">
            <v>10030606</v>
          </cell>
          <cell r="B349" t="str">
            <v>斩灵腰带</v>
          </cell>
          <cell r="J349">
            <v>38280</v>
          </cell>
        </row>
        <row r="350">
          <cell r="A350">
            <v>10030607</v>
          </cell>
          <cell r="B350" t="str">
            <v>圣光战靴</v>
          </cell>
          <cell r="J350">
            <v>47100</v>
          </cell>
        </row>
        <row r="351">
          <cell r="A351">
            <v>10030608</v>
          </cell>
          <cell r="B351" t="str">
            <v>战意靴子</v>
          </cell>
          <cell r="J351">
            <v>88350</v>
          </cell>
        </row>
        <row r="352">
          <cell r="A352">
            <v>10030609</v>
          </cell>
          <cell r="B352" t="str">
            <v>圣光长裤</v>
          </cell>
          <cell r="J352">
            <v>32400</v>
          </cell>
        </row>
        <row r="353">
          <cell r="A353">
            <v>10030610</v>
          </cell>
          <cell r="B353" t="str">
            <v>骨灵长裤</v>
          </cell>
          <cell r="J353">
            <v>35340</v>
          </cell>
        </row>
        <row r="354">
          <cell r="A354">
            <v>10030611</v>
          </cell>
          <cell r="B354" t="str">
            <v>圣光战链</v>
          </cell>
          <cell r="J354">
            <v>29460</v>
          </cell>
        </row>
        <row r="355">
          <cell r="A355">
            <v>10030612</v>
          </cell>
          <cell r="B355" t="str">
            <v>心爱之链</v>
          </cell>
          <cell r="J355">
            <v>23550</v>
          </cell>
        </row>
        <row r="356">
          <cell r="A356">
            <v>10030613</v>
          </cell>
          <cell r="B356" t="str">
            <v>圣光戒指</v>
          </cell>
          <cell r="J356">
            <v>23550</v>
          </cell>
        </row>
        <row r="357">
          <cell r="A357">
            <v>10030614</v>
          </cell>
          <cell r="B357" t="str">
            <v>灵魂指环</v>
          </cell>
        </row>
        <row r="358">
          <cell r="A358">
            <v>10030615</v>
          </cell>
          <cell r="B358" t="str">
            <v>圣光饰品</v>
          </cell>
        </row>
        <row r="359">
          <cell r="A359">
            <v>10030616</v>
          </cell>
          <cell r="B359" t="str">
            <v>圣光护符</v>
          </cell>
        </row>
        <row r="360">
          <cell r="A360">
            <v>10030617</v>
          </cell>
          <cell r="B360" t="str">
            <v>灵光护符</v>
          </cell>
        </row>
        <row r="361">
          <cell r="A361">
            <v>10030618</v>
          </cell>
          <cell r="B361" t="str">
            <v>圣光战刃</v>
          </cell>
        </row>
        <row r="362">
          <cell r="A362">
            <v>10030619</v>
          </cell>
          <cell r="B362" t="str">
            <v>降魔之刃</v>
          </cell>
        </row>
        <row r="363">
          <cell r="A363">
            <v>10030620</v>
          </cell>
          <cell r="B363" t="str">
            <v>圣光战甲</v>
          </cell>
        </row>
        <row r="364">
          <cell r="A364">
            <v>10030621</v>
          </cell>
          <cell r="B364" t="str">
            <v>降魔钢甲</v>
          </cell>
        </row>
        <row r="365">
          <cell r="A365">
            <v>10030622</v>
          </cell>
          <cell r="B365" t="str">
            <v>熔岩项链</v>
          </cell>
        </row>
        <row r="366">
          <cell r="A366">
            <v>10030623</v>
          </cell>
          <cell r="B366" t="str">
            <v>熔岩指环</v>
          </cell>
        </row>
        <row r="367">
          <cell r="A367">
            <v>10030624</v>
          </cell>
          <cell r="B367" t="str">
            <v>炙热战甲</v>
          </cell>
        </row>
        <row r="368">
          <cell r="A368">
            <v>10030625</v>
          </cell>
          <cell r="B368" t="str">
            <v>炙热战盔</v>
          </cell>
        </row>
        <row r="369">
          <cell r="A369">
            <v>10030626</v>
          </cell>
          <cell r="B369" t="str">
            <v>炙热长裤</v>
          </cell>
        </row>
        <row r="370">
          <cell r="A370">
            <v>10030627</v>
          </cell>
          <cell r="B370" t="str">
            <v>炙热手套</v>
          </cell>
        </row>
        <row r="371">
          <cell r="A371">
            <v>10030628</v>
          </cell>
          <cell r="B371" t="str">
            <v>炙热腰带</v>
          </cell>
        </row>
        <row r="372">
          <cell r="A372">
            <v>10030629</v>
          </cell>
          <cell r="B372" t="str">
            <v>炙热靴子</v>
          </cell>
        </row>
        <row r="373">
          <cell r="A373">
            <v>10030630</v>
          </cell>
          <cell r="B373" t="str">
            <v>传说神器:圣光传说头盔</v>
          </cell>
        </row>
        <row r="374">
          <cell r="A374">
            <v>10030631</v>
          </cell>
          <cell r="B374" t="str">
            <v>传说神器:圣光传说护手</v>
          </cell>
        </row>
        <row r="375">
          <cell r="A375">
            <v>10030632</v>
          </cell>
          <cell r="B375" t="str">
            <v>传说神器:圣光传说腰带</v>
          </cell>
        </row>
        <row r="376">
          <cell r="A376">
            <v>10030633</v>
          </cell>
          <cell r="B376" t="str">
            <v>传说神器:圣光传说战靴</v>
          </cell>
        </row>
        <row r="377">
          <cell r="A377">
            <v>10030634</v>
          </cell>
          <cell r="B377" t="str">
            <v>传说神器:圣光传说长裤</v>
          </cell>
        </row>
        <row r="378">
          <cell r="A378">
            <v>10030635</v>
          </cell>
          <cell r="B378" t="str">
            <v>传说神器:圣光传说战链</v>
          </cell>
        </row>
        <row r="379">
          <cell r="A379">
            <v>10030636</v>
          </cell>
          <cell r="B379" t="str">
            <v>传说神器:圣光传说戒指</v>
          </cell>
        </row>
        <row r="380">
          <cell r="A380">
            <v>10030637</v>
          </cell>
          <cell r="B380" t="str">
            <v>传说神器:圣光传说饰品</v>
          </cell>
        </row>
        <row r="381">
          <cell r="A381">
            <v>10030638</v>
          </cell>
          <cell r="B381" t="str">
            <v>传说神器:圣光传说护符</v>
          </cell>
        </row>
        <row r="382">
          <cell r="A382">
            <v>10030639</v>
          </cell>
          <cell r="B382" t="str">
            <v>传说神器:圣光传说战刃</v>
          </cell>
        </row>
        <row r="383">
          <cell r="A383">
            <v>10030640</v>
          </cell>
          <cell r="B383" t="str">
            <v>传说神器:圣光传说战甲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总经验表"/>
      <sheetName val="怪物经验"/>
      <sheetName val="每日经验"/>
      <sheetName val="国家升级"/>
      <sheetName val="经验盒子获得经验"/>
      <sheetName val="任务经验"/>
      <sheetName val="挂机经验收益(废弃)"/>
    </sheetNames>
    <sheetDataSet>
      <sheetData sheetId="0">
        <row r="2">
          <cell r="A2">
            <v>1</v>
          </cell>
          <cell r="F2">
            <v>1.2500000000000001E-2</v>
          </cell>
        </row>
        <row r="3">
          <cell r="A3">
            <v>2</v>
          </cell>
          <cell r="F3">
            <v>1.4999999999999999E-2</v>
          </cell>
        </row>
        <row r="4">
          <cell r="A4">
            <v>3</v>
          </cell>
          <cell r="F4">
            <v>5.0000000000000001E-3</v>
          </cell>
        </row>
        <row r="5">
          <cell r="A5">
            <v>4</v>
          </cell>
          <cell r="F5">
            <v>2.5000000000000001E-2</v>
          </cell>
        </row>
        <row r="6">
          <cell r="A6">
            <v>5</v>
          </cell>
          <cell r="F6">
            <v>3.7499999999999999E-2</v>
          </cell>
        </row>
        <row r="7">
          <cell r="A7">
            <v>6</v>
          </cell>
          <cell r="F7">
            <v>0.05</v>
          </cell>
        </row>
        <row r="8">
          <cell r="A8">
            <v>7</v>
          </cell>
          <cell r="F8">
            <v>6.25E-2</v>
          </cell>
        </row>
        <row r="9">
          <cell r="A9">
            <v>8</v>
          </cell>
          <cell r="F9">
            <v>7.4999999999999997E-2</v>
          </cell>
        </row>
        <row r="10">
          <cell r="A10">
            <v>9</v>
          </cell>
          <cell r="F10">
            <v>0.1</v>
          </cell>
        </row>
        <row r="11">
          <cell r="A11">
            <v>10</v>
          </cell>
          <cell r="F11">
            <v>0.125</v>
          </cell>
        </row>
        <row r="12">
          <cell r="A12">
            <v>11</v>
          </cell>
          <cell r="F12">
            <v>0.15</v>
          </cell>
        </row>
        <row r="13">
          <cell r="A13">
            <v>12</v>
          </cell>
          <cell r="F13">
            <v>0.17499999999999999</v>
          </cell>
        </row>
        <row r="14">
          <cell r="A14">
            <v>13</v>
          </cell>
          <cell r="F14">
            <v>0.2</v>
          </cell>
        </row>
        <row r="15">
          <cell r="A15">
            <v>14</v>
          </cell>
          <cell r="F15">
            <v>0.22500000000000001</v>
          </cell>
        </row>
        <row r="16">
          <cell r="A16">
            <v>15</v>
          </cell>
          <cell r="F16">
            <v>0.25</v>
          </cell>
        </row>
        <row r="17">
          <cell r="A17">
            <v>16</v>
          </cell>
          <cell r="F17">
            <v>0.27500000000000002</v>
          </cell>
        </row>
        <row r="18">
          <cell r="A18">
            <v>17</v>
          </cell>
          <cell r="F18">
            <v>0.3</v>
          </cell>
        </row>
        <row r="19">
          <cell r="A19">
            <v>18</v>
          </cell>
          <cell r="F19">
            <v>0.32500000000000001</v>
          </cell>
        </row>
        <row r="20">
          <cell r="A20">
            <v>19</v>
          </cell>
          <cell r="F20">
            <v>0.35</v>
          </cell>
        </row>
        <row r="21">
          <cell r="A21">
            <v>20</v>
          </cell>
          <cell r="F21">
            <v>0.375</v>
          </cell>
        </row>
        <row r="22">
          <cell r="A22">
            <v>21</v>
          </cell>
          <cell r="F22">
            <v>0.4</v>
          </cell>
        </row>
        <row r="23">
          <cell r="A23">
            <v>22</v>
          </cell>
          <cell r="F23">
            <v>0.42499999999999999</v>
          </cell>
        </row>
        <row r="24">
          <cell r="A24">
            <v>23</v>
          </cell>
          <cell r="F24">
            <v>0.45</v>
          </cell>
        </row>
        <row r="25">
          <cell r="A25">
            <v>24</v>
          </cell>
          <cell r="F25">
            <v>0.47499999999999998</v>
          </cell>
        </row>
        <row r="26">
          <cell r="A26">
            <v>25</v>
          </cell>
          <cell r="F26">
            <v>0.5</v>
          </cell>
        </row>
        <row r="27">
          <cell r="A27">
            <v>26</v>
          </cell>
          <cell r="F27">
            <v>0.52500000000000002</v>
          </cell>
        </row>
        <row r="28">
          <cell r="A28">
            <v>27</v>
          </cell>
          <cell r="F28">
            <v>0.55000000000000004</v>
          </cell>
        </row>
        <row r="29">
          <cell r="A29">
            <v>28</v>
          </cell>
          <cell r="F29">
            <v>0.57499999999999996</v>
          </cell>
        </row>
        <row r="30">
          <cell r="A30">
            <v>29</v>
          </cell>
          <cell r="F30">
            <v>0.6</v>
          </cell>
        </row>
        <row r="31">
          <cell r="A31">
            <v>30</v>
          </cell>
          <cell r="F31">
            <v>0.625</v>
          </cell>
        </row>
        <row r="32">
          <cell r="A32">
            <v>31</v>
          </cell>
          <cell r="F32">
            <v>0.65</v>
          </cell>
        </row>
        <row r="33">
          <cell r="A33">
            <v>32</v>
          </cell>
          <cell r="F33">
            <v>0.67500000000000004</v>
          </cell>
        </row>
        <row r="34">
          <cell r="A34">
            <v>33</v>
          </cell>
          <cell r="F34">
            <v>0.7</v>
          </cell>
        </row>
        <row r="35">
          <cell r="A35">
            <v>34</v>
          </cell>
          <cell r="F35">
            <v>0.72499999999999998</v>
          </cell>
        </row>
        <row r="36">
          <cell r="A36">
            <v>35</v>
          </cell>
          <cell r="F36">
            <v>0.75</v>
          </cell>
        </row>
        <row r="37">
          <cell r="A37">
            <v>36</v>
          </cell>
          <cell r="F37">
            <v>0.77500000000000002</v>
          </cell>
        </row>
        <row r="38">
          <cell r="A38">
            <v>37</v>
          </cell>
          <cell r="F38">
            <v>0.8</v>
          </cell>
        </row>
        <row r="39">
          <cell r="A39">
            <v>38</v>
          </cell>
          <cell r="F39">
            <v>0.82499999999999996</v>
          </cell>
        </row>
        <row r="40">
          <cell r="A40">
            <v>39</v>
          </cell>
          <cell r="F40">
            <v>0.85</v>
          </cell>
        </row>
        <row r="41">
          <cell r="A41">
            <v>40</v>
          </cell>
          <cell r="F41">
            <v>0.875</v>
          </cell>
        </row>
        <row r="42">
          <cell r="A42">
            <v>41</v>
          </cell>
          <cell r="F42">
            <v>0.9</v>
          </cell>
        </row>
        <row r="43">
          <cell r="A43">
            <v>42</v>
          </cell>
          <cell r="F43">
            <v>0.92500000000000004</v>
          </cell>
        </row>
        <row r="44">
          <cell r="A44">
            <v>43</v>
          </cell>
          <cell r="F44">
            <v>0.95</v>
          </cell>
        </row>
        <row r="45">
          <cell r="A45">
            <v>44</v>
          </cell>
          <cell r="F45">
            <v>0.97499999999999998</v>
          </cell>
        </row>
        <row r="46">
          <cell r="A46">
            <v>45</v>
          </cell>
          <cell r="F46">
            <v>1</v>
          </cell>
        </row>
        <row r="47">
          <cell r="A47">
            <v>46</v>
          </cell>
          <cell r="F47">
            <v>1.0249999999999999</v>
          </cell>
        </row>
        <row r="48">
          <cell r="A48">
            <v>47</v>
          </cell>
          <cell r="F48">
            <v>1.05</v>
          </cell>
        </row>
        <row r="49">
          <cell r="A49">
            <v>48</v>
          </cell>
          <cell r="F49">
            <v>1.075</v>
          </cell>
        </row>
        <row r="50">
          <cell r="A50">
            <v>49</v>
          </cell>
          <cell r="F50">
            <v>1.1000000000000001</v>
          </cell>
        </row>
        <row r="51">
          <cell r="A51">
            <v>50</v>
          </cell>
          <cell r="F51">
            <v>1.125</v>
          </cell>
        </row>
        <row r="52">
          <cell r="A52">
            <v>51</v>
          </cell>
          <cell r="F52">
            <v>1.1499999999999999</v>
          </cell>
        </row>
        <row r="53">
          <cell r="A53">
            <v>52</v>
          </cell>
          <cell r="F53">
            <v>1.175</v>
          </cell>
        </row>
        <row r="54">
          <cell r="A54">
            <v>53</v>
          </cell>
          <cell r="F54">
            <v>1.2</v>
          </cell>
        </row>
        <row r="55">
          <cell r="A55">
            <v>54</v>
          </cell>
          <cell r="F55">
            <v>1.2250000000000001</v>
          </cell>
        </row>
        <row r="56">
          <cell r="A56">
            <v>55</v>
          </cell>
          <cell r="F56">
            <v>1.25</v>
          </cell>
        </row>
        <row r="57">
          <cell r="A57">
            <v>56</v>
          </cell>
          <cell r="F57">
            <v>1.2749999999999999</v>
          </cell>
        </row>
        <row r="58">
          <cell r="A58">
            <v>57</v>
          </cell>
          <cell r="F58">
            <v>1.3</v>
          </cell>
        </row>
        <row r="59">
          <cell r="A59">
            <v>58</v>
          </cell>
          <cell r="F59">
            <v>1.325</v>
          </cell>
        </row>
        <row r="60">
          <cell r="A60">
            <v>59</v>
          </cell>
          <cell r="F60">
            <v>1.35</v>
          </cell>
        </row>
        <row r="61">
          <cell r="A61">
            <v>60</v>
          </cell>
          <cell r="F61">
            <v>1.375</v>
          </cell>
        </row>
        <row r="62">
          <cell r="A62">
            <v>61</v>
          </cell>
          <cell r="F62">
            <v>1.4</v>
          </cell>
        </row>
        <row r="63">
          <cell r="A63">
            <v>62</v>
          </cell>
          <cell r="F63">
            <v>1.425</v>
          </cell>
        </row>
        <row r="64">
          <cell r="A64">
            <v>63</v>
          </cell>
          <cell r="F64">
            <v>1.45</v>
          </cell>
        </row>
        <row r="65">
          <cell r="A65">
            <v>64</v>
          </cell>
          <cell r="F65">
            <v>1.4750000000000001</v>
          </cell>
        </row>
        <row r="66">
          <cell r="A66">
            <v>65</v>
          </cell>
          <cell r="F66">
            <v>1.5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>
            <v>1</v>
          </cell>
          <cell r="B2">
            <v>1</v>
          </cell>
        </row>
        <row r="3">
          <cell r="A3">
            <v>2</v>
          </cell>
          <cell r="B3">
            <v>1</v>
          </cell>
        </row>
        <row r="4">
          <cell r="A4">
            <v>3</v>
          </cell>
          <cell r="B4">
            <v>1</v>
          </cell>
        </row>
        <row r="5">
          <cell r="A5">
            <v>4</v>
          </cell>
          <cell r="B5">
            <v>2</v>
          </cell>
        </row>
        <row r="6">
          <cell r="A6">
            <v>5</v>
          </cell>
          <cell r="B6">
            <v>2</v>
          </cell>
        </row>
        <row r="7">
          <cell r="A7">
            <v>6</v>
          </cell>
          <cell r="B7">
            <v>2</v>
          </cell>
        </row>
        <row r="8">
          <cell r="A8">
            <v>7</v>
          </cell>
          <cell r="B8">
            <v>3</v>
          </cell>
        </row>
        <row r="9">
          <cell r="A9">
            <v>8</v>
          </cell>
          <cell r="B9">
            <v>3</v>
          </cell>
        </row>
        <row r="10">
          <cell r="A10">
            <v>9</v>
          </cell>
          <cell r="B10">
            <v>3</v>
          </cell>
        </row>
        <row r="11">
          <cell r="A11">
            <v>10</v>
          </cell>
          <cell r="B11">
            <v>4</v>
          </cell>
        </row>
        <row r="12">
          <cell r="A12">
            <v>11</v>
          </cell>
          <cell r="B12">
            <v>4</v>
          </cell>
        </row>
        <row r="13">
          <cell r="A13">
            <v>12</v>
          </cell>
          <cell r="B13">
            <v>4</v>
          </cell>
        </row>
        <row r="14">
          <cell r="A14">
            <v>13</v>
          </cell>
          <cell r="B14">
            <v>5</v>
          </cell>
        </row>
        <row r="15">
          <cell r="A15">
            <v>14</v>
          </cell>
          <cell r="B15">
            <v>5</v>
          </cell>
        </row>
        <row r="16">
          <cell r="A16">
            <v>15</v>
          </cell>
          <cell r="B16">
            <v>6</v>
          </cell>
        </row>
        <row r="17">
          <cell r="A17">
            <v>16</v>
          </cell>
          <cell r="B17">
            <v>6</v>
          </cell>
        </row>
        <row r="18">
          <cell r="A18">
            <v>17</v>
          </cell>
          <cell r="B18">
            <v>6</v>
          </cell>
        </row>
        <row r="19">
          <cell r="A19">
            <v>18</v>
          </cell>
          <cell r="B19">
            <v>7</v>
          </cell>
        </row>
        <row r="20">
          <cell r="A20">
            <v>19</v>
          </cell>
          <cell r="B20">
            <v>7</v>
          </cell>
        </row>
        <row r="21">
          <cell r="A21">
            <v>20</v>
          </cell>
          <cell r="B21">
            <v>8</v>
          </cell>
        </row>
        <row r="22">
          <cell r="A22">
            <v>21</v>
          </cell>
          <cell r="B22">
            <v>8</v>
          </cell>
        </row>
        <row r="23">
          <cell r="A23">
            <v>22</v>
          </cell>
          <cell r="B23">
            <v>8</v>
          </cell>
        </row>
        <row r="24">
          <cell r="A24">
            <v>23</v>
          </cell>
          <cell r="B24">
            <v>9</v>
          </cell>
        </row>
        <row r="25">
          <cell r="A25">
            <v>24</v>
          </cell>
          <cell r="B25">
            <v>9</v>
          </cell>
        </row>
        <row r="26">
          <cell r="A26">
            <v>25</v>
          </cell>
          <cell r="B26">
            <v>10</v>
          </cell>
        </row>
        <row r="27">
          <cell r="A27">
            <v>26</v>
          </cell>
          <cell r="B27">
            <v>10</v>
          </cell>
        </row>
        <row r="28">
          <cell r="A28">
            <v>27</v>
          </cell>
          <cell r="B28">
            <v>10</v>
          </cell>
        </row>
        <row r="29">
          <cell r="A29">
            <v>28</v>
          </cell>
          <cell r="B29">
            <v>11</v>
          </cell>
        </row>
        <row r="30">
          <cell r="A30">
            <v>29</v>
          </cell>
          <cell r="B30">
            <v>11</v>
          </cell>
        </row>
        <row r="31">
          <cell r="A31">
            <v>30</v>
          </cell>
          <cell r="B31">
            <v>12</v>
          </cell>
        </row>
        <row r="32">
          <cell r="A32">
            <v>31</v>
          </cell>
          <cell r="B32">
            <v>12</v>
          </cell>
        </row>
        <row r="33">
          <cell r="A33">
            <v>32</v>
          </cell>
          <cell r="B33">
            <v>12</v>
          </cell>
        </row>
        <row r="34">
          <cell r="A34">
            <v>33</v>
          </cell>
          <cell r="B34">
            <v>13</v>
          </cell>
        </row>
        <row r="35">
          <cell r="A35">
            <v>34</v>
          </cell>
          <cell r="B35">
            <v>13</v>
          </cell>
        </row>
        <row r="36">
          <cell r="A36">
            <v>35</v>
          </cell>
          <cell r="B36">
            <v>14</v>
          </cell>
        </row>
        <row r="37">
          <cell r="A37">
            <v>36</v>
          </cell>
          <cell r="B37">
            <v>14</v>
          </cell>
        </row>
        <row r="38">
          <cell r="A38">
            <v>37</v>
          </cell>
          <cell r="B38">
            <v>14</v>
          </cell>
        </row>
        <row r="39">
          <cell r="A39">
            <v>38</v>
          </cell>
          <cell r="B39">
            <v>15</v>
          </cell>
        </row>
        <row r="40">
          <cell r="A40">
            <v>39</v>
          </cell>
          <cell r="B40">
            <v>15</v>
          </cell>
        </row>
        <row r="41">
          <cell r="A41">
            <v>40</v>
          </cell>
          <cell r="B41">
            <v>16</v>
          </cell>
        </row>
        <row r="42">
          <cell r="A42">
            <v>41</v>
          </cell>
          <cell r="B42">
            <v>16</v>
          </cell>
        </row>
        <row r="43">
          <cell r="A43">
            <v>42</v>
          </cell>
          <cell r="B43">
            <v>16</v>
          </cell>
        </row>
        <row r="44">
          <cell r="A44">
            <v>43</v>
          </cell>
          <cell r="B44">
            <v>17</v>
          </cell>
        </row>
        <row r="45">
          <cell r="A45">
            <v>44</v>
          </cell>
          <cell r="B45">
            <v>17</v>
          </cell>
        </row>
        <row r="46">
          <cell r="A46">
            <v>45</v>
          </cell>
          <cell r="B46">
            <v>18</v>
          </cell>
        </row>
        <row r="47">
          <cell r="A47">
            <v>46</v>
          </cell>
          <cell r="B47">
            <v>18</v>
          </cell>
        </row>
        <row r="48">
          <cell r="A48">
            <v>47</v>
          </cell>
          <cell r="B48">
            <v>18</v>
          </cell>
        </row>
        <row r="49">
          <cell r="A49">
            <v>48</v>
          </cell>
          <cell r="B49">
            <v>19</v>
          </cell>
        </row>
        <row r="50">
          <cell r="A50">
            <v>49</v>
          </cell>
          <cell r="B50">
            <v>19</v>
          </cell>
        </row>
        <row r="51">
          <cell r="A51">
            <v>50</v>
          </cell>
          <cell r="B51">
            <v>20</v>
          </cell>
        </row>
        <row r="52">
          <cell r="A52">
            <v>51</v>
          </cell>
          <cell r="B52">
            <v>20</v>
          </cell>
        </row>
        <row r="53">
          <cell r="A53">
            <v>52</v>
          </cell>
          <cell r="B53">
            <v>20</v>
          </cell>
        </row>
        <row r="54">
          <cell r="A54">
            <v>53</v>
          </cell>
          <cell r="B54">
            <v>21</v>
          </cell>
        </row>
        <row r="55">
          <cell r="A55">
            <v>54</v>
          </cell>
          <cell r="B55">
            <v>21</v>
          </cell>
        </row>
        <row r="56">
          <cell r="A56">
            <v>55</v>
          </cell>
          <cell r="B56">
            <v>22</v>
          </cell>
        </row>
        <row r="57">
          <cell r="A57">
            <v>56</v>
          </cell>
          <cell r="B57">
            <v>22</v>
          </cell>
        </row>
        <row r="58">
          <cell r="A58">
            <v>57</v>
          </cell>
          <cell r="B58">
            <v>22</v>
          </cell>
        </row>
        <row r="59">
          <cell r="A59">
            <v>58</v>
          </cell>
          <cell r="B59">
            <v>23</v>
          </cell>
        </row>
        <row r="60">
          <cell r="A60">
            <v>59</v>
          </cell>
          <cell r="B60">
            <v>23</v>
          </cell>
        </row>
        <row r="61">
          <cell r="A61">
            <v>60</v>
          </cell>
          <cell r="B61">
            <v>24</v>
          </cell>
        </row>
        <row r="62">
          <cell r="A62">
            <v>61</v>
          </cell>
          <cell r="B62">
            <v>24</v>
          </cell>
        </row>
        <row r="63">
          <cell r="A63">
            <v>62</v>
          </cell>
          <cell r="B63">
            <v>24</v>
          </cell>
        </row>
        <row r="64">
          <cell r="A64">
            <v>63</v>
          </cell>
          <cell r="B64">
            <v>25</v>
          </cell>
        </row>
        <row r="65">
          <cell r="A65">
            <v>64</v>
          </cell>
          <cell r="B65">
            <v>25</v>
          </cell>
        </row>
        <row r="66">
          <cell r="A66">
            <v>65</v>
          </cell>
          <cell r="B66">
            <v>25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A1" t="str">
            <v>ID</v>
          </cell>
          <cell r="B1" t="str">
            <v>道具名称</v>
          </cell>
        </row>
        <row r="2">
          <cell r="A2" t="str">
            <v>int</v>
          </cell>
          <cell r="B2" t="str">
            <v>string</v>
          </cell>
        </row>
        <row r="3">
          <cell r="A3">
            <v>8</v>
          </cell>
          <cell r="B3">
            <v>16</v>
          </cell>
        </row>
        <row r="4">
          <cell r="A4" t="str">
            <v>all</v>
          </cell>
          <cell r="B4" t="str">
            <v>all</v>
          </cell>
        </row>
        <row r="5">
          <cell r="A5" t="str">
            <v>ID</v>
          </cell>
          <cell r="B5" t="str">
            <v>ItemName</v>
          </cell>
        </row>
        <row r="6">
          <cell r="A6">
            <v>1</v>
          </cell>
          <cell r="B6" t="str">
            <v>金币</v>
          </cell>
        </row>
        <row r="7">
          <cell r="A7">
            <v>2</v>
          </cell>
          <cell r="B7" t="str">
            <v>经验</v>
          </cell>
        </row>
        <row r="8">
          <cell r="A8">
            <v>3</v>
          </cell>
          <cell r="B8" t="str">
            <v>钻石</v>
          </cell>
        </row>
        <row r="9">
          <cell r="A9">
            <v>10010001</v>
          </cell>
          <cell r="B9" t="str">
            <v>小型生命药水</v>
          </cell>
        </row>
        <row r="10">
          <cell r="A10">
            <v>10010002</v>
          </cell>
          <cell r="B10" t="str">
            <v>中型生命药水</v>
          </cell>
        </row>
        <row r="11">
          <cell r="A11">
            <v>10010003</v>
          </cell>
          <cell r="B11" t="str">
            <v>大型生命药水</v>
          </cell>
        </row>
        <row r="12">
          <cell r="A12">
            <v>10010004</v>
          </cell>
          <cell r="B12" t="str">
            <v>高级生命药水</v>
          </cell>
        </row>
        <row r="13">
          <cell r="A13">
            <v>10010005</v>
          </cell>
          <cell r="B13" t="str">
            <v>特级生命药水</v>
          </cell>
        </row>
        <row r="14">
          <cell r="A14">
            <v>10010011</v>
          </cell>
          <cell r="B14" t="str">
            <v>小型止血药</v>
          </cell>
        </row>
        <row r="15">
          <cell r="A15">
            <v>10010012</v>
          </cell>
          <cell r="B15" t="str">
            <v>中型止血药</v>
          </cell>
        </row>
        <row r="16">
          <cell r="A16">
            <v>10010013</v>
          </cell>
          <cell r="B16" t="str">
            <v>大型止血药</v>
          </cell>
        </row>
        <row r="17">
          <cell r="A17">
            <v>10010014</v>
          </cell>
          <cell r="B17" t="str">
            <v>高级止血药</v>
          </cell>
        </row>
        <row r="18">
          <cell r="A18">
            <v>10010015</v>
          </cell>
          <cell r="B18" t="str">
            <v>特级止血药</v>
          </cell>
        </row>
        <row r="19">
          <cell r="A19">
            <v>10010021</v>
          </cell>
          <cell r="B19" t="str">
            <v>攻击药水</v>
          </cell>
        </row>
        <row r="20">
          <cell r="A20">
            <v>10010022</v>
          </cell>
          <cell r="B20" t="str">
            <v>大型攻击药水</v>
          </cell>
        </row>
        <row r="21">
          <cell r="A21">
            <v>10010023</v>
          </cell>
          <cell r="B21" t="str">
            <v>防御药水</v>
          </cell>
        </row>
        <row r="22">
          <cell r="A22">
            <v>10010024</v>
          </cell>
          <cell r="B22" t="str">
            <v>大型防御药水</v>
          </cell>
        </row>
        <row r="23">
          <cell r="A23">
            <v>10010025</v>
          </cell>
          <cell r="B23" t="str">
            <v>闪避药水</v>
          </cell>
        </row>
        <row r="24">
          <cell r="A24">
            <v>10010026</v>
          </cell>
          <cell r="B24" t="str">
            <v>冷却时间清空卷轴</v>
          </cell>
        </row>
        <row r="25">
          <cell r="A25">
            <v>10010027</v>
          </cell>
          <cell r="B25" t="str">
            <v>体力恢复</v>
          </cell>
        </row>
        <row r="26">
          <cell r="A26">
            <v>10010031</v>
          </cell>
          <cell r="B26" t="str">
            <v>铜钥匙</v>
          </cell>
        </row>
        <row r="27">
          <cell r="A27">
            <v>10010032</v>
          </cell>
          <cell r="B27" t="str">
            <v>银钥匙</v>
          </cell>
        </row>
        <row r="28">
          <cell r="A28">
            <v>10010033</v>
          </cell>
          <cell r="B28" t="str">
            <v>金钥匙</v>
          </cell>
        </row>
        <row r="29">
          <cell r="A29">
            <v>10010034</v>
          </cell>
          <cell r="B29" t="str">
            <v>金钥匙碎片</v>
          </cell>
        </row>
        <row r="30">
          <cell r="A30">
            <v>10010041</v>
          </cell>
          <cell r="B30" t="str">
            <v>经验木桩</v>
          </cell>
        </row>
        <row r="31">
          <cell r="A31">
            <v>10010042</v>
          </cell>
          <cell r="B31" t="str">
            <v>金币袋子</v>
          </cell>
        </row>
        <row r="32">
          <cell r="A32">
            <v>10010051</v>
          </cell>
          <cell r="B32" t="str">
            <v>绿叶小镇回城卷</v>
          </cell>
        </row>
        <row r="33">
          <cell r="A33">
            <v>10010052</v>
          </cell>
          <cell r="B33" t="str">
            <v>热荒沙漠回城卷</v>
          </cell>
        </row>
        <row r="34">
          <cell r="A34">
            <v>10010053</v>
          </cell>
          <cell r="B34" t="str">
            <v>冰封城镇回城卷</v>
          </cell>
        </row>
        <row r="35">
          <cell r="A35">
            <v>10010054</v>
          </cell>
          <cell r="B35" t="str">
            <v>暮色城镇回城卷</v>
          </cell>
        </row>
        <row r="36">
          <cell r="A36">
            <v>10010055</v>
          </cell>
          <cell r="B36" t="str">
            <v>黑暗小镇回城卷</v>
          </cell>
        </row>
        <row r="37">
          <cell r="A37">
            <v>10010061</v>
          </cell>
          <cell r="B37" t="str">
            <v>经验卷轴</v>
          </cell>
        </row>
        <row r="38">
          <cell r="A38">
            <v>10010062</v>
          </cell>
          <cell r="B38" t="str">
            <v>经验卷轴</v>
          </cell>
        </row>
        <row r="39">
          <cell r="A39">
            <v>10010063</v>
          </cell>
          <cell r="B39" t="str">
            <v>经验卷轴</v>
          </cell>
        </row>
        <row r="40">
          <cell r="A40">
            <v>10010064</v>
          </cell>
          <cell r="B40" t="str">
            <v>经验卷轴</v>
          </cell>
        </row>
        <row r="41">
          <cell r="A41">
            <v>10010065</v>
          </cell>
          <cell r="B41" t="str">
            <v>经验卷轴</v>
          </cell>
        </row>
        <row r="42">
          <cell r="A42">
            <v>10010066</v>
          </cell>
          <cell r="B42" t="str">
            <v>经验卷轴</v>
          </cell>
        </row>
        <row r="43">
          <cell r="A43">
            <v>10010067</v>
          </cell>
          <cell r="B43" t="str">
            <v>经验卷轴</v>
          </cell>
        </row>
        <row r="44">
          <cell r="A44">
            <v>10010071</v>
          </cell>
          <cell r="B44" t="str">
            <v>遗失的金币袋子</v>
          </cell>
        </row>
        <row r="45">
          <cell r="A45">
            <v>10010072</v>
          </cell>
          <cell r="B45" t="str">
            <v>遗失的金币袋子</v>
          </cell>
        </row>
        <row r="46">
          <cell r="A46">
            <v>10010073</v>
          </cell>
          <cell r="B46" t="str">
            <v>遗失的金币袋子</v>
          </cell>
        </row>
        <row r="47">
          <cell r="A47">
            <v>10010074</v>
          </cell>
          <cell r="B47" t="str">
            <v>遗失的金币袋子</v>
          </cell>
        </row>
        <row r="48">
          <cell r="A48">
            <v>10010075</v>
          </cell>
          <cell r="B48" t="str">
            <v>遗失的金币袋子</v>
          </cell>
        </row>
        <row r="49">
          <cell r="A49">
            <v>10010076</v>
          </cell>
          <cell r="B49" t="str">
            <v>支持作者</v>
          </cell>
        </row>
        <row r="50">
          <cell r="A50">
            <v>10010081</v>
          </cell>
          <cell r="B50" t="str">
            <v>荣誉徽记</v>
          </cell>
        </row>
        <row r="51">
          <cell r="A51">
            <v>10010082</v>
          </cell>
          <cell r="B51" t="str">
            <v>繁荣度印章</v>
          </cell>
        </row>
        <row r="52">
          <cell r="A52">
            <v>10010083</v>
          </cell>
          <cell r="B52" t="str">
            <v>装备洗炼石</v>
          </cell>
        </row>
        <row r="53">
          <cell r="A53">
            <v>10010101</v>
          </cell>
          <cell r="B53" t="str">
            <v>制作书：狼王项链</v>
          </cell>
        </row>
        <row r="54">
          <cell r="A54">
            <v>10010102</v>
          </cell>
          <cell r="B54" t="str">
            <v>制作书：僵尸护符</v>
          </cell>
        </row>
        <row r="55">
          <cell r="A55">
            <v>10010103</v>
          </cell>
          <cell r="B55" t="str">
            <v>制作书：骷髅王的桂冠</v>
          </cell>
        </row>
        <row r="56">
          <cell r="A56">
            <v>10010104</v>
          </cell>
          <cell r="B56" t="str">
            <v>制作书：蜘蛛护腿</v>
          </cell>
        </row>
        <row r="57">
          <cell r="A57">
            <v>10010105</v>
          </cell>
          <cell r="B57" t="str">
            <v>制作书：蜘蛛护胸</v>
          </cell>
        </row>
        <row r="58">
          <cell r="A58">
            <v>10010106</v>
          </cell>
          <cell r="B58" t="str">
            <v>制作书：古墓手套</v>
          </cell>
        </row>
        <row r="59">
          <cell r="A59">
            <v>10010107</v>
          </cell>
          <cell r="B59" t="str">
            <v>制作书：古墓腰带</v>
          </cell>
        </row>
        <row r="60">
          <cell r="A60">
            <v>10010108</v>
          </cell>
          <cell r="B60" t="str">
            <v>制作书：古墓鞋子</v>
          </cell>
        </row>
        <row r="61">
          <cell r="A61">
            <v>10010109</v>
          </cell>
          <cell r="B61" t="str">
            <v>制作书：黑暗之剑</v>
          </cell>
        </row>
        <row r="62">
          <cell r="A62">
            <v>10010201</v>
          </cell>
          <cell r="B62" t="str">
            <v>制作书:力量戒指</v>
          </cell>
        </row>
        <row r="63">
          <cell r="A63">
            <v>10010202</v>
          </cell>
          <cell r="B63" t="str">
            <v>制作书:幽冥项链</v>
          </cell>
        </row>
        <row r="64">
          <cell r="A64">
            <v>10010204</v>
          </cell>
          <cell r="B64" t="str">
            <v>制作书:荒漠头盔</v>
          </cell>
        </row>
        <row r="65">
          <cell r="A65">
            <v>10010205</v>
          </cell>
          <cell r="B65" t="str">
            <v>制作书:荒漠手套</v>
          </cell>
        </row>
        <row r="66">
          <cell r="A66">
            <v>10010206</v>
          </cell>
          <cell r="B66" t="str">
            <v>制作书:荒漠腰带</v>
          </cell>
        </row>
        <row r="67">
          <cell r="A67">
            <v>10010207</v>
          </cell>
          <cell r="B67" t="str">
            <v>制作书:荒漠靴子</v>
          </cell>
        </row>
        <row r="68">
          <cell r="A68">
            <v>10010209</v>
          </cell>
          <cell r="B68" t="str">
            <v>制作书:生命护符</v>
          </cell>
        </row>
        <row r="69">
          <cell r="A69">
            <v>10010210</v>
          </cell>
          <cell r="B69" t="str">
            <v>制作书:生命饰品</v>
          </cell>
        </row>
        <row r="70">
          <cell r="A70">
            <v>10010211</v>
          </cell>
          <cell r="B70" t="str">
            <v>制作书:防护宝石</v>
          </cell>
        </row>
        <row r="71">
          <cell r="A71">
            <v>10010212</v>
          </cell>
          <cell r="B71" t="str">
            <v>制作书:地狱领主的法术书</v>
          </cell>
        </row>
        <row r="72">
          <cell r="A72">
            <v>10010213</v>
          </cell>
          <cell r="B72" t="str">
            <v>制作书:不败的意志</v>
          </cell>
        </row>
        <row r="73">
          <cell r="A73">
            <v>10010214</v>
          </cell>
          <cell r="B73" t="str">
            <v>制作书:地狱领主的盔甲</v>
          </cell>
        </row>
        <row r="74">
          <cell r="A74">
            <v>10010301</v>
          </cell>
          <cell r="B74" t="str">
            <v>制作书:破灵腰带</v>
          </cell>
        </row>
        <row r="75">
          <cell r="A75">
            <v>10010302</v>
          </cell>
          <cell r="B75" t="str">
            <v>制作书:破灵靴子</v>
          </cell>
        </row>
        <row r="76">
          <cell r="A76">
            <v>10010303</v>
          </cell>
          <cell r="B76" t="str">
            <v>制作书:冰河战甲</v>
          </cell>
        </row>
        <row r="77">
          <cell r="A77">
            <v>10010304</v>
          </cell>
          <cell r="B77" t="str">
            <v>制作书:冰河战盔</v>
          </cell>
        </row>
        <row r="78">
          <cell r="A78">
            <v>10010305</v>
          </cell>
          <cell r="B78" t="str">
            <v>制作书:冰河长裤</v>
          </cell>
        </row>
        <row r="79">
          <cell r="A79">
            <v>10010306</v>
          </cell>
          <cell r="B79" t="str">
            <v>制作书:勇气长剑</v>
          </cell>
        </row>
        <row r="80">
          <cell r="A80">
            <v>10010307</v>
          </cell>
          <cell r="B80" t="str">
            <v>制作书:破灵护符</v>
          </cell>
        </row>
        <row r="81">
          <cell r="A81">
            <v>10010308</v>
          </cell>
          <cell r="B81" t="str">
            <v>制作书:治愈灵石</v>
          </cell>
        </row>
        <row r="82">
          <cell r="A82">
            <v>10010309</v>
          </cell>
          <cell r="B82" t="str">
            <v>制作书:阿兹里斯的骨头</v>
          </cell>
        </row>
        <row r="83">
          <cell r="A83">
            <v>10010310</v>
          </cell>
          <cell r="B83" t="str">
            <v>制作书:帝陨</v>
          </cell>
        </row>
        <row r="84">
          <cell r="A84">
            <v>10010311</v>
          </cell>
          <cell r="B84" t="str">
            <v>制作书:阿兹里斯的项链</v>
          </cell>
        </row>
        <row r="85">
          <cell r="A85">
            <v>10010401</v>
          </cell>
          <cell r="B85" t="str">
            <v>制作书:精灵项链</v>
          </cell>
        </row>
        <row r="86">
          <cell r="A86">
            <v>10010402</v>
          </cell>
          <cell r="B86" t="str">
            <v>制作书:精灵指环</v>
          </cell>
        </row>
        <row r="87">
          <cell r="A87">
            <v>10010403</v>
          </cell>
          <cell r="B87" t="str">
            <v>制作书:暮色战甲</v>
          </cell>
        </row>
        <row r="88">
          <cell r="A88">
            <v>10010404</v>
          </cell>
          <cell r="B88" t="str">
            <v>制作书:暮色战盔</v>
          </cell>
        </row>
        <row r="89">
          <cell r="A89">
            <v>10010405</v>
          </cell>
          <cell r="B89" t="str">
            <v>制作书:暮色长裤</v>
          </cell>
        </row>
        <row r="90">
          <cell r="A90">
            <v>10010406</v>
          </cell>
          <cell r="B90" t="str">
            <v>制作书:暮色手套</v>
          </cell>
        </row>
        <row r="91">
          <cell r="A91">
            <v>10010407</v>
          </cell>
          <cell r="B91" t="str">
            <v>制作书:暮色腰带</v>
          </cell>
        </row>
        <row r="92">
          <cell r="A92">
            <v>10010408</v>
          </cell>
          <cell r="B92" t="str">
            <v>制作书:暮色靴子</v>
          </cell>
        </row>
        <row r="93">
          <cell r="A93">
            <v>10010409</v>
          </cell>
          <cell r="B93" t="str">
            <v>制作书:暮色饰品</v>
          </cell>
        </row>
        <row r="94">
          <cell r="A94">
            <v>10010410</v>
          </cell>
          <cell r="B94" t="str">
            <v>制作书:狂暴魔法书</v>
          </cell>
        </row>
        <row r="95">
          <cell r="A95">
            <v>10010411</v>
          </cell>
          <cell r="B95" t="str">
            <v>制作书:高级治愈灵石</v>
          </cell>
        </row>
        <row r="96">
          <cell r="A96">
            <v>10010412</v>
          </cell>
          <cell r="B96" t="str">
            <v>制作书:艾力克斯的法术书</v>
          </cell>
        </row>
        <row r="97">
          <cell r="A97">
            <v>10010413</v>
          </cell>
          <cell r="B97" t="str">
            <v>制作书:毁灭</v>
          </cell>
        </row>
        <row r="98">
          <cell r="A98">
            <v>10010414</v>
          </cell>
          <cell r="B98" t="str">
            <v>制作书:艾力克斯的护符</v>
          </cell>
        </row>
        <row r="99">
          <cell r="A99">
            <v>10010501</v>
          </cell>
          <cell r="B99" t="str">
            <v>制作书:熔岩项链</v>
          </cell>
        </row>
        <row r="100">
          <cell r="A100">
            <v>10010502</v>
          </cell>
          <cell r="B100" t="str">
            <v>制作书:熔岩指环</v>
          </cell>
        </row>
        <row r="101">
          <cell r="A101">
            <v>10010503</v>
          </cell>
          <cell r="B101" t="str">
            <v>制作书:炙热战甲</v>
          </cell>
        </row>
        <row r="102">
          <cell r="A102">
            <v>10010504</v>
          </cell>
          <cell r="B102" t="str">
            <v>制作书:炙热战盔</v>
          </cell>
        </row>
        <row r="103">
          <cell r="A103">
            <v>10010505</v>
          </cell>
          <cell r="B103" t="str">
            <v>制作书:炙热长裤</v>
          </cell>
        </row>
        <row r="104">
          <cell r="A104">
            <v>10010506</v>
          </cell>
          <cell r="B104" t="str">
            <v>制作书:炙热手套</v>
          </cell>
        </row>
        <row r="105">
          <cell r="A105">
            <v>10010507</v>
          </cell>
          <cell r="B105" t="str">
            <v>制作书:炙热腰带</v>
          </cell>
        </row>
        <row r="106">
          <cell r="A106">
            <v>10010508</v>
          </cell>
          <cell r="B106" t="str">
            <v>制作书:炙热靴子</v>
          </cell>
        </row>
        <row r="107">
          <cell r="A107">
            <v>10010521</v>
          </cell>
          <cell r="B107" t="str">
            <v>传说:圣光头盔制作书</v>
          </cell>
        </row>
        <row r="108">
          <cell r="A108">
            <v>10010522</v>
          </cell>
          <cell r="B108" t="str">
            <v>传说:圣光护手制作书</v>
          </cell>
        </row>
        <row r="109">
          <cell r="A109">
            <v>10010523</v>
          </cell>
          <cell r="B109" t="str">
            <v>传说:圣光腰带制作书</v>
          </cell>
        </row>
        <row r="110">
          <cell r="A110">
            <v>10010524</v>
          </cell>
          <cell r="B110" t="str">
            <v>传说:圣光战靴制作书</v>
          </cell>
        </row>
        <row r="111">
          <cell r="A111">
            <v>10010525</v>
          </cell>
          <cell r="B111" t="str">
            <v>传说:圣光长裤制作书</v>
          </cell>
        </row>
        <row r="112">
          <cell r="A112">
            <v>10010526</v>
          </cell>
          <cell r="B112" t="str">
            <v>传说:圣光战链制作书</v>
          </cell>
        </row>
        <row r="113">
          <cell r="A113">
            <v>10010527</v>
          </cell>
          <cell r="B113" t="str">
            <v>传说:圣光戒指制作书</v>
          </cell>
        </row>
        <row r="114">
          <cell r="A114">
            <v>10010528</v>
          </cell>
          <cell r="B114" t="str">
            <v>传说:圣光饰品制作书</v>
          </cell>
        </row>
        <row r="115">
          <cell r="A115">
            <v>10010529</v>
          </cell>
          <cell r="B115" t="str">
            <v>传说:圣光护符制作书</v>
          </cell>
        </row>
        <row r="116">
          <cell r="A116">
            <v>10010530</v>
          </cell>
          <cell r="B116" t="str">
            <v>传说:圣光战刃制作书</v>
          </cell>
        </row>
        <row r="117">
          <cell r="A117">
            <v>10010531</v>
          </cell>
          <cell r="B117" t="str">
            <v>传说:圣光战甲制作书</v>
          </cell>
        </row>
        <row r="118">
          <cell r="A118">
            <v>10010532</v>
          </cell>
          <cell r="B118" t="str">
            <v>制作书:上古卷轴</v>
          </cell>
        </row>
        <row r="119">
          <cell r="A119">
            <v>10011001</v>
          </cell>
          <cell r="B119" t="str">
            <v>血域装备宝箱</v>
          </cell>
        </row>
        <row r="120">
          <cell r="A120">
            <v>10011002</v>
          </cell>
          <cell r="B120" t="str">
            <v>冰封装备宝箱</v>
          </cell>
        </row>
        <row r="121">
          <cell r="A121">
            <v>10011003</v>
          </cell>
          <cell r="B121" t="str">
            <v>永恒装备宝箱</v>
          </cell>
        </row>
        <row r="122">
          <cell r="A122">
            <v>10011004</v>
          </cell>
          <cell r="B122" t="str">
            <v>圣光装备宝箱</v>
          </cell>
        </row>
        <row r="123">
          <cell r="A123">
            <v>10020001</v>
          </cell>
          <cell r="B123" t="str">
            <v>狼王之牙</v>
          </cell>
        </row>
        <row r="124">
          <cell r="A124">
            <v>10020002</v>
          </cell>
          <cell r="B124" t="str">
            <v>狼皮</v>
          </cell>
        </row>
        <row r="125">
          <cell r="A125">
            <v>10020003</v>
          </cell>
          <cell r="B125" t="str">
            <v>矿石</v>
          </cell>
        </row>
        <row r="126">
          <cell r="A126">
            <v>10020004</v>
          </cell>
          <cell r="B126" t="str">
            <v>解毒草</v>
          </cell>
        </row>
        <row r="127">
          <cell r="A127">
            <v>10020005</v>
          </cell>
          <cell r="B127" t="str">
            <v>蝙蝠血液</v>
          </cell>
        </row>
        <row r="128">
          <cell r="A128">
            <v>10020006</v>
          </cell>
          <cell r="B128" t="str">
            <v>矿工工具箱</v>
          </cell>
        </row>
        <row r="129">
          <cell r="A129">
            <v>10020007</v>
          </cell>
          <cell r="B129" t="str">
            <v>矿洞水晶</v>
          </cell>
        </row>
        <row r="130">
          <cell r="A130">
            <v>10020008</v>
          </cell>
          <cell r="B130" t="str">
            <v>证据残片</v>
          </cell>
        </row>
        <row r="131">
          <cell r="A131">
            <v>10020009</v>
          </cell>
          <cell r="B131" t="str">
            <v>感染的布料</v>
          </cell>
        </row>
        <row r="132">
          <cell r="A132">
            <v>10020010</v>
          </cell>
          <cell r="B132" t="str">
            <v>骷髅王的头颅</v>
          </cell>
        </row>
        <row r="133">
          <cell r="A133">
            <v>10020011</v>
          </cell>
          <cell r="B133" t="str">
            <v>蜘蛛丝</v>
          </cell>
        </row>
        <row r="134">
          <cell r="A134">
            <v>10020012</v>
          </cell>
          <cell r="B134" t="str">
            <v>防腐毒液</v>
          </cell>
        </row>
        <row r="135">
          <cell r="A135">
            <v>10020013</v>
          </cell>
          <cell r="B135" t="str">
            <v>阴木</v>
          </cell>
        </row>
        <row r="136">
          <cell r="A136">
            <v>10020014</v>
          </cell>
          <cell r="B136" t="str">
            <v>古墓灵石</v>
          </cell>
        </row>
        <row r="137">
          <cell r="A137">
            <v>10020015</v>
          </cell>
          <cell r="B137" t="str">
            <v>黑暗之心</v>
          </cell>
        </row>
        <row r="138">
          <cell r="A138">
            <v>10020016</v>
          </cell>
          <cell r="B138" t="str">
            <v>毛皮卷</v>
          </cell>
        </row>
        <row r="139">
          <cell r="A139">
            <v>10020017</v>
          </cell>
          <cell r="B139" t="str">
            <v>精钢铁块</v>
          </cell>
        </row>
        <row r="140">
          <cell r="A140">
            <v>10020051</v>
          </cell>
          <cell r="B140" t="str">
            <v>一桶清水</v>
          </cell>
        </row>
        <row r="141">
          <cell r="A141">
            <v>10020052</v>
          </cell>
          <cell r="B141" t="str">
            <v>鳄鱼皮</v>
          </cell>
        </row>
        <row r="142">
          <cell r="A142">
            <v>10020053</v>
          </cell>
          <cell r="B142" t="str">
            <v>坚固的螃蟹壳</v>
          </cell>
        </row>
        <row r="143">
          <cell r="A143">
            <v>10020054</v>
          </cell>
          <cell r="B143" t="str">
            <v>诅咒结晶</v>
          </cell>
        </row>
        <row r="144">
          <cell r="A144">
            <v>10020055</v>
          </cell>
          <cell r="B144" t="str">
            <v>地牢灵魂</v>
          </cell>
        </row>
        <row r="145">
          <cell r="A145">
            <v>10020056</v>
          </cell>
          <cell r="B145" t="str">
            <v>启天灵石</v>
          </cell>
        </row>
        <row r="146">
          <cell r="A146">
            <v>10020057</v>
          </cell>
          <cell r="B146" t="str">
            <v>启天灵石碎片</v>
          </cell>
        </row>
        <row r="147">
          <cell r="A147">
            <v>10020058</v>
          </cell>
          <cell r="B147" t="str">
            <v>细布卷</v>
          </cell>
        </row>
        <row r="148">
          <cell r="A148">
            <v>10020059</v>
          </cell>
          <cell r="B148" t="str">
            <v>精致银块</v>
          </cell>
        </row>
        <row r="149">
          <cell r="A149">
            <v>10020060</v>
          </cell>
          <cell r="B149" t="str">
            <v>村民灵魄</v>
          </cell>
        </row>
        <row r="150">
          <cell r="A150">
            <v>10020061</v>
          </cell>
          <cell r="B150" t="str">
            <v>神秘魂石</v>
          </cell>
        </row>
        <row r="151">
          <cell r="A151">
            <v>10020062</v>
          </cell>
          <cell r="B151" t="str">
            <v>1刀88级秘籍</v>
          </cell>
        </row>
        <row r="152">
          <cell r="A152">
            <v>10020063</v>
          </cell>
          <cell r="B152" t="str">
            <v>地狱领主的法术残片</v>
          </cell>
        </row>
        <row r="153">
          <cell r="A153">
            <v>10020101</v>
          </cell>
          <cell r="B153" t="str">
            <v>冰狼皮</v>
          </cell>
        </row>
        <row r="154">
          <cell r="A154">
            <v>10020102</v>
          </cell>
          <cell r="B154" t="str">
            <v>蜘蛛蛋</v>
          </cell>
        </row>
        <row r="155">
          <cell r="A155">
            <v>10020103</v>
          </cell>
          <cell r="B155" t="str">
            <v>精灵结晶</v>
          </cell>
        </row>
        <row r="156">
          <cell r="A156">
            <v>10020104</v>
          </cell>
          <cell r="B156" t="str">
            <v>千针石块</v>
          </cell>
        </row>
        <row r="157">
          <cell r="A157">
            <v>10020105</v>
          </cell>
          <cell r="B157" t="str">
            <v>白熊胆汁</v>
          </cell>
        </row>
        <row r="158">
          <cell r="A158">
            <v>10020106</v>
          </cell>
          <cell r="B158" t="str">
            <v>勇气之心</v>
          </cell>
        </row>
        <row r="159">
          <cell r="A159">
            <v>10020107</v>
          </cell>
          <cell r="B159" t="str">
            <v>冰雪之心</v>
          </cell>
        </row>
        <row r="160">
          <cell r="A160">
            <v>10020108</v>
          </cell>
          <cell r="B160" t="str">
            <v>冰布绸</v>
          </cell>
        </row>
        <row r="161">
          <cell r="A161">
            <v>10020109</v>
          </cell>
          <cell r="B161" t="str">
            <v>寒冰铁块</v>
          </cell>
        </row>
        <row r="162">
          <cell r="A162">
            <v>10020110</v>
          </cell>
          <cell r="B162" t="str">
            <v>阿兹里斯的冰魄</v>
          </cell>
        </row>
        <row r="163">
          <cell r="A163">
            <v>10020151</v>
          </cell>
          <cell r="B163" t="str">
            <v>树皮</v>
          </cell>
        </row>
        <row r="164">
          <cell r="A164">
            <v>10020152</v>
          </cell>
          <cell r="B164" t="str">
            <v>白熊毛皮</v>
          </cell>
        </row>
        <row r="165">
          <cell r="A165">
            <v>10020153</v>
          </cell>
          <cell r="B165" t="str">
            <v>僵尸布料</v>
          </cell>
        </row>
        <row r="166">
          <cell r="A166">
            <v>10020154</v>
          </cell>
          <cell r="B166" t="str">
            <v>岩石碎块</v>
          </cell>
        </row>
        <row r="167">
          <cell r="A167">
            <v>10020155</v>
          </cell>
          <cell r="B167" t="str">
            <v>暮色结晶</v>
          </cell>
        </row>
        <row r="168">
          <cell r="A168">
            <v>10020156</v>
          </cell>
          <cell r="B168" t="str">
            <v>上好的木材</v>
          </cell>
        </row>
        <row r="169">
          <cell r="A169">
            <v>10020157</v>
          </cell>
          <cell r="B169" t="str">
            <v>暮色之心</v>
          </cell>
        </row>
        <row r="170">
          <cell r="A170">
            <v>10020158</v>
          </cell>
          <cell r="B170" t="str">
            <v>精钢岩石</v>
          </cell>
        </row>
        <row r="171">
          <cell r="A171">
            <v>10020159</v>
          </cell>
          <cell r="B171" t="str">
            <v>暮色铁块</v>
          </cell>
        </row>
        <row r="172">
          <cell r="A172">
            <v>10020160</v>
          </cell>
          <cell r="B172" t="str">
            <v>暮色灵石</v>
          </cell>
        </row>
        <row r="173">
          <cell r="A173">
            <v>10020161</v>
          </cell>
          <cell r="B173" t="str">
            <v>艾力克斯的石契</v>
          </cell>
        </row>
        <row r="174">
          <cell r="A174">
            <v>10020201</v>
          </cell>
          <cell r="B174" t="str">
            <v>火龙皮</v>
          </cell>
        </row>
        <row r="175">
          <cell r="A175">
            <v>10020202</v>
          </cell>
          <cell r="B175" t="str">
            <v>熔岩裂石</v>
          </cell>
        </row>
        <row r="176">
          <cell r="A176">
            <v>10020203</v>
          </cell>
          <cell r="B176" t="str">
            <v>黑暗骨块</v>
          </cell>
        </row>
        <row r="177">
          <cell r="A177">
            <v>10020204</v>
          </cell>
          <cell r="B177" t="str">
            <v>黑暗灵魂</v>
          </cell>
        </row>
        <row r="178">
          <cell r="A178">
            <v>10020205</v>
          </cell>
          <cell r="B178" t="str">
            <v>熔岩炙水</v>
          </cell>
        </row>
        <row r="179">
          <cell r="A179">
            <v>10020206</v>
          </cell>
          <cell r="B179" t="str">
            <v>熔岩之心</v>
          </cell>
        </row>
        <row r="180">
          <cell r="A180">
            <v>10020207</v>
          </cell>
          <cell r="B180" t="str">
            <v>上古魔石碎片</v>
          </cell>
        </row>
        <row r="181">
          <cell r="A181">
            <v>10020208</v>
          </cell>
          <cell r="B181" t="str">
            <v>上古魔石</v>
          </cell>
        </row>
        <row r="182">
          <cell r="A182">
            <v>10020209</v>
          </cell>
          <cell r="B182" t="str">
            <v>上古卷轴残卷(上)</v>
          </cell>
        </row>
        <row r="183">
          <cell r="A183">
            <v>10020210</v>
          </cell>
          <cell r="B183" t="str">
            <v>上古卷轴残卷(中)</v>
          </cell>
        </row>
        <row r="184">
          <cell r="A184">
            <v>10020211</v>
          </cell>
          <cell r="B184" t="str">
            <v>上古卷轴残卷(下)</v>
          </cell>
        </row>
        <row r="185">
          <cell r="A185">
            <v>10020212</v>
          </cell>
          <cell r="B185" t="str">
            <v>上古卷轴</v>
          </cell>
        </row>
        <row r="186">
          <cell r="A186">
            <v>10020213</v>
          </cell>
          <cell r="B186" t="str">
            <v>炙热布料</v>
          </cell>
        </row>
        <row r="187">
          <cell r="A187">
            <v>10020214</v>
          </cell>
          <cell r="B187" t="str">
            <v>炙热铁块</v>
          </cell>
        </row>
        <row r="188">
          <cell r="A188">
            <v>10020215</v>
          </cell>
          <cell r="B188" t="str">
            <v>博士的研究成果</v>
          </cell>
        </row>
        <row r="189">
          <cell r="A189">
            <v>10020216</v>
          </cell>
          <cell r="B189" t="str">
            <v>黑暗魔王之心</v>
          </cell>
        </row>
        <row r="190">
          <cell r="A190">
            <v>10030101</v>
          </cell>
          <cell r="B190" t="str">
            <v>头布</v>
          </cell>
        </row>
        <row r="191">
          <cell r="A191">
            <v>10030102</v>
          </cell>
          <cell r="B191" t="str">
            <v>铁盔</v>
          </cell>
        </row>
        <row r="192">
          <cell r="A192">
            <v>10030103</v>
          </cell>
          <cell r="B192" t="str">
            <v>小手套</v>
          </cell>
        </row>
        <row r="193">
          <cell r="A193">
            <v>10030104</v>
          </cell>
          <cell r="B193" t="str">
            <v>粗手套</v>
          </cell>
        </row>
        <row r="194">
          <cell r="A194">
            <v>10030105</v>
          </cell>
          <cell r="B194" t="str">
            <v>铁手套</v>
          </cell>
        </row>
        <row r="195">
          <cell r="A195">
            <v>10030106</v>
          </cell>
          <cell r="B195" t="str">
            <v>布带</v>
          </cell>
        </row>
        <row r="196">
          <cell r="A196">
            <v>10030107</v>
          </cell>
          <cell r="B196" t="str">
            <v>钢腰带</v>
          </cell>
        </row>
        <row r="197">
          <cell r="A197" t="str">
            <v>10030108</v>
          </cell>
          <cell r="B197" t="str">
            <v>小布鞋</v>
          </cell>
        </row>
        <row r="198">
          <cell r="A198">
            <v>10030109</v>
          </cell>
          <cell r="B198" t="str">
            <v>麻布裤</v>
          </cell>
        </row>
        <row r="199">
          <cell r="A199">
            <v>10030110</v>
          </cell>
          <cell r="B199" t="str">
            <v>银项链</v>
          </cell>
        </row>
        <row r="200">
          <cell r="A200" t="str">
            <v>10030111</v>
          </cell>
          <cell r="B200" t="str">
            <v>古铜戒指</v>
          </cell>
        </row>
        <row r="201">
          <cell r="A201" t="str">
            <v>10030112</v>
          </cell>
          <cell r="B201" t="str">
            <v>屠龙宝刀</v>
          </cell>
        </row>
        <row r="202">
          <cell r="A202" t="str">
            <v>10030113</v>
          </cell>
          <cell r="B202" t="str">
            <v>匕首</v>
          </cell>
        </row>
        <row r="203">
          <cell r="A203" t="str">
            <v>10030114</v>
          </cell>
          <cell r="B203" t="str">
            <v>布衣</v>
          </cell>
        </row>
        <row r="204">
          <cell r="A204">
            <v>10030201</v>
          </cell>
          <cell r="B204" t="str">
            <v>青铜头盔</v>
          </cell>
        </row>
        <row r="205">
          <cell r="A205">
            <v>10030202</v>
          </cell>
          <cell r="B205" t="str">
            <v>玄铁头盔</v>
          </cell>
        </row>
        <row r="206">
          <cell r="A206">
            <v>10030203</v>
          </cell>
          <cell r="B206" t="str">
            <v>骷髅头盔</v>
          </cell>
        </row>
        <row r="207">
          <cell r="A207">
            <v>10030204</v>
          </cell>
          <cell r="B207" t="str">
            <v>纯银手套</v>
          </cell>
        </row>
        <row r="208">
          <cell r="A208">
            <v>10030205</v>
          </cell>
          <cell r="B208" t="str">
            <v>魔力手套</v>
          </cell>
        </row>
        <row r="209">
          <cell r="A209">
            <v>10030206</v>
          </cell>
          <cell r="B209" t="str">
            <v>纯金手套</v>
          </cell>
        </row>
        <row r="210">
          <cell r="A210">
            <v>10030207</v>
          </cell>
          <cell r="B210" t="str">
            <v>白纹手套</v>
          </cell>
        </row>
        <row r="211">
          <cell r="A211">
            <v>10030208</v>
          </cell>
          <cell r="B211" t="str">
            <v>布纹腰带</v>
          </cell>
        </row>
        <row r="212">
          <cell r="A212">
            <v>10030209</v>
          </cell>
          <cell r="B212" t="str">
            <v>骷髅腰带</v>
          </cell>
        </row>
        <row r="213">
          <cell r="A213">
            <v>10030210</v>
          </cell>
          <cell r="B213" t="str">
            <v>布纹布靴</v>
          </cell>
        </row>
        <row r="214">
          <cell r="A214">
            <v>10030211</v>
          </cell>
          <cell r="B214" t="str">
            <v>布纹长裤</v>
          </cell>
        </row>
        <row r="215">
          <cell r="A215">
            <v>10030212</v>
          </cell>
          <cell r="B215" t="str">
            <v>纯银项链</v>
          </cell>
        </row>
        <row r="216">
          <cell r="A216">
            <v>10030213</v>
          </cell>
          <cell r="B216" t="str">
            <v>白骨项链</v>
          </cell>
        </row>
        <row r="217">
          <cell r="A217">
            <v>10030214</v>
          </cell>
          <cell r="B217" t="str">
            <v>红宝石项链</v>
          </cell>
        </row>
        <row r="218">
          <cell r="A218">
            <v>10030215</v>
          </cell>
          <cell r="B218" t="str">
            <v>魅力戒指</v>
          </cell>
        </row>
        <row r="219">
          <cell r="A219">
            <v>10030216</v>
          </cell>
          <cell r="B219" t="str">
            <v>红宝石戒指</v>
          </cell>
        </row>
        <row r="220">
          <cell r="A220">
            <v>10030217</v>
          </cell>
          <cell r="B220" t="str">
            <v>神兵护符</v>
          </cell>
        </row>
        <row r="221">
          <cell r="A221">
            <v>10030218</v>
          </cell>
          <cell r="B221" t="str">
            <v>短刀</v>
          </cell>
        </row>
        <row r="222">
          <cell r="A222">
            <v>10030219</v>
          </cell>
          <cell r="B222" t="str">
            <v>玄铁刀</v>
          </cell>
        </row>
        <row r="223">
          <cell r="A223">
            <v>10030220</v>
          </cell>
          <cell r="B223" t="str">
            <v>凌风剑</v>
          </cell>
        </row>
        <row r="224">
          <cell r="A224">
            <v>10030221</v>
          </cell>
          <cell r="B224" t="str">
            <v>轻型盔甲</v>
          </cell>
        </row>
        <row r="225">
          <cell r="A225">
            <v>10030222</v>
          </cell>
          <cell r="B225" t="str">
            <v>凌风盔甲</v>
          </cell>
        </row>
        <row r="226">
          <cell r="A226">
            <v>10030251</v>
          </cell>
          <cell r="B226" t="str">
            <v>狼王的项链</v>
          </cell>
        </row>
        <row r="227">
          <cell r="A227">
            <v>10030252</v>
          </cell>
          <cell r="B227" t="str">
            <v>僵尸护符</v>
          </cell>
        </row>
        <row r="228">
          <cell r="A228">
            <v>10030253</v>
          </cell>
          <cell r="B228" t="str">
            <v>骷髅王的桂冠</v>
          </cell>
        </row>
        <row r="229">
          <cell r="A229">
            <v>10030254</v>
          </cell>
          <cell r="B229" t="str">
            <v>蜘蛛护腿</v>
          </cell>
        </row>
        <row r="230">
          <cell r="A230">
            <v>10030255</v>
          </cell>
          <cell r="B230" t="str">
            <v>蜘蛛护胸</v>
          </cell>
        </row>
        <row r="231">
          <cell r="A231">
            <v>10030256</v>
          </cell>
          <cell r="B231" t="str">
            <v>古墓手套</v>
          </cell>
        </row>
        <row r="232">
          <cell r="A232">
            <v>10030257</v>
          </cell>
          <cell r="B232" t="str">
            <v>古墓腰带</v>
          </cell>
        </row>
        <row r="233">
          <cell r="A233">
            <v>10030258</v>
          </cell>
          <cell r="B233" t="str">
            <v>古墓鞋子</v>
          </cell>
        </row>
        <row r="234">
          <cell r="A234">
            <v>10030259</v>
          </cell>
          <cell r="B234" t="str">
            <v>黑暗之剑</v>
          </cell>
        </row>
        <row r="235">
          <cell r="A235">
            <v>10030260</v>
          </cell>
          <cell r="B235" t="str">
            <v>古旧的法术书</v>
          </cell>
        </row>
        <row r="236">
          <cell r="A236">
            <v>10030261</v>
          </cell>
          <cell r="B236" t="str">
            <v>闪闪发亮的宝石</v>
          </cell>
        </row>
        <row r="237">
          <cell r="A237">
            <v>10030262</v>
          </cell>
          <cell r="B237" t="str">
            <v>疾跑护符</v>
          </cell>
        </row>
        <row r="238">
          <cell r="A238">
            <v>10030263</v>
          </cell>
          <cell r="B238" t="str">
            <v>爱心之剑</v>
          </cell>
        </row>
        <row r="239">
          <cell r="A239">
            <v>10030301</v>
          </cell>
          <cell r="B239" t="str">
            <v>血域头盔</v>
          </cell>
        </row>
        <row r="240">
          <cell r="A240">
            <v>10030302</v>
          </cell>
          <cell r="B240" t="str">
            <v>灵巧头巾</v>
          </cell>
        </row>
        <row r="241">
          <cell r="A241">
            <v>10030303</v>
          </cell>
          <cell r="B241" t="str">
            <v>血域护手</v>
          </cell>
        </row>
        <row r="242">
          <cell r="A242">
            <v>10030304</v>
          </cell>
          <cell r="B242" t="str">
            <v>精铁手套</v>
          </cell>
        </row>
        <row r="243">
          <cell r="A243">
            <v>10030305</v>
          </cell>
          <cell r="B243" t="str">
            <v>血域腰带</v>
          </cell>
        </row>
        <row r="244">
          <cell r="A244">
            <v>10030306</v>
          </cell>
          <cell r="B244" t="str">
            <v>战斗腰带</v>
          </cell>
        </row>
        <row r="245">
          <cell r="A245">
            <v>10030307</v>
          </cell>
          <cell r="B245" t="str">
            <v>血域战靴</v>
          </cell>
        </row>
        <row r="246">
          <cell r="A246">
            <v>10030308</v>
          </cell>
          <cell r="B246" t="str">
            <v>战斗靴子</v>
          </cell>
        </row>
        <row r="247">
          <cell r="A247">
            <v>10030309</v>
          </cell>
          <cell r="B247" t="str">
            <v>血域长裤</v>
          </cell>
        </row>
        <row r="248">
          <cell r="A248">
            <v>10030310</v>
          </cell>
          <cell r="B248" t="str">
            <v>血色长裤</v>
          </cell>
        </row>
        <row r="249">
          <cell r="A249">
            <v>10030311</v>
          </cell>
          <cell r="B249" t="str">
            <v>血域战链</v>
          </cell>
        </row>
        <row r="250">
          <cell r="A250">
            <v>10030312</v>
          </cell>
          <cell r="B250" t="str">
            <v>骷髅项链</v>
          </cell>
        </row>
        <row r="251">
          <cell r="A251">
            <v>10030313</v>
          </cell>
          <cell r="B251" t="str">
            <v>血域戒指</v>
          </cell>
        </row>
        <row r="252">
          <cell r="A252">
            <v>10030314</v>
          </cell>
          <cell r="B252" t="str">
            <v>黑金戒指</v>
          </cell>
        </row>
        <row r="253">
          <cell r="A253">
            <v>10030315</v>
          </cell>
          <cell r="B253" t="str">
            <v>血域宝石</v>
          </cell>
        </row>
        <row r="254">
          <cell r="A254">
            <v>10030316</v>
          </cell>
          <cell r="B254" t="str">
            <v>血域护符</v>
          </cell>
        </row>
        <row r="255">
          <cell r="A255">
            <v>10030317</v>
          </cell>
          <cell r="B255" t="str">
            <v>血域战刃</v>
          </cell>
        </row>
        <row r="256">
          <cell r="A256">
            <v>10030318</v>
          </cell>
          <cell r="B256" t="str">
            <v>利刃长剑</v>
          </cell>
        </row>
        <row r="257">
          <cell r="A257">
            <v>10030319</v>
          </cell>
          <cell r="B257" t="str">
            <v>血色之刃</v>
          </cell>
        </row>
        <row r="258">
          <cell r="A258">
            <v>10030320</v>
          </cell>
          <cell r="B258" t="str">
            <v>血域战甲</v>
          </cell>
        </row>
        <row r="259">
          <cell r="A259">
            <v>10030321</v>
          </cell>
          <cell r="B259" t="str">
            <v>刀锋战衣</v>
          </cell>
        </row>
        <row r="260">
          <cell r="A260">
            <v>10030322</v>
          </cell>
          <cell r="B260" t="str">
            <v>力量戒指</v>
          </cell>
        </row>
        <row r="261">
          <cell r="A261">
            <v>10030323</v>
          </cell>
          <cell r="B261" t="str">
            <v>幽冥项链</v>
          </cell>
        </row>
        <row r="262">
          <cell r="A262">
            <v>10030324</v>
          </cell>
          <cell r="B262" t="str">
            <v>荒漠头盔</v>
          </cell>
        </row>
        <row r="263">
          <cell r="A263">
            <v>10030325</v>
          </cell>
          <cell r="B263" t="str">
            <v>荒漠手套</v>
          </cell>
        </row>
        <row r="264">
          <cell r="A264">
            <v>10030326</v>
          </cell>
          <cell r="B264" t="str">
            <v>荒漠腰带</v>
          </cell>
        </row>
        <row r="265">
          <cell r="A265">
            <v>10030327</v>
          </cell>
          <cell r="B265" t="str">
            <v>荒漠靴子</v>
          </cell>
        </row>
        <row r="266">
          <cell r="A266">
            <v>10030328</v>
          </cell>
          <cell r="B266" t="str">
            <v>生命护符</v>
          </cell>
        </row>
        <row r="267">
          <cell r="A267">
            <v>10030329</v>
          </cell>
          <cell r="B267" t="str">
            <v>生命饰品</v>
          </cell>
        </row>
        <row r="268">
          <cell r="A268">
            <v>10030330</v>
          </cell>
          <cell r="B268" t="str">
            <v>防护宝石</v>
          </cell>
        </row>
        <row r="269">
          <cell r="A269">
            <v>10030331</v>
          </cell>
          <cell r="B269" t="str">
            <v>沙漠灵饰</v>
          </cell>
        </row>
        <row r="270">
          <cell r="A270">
            <v>10030332</v>
          </cell>
          <cell r="B270" t="str">
            <v>痛苦女王的吊坠</v>
          </cell>
        </row>
        <row r="271">
          <cell r="A271">
            <v>10030333</v>
          </cell>
          <cell r="B271" t="str">
            <v>地狱领主的法术书</v>
          </cell>
        </row>
        <row r="272">
          <cell r="A272">
            <v>10030334</v>
          </cell>
          <cell r="B272" t="str">
            <v>不败的意志</v>
          </cell>
        </row>
        <row r="273">
          <cell r="A273">
            <v>10030335</v>
          </cell>
          <cell r="B273" t="str">
            <v>地狱领主的盔甲</v>
          </cell>
        </row>
        <row r="274">
          <cell r="A274">
            <v>10030401</v>
          </cell>
          <cell r="B274" t="str">
            <v>冰封头盔</v>
          </cell>
        </row>
        <row r="275">
          <cell r="A275">
            <v>10030402</v>
          </cell>
          <cell r="B275" t="str">
            <v>精钢头盔</v>
          </cell>
        </row>
        <row r="276">
          <cell r="A276">
            <v>10030403</v>
          </cell>
          <cell r="B276" t="str">
            <v>冰封护手</v>
          </cell>
        </row>
        <row r="277">
          <cell r="A277">
            <v>10030404</v>
          </cell>
          <cell r="B277" t="str">
            <v>精钢手套</v>
          </cell>
        </row>
        <row r="278">
          <cell r="A278">
            <v>10030405</v>
          </cell>
          <cell r="B278" t="str">
            <v>冰封腰带</v>
          </cell>
        </row>
        <row r="279">
          <cell r="A279">
            <v>10030406</v>
          </cell>
          <cell r="B279" t="str">
            <v>意志腰带</v>
          </cell>
        </row>
        <row r="280">
          <cell r="A280">
            <v>10030407</v>
          </cell>
          <cell r="B280" t="str">
            <v>冰封战靴</v>
          </cell>
        </row>
        <row r="281">
          <cell r="A281">
            <v>10030408</v>
          </cell>
          <cell r="B281" t="str">
            <v>雪域靴子</v>
          </cell>
        </row>
        <row r="282">
          <cell r="A282">
            <v>10030409</v>
          </cell>
          <cell r="B282" t="str">
            <v>冰封长裤</v>
          </cell>
        </row>
        <row r="283">
          <cell r="A283">
            <v>10030410</v>
          </cell>
          <cell r="B283" t="str">
            <v>魔鬼长裤</v>
          </cell>
        </row>
        <row r="284">
          <cell r="A284">
            <v>10030411</v>
          </cell>
          <cell r="B284" t="str">
            <v>冰封战链</v>
          </cell>
        </row>
        <row r="285">
          <cell r="A285">
            <v>10030412</v>
          </cell>
          <cell r="B285" t="str">
            <v>冰灵项链</v>
          </cell>
        </row>
        <row r="286">
          <cell r="A286">
            <v>10030413</v>
          </cell>
          <cell r="B286" t="str">
            <v>冰封戒指</v>
          </cell>
        </row>
        <row r="287">
          <cell r="A287">
            <v>10030414</v>
          </cell>
          <cell r="B287" t="str">
            <v>鬼灵指环</v>
          </cell>
        </row>
        <row r="288">
          <cell r="A288">
            <v>10030415</v>
          </cell>
          <cell r="B288" t="str">
            <v>冰封饰品</v>
          </cell>
        </row>
        <row r="289">
          <cell r="A289">
            <v>10030416</v>
          </cell>
          <cell r="B289" t="str">
            <v>冰封护符</v>
          </cell>
        </row>
        <row r="290">
          <cell r="A290">
            <v>10030417</v>
          </cell>
          <cell r="B290" t="str">
            <v>血护符</v>
          </cell>
        </row>
        <row r="291">
          <cell r="A291">
            <v>10030418</v>
          </cell>
          <cell r="B291" t="str">
            <v>冰封战刃</v>
          </cell>
        </row>
        <row r="292">
          <cell r="A292">
            <v>10030419</v>
          </cell>
          <cell r="B292" t="str">
            <v>血泣</v>
          </cell>
        </row>
        <row r="293">
          <cell r="A293">
            <v>10030420</v>
          </cell>
          <cell r="B293" t="str">
            <v>冰封战甲</v>
          </cell>
        </row>
        <row r="294">
          <cell r="A294">
            <v>10030421</v>
          </cell>
          <cell r="B294" t="str">
            <v>战斗钢甲</v>
          </cell>
        </row>
        <row r="295">
          <cell r="A295">
            <v>10030422</v>
          </cell>
          <cell r="B295" t="str">
            <v>破灵腰带</v>
          </cell>
        </row>
        <row r="296">
          <cell r="A296">
            <v>10030423</v>
          </cell>
          <cell r="B296" t="str">
            <v>破灵靴子</v>
          </cell>
        </row>
        <row r="297">
          <cell r="A297">
            <v>10030424</v>
          </cell>
          <cell r="B297" t="str">
            <v>冰河战甲</v>
          </cell>
        </row>
        <row r="298">
          <cell r="A298">
            <v>10030425</v>
          </cell>
          <cell r="B298" t="str">
            <v>冰河战盔</v>
          </cell>
        </row>
        <row r="299">
          <cell r="A299">
            <v>10030426</v>
          </cell>
          <cell r="B299" t="str">
            <v>冰河长裤</v>
          </cell>
        </row>
        <row r="300">
          <cell r="A300">
            <v>10030427</v>
          </cell>
          <cell r="B300" t="str">
            <v>勇气长剑</v>
          </cell>
        </row>
        <row r="301">
          <cell r="A301">
            <v>10030428</v>
          </cell>
          <cell r="B301" t="str">
            <v>破灵护符</v>
          </cell>
        </row>
        <row r="302">
          <cell r="A302">
            <v>10030429</v>
          </cell>
          <cell r="B302" t="str">
            <v>治愈灵石</v>
          </cell>
        </row>
        <row r="303">
          <cell r="A303">
            <v>10030430</v>
          </cell>
          <cell r="B303" t="str">
            <v>超强防护宝石</v>
          </cell>
        </row>
        <row r="304">
          <cell r="A304">
            <v>10030431</v>
          </cell>
          <cell r="B304" t="str">
            <v>冰封守护之心</v>
          </cell>
        </row>
        <row r="305">
          <cell r="A305">
            <v>10030432</v>
          </cell>
          <cell r="B305" t="str">
            <v>阿兹里斯的骨头</v>
          </cell>
        </row>
        <row r="306">
          <cell r="A306">
            <v>10030433</v>
          </cell>
          <cell r="B306" t="str">
            <v>帝陨</v>
          </cell>
        </row>
        <row r="307">
          <cell r="A307">
            <v>10030434</v>
          </cell>
          <cell r="B307" t="str">
            <v>阿兹里斯的项链</v>
          </cell>
        </row>
        <row r="308">
          <cell r="A308">
            <v>10030501</v>
          </cell>
          <cell r="B308" t="str">
            <v>永恒头盔</v>
          </cell>
        </row>
        <row r="309">
          <cell r="A309">
            <v>10030502</v>
          </cell>
          <cell r="B309" t="str">
            <v>战意头盔</v>
          </cell>
        </row>
        <row r="310">
          <cell r="A310">
            <v>10030503</v>
          </cell>
          <cell r="B310" t="str">
            <v>永恒护手</v>
          </cell>
        </row>
        <row r="311">
          <cell r="A311">
            <v>10030504</v>
          </cell>
          <cell r="B311" t="str">
            <v>绿色手套</v>
          </cell>
        </row>
        <row r="312">
          <cell r="A312">
            <v>10030505</v>
          </cell>
          <cell r="B312" t="str">
            <v>永恒腰带</v>
          </cell>
        </row>
        <row r="313">
          <cell r="A313">
            <v>10030506</v>
          </cell>
          <cell r="B313" t="str">
            <v>骷髅腰带</v>
          </cell>
        </row>
        <row r="314">
          <cell r="A314">
            <v>10030507</v>
          </cell>
          <cell r="B314" t="str">
            <v>永恒战靴</v>
          </cell>
        </row>
        <row r="315">
          <cell r="A315">
            <v>10030508</v>
          </cell>
          <cell r="B315" t="str">
            <v>旋风靴</v>
          </cell>
        </row>
        <row r="316">
          <cell r="A316">
            <v>10030509</v>
          </cell>
          <cell r="B316" t="str">
            <v>永恒长裤</v>
          </cell>
        </row>
        <row r="317">
          <cell r="A317">
            <v>10030510</v>
          </cell>
          <cell r="B317" t="str">
            <v>烈焰长裤</v>
          </cell>
        </row>
        <row r="318">
          <cell r="A318">
            <v>10030511</v>
          </cell>
          <cell r="B318" t="str">
            <v>永恒战链</v>
          </cell>
        </row>
        <row r="319">
          <cell r="A319">
            <v>10030512</v>
          </cell>
          <cell r="B319" t="str">
            <v>梦境项链</v>
          </cell>
        </row>
        <row r="320">
          <cell r="A320">
            <v>10030513</v>
          </cell>
          <cell r="B320" t="str">
            <v>永恒戒指</v>
          </cell>
        </row>
        <row r="321">
          <cell r="A321">
            <v>10030514</v>
          </cell>
          <cell r="B321" t="str">
            <v>鬼魅指环</v>
          </cell>
        </row>
        <row r="322">
          <cell r="A322">
            <v>10030515</v>
          </cell>
          <cell r="B322" t="str">
            <v>永恒饰品</v>
          </cell>
        </row>
        <row r="323">
          <cell r="A323">
            <v>10030516</v>
          </cell>
          <cell r="B323" t="str">
            <v>永恒护符</v>
          </cell>
        </row>
        <row r="324">
          <cell r="A324">
            <v>10030517</v>
          </cell>
          <cell r="B324" t="str">
            <v>鬼灵护符</v>
          </cell>
        </row>
        <row r="325">
          <cell r="A325">
            <v>10030518</v>
          </cell>
          <cell r="B325" t="str">
            <v>永恒战刃</v>
          </cell>
        </row>
        <row r="326">
          <cell r="A326">
            <v>10030519</v>
          </cell>
          <cell r="B326" t="str">
            <v>鬼头斩</v>
          </cell>
        </row>
        <row r="327">
          <cell r="A327">
            <v>10030520</v>
          </cell>
          <cell r="B327" t="str">
            <v>永恒战甲</v>
          </cell>
        </row>
        <row r="328">
          <cell r="A328">
            <v>10030521</v>
          </cell>
          <cell r="B328" t="str">
            <v>骷髅盔甲</v>
          </cell>
        </row>
        <row r="329">
          <cell r="A329">
            <v>10030522</v>
          </cell>
          <cell r="B329" t="str">
            <v>精灵项链</v>
          </cell>
        </row>
        <row r="330">
          <cell r="A330">
            <v>10030523</v>
          </cell>
          <cell r="B330" t="str">
            <v>精灵指环</v>
          </cell>
        </row>
        <row r="331">
          <cell r="A331">
            <v>10030524</v>
          </cell>
          <cell r="B331" t="str">
            <v>暮色战甲</v>
          </cell>
        </row>
        <row r="332">
          <cell r="A332">
            <v>10030525</v>
          </cell>
          <cell r="B332" t="str">
            <v>暮色战盔</v>
          </cell>
        </row>
        <row r="333">
          <cell r="A333">
            <v>10030526</v>
          </cell>
          <cell r="B333" t="str">
            <v>暮色长裤</v>
          </cell>
        </row>
        <row r="334">
          <cell r="A334">
            <v>10030527</v>
          </cell>
          <cell r="B334" t="str">
            <v>暮色手套</v>
          </cell>
        </row>
        <row r="335">
          <cell r="A335">
            <v>10030528</v>
          </cell>
          <cell r="B335" t="str">
            <v>暮色腰带</v>
          </cell>
        </row>
        <row r="336">
          <cell r="A336">
            <v>10030529</v>
          </cell>
          <cell r="B336" t="str">
            <v>暮色靴子</v>
          </cell>
        </row>
        <row r="337">
          <cell r="A337">
            <v>10030530</v>
          </cell>
          <cell r="B337" t="str">
            <v>暮色饰品</v>
          </cell>
        </row>
        <row r="338">
          <cell r="A338">
            <v>10030531</v>
          </cell>
          <cell r="B338" t="str">
            <v>狂暴魔法书</v>
          </cell>
        </row>
        <row r="339">
          <cell r="A339">
            <v>10030532</v>
          </cell>
          <cell r="B339" t="str">
            <v>高级治愈灵石</v>
          </cell>
        </row>
        <row r="340">
          <cell r="A340">
            <v>10030533</v>
          </cell>
          <cell r="B340" t="str">
            <v>暮色士兵的遗产</v>
          </cell>
        </row>
        <row r="341">
          <cell r="A341">
            <v>10030534</v>
          </cell>
          <cell r="B341" t="str">
            <v>艾力克斯的能量球</v>
          </cell>
        </row>
        <row r="342">
          <cell r="A342">
            <v>10030535</v>
          </cell>
          <cell r="B342" t="str">
            <v>毁灭</v>
          </cell>
        </row>
        <row r="343">
          <cell r="A343">
            <v>10030536</v>
          </cell>
          <cell r="B343" t="str">
            <v>艾力克斯的护符</v>
          </cell>
        </row>
        <row r="344">
          <cell r="A344">
            <v>10030601</v>
          </cell>
          <cell r="B344" t="str">
            <v>圣光头盔</v>
          </cell>
        </row>
        <row r="345">
          <cell r="A345">
            <v>10030602</v>
          </cell>
          <cell r="B345" t="str">
            <v>邪灵头盔</v>
          </cell>
        </row>
        <row r="346">
          <cell r="A346">
            <v>10030603</v>
          </cell>
          <cell r="B346" t="str">
            <v>圣光护手</v>
          </cell>
        </row>
        <row r="347">
          <cell r="A347">
            <v>10030604</v>
          </cell>
          <cell r="B347" t="str">
            <v>除魔手套</v>
          </cell>
        </row>
        <row r="348">
          <cell r="A348">
            <v>10030605</v>
          </cell>
          <cell r="B348" t="str">
            <v>圣光腰带</v>
          </cell>
        </row>
        <row r="349">
          <cell r="A349">
            <v>10030606</v>
          </cell>
          <cell r="B349" t="str">
            <v>斩灵腰带</v>
          </cell>
        </row>
        <row r="350">
          <cell r="A350">
            <v>10030607</v>
          </cell>
          <cell r="B350" t="str">
            <v>圣光战靴</v>
          </cell>
        </row>
        <row r="351">
          <cell r="A351">
            <v>10030608</v>
          </cell>
          <cell r="B351" t="str">
            <v>战意靴子</v>
          </cell>
        </row>
        <row r="352">
          <cell r="A352">
            <v>10030609</v>
          </cell>
          <cell r="B352" t="str">
            <v>圣光长裤</v>
          </cell>
        </row>
        <row r="353">
          <cell r="A353">
            <v>10030610</v>
          </cell>
          <cell r="B353" t="str">
            <v>骨灵长裤</v>
          </cell>
        </row>
        <row r="354">
          <cell r="A354">
            <v>10030611</v>
          </cell>
          <cell r="B354" t="str">
            <v>圣光战链</v>
          </cell>
        </row>
        <row r="355">
          <cell r="A355">
            <v>10030612</v>
          </cell>
          <cell r="B355" t="str">
            <v>心爱之链</v>
          </cell>
        </row>
        <row r="356">
          <cell r="A356">
            <v>10030613</v>
          </cell>
          <cell r="B356" t="str">
            <v>圣光戒指</v>
          </cell>
        </row>
        <row r="357">
          <cell r="A357">
            <v>10030614</v>
          </cell>
          <cell r="B357" t="str">
            <v>灵魂指环</v>
          </cell>
        </row>
        <row r="358">
          <cell r="A358">
            <v>10030615</v>
          </cell>
          <cell r="B358" t="str">
            <v>圣光饰品</v>
          </cell>
        </row>
        <row r="359">
          <cell r="A359">
            <v>10030616</v>
          </cell>
          <cell r="B359" t="str">
            <v>圣光护符</v>
          </cell>
        </row>
        <row r="360">
          <cell r="A360">
            <v>10030617</v>
          </cell>
          <cell r="B360" t="str">
            <v>灵光护符</v>
          </cell>
        </row>
        <row r="361">
          <cell r="A361">
            <v>10030618</v>
          </cell>
          <cell r="B361" t="str">
            <v>圣光战刃</v>
          </cell>
        </row>
        <row r="362">
          <cell r="A362">
            <v>10030619</v>
          </cell>
          <cell r="B362" t="str">
            <v>降魔之刃</v>
          </cell>
        </row>
        <row r="363">
          <cell r="A363">
            <v>10030620</v>
          </cell>
          <cell r="B363" t="str">
            <v>圣光战甲</v>
          </cell>
        </row>
        <row r="364">
          <cell r="A364">
            <v>10030621</v>
          </cell>
          <cell r="B364" t="str">
            <v>降魔钢甲</v>
          </cell>
        </row>
        <row r="365">
          <cell r="A365">
            <v>10030622</v>
          </cell>
          <cell r="B365" t="str">
            <v>熔岩项链</v>
          </cell>
        </row>
        <row r="366">
          <cell r="A366">
            <v>10030623</v>
          </cell>
          <cell r="B366" t="str">
            <v>熔岩指环</v>
          </cell>
        </row>
        <row r="367">
          <cell r="A367">
            <v>10030624</v>
          </cell>
          <cell r="B367" t="str">
            <v>炙热战甲</v>
          </cell>
        </row>
        <row r="368">
          <cell r="A368">
            <v>10030625</v>
          </cell>
          <cell r="B368" t="str">
            <v>炙热战盔</v>
          </cell>
        </row>
        <row r="369">
          <cell r="A369">
            <v>10030626</v>
          </cell>
          <cell r="B369" t="str">
            <v>炙热长裤</v>
          </cell>
        </row>
        <row r="370">
          <cell r="A370">
            <v>10030627</v>
          </cell>
          <cell r="B370" t="str">
            <v>炙热手套</v>
          </cell>
        </row>
        <row r="371">
          <cell r="A371">
            <v>10030628</v>
          </cell>
          <cell r="B371" t="str">
            <v>炙热腰带</v>
          </cell>
        </row>
        <row r="372">
          <cell r="A372">
            <v>10030629</v>
          </cell>
          <cell r="B372" t="str">
            <v>炙热靴子</v>
          </cell>
        </row>
        <row r="373">
          <cell r="A373">
            <v>10030630</v>
          </cell>
          <cell r="B373" t="str">
            <v>传说神器:圣光传说头盔</v>
          </cell>
        </row>
        <row r="374">
          <cell r="A374">
            <v>10030631</v>
          </cell>
          <cell r="B374" t="str">
            <v>传说神器:圣光传说护手</v>
          </cell>
        </row>
        <row r="375">
          <cell r="A375">
            <v>10030632</v>
          </cell>
          <cell r="B375" t="str">
            <v>传说神器:圣光传说腰带</v>
          </cell>
        </row>
        <row r="376">
          <cell r="A376">
            <v>10030633</v>
          </cell>
          <cell r="B376" t="str">
            <v>传说神器:圣光传说战靴</v>
          </cell>
        </row>
        <row r="377">
          <cell r="A377">
            <v>10030634</v>
          </cell>
          <cell r="B377" t="str">
            <v>传说神器:圣光传说长裤</v>
          </cell>
        </row>
        <row r="378">
          <cell r="A378">
            <v>10030635</v>
          </cell>
          <cell r="B378" t="str">
            <v>传说神器:圣光传说战链</v>
          </cell>
        </row>
        <row r="379">
          <cell r="A379">
            <v>10030636</v>
          </cell>
          <cell r="B379" t="str">
            <v>传说神器:圣光传说戒指</v>
          </cell>
        </row>
        <row r="380">
          <cell r="A380">
            <v>10030637</v>
          </cell>
          <cell r="B380" t="str">
            <v>传说神器:圣光传说饰品</v>
          </cell>
        </row>
        <row r="381">
          <cell r="A381">
            <v>10030638</v>
          </cell>
          <cell r="B381" t="str">
            <v>传说神器:圣光传说护符</v>
          </cell>
        </row>
        <row r="382">
          <cell r="A382">
            <v>10030639</v>
          </cell>
          <cell r="B382" t="str">
            <v>传说神器:圣光传说战刃</v>
          </cell>
        </row>
        <row r="383">
          <cell r="A383">
            <v>10030640</v>
          </cell>
          <cell r="B383" t="str">
            <v>传说神器:圣光传说战甲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G66"/>
  <sheetViews>
    <sheetView workbookViewId="0">
      <selection activeCell="D15" sqref="D15"/>
    </sheetView>
  </sheetViews>
  <sheetFormatPr defaultRowHeight="13.5"/>
  <cols>
    <col min="2" max="2" width="15" style="28" bestFit="1" customWidth="1"/>
  </cols>
  <sheetData>
    <row r="1" spans="1:7" ht="30" customHeight="1">
      <c r="A1" s="1" t="s">
        <v>0</v>
      </c>
      <c r="B1" s="1" t="s">
        <v>207</v>
      </c>
      <c r="C1" s="1" t="s">
        <v>2</v>
      </c>
      <c r="D1" s="1" t="s">
        <v>3</v>
      </c>
      <c r="E1" s="1"/>
      <c r="F1" s="1"/>
      <c r="G1" s="1"/>
    </row>
    <row r="2" spans="1:7" s="13" customFormat="1" ht="20.100000000000001" customHeight="1">
      <c r="A2" s="30">
        <v>1</v>
      </c>
      <c r="B2" s="2">
        <f>D2</f>
        <v>25</v>
      </c>
      <c r="C2" s="2">
        <f>[1]总经验表!E2</f>
        <v>2.5</v>
      </c>
      <c r="D2" s="2">
        <f>ROUND(C2*怪物掉落!B2,0)</f>
        <v>25</v>
      </c>
      <c r="E2" s="2"/>
      <c r="F2" s="2"/>
      <c r="G2" s="2"/>
    </row>
    <row r="3" spans="1:7" s="13" customFormat="1" ht="20.100000000000001" customHeight="1">
      <c r="A3" s="30">
        <v>2</v>
      </c>
      <c r="B3" s="2">
        <f t="shared" ref="B3:B66" si="0">D3</f>
        <v>72</v>
      </c>
      <c r="C3" s="2">
        <f>[1]总经验表!E3</f>
        <v>5.5</v>
      </c>
      <c r="D3" s="2">
        <f>ROUND(C3*怪物掉落!B3,0)</f>
        <v>72</v>
      </c>
      <c r="E3" s="2"/>
      <c r="F3" s="2"/>
      <c r="G3" s="2"/>
    </row>
    <row r="4" spans="1:7" s="13" customFormat="1" ht="20.100000000000001" customHeight="1">
      <c r="A4" s="30">
        <v>3</v>
      </c>
      <c r="B4" s="2">
        <f t="shared" si="0"/>
        <v>128</v>
      </c>
      <c r="C4" s="2">
        <f>[1]总经验表!E4</f>
        <v>8</v>
      </c>
      <c r="D4" s="2">
        <f>ROUND(C4*怪物掉落!B4,0)</f>
        <v>128</v>
      </c>
      <c r="E4" s="2"/>
      <c r="F4" s="2"/>
      <c r="G4" s="2"/>
    </row>
    <row r="5" spans="1:7" s="13" customFormat="1" ht="20.100000000000001" customHeight="1">
      <c r="A5" s="30">
        <v>4</v>
      </c>
      <c r="B5" s="2">
        <f t="shared" si="0"/>
        <v>190</v>
      </c>
      <c r="C5" s="2">
        <f>[1]总经验表!E5</f>
        <v>10</v>
      </c>
      <c r="D5" s="2">
        <f>ROUND(C5*怪物掉落!B5,0)</f>
        <v>190</v>
      </c>
      <c r="E5" s="2"/>
      <c r="F5" s="2"/>
      <c r="G5" s="2"/>
    </row>
    <row r="6" spans="1:7" s="13" customFormat="1" ht="20.100000000000001" customHeight="1">
      <c r="A6" s="30">
        <v>5</v>
      </c>
      <c r="B6" s="2">
        <f t="shared" si="0"/>
        <v>264</v>
      </c>
      <c r="C6" s="2">
        <f>[1]总经验表!E6</f>
        <v>12</v>
      </c>
      <c r="D6" s="2">
        <f>ROUND(C6*怪物掉落!B6,0)</f>
        <v>264</v>
      </c>
      <c r="E6" s="2"/>
      <c r="F6" s="2"/>
      <c r="G6" s="2"/>
    </row>
    <row r="7" spans="1:7" s="13" customFormat="1" ht="20.100000000000001" customHeight="1">
      <c r="A7" s="30">
        <v>6</v>
      </c>
      <c r="B7" s="2">
        <f t="shared" si="0"/>
        <v>425</v>
      </c>
      <c r="C7" s="2">
        <f>[1]总经验表!E7</f>
        <v>17</v>
      </c>
      <c r="D7" s="2">
        <f>ROUND(C7*怪物掉落!B7,0)</f>
        <v>425</v>
      </c>
      <c r="E7" s="2"/>
      <c r="F7" s="2"/>
      <c r="G7" s="2"/>
    </row>
    <row r="8" spans="1:7" s="13" customFormat="1" ht="20.100000000000001" customHeight="1">
      <c r="A8" s="30">
        <v>7</v>
      </c>
      <c r="B8" s="2">
        <f t="shared" si="0"/>
        <v>616</v>
      </c>
      <c r="C8" s="2">
        <f>[1]总经验表!E8</f>
        <v>22</v>
      </c>
      <c r="D8" s="2">
        <f>ROUND(C8*怪物掉落!B8,0)</f>
        <v>616</v>
      </c>
      <c r="E8" s="2"/>
      <c r="F8" s="2"/>
      <c r="G8" s="2"/>
    </row>
    <row r="9" spans="1:7" s="13" customFormat="1" ht="20.100000000000001" customHeight="1">
      <c r="A9" s="30">
        <v>8</v>
      </c>
      <c r="B9" s="2">
        <f t="shared" si="0"/>
        <v>837</v>
      </c>
      <c r="C9" s="2">
        <f>[1]总经验表!E9</f>
        <v>27</v>
      </c>
      <c r="D9" s="2">
        <f>ROUND(C9*怪物掉落!B9,0)</f>
        <v>837</v>
      </c>
      <c r="E9" s="2"/>
      <c r="F9" s="2"/>
      <c r="G9" s="2"/>
    </row>
    <row r="10" spans="1:7" s="13" customFormat="1" ht="20.100000000000001" customHeight="1">
      <c r="A10" s="30">
        <v>9</v>
      </c>
      <c r="B10" s="2">
        <f t="shared" si="0"/>
        <v>1088</v>
      </c>
      <c r="C10" s="2">
        <f>[1]总经验表!E10</f>
        <v>32</v>
      </c>
      <c r="D10" s="2">
        <f>ROUND(C10*怪物掉落!B10,0)</f>
        <v>1088</v>
      </c>
      <c r="E10" s="2"/>
      <c r="F10" s="2"/>
      <c r="G10" s="2"/>
    </row>
    <row r="11" spans="1:7" s="13" customFormat="1" ht="20.100000000000001" customHeight="1">
      <c r="A11" s="30">
        <v>10</v>
      </c>
      <c r="B11" s="2">
        <f t="shared" si="0"/>
        <v>1554</v>
      </c>
      <c r="C11" s="2">
        <f>[1]总经验表!E11</f>
        <v>42</v>
      </c>
      <c r="D11" s="2">
        <f>ROUND(C11*怪物掉落!B11,0)</f>
        <v>1554</v>
      </c>
      <c r="E11" s="2"/>
      <c r="F11" s="2"/>
      <c r="G11" s="2"/>
    </row>
    <row r="12" spans="1:7" s="13" customFormat="1" ht="20.100000000000001" customHeight="1">
      <c r="A12" s="30">
        <v>11</v>
      </c>
      <c r="B12" s="2">
        <f t="shared" si="0"/>
        <v>2080</v>
      </c>
      <c r="C12" s="2">
        <f>[1]总经验表!E12</f>
        <v>52</v>
      </c>
      <c r="D12" s="2">
        <f>ROUND(C12*怪物掉落!B12,0)</f>
        <v>2080</v>
      </c>
      <c r="E12" s="2"/>
      <c r="F12" s="2"/>
      <c r="G12" s="2"/>
    </row>
    <row r="13" spans="1:7" s="13" customFormat="1" ht="20.100000000000001" customHeight="1">
      <c r="A13" s="30">
        <v>12</v>
      </c>
      <c r="B13" s="2">
        <f t="shared" si="0"/>
        <v>2881</v>
      </c>
      <c r="C13" s="2">
        <f>[1]总经验表!E13</f>
        <v>67</v>
      </c>
      <c r="D13" s="2">
        <f>ROUND(C13*怪物掉落!B13,0)</f>
        <v>2881</v>
      </c>
      <c r="E13" s="2"/>
      <c r="F13" s="2"/>
      <c r="G13" s="2"/>
    </row>
    <row r="14" spans="1:7" s="13" customFormat="1" ht="20.100000000000001" customHeight="1">
      <c r="A14" s="30">
        <v>13</v>
      </c>
      <c r="B14" s="2">
        <f t="shared" si="0"/>
        <v>3772</v>
      </c>
      <c r="C14" s="2">
        <f>[1]总经验表!E14</f>
        <v>82</v>
      </c>
      <c r="D14" s="2">
        <f>ROUND(C14*怪物掉落!B14,0)</f>
        <v>3772</v>
      </c>
      <c r="E14" s="2"/>
      <c r="F14" s="2"/>
      <c r="G14" s="2"/>
    </row>
    <row r="15" spans="1:7" s="13" customFormat="1" ht="20.100000000000001" customHeight="1">
      <c r="A15" s="30">
        <v>14</v>
      </c>
      <c r="B15" s="2">
        <f t="shared" si="0"/>
        <v>4998</v>
      </c>
      <c r="C15" s="2">
        <f>[1]总经验表!E15</f>
        <v>102</v>
      </c>
      <c r="D15" s="2">
        <f>ROUND(C15*怪物掉落!B15,0)</f>
        <v>4998</v>
      </c>
      <c r="E15" s="2"/>
      <c r="F15" s="2"/>
      <c r="G15" s="2"/>
    </row>
    <row r="16" spans="1:7" s="13" customFormat="1" ht="20.100000000000001" customHeight="1">
      <c r="A16" s="30">
        <v>15</v>
      </c>
      <c r="B16" s="2">
        <f t="shared" si="0"/>
        <v>6344</v>
      </c>
      <c r="C16" s="2">
        <f>[1]总经验表!E16</f>
        <v>122</v>
      </c>
      <c r="D16" s="2">
        <f>ROUND(C16*怪物掉落!B16,0)</f>
        <v>6344</v>
      </c>
      <c r="E16" s="2"/>
      <c r="F16" s="2"/>
      <c r="G16" s="2"/>
    </row>
    <row r="17" spans="1:7" s="13" customFormat="1" ht="20.100000000000001" customHeight="1">
      <c r="A17" s="30">
        <v>16</v>
      </c>
      <c r="B17" s="2">
        <f t="shared" si="0"/>
        <v>8085</v>
      </c>
      <c r="C17" s="2">
        <f>[1]总经验表!E17</f>
        <v>147</v>
      </c>
      <c r="D17" s="2">
        <f>ROUND(C17*怪物掉落!B17,0)</f>
        <v>8085</v>
      </c>
      <c r="E17" s="2"/>
      <c r="F17" s="2"/>
      <c r="G17" s="2"/>
    </row>
    <row r="18" spans="1:7" s="13" customFormat="1" ht="20.100000000000001" customHeight="1">
      <c r="A18" s="30">
        <v>17</v>
      </c>
      <c r="B18" s="2">
        <f t="shared" si="0"/>
        <v>9976</v>
      </c>
      <c r="C18" s="2">
        <f>[1]总经验表!E18</f>
        <v>172</v>
      </c>
      <c r="D18" s="2">
        <f>ROUND(C18*怪物掉落!B18,0)</f>
        <v>9976</v>
      </c>
      <c r="E18" s="2"/>
      <c r="F18" s="2"/>
      <c r="G18" s="2"/>
    </row>
    <row r="19" spans="1:7" s="13" customFormat="1" ht="20.100000000000001" customHeight="1">
      <c r="A19" s="30">
        <v>18</v>
      </c>
      <c r="B19" s="2">
        <f t="shared" si="0"/>
        <v>12017</v>
      </c>
      <c r="C19" s="2">
        <f>[1]总经验表!E19</f>
        <v>197</v>
      </c>
      <c r="D19" s="2">
        <f>ROUND(C19*怪物掉落!B19,0)</f>
        <v>12017</v>
      </c>
      <c r="E19" s="2"/>
      <c r="F19" s="2"/>
      <c r="G19" s="2"/>
    </row>
    <row r="20" spans="1:7" s="13" customFormat="1" ht="20.100000000000001" customHeight="1">
      <c r="A20" s="30">
        <v>19</v>
      </c>
      <c r="B20" s="2">
        <f t="shared" si="0"/>
        <v>14208</v>
      </c>
      <c r="C20" s="2">
        <f>[1]总经验表!E20</f>
        <v>222</v>
      </c>
      <c r="D20" s="2">
        <f>ROUND(C20*怪物掉落!B20,0)</f>
        <v>14208</v>
      </c>
      <c r="E20" s="2"/>
      <c r="F20" s="2"/>
      <c r="G20" s="2"/>
    </row>
    <row r="21" spans="1:7" s="13" customFormat="1" ht="20.100000000000001" customHeight="1">
      <c r="A21" s="30">
        <v>20</v>
      </c>
      <c r="B21" s="2">
        <f t="shared" si="0"/>
        <v>21574</v>
      </c>
      <c r="C21" s="2">
        <f>[1]总经验表!E21</f>
        <v>322</v>
      </c>
      <c r="D21" s="2">
        <f>ROUND(C21*怪物掉落!B21,0)</f>
        <v>21574</v>
      </c>
      <c r="E21" s="2"/>
      <c r="F21" s="2"/>
      <c r="G21" s="2"/>
    </row>
    <row r="22" spans="1:7" s="13" customFormat="1" ht="20.100000000000001" customHeight="1">
      <c r="A22" s="30">
        <v>21</v>
      </c>
      <c r="B22" s="2">
        <f t="shared" si="0"/>
        <v>24640</v>
      </c>
      <c r="C22" s="2">
        <f>[1]总经验表!E22</f>
        <v>352</v>
      </c>
      <c r="D22" s="2">
        <f>ROUND(C22*怪物掉落!B22,0)</f>
        <v>24640</v>
      </c>
      <c r="E22" s="2"/>
      <c r="F22" s="2"/>
      <c r="G22" s="2"/>
    </row>
    <row r="23" spans="1:7" s="13" customFormat="1" ht="20.100000000000001" customHeight="1">
      <c r="A23" s="30">
        <v>22</v>
      </c>
      <c r="B23" s="2">
        <f t="shared" si="0"/>
        <v>27886</v>
      </c>
      <c r="C23" s="2">
        <f>[1]总经验表!E23</f>
        <v>382</v>
      </c>
      <c r="D23" s="2">
        <f>ROUND(C23*怪物掉落!B23,0)</f>
        <v>27886</v>
      </c>
      <c r="E23" s="2"/>
      <c r="F23" s="2"/>
      <c r="G23" s="2"/>
    </row>
    <row r="24" spans="1:7" s="13" customFormat="1" ht="20.100000000000001" customHeight="1">
      <c r="A24" s="30">
        <v>23</v>
      </c>
      <c r="B24" s="2">
        <f t="shared" si="0"/>
        <v>31312</v>
      </c>
      <c r="C24" s="2">
        <f>[1]总经验表!E24</f>
        <v>412</v>
      </c>
      <c r="D24" s="2">
        <f>ROUND(C24*怪物掉落!B24,0)</f>
        <v>31312</v>
      </c>
      <c r="E24" s="2"/>
      <c r="F24" s="2"/>
      <c r="G24" s="2"/>
    </row>
    <row r="25" spans="1:7" s="13" customFormat="1" ht="20.100000000000001" customHeight="1">
      <c r="A25" s="30">
        <v>24</v>
      </c>
      <c r="B25" s="2">
        <f t="shared" si="0"/>
        <v>34918</v>
      </c>
      <c r="C25" s="2">
        <f>[1]总经验表!E25</f>
        <v>442</v>
      </c>
      <c r="D25" s="2">
        <f>ROUND(C25*怪物掉落!B25,0)</f>
        <v>34918</v>
      </c>
      <c r="E25" s="2"/>
      <c r="F25" s="2"/>
      <c r="G25" s="2"/>
    </row>
    <row r="26" spans="1:7" s="13" customFormat="1" ht="20.100000000000001" customHeight="1">
      <c r="A26" s="30">
        <v>25</v>
      </c>
      <c r="B26" s="2">
        <f t="shared" si="0"/>
        <v>38704</v>
      </c>
      <c r="C26" s="2">
        <f>[1]总经验表!E26</f>
        <v>472</v>
      </c>
      <c r="D26" s="2">
        <f>ROUND(C26*怪物掉落!B26,0)</f>
        <v>38704</v>
      </c>
      <c r="E26" s="2"/>
      <c r="F26" s="2"/>
      <c r="G26" s="2"/>
    </row>
    <row r="27" spans="1:7" s="13" customFormat="1" ht="20.100000000000001" customHeight="1">
      <c r="A27" s="30">
        <v>26</v>
      </c>
      <c r="B27" s="2">
        <f t="shared" si="0"/>
        <v>42670</v>
      </c>
      <c r="C27" s="2">
        <f>[1]总经验表!E27</f>
        <v>502</v>
      </c>
      <c r="D27" s="2">
        <f>ROUND(C27*怪物掉落!B27,0)</f>
        <v>42670</v>
      </c>
      <c r="E27" s="2"/>
      <c r="F27" s="2"/>
      <c r="G27" s="2"/>
    </row>
    <row r="28" spans="1:7" s="13" customFormat="1" ht="20.100000000000001" customHeight="1">
      <c r="A28" s="30">
        <v>27</v>
      </c>
      <c r="B28" s="2">
        <f t="shared" si="0"/>
        <v>46816</v>
      </c>
      <c r="C28" s="2">
        <f>[1]总经验表!E28</f>
        <v>532</v>
      </c>
      <c r="D28" s="2">
        <f>ROUND(C28*怪物掉落!B28,0)</f>
        <v>46816</v>
      </c>
      <c r="E28" s="2"/>
      <c r="F28" s="2"/>
      <c r="G28" s="2"/>
    </row>
    <row r="29" spans="1:7" s="13" customFormat="1" ht="20.100000000000001" customHeight="1">
      <c r="A29" s="30">
        <v>28</v>
      </c>
      <c r="B29" s="2">
        <f t="shared" si="0"/>
        <v>51142</v>
      </c>
      <c r="C29" s="2">
        <f>[1]总经验表!E29</f>
        <v>562</v>
      </c>
      <c r="D29" s="2">
        <f>ROUND(C29*怪物掉落!B29,0)</f>
        <v>51142</v>
      </c>
      <c r="E29" s="2"/>
      <c r="F29" s="2"/>
      <c r="G29" s="2"/>
    </row>
    <row r="30" spans="1:7" s="13" customFormat="1" ht="20.100000000000001" customHeight="1">
      <c r="A30" s="30">
        <v>29</v>
      </c>
      <c r="B30" s="2">
        <f t="shared" si="0"/>
        <v>55648</v>
      </c>
      <c r="C30" s="2">
        <f>[1]总经验表!E30</f>
        <v>592</v>
      </c>
      <c r="D30" s="2">
        <f>ROUND(C30*怪物掉落!B30,0)</f>
        <v>55648</v>
      </c>
      <c r="E30" s="2"/>
      <c r="F30" s="2"/>
      <c r="G30" s="2"/>
    </row>
    <row r="31" spans="1:7" s="13" customFormat="1" ht="20.100000000000001" customHeight="1">
      <c r="A31" s="30">
        <v>30</v>
      </c>
      <c r="B31" s="2">
        <f t="shared" si="0"/>
        <v>86524</v>
      </c>
      <c r="C31" s="2">
        <f>[1]总经验表!E31</f>
        <v>892</v>
      </c>
      <c r="D31" s="2">
        <f>ROUND(C31*怪物掉落!B31,0)</f>
        <v>86524</v>
      </c>
      <c r="E31" s="2"/>
      <c r="F31" s="2"/>
      <c r="G31" s="2"/>
    </row>
    <row r="32" spans="1:7" s="13" customFormat="1" ht="20.100000000000001" customHeight="1">
      <c r="A32" s="30">
        <v>31</v>
      </c>
      <c r="B32" s="2">
        <f t="shared" si="0"/>
        <v>94200</v>
      </c>
      <c r="C32" s="2">
        <f>[1]总经验表!E32</f>
        <v>942</v>
      </c>
      <c r="D32" s="2">
        <f>ROUND(C32*怪物掉落!B32,0)</f>
        <v>94200</v>
      </c>
      <c r="E32" s="2"/>
      <c r="F32" s="2"/>
      <c r="G32" s="2"/>
    </row>
    <row r="33" spans="1:7" s="13" customFormat="1" ht="20.100000000000001" customHeight="1">
      <c r="A33" s="30">
        <v>32</v>
      </c>
      <c r="B33" s="2">
        <f t="shared" si="0"/>
        <v>102176</v>
      </c>
      <c r="C33" s="2">
        <f>[1]总经验表!E33</f>
        <v>992</v>
      </c>
      <c r="D33" s="2">
        <f>ROUND(C33*怪物掉落!B33,0)</f>
        <v>102176</v>
      </c>
      <c r="E33" s="2"/>
      <c r="F33" s="2"/>
      <c r="G33" s="2"/>
    </row>
    <row r="34" spans="1:7" s="13" customFormat="1" ht="20.100000000000001" customHeight="1">
      <c r="A34" s="30">
        <v>33</v>
      </c>
      <c r="B34" s="2">
        <f t="shared" si="0"/>
        <v>110452</v>
      </c>
      <c r="C34" s="2">
        <f>[1]总经验表!E34</f>
        <v>1042</v>
      </c>
      <c r="D34" s="2">
        <f>ROUND(C34*怪物掉落!B34,0)</f>
        <v>110452</v>
      </c>
      <c r="E34" s="2"/>
      <c r="F34" s="2"/>
      <c r="G34" s="2"/>
    </row>
    <row r="35" spans="1:7" s="13" customFormat="1" ht="20.100000000000001" customHeight="1">
      <c r="A35" s="30">
        <v>34</v>
      </c>
      <c r="B35" s="2">
        <f t="shared" si="0"/>
        <v>119028</v>
      </c>
      <c r="C35" s="2">
        <f>[1]总经验表!E35</f>
        <v>1092</v>
      </c>
      <c r="D35" s="2">
        <f>ROUND(C35*怪物掉落!B35,0)</f>
        <v>119028</v>
      </c>
      <c r="E35" s="2"/>
      <c r="F35" s="2"/>
      <c r="G35" s="2"/>
    </row>
    <row r="36" spans="1:7" s="13" customFormat="1" ht="20.100000000000001" customHeight="1">
      <c r="A36" s="30">
        <v>35</v>
      </c>
      <c r="B36" s="2">
        <f t="shared" si="0"/>
        <v>129024</v>
      </c>
      <c r="C36" s="2">
        <f>[1]总经验表!E36</f>
        <v>1152</v>
      </c>
      <c r="D36" s="2">
        <f>ROUND(C36*怪物掉落!B36,0)</f>
        <v>129024</v>
      </c>
      <c r="E36" s="2"/>
      <c r="F36" s="2"/>
      <c r="G36" s="2"/>
    </row>
    <row r="37" spans="1:7" s="13" customFormat="1" ht="20.100000000000001" customHeight="1">
      <c r="A37" s="30">
        <v>36</v>
      </c>
      <c r="B37" s="2">
        <f t="shared" si="0"/>
        <v>139380</v>
      </c>
      <c r="C37" s="2">
        <f>[1]总经验表!E37</f>
        <v>1212</v>
      </c>
      <c r="D37" s="2">
        <f>ROUND(C37*怪物掉落!B37,0)</f>
        <v>139380</v>
      </c>
      <c r="E37" s="2"/>
      <c r="F37" s="2"/>
      <c r="G37" s="2"/>
    </row>
    <row r="38" spans="1:7" s="13" customFormat="1" ht="20.100000000000001" customHeight="1">
      <c r="A38" s="30">
        <v>37</v>
      </c>
      <c r="B38" s="2">
        <f t="shared" si="0"/>
        <v>150096</v>
      </c>
      <c r="C38" s="2">
        <f>[1]总经验表!E38</f>
        <v>1272</v>
      </c>
      <c r="D38" s="2">
        <f>ROUND(C38*怪物掉落!B38,0)</f>
        <v>150096</v>
      </c>
      <c r="E38" s="2"/>
      <c r="F38" s="2"/>
      <c r="G38" s="2"/>
    </row>
    <row r="39" spans="1:7" s="13" customFormat="1" ht="20.100000000000001" customHeight="1">
      <c r="A39" s="30">
        <v>38</v>
      </c>
      <c r="B39" s="2">
        <f t="shared" si="0"/>
        <v>161172</v>
      </c>
      <c r="C39" s="2">
        <f>[1]总经验表!E39</f>
        <v>1332</v>
      </c>
      <c r="D39" s="2">
        <f>ROUND(C39*怪物掉落!B39,0)</f>
        <v>161172</v>
      </c>
      <c r="E39" s="2"/>
      <c r="F39" s="2"/>
      <c r="G39" s="2"/>
    </row>
    <row r="40" spans="1:7" s="13" customFormat="1" ht="20.100000000000001" customHeight="1">
      <c r="A40" s="30">
        <v>39</v>
      </c>
      <c r="B40" s="2">
        <f t="shared" si="0"/>
        <v>172608</v>
      </c>
      <c r="C40" s="2">
        <f>[1]总经验表!E40</f>
        <v>1392</v>
      </c>
      <c r="D40" s="2">
        <f>ROUND(C40*怪物掉落!B40,0)</f>
        <v>172608</v>
      </c>
      <c r="E40" s="2"/>
      <c r="F40" s="2"/>
      <c r="G40" s="2"/>
    </row>
    <row r="41" spans="1:7" s="13" customFormat="1" ht="20.100000000000001" customHeight="1">
      <c r="A41" s="30">
        <v>40</v>
      </c>
      <c r="B41" s="2">
        <f t="shared" si="0"/>
        <v>240284</v>
      </c>
      <c r="C41" s="2">
        <f>[1]总经验表!E41</f>
        <v>1892</v>
      </c>
      <c r="D41" s="2">
        <f>ROUND(C41*怪物掉落!B41,0)</f>
        <v>240284</v>
      </c>
      <c r="E41" s="2"/>
      <c r="F41" s="2"/>
      <c r="G41" s="2"/>
    </row>
    <row r="42" spans="1:7" s="13" customFormat="1" ht="20.100000000000001" customHeight="1">
      <c r="A42" s="30">
        <v>41</v>
      </c>
      <c r="B42" s="2">
        <f t="shared" si="0"/>
        <v>255060</v>
      </c>
      <c r="C42" s="2">
        <f>[1]总经验表!E42</f>
        <v>1962</v>
      </c>
      <c r="D42" s="2">
        <f>ROUND(C42*怪物掉落!B42,0)</f>
        <v>255060</v>
      </c>
      <c r="E42" s="2"/>
      <c r="F42" s="2"/>
      <c r="G42" s="2"/>
    </row>
    <row r="43" spans="1:7" s="13" customFormat="1" ht="20.100000000000001" customHeight="1">
      <c r="A43" s="30">
        <v>42</v>
      </c>
      <c r="B43" s="2">
        <f t="shared" si="0"/>
        <v>270256</v>
      </c>
      <c r="C43" s="2">
        <f>[1]总经验表!E43</f>
        <v>2032</v>
      </c>
      <c r="D43" s="2">
        <f>ROUND(C43*怪物掉落!B43,0)</f>
        <v>270256</v>
      </c>
      <c r="E43" s="2"/>
      <c r="F43" s="2"/>
      <c r="G43" s="2"/>
    </row>
    <row r="44" spans="1:7" s="13" customFormat="1" ht="20.100000000000001" customHeight="1">
      <c r="A44" s="30">
        <v>43</v>
      </c>
      <c r="B44" s="2">
        <f t="shared" si="0"/>
        <v>285872</v>
      </c>
      <c r="C44" s="2">
        <f>[1]总经验表!E44</f>
        <v>2102</v>
      </c>
      <c r="D44" s="2">
        <f>ROUND(C44*怪物掉落!B44,0)</f>
        <v>285872</v>
      </c>
      <c r="E44" s="2"/>
      <c r="F44" s="2"/>
      <c r="G44" s="2"/>
    </row>
    <row r="45" spans="1:7" s="13" customFormat="1" ht="20.100000000000001" customHeight="1">
      <c r="A45" s="30">
        <v>44</v>
      </c>
      <c r="B45" s="2">
        <f t="shared" si="0"/>
        <v>301908</v>
      </c>
      <c r="C45" s="2">
        <f>[1]总经验表!E45</f>
        <v>2172</v>
      </c>
      <c r="D45" s="2">
        <f>ROUND(C45*怪物掉落!B45,0)</f>
        <v>301908</v>
      </c>
      <c r="E45" s="2"/>
      <c r="F45" s="2"/>
      <c r="G45" s="2"/>
    </row>
    <row r="46" spans="1:7" s="13" customFormat="1" ht="20.100000000000001" customHeight="1">
      <c r="A46" s="30">
        <v>45</v>
      </c>
      <c r="B46" s="2">
        <f t="shared" si="0"/>
        <v>318364</v>
      </c>
      <c r="C46" s="2">
        <f>[1]总经验表!E46</f>
        <v>2242</v>
      </c>
      <c r="D46" s="2">
        <f>ROUND(C46*怪物掉落!B46,0)</f>
        <v>318364</v>
      </c>
      <c r="E46" s="2"/>
      <c r="F46" s="2"/>
      <c r="G46" s="2"/>
    </row>
    <row r="47" spans="1:7" s="13" customFormat="1" ht="20.100000000000001" customHeight="1">
      <c r="A47" s="30">
        <v>46</v>
      </c>
      <c r="B47" s="2">
        <f t="shared" si="0"/>
        <v>335240</v>
      </c>
      <c r="C47" s="2">
        <f>[1]总经验表!E47</f>
        <v>2312</v>
      </c>
      <c r="D47" s="2">
        <f>ROUND(C47*怪物掉落!B47,0)</f>
        <v>335240</v>
      </c>
      <c r="E47" s="2"/>
      <c r="F47" s="2"/>
      <c r="G47" s="2"/>
    </row>
    <row r="48" spans="1:7" s="13" customFormat="1" ht="20.100000000000001" customHeight="1">
      <c r="A48" s="30">
        <v>47</v>
      </c>
      <c r="B48" s="2">
        <f t="shared" si="0"/>
        <v>352536</v>
      </c>
      <c r="C48" s="2">
        <f>[1]总经验表!E48</f>
        <v>2382</v>
      </c>
      <c r="D48" s="2">
        <f>ROUND(C48*怪物掉落!B48,0)</f>
        <v>352536</v>
      </c>
      <c r="E48" s="2"/>
      <c r="F48" s="2"/>
      <c r="G48" s="2"/>
    </row>
    <row r="49" spans="1:7" s="13" customFormat="1" ht="20.100000000000001" customHeight="1">
      <c r="A49" s="30">
        <v>48</v>
      </c>
      <c r="B49" s="2">
        <f t="shared" si="0"/>
        <v>370252</v>
      </c>
      <c r="C49" s="2">
        <f>[1]总经验表!E49</f>
        <v>2452</v>
      </c>
      <c r="D49" s="2">
        <f>ROUND(C49*怪物掉落!B49,0)</f>
        <v>370252</v>
      </c>
      <c r="E49" s="2"/>
      <c r="F49" s="2"/>
      <c r="G49" s="2"/>
    </row>
    <row r="50" spans="1:7" s="13" customFormat="1" ht="20.100000000000001" customHeight="1">
      <c r="A50" s="30">
        <v>49</v>
      </c>
      <c r="B50" s="2">
        <f t="shared" si="0"/>
        <v>388388</v>
      </c>
      <c r="C50" s="2">
        <f>[1]总经验表!E50</f>
        <v>2522</v>
      </c>
      <c r="D50" s="2">
        <f>ROUND(C50*怪物掉落!B50,0)</f>
        <v>388388</v>
      </c>
      <c r="E50" s="2"/>
      <c r="F50" s="2"/>
      <c r="G50" s="2"/>
    </row>
    <row r="51" spans="1:7" s="13" customFormat="1" ht="20.100000000000001" customHeight="1">
      <c r="A51" s="30">
        <v>50</v>
      </c>
      <c r="B51" s="2">
        <f t="shared" si="0"/>
        <v>521554</v>
      </c>
      <c r="C51" s="2">
        <f>[1]总经验表!E51</f>
        <v>3322</v>
      </c>
      <c r="D51" s="2">
        <f>ROUND(C51*怪物掉落!B51,0)</f>
        <v>521554</v>
      </c>
      <c r="E51" s="2"/>
      <c r="F51" s="2"/>
      <c r="G51" s="2"/>
    </row>
    <row r="52" spans="1:7" s="13" customFormat="1" ht="20.100000000000001" customHeight="1">
      <c r="A52" s="30">
        <v>51</v>
      </c>
      <c r="B52" s="2">
        <f t="shared" si="0"/>
        <v>544320</v>
      </c>
      <c r="C52" s="2">
        <f>[1]总经验表!E52</f>
        <v>3402</v>
      </c>
      <c r="D52" s="2">
        <f>ROUND(C52*怪物掉落!B52,0)</f>
        <v>544320</v>
      </c>
      <c r="E52" s="2"/>
      <c r="F52" s="2"/>
      <c r="G52" s="2"/>
    </row>
    <row r="53" spans="1:7" s="13" customFormat="1" ht="20.100000000000001" customHeight="1">
      <c r="A53" s="30">
        <v>52</v>
      </c>
      <c r="B53" s="2">
        <f t="shared" si="0"/>
        <v>567566</v>
      </c>
      <c r="C53" s="2">
        <f>[1]总经验表!E53</f>
        <v>3482</v>
      </c>
      <c r="D53" s="2">
        <f>ROUND(C53*怪物掉落!B53,0)</f>
        <v>567566</v>
      </c>
      <c r="E53" s="2"/>
      <c r="F53" s="2"/>
      <c r="G53" s="2"/>
    </row>
    <row r="54" spans="1:7" s="13" customFormat="1" ht="20.100000000000001" customHeight="1">
      <c r="A54" s="30">
        <v>53</v>
      </c>
      <c r="B54" s="2">
        <f t="shared" si="0"/>
        <v>591292</v>
      </c>
      <c r="C54" s="2">
        <f>[1]总经验表!E54</f>
        <v>3562</v>
      </c>
      <c r="D54" s="2">
        <f>ROUND(C54*怪物掉落!B54,0)</f>
        <v>591292</v>
      </c>
      <c r="E54" s="2"/>
      <c r="F54" s="2"/>
      <c r="G54" s="2"/>
    </row>
    <row r="55" spans="1:7" s="13" customFormat="1" ht="20.100000000000001" customHeight="1">
      <c r="A55" s="30">
        <v>54</v>
      </c>
      <c r="B55" s="2">
        <f t="shared" si="0"/>
        <v>615498</v>
      </c>
      <c r="C55" s="2">
        <f>[1]总经验表!E55</f>
        <v>3642</v>
      </c>
      <c r="D55" s="2">
        <f>ROUND(C55*怪物掉落!B55,0)</f>
        <v>615498</v>
      </c>
      <c r="E55" s="2"/>
      <c r="F55" s="2"/>
      <c r="G55" s="2"/>
    </row>
    <row r="56" spans="1:7" s="13" customFormat="1" ht="20.100000000000001" customHeight="1">
      <c r="A56" s="30">
        <v>55</v>
      </c>
      <c r="B56" s="2">
        <f t="shared" si="0"/>
        <v>640184</v>
      </c>
      <c r="C56" s="2">
        <f>[1]总经验表!E56</f>
        <v>3722</v>
      </c>
      <c r="D56" s="2">
        <f>ROUND(C56*怪物掉落!B56,0)</f>
        <v>640184</v>
      </c>
      <c r="E56" s="2"/>
      <c r="F56" s="2"/>
      <c r="G56" s="2"/>
    </row>
    <row r="57" spans="1:7" s="13" customFormat="1" ht="20.100000000000001" customHeight="1">
      <c r="A57" s="30">
        <v>56</v>
      </c>
      <c r="B57" s="2">
        <f t="shared" si="0"/>
        <v>665350</v>
      </c>
      <c r="C57" s="2">
        <f>[1]总经验表!E57</f>
        <v>3802</v>
      </c>
      <c r="D57" s="2">
        <f>ROUND(C57*怪物掉落!B57,0)</f>
        <v>665350</v>
      </c>
      <c r="E57" s="2"/>
      <c r="F57" s="2"/>
      <c r="G57" s="2"/>
    </row>
    <row r="58" spans="1:7" s="13" customFormat="1" ht="20.100000000000001" customHeight="1">
      <c r="A58" s="30">
        <v>57</v>
      </c>
      <c r="B58" s="2">
        <f t="shared" si="0"/>
        <v>690996</v>
      </c>
      <c r="C58" s="2">
        <f>[1]总经验表!E58</f>
        <v>3882</v>
      </c>
      <c r="D58" s="2">
        <f>ROUND(C58*怪物掉落!B58,0)</f>
        <v>690996</v>
      </c>
      <c r="E58" s="2"/>
      <c r="F58" s="2"/>
      <c r="G58" s="2"/>
    </row>
    <row r="59" spans="1:7" s="13" customFormat="1" ht="20.100000000000001" customHeight="1">
      <c r="A59" s="30">
        <v>58</v>
      </c>
      <c r="B59" s="2">
        <f t="shared" si="0"/>
        <v>717122</v>
      </c>
      <c r="C59" s="2">
        <f>[1]总经验表!E59</f>
        <v>3962</v>
      </c>
      <c r="D59" s="2">
        <f>ROUND(C59*怪物掉落!B59,0)</f>
        <v>717122</v>
      </c>
      <c r="E59" s="2"/>
      <c r="F59" s="2"/>
      <c r="G59" s="2"/>
    </row>
    <row r="60" spans="1:7" s="13" customFormat="1" ht="20.100000000000001" customHeight="1">
      <c r="A60" s="30">
        <v>59</v>
      </c>
      <c r="B60" s="2">
        <f t="shared" si="0"/>
        <v>743728</v>
      </c>
      <c r="C60" s="2">
        <f>[1]总经验表!E60</f>
        <v>4042</v>
      </c>
      <c r="D60" s="2">
        <f>ROUND(C60*怪物掉落!B60,0)</f>
        <v>743728</v>
      </c>
      <c r="E60" s="2"/>
      <c r="F60" s="2"/>
      <c r="G60" s="2"/>
    </row>
    <row r="61" spans="1:7" s="13" customFormat="1" ht="20.100000000000001" customHeight="1">
      <c r="A61" s="30">
        <v>60</v>
      </c>
      <c r="B61" s="2">
        <f t="shared" si="0"/>
        <v>942854</v>
      </c>
      <c r="C61" s="2">
        <f>[1]总经验表!E61</f>
        <v>5042</v>
      </c>
      <c r="D61" s="2">
        <f>ROUND(C61*怪物掉落!B61,0)</f>
        <v>942854</v>
      </c>
      <c r="E61" s="2"/>
      <c r="F61" s="2"/>
      <c r="G61" s="2"/>
    </row>
    <row r="62" spans="1:7" s="13" customFormat="1" ht="20.100000000000001" customHeight="1">
      <c r="A62" s="30">
        <v>61</v>
      </c>
      <c r="B62" s="2">
        <f t="shared" si="0"/>
        <v>976980</v>
      </c>
      <c r="C62" s="2">
        <f>[1]总经验表!E62</f>
        <v>5142</v>
      </c>
      <c r="D62" s="2">
        <f>ROUND(C62*怪物掉落!B62,0)</f>
        <v>976980</v>
      </c>
      <c r="E62" s="2"/>
      <c r="F62" s="2"/>
      <c r="G62" s="2"/>
    </row>
    <row r="63" spans="1:7" s="13" customFormat="1" ht="20.100000000000001" customHeight="1">
      <c r="A63" s="30">
        <v>62</v>
      </c>
      <c r="B63" s="2">
        <f t="shared" si="0"/>
        <v>1011706</v>
      </c>
      <c r="C63" s="2">
        <f>[1]总经验表!E63</f>
        <v>5242</v>
      </c>
      <c r="D63" s="2">
        <f>ROUND(C63*怪物掉落!B63,0)</f>
        <v>1011706</v>
      </c>
      <c r="E63" s="2"/>
      <c r="F63" s="2"/>
      <c r="G63" s="2"/>
    </row>
    <row r="64" spans="1:7" s="13" customFormat="1" ht="20.100000000000001" customHeight="1">
      <c r="A64" s="30">
        <v>63</v>
      </c>
      <c r="B64" s="2">
        <f t="shared" si="0"/>
        <v>1047032</v>
      </c>
      <c r="C64" s="2">
        <f>[1]总经验表!E64</f>
        <v>5342</v>
      </c>
      <c r="D64" s="2">
        <f>ROUND(C64*怪物掉落!B64,0)</f>
        <v>1047032</v>
      </c>
      <c r="E64" s="2"/>
      <c r="F64" s="2"/>
      <c r="G64" s="2"/>
    </row>
    <row r="65" spans="1:7" s="13" customFormat="1" ht="20.100000000000001" customHeight="1">
      <c r="A65" s="30">
        <v>64</v>
      </c>
      <c r="B65" s="2">
        <f t="shared" si="0"/>
        <v>1082958</v>
      </c>
      <c r="C65" s="2">
        <f>[1]总经验表!E65</f>
        <v>5442</v>
      </c>
      <c r="D65" s="2">
        <f>ROUND(C65*怪物掉落!B65,0)</f>
        <v>1082958</v>
      </c>
      <c r="E65" s="2"/>
      <c r="F65" s="2"/>
      <c r="G65" s="2"/>
    </row>
    <row r="66" spans="1:7" s="13" customFormat="1" ht="20.100000000000001" customHeight="1">
      <c r="A66" s="30">
        <v>65</v>
      </c>
      <c r="B66" s="2">
        <f t="shared" si="0"/>
        <v>1119484</v>
      </c>
      <c r="C66" s="2">
        <f>[1]总经验表!E66</f>
        <v>5542</v>
      </c>
      <c r="D66" s="2">
        <f>ROUND(C66*怪物掉落!B66,0)</f>
        <v>1119484</v>
      </c>
      <c r="E66" s="2"/>
      <c r="F66" s="2"/>
      <c r="G66" s="2"/>
    </row>
  </sheetData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4"/>
  <dimension ref="A1:K200"/>
  <sheetViews>
    <sheetView workbookViewId="0">
      <selection activeCell="I25" sqref="I25"/>
    </sheetView>
  </sheetViews>
  <sheetFormatPr defaultRowHeight="13.5"/>
  <cols>
    <col min="1" max="1" width="9" style="6"/>
    <col min="8" max="8" width="9" style="17"/>
    <col min="9" max="9" width="9" style="5"/>
  </cols>
  <sheetData>
    <row r="1" spans="1:11" s="12" customFormat="1" ht="20.100000000000001" customHeight="1">
      <c r="A1" s="11" t="s">
        <v>67</v>
      </c>
      <c r="B1" s="12" t="s">
        <v>68</v>
      </c>
      <c r="C1" s="14" t="s">
        <v>66</v>
      </c>
      <c r="H1" s="11" t="s">
        <v>69</v>
      </c>
      <c r="I1" s="14" t="s">
        <v>66</v>
      </c>
      <c r="J1" s="14" t="s">
        <v>347</v>
      </c>
    </row>
    <row r="2" spans="1:11" s="12" customFormat="1" ht="20.100000000000001" customHeight="1">
      <c r="A2" s="11">
        <v>1</v>
      </c>
      <c r="B2" s="14">
        <f>LOOKUP(A2,'[3]挂机经验收益(废弃)'!$A$2:$A$66,'[3]挂机经验收益(废弃)'!$B$2:$B$66)</f>
        <v>1</v>
      </c>
      <c r="C2" s="11">
        <f>LOOKUP(A2,[3]总经验表!$A$2:$A$66,[3]总经验表!$F$2:$F$66)</f>
        <v>1.2500000000000001E-2</v>
      </c>
      <c r="H2" s="11">
        <v>1</v>
      </c>
      <c r="I2" s="11">
        <f>SUMIF($B$2:$B$66,"="&amp;H2,$C$2:$C$66)</f>
        <v>0.50750000000000006</v>
      </c>
      <c r="J2" s="14">
        <v>0.2</v>
      </c>
      <c r="K2" s="14">
        <f>LOOKUP(H2,B2:B66,A2:A66)</f>
        <v>10</v>
      </c>
    </row>
    <row r="3" spans="1:11" s="12" customFormat="1" ht="20.100000000000001" customHeight="1">
      <c r="A3" s="11">
        <v>2</v>
      </c>
      <c r="B3" s="14">
        <f>LOOKUP(A3,'[3]挂机经验收益(废弃)'!$A$2:$A$66,'[3]挂机经验收益(废弃)'!$B$2:$B$66)</f>
        <v>1</v>
      </c>
      <c r="C3" s="11">
        <f>LOOKUP(A3,[3]总经验表!$A$2:$A$66,[3]总经验表!$F$2:$F$66)</f>
        <v>1.4999999999999999E-2</v>
      </c>
      <c r="H3" s="11">
        <v>2</v>
      </c>
      <c r="I3" s="11">
        <f t="shared" ref="I3:I26" si="0">SUMIF($B$2:$B$66,"="&amp;H3,$C$2:$C$66)</f>
        <v>0.74999999999999989</v>
      </c>
      <c r="J3" s="14">
        <v>0.4</v>
      </c>
      <c r="K3" s="14">
        <f t="shared" ref="K3:K26" si="1">LOOKUP(H3,B3:B67,A3:A67)</f>
        <v>14</v>
      </c>
    </row>
    <row r="4" spans="1:11" s="12" customFormat="1" ht="20.100000000000001" customHeight="1">
      <c r="A4" s="11">
        <v>3</v>
      </c>
      <c r="B4" s="14">
        <f>LOOKUP(A4,'[3]挂机经验收益(废弃)'!$A$2:$A$66,'[3]挂机经验收益(废弃)'!$B$2:$B$66)</f>
        <v>1</v>
      </c>
      <c r="C4" s="11">
        <f>LOOKUP(A4,[3]总经验表!$A$2:$A$66,[3]总经验表!$F$2:$F$66)</f>
        <v>5.0000000000000001E-3</v>
      </c>
      <c r="H4" s="11">
        <v>3</v>
      </c>
      <c r="I4" s="11">
        <f t="shared" si="0"/>
        <v>0.52500000000000002</v>
      </c>
      <c r="J4" s="14">
        <v>0.6</v>
      </c>
      <c r="K4" s="14">
        <f t="shared" si="1"/>
        <v>16</v>
      </c>
    </row>
    <row r="5" spans="1:11" s="12" customFormat="1" ht="20.100000000000001" customHeight="1">
      <c r="A5" s="11">
        <v>4</v>
      </c>
      <c r="B5" s="14">
        <v>1</v>
      </c>
      <c r="C5" s="11">
        <f>LOOKUP(A5,[3]总经验表!$A$2:$A$66,[3]总经验表!$F$2:$F$66)</f>
        <v>2.5000000000000001E-2</v>
      </c>
      <c r="H5" s="11">
        <v>4</v>
      </c>
      <c r="I5" s="11">
        <f t="shared" si="0"/>
        <v>0.97499999999999998</v>
      </c>
      <c r="J5" s="14">
        <v>0.7</v>
      </c>
      <c r="K5" s="14">
        <f t="shared" si="1"/>
        <v>19</v>
      </c>
    </row>
    <row r="6" spans="1:11" s="12" customFormat="1" ht="20.100000000000001" customHeight="1">
      <c r="A6" s="11">
        <v>5</v>
      </c>
      <c r="B6" s="14">
        <v>1</v>
      </c>
      <c r="C6" s="11">
        <f>LOOKUP(A6,[3]总经验表!$A$2:$A$66,[3]总经验表!$F$2:$F$66)</f>
        <v>3.7499999999999999E-2</v>
      </c>
      <c r="H6" s="11">
        <v>5</v>
      </c>
      <c r="I6" s="11">
        <f t="shared" si="0"/>
        <v>0.77500000000000002</v>
      </c>
      <c r="J6" s="14">
        <v>0.77500000000000002</v>
      </c>
      <c r="K6" s="14">
        <f t="shared" si="1"/>
        <v>21</v>
      </c>
    </row>
    <row r="7" spans="1:11" s="12" customFormat="1" ht="20.100000000000001" customHeight="1">
      <c r="A7" s="11">
        <v>6</v>
      </c>
      <c r="B7" s="14">
        <v>1</v>
      </c>
      <c r="C7" s="11">
        <f>LOOKUP(A7,[3]总经验表!$A$2:$A$66,[3]总经验表!$F$2:$F$66)</f>
        <v>0.05</v>
      </c>
      <c r="H7" s="11">
        <v>6</v>
      </c>
      <c r="I7" s="11">
        <f t="shared" si="0"/>
        <v>0.875</v>
      </c>
      <c r="J7" s="14">
        <v>0.875</v>
      </c>
      <c r="K7" s="14">
        <f t="shared" si="1"/>
        <v>23</v>
      </c>
    </row>
    <row r="8" spans="1:11" s="12" customFormat="1" ht="20.100000000000001" customHeight="1">
      <c r="A8" s="11">
        <v>7</v>
      </c>
      <c r="B8" s="14">
        <v>1</v>
      </c>
      <c r="C8" s="11">
        <f>LOOKUP(A8,[3]总经验表!$A$2:$A$66,[3]总经验表!$F$2:$F$66)</f>
        <v>6.25E-2</v>
      </c>
      <c r="H8" s="11">
        <v>7</v>
      </c>
      <c r="I8" s="11">
        <f t="shared" si="0"/>
        <v>0.97499999999999998</v>
      </c>
      <c r="J8" s="14">
        <v>0.97499999999999998</v>
      </c>
      <c r="K8" s="14">
        <f t="shared" si="1"/>
        <v>25</v>
      </c>
    </row>
    <row r="9" spans="1:11" s="12" customFormat="1" ht="20.100000000000001" customHeight="1">
      <c r="A9" s="11">
        <v>8</v>
      </c>
      <c r="B9" s="14">
        <v>1</v>
      </c>
      <c r="C9" s="11">
        <f>LOOKUP(A9,[3]总经验表!$A$2:$A$66,[3]总经验表!$F$2:$F$66)</f>
        <v>7.4999999999999997E-2</v>
      </c>
      <c r="H9" s="11">
        <v>8</v>
      </c>
      <c r="I9" s="11">
        <f t="shared" si="0"/>
        <v>1.0750000000000002</v>
      </c>
      <c r="J9" s="14">
        <v>1.0750000000000002</v>
      </c>
      <c r="K9" s="14">
        <f t="shared" si="1"/>
        <v>27</v>
      </c>
    </row>
    <row r="10" spans="1:11" s="12" customFormat="1" ht="20.100000000000001" customHeight="1">
      <c r="A10" s="11">
        <v>9</v>
      </c>
      <c r="B10" s="14">
        <v>1</v>
      </c>
      <c r="C10" s="11">
        <f>LOOKUP(A10,[3]总经验表!$A$2:$A$66,[3]总经验表!$F$2:$F$66)</f>
        <v>0.1</v>
      </c>
      <c r="H10" s="11">
        <v>9</v>
      </c>
      <c r="I10" s="11">
        <f t="shared" si="0"/>
        <v>1.1749999999999998</v>
      </c>
      <c r="J10" s="14">
        <v>1.1749999999999998</v>
      </c>
      <c r="K10" s="14">
        <f t="shared" si="1"/>
        <v>29</v>
      </c>
    </row>
    <row r="11" spans="1:11" s="12" customFormat="1" ht="20.100000000000001" customHeight="1">
      <c r="A11" s="11">
        <v>10</v>
      </c>
      <c r="B11" s="14">
        <v>1</v>
      </c>
      <c r="C11" s="11">
        <f>LOOKUP(A11,[3]总经验表!$A$2:$A$66,[3]总经验表!$F$2:$F$66)</f>
        <v>0.125</v>
      </c>
      <c r="H11" s="11">
        <v>10</v>
      </c>
      <c r="I11" s="11">
        <f t="shared" si="0"/>
        <v>1.2749999999999999</v>
      </c>
      <c r="J11" s="14">
        <v>1.2749999999999999</v>
      </c>
      <c r="K11" s="14">
        <f t="shared" si="1"/>
        <v>31</v>
      </c>
    </row>
    <row r="12" spans="1:11" s="12" customFormat="1" ht="20.100000000000001" customHeight="1">
      <c r="A12" s="11">
        <v>11</v>
      </c>
      <c r="B12" s="14">
        <v>2</v>
      </c>
      <c r="C12" s="11">
        <f>LOOKUP(A12,[3]总经验表!$A$2:$A$66,[3]总经验表!$F$2:$F$66)</f>
        <v>0.15</v>
      </c>
      <c r="H12" s="11">
        <v>11</v>
      </c>
      <c r="I12" s="11">
        <f t="shared" si="0"/>
        <v>1.375</v>
      </c>
      <c r="J12" s="14">
        <v>1.375</v>
      </c>
      <c r="K12" s="14">
        <f t="shared" si="1"/>
        <v>33</v>
      </c>
    </row>
    <row r="13" spans="1:11" s="12" customFormat="1" ht="20.100000000000001" customHeight="1">
      <c r="A13" s="11">
        <v>12</v>
      </c>
      <c r="B13" s="14">
        <v>2</v>
      </c>
      <c r="C13" s="11">
        <f>LOOKUP(A13,[3]总经验表!$A$2:$A$66,[3]总经验表!$F$2:$F$66)</f>
        <v>0.17499999999999999</v>
      </c>
      <c r="H13" s="11">
        <v>12</v>
      </c>
      <c r="I13" s="11">
        <f t="shared" si="0"/>
        <v>1.4750000000000001</v>
      </c>
      <c r="J13" s="14">
        <v>1.4750000000000001</v>
      </c>
      <c r="K13" s="14">
        <f t="shared" si="1"/>
        <v>35</v>
      </c>
    </row>
    <row r="14" spans="1:11" s="12" customFormat="1" ht="20.100000000000001" customHeight="1">
      <c r="A14" s="11">
        <v>13</v>
      </c>
      <c r="B14" s="14">
        <v>2</v>
      </c>
      <c r="C14" s="11">
        <f>LOOKUP(A14,[3]总经验表!$A$2:$A$66,[3]总经验表!$F$2:$F$66)</f>
        <v>0.2</v>
      </c>
      <c r="H14" s="11">
        <v>13</v>
      </c>
      <c r="I14" s="11">
        <f t="shared" si="0"/>
        <v>1.5750000000000002</v>
      </c>
      <c r="J14" s="14">
        <v>1.5750000000000002</v>
      </c>
      <c r="K14" s="14">
        <f t="shared" si="1"/>
        <v>37</v>
      </c>
    </row>
    <row r="15" spans="1:11" s="12" customFormat="1" ht="20.100000000000001" customHeight="1">
      <c r="A15" s="11">
        <v>14</v>
      </c>
      <c r="B15" s="14">
        <v>2</v>
      </c>
      <c r="C15" s="11">
        <f>LOOKUP(A15,[3]总经验表!$A$2:$A$66,[3]总经验表!$F$2:$F$66)</f>
        <v>0.22500000000000001</v>
      </c>
      <c r="H15" s="11">
        <v>14</v>
      </c>
      <c r="I15" s="11">
        <f t="shared" si="0"/>
        <v>1.6749999999999998</v>
      </c>
      <c r="J15" s="14">
        <v>1.6749999999999998</v>
      </c>
      <c r="K15" s="14">
        <f t="shared" si="1"/>
        <v>39</v>
      </c>
    </row>
    <row r="16" spans="1:11" s="12" customFormat="1" ht="20.100000000000001" customHeight="1">
      <c r="A16" s="11">
        <v>15</v>
      </c>
      <c r="B16" s="14">
        <v>3</v>
      </c>
      <c r="C16" s="11">
        <f>LOOKUP(A16,[3]总经验表!$A$2:$A$66,[3]总经验表!$F$2:$F$66)</f>
        <v>0.25</v>
      </c>
      <c r="H16" s="11">
        <v>15</v>
      </c>
      <c r="I16" s="11">
        <f t="shared" si="0"/>
        <v>1.7749999999999999</v>
      </c>
      <c r="J16" s="14">
        <v>1.7749999999999999</v>
      </c>
      <c r="K16" s="14">
        <f t="shared" si="1"/>
        <v>41</v>
      </c>
    </row>
    <row r="17" spans="1:11" s="12" customFormat="1" ht="20.100000000000001" customHeight="1">
      <c r="A17" s="11">
        <v>16</v>
      </c>
      <c r="B17" s="14">
        <v>3</v>
      </c>
      <c r="C17" s="11">
        <f>LOOKUP(A17,[3]总经验表!$A$2:$A$66,[3]总经验表!$F$2:$F$66)</f>
        <v>0.27500000000000002</v>
      </c>
      <c r="H17" s="11">
        <v>16</v>
      </c>
      <c r="I17" s="11">
        <f t="shared" si="0"/>
        <v>1.875</v>
      </c>
      <c r="J17" s="14">
        <v>1.875</v>
      </c>
      <c r="K17" s="14">
        <f t="shared" si="1"/>
        <v>43</v>
      </c>
    </row>
    <row r="18" spans="1:11" s="12" customFormat="1" ht="20.100000000000001" customHeight="1">
      <c r="A18" s="11">
        <v>17</v>
      </c>
      <c r="B18" s="14">
        <v>4</v>
      </c>
      <c r="C18" s="11">
        <f>LOOKUP(A18,[3]总经验表!$A$2:$A$66,[3]总经验表!$F$2:$F$66)</f>
        <v>0.3</v>
      </c>
      <c r="H18" s="11">
        <v>17</v>
      </c>
      <c r="I18" s="11">
        <f t="shared" si="0"/>
        <v>1.9750000000000001</v>
      </c>
      <c r="J18" s="14">
        <v>1.9750000000000001</v>
      </c>
      <c r="K18" s="14">
        <f t="shared" si="1"/>
        <v>45</v>
      </c>
    </row>
    <row r="19" spans="1:11" s="12" customFormat="1" ht="20.100000000000001" customHeight="1">
      <c r="A19" s="11">
        <v>18</v>
      </c>
      <c r="B19" s="14">
        <v>4</v>
      </c>
      <c r="C19" s="11">
        <f>LOOKUP(A19,[3]总经验表!$A$2:$A$66,[3]总经验表!$F$2:$F$66)</f>
        <v>0.32500000000000001</v>
      </c>
      <c r="H19" s="11">
        <v>18</v>
      </c>
      <c r="I19" s="11">
        <f t="shared" si="0"/>
        <v>2.0750000000000002</v>
      </c>
      <c r="J19" s="14">
        <v>2.0750000000000002</v>
      </c>
      <c r="K19" s="14">
        <f t="shared" si="1"/>
        <v>47</v>
      </c>
    </row>
    <row r="20" spans="1:11" s="12" customFormat="1" ht="20.100000000000001" customHeight="1">
      <c r="A20" s="11">
        <v>19</v>
      </c>
      <c r="B20" s="14">
        <v>4</v>
      </c>
      <c r="C20" s="11">
        <f>LOOKUP(A20,[3]总经验表!$A$2:$A$66,[3]总经验表!$F$2:$F$66)</f>
        <v>0.35</v>
      </c>
      <c r="H20" s="11">
        <v>19</v>
      </c>
      <c r="I20" s="11">
        <f t="shared" si="0"/>
        <v>2.1749999999999998</v>
      </c>
      <c r="J20" s="14">
        <v>2.1749999999999998</v>
      </c>
      <c r="K20" s="14">
        <f t="shared" si="1"/>
        <v>49</v>
      </c>
    </row>
    <row r="21" spans="1:11" s="12" customFormat="1" ht="20.100000000000001" customHeight="1">
      <c r="A21" s="11">
        <v>20</v>
      </c>
      <c r="B21" s="14">
        <f>B19+1</f>
        <v>5</v>
      </c>
      <c r="C21" s="11">
        <f>LOOKUP(A21,[3]总经验表!$A$2:$A$66,[3]总经验表!$F$2:$F$66)</f>
        <v>0.375</v>
      </c>
      <c r="H21" s="11">
        <v>20</v>
      </c>
      <c r="I21" s="11">
        <f t="shared" si="0"/>
        <v>2.2749999999999999</v>
      </c>
      <c r="J21" s="14">
        <v>2.2749999999999999</v>
      </c>
      <c r="K21" s="14">
        <f t="shared" si="1"/>
        <v>51</v>
      </c>
    </row>
    <row r="22" spans="1:11" s="12" customFormat="1" ht="20.100000000000001" customHeight="1">
      <c r="A22" s="11">
        <v>21</v>
      </c>
      <c r="B22" s="14">
        <f t="shared" ref="B22:B62" si="2">B20+1</f>
        <v>5</v>
      </c>
      <c r="C22" s="11">
        <f>LOOKUP(A22,[3]总经验表!$A$2:$A$66,[3]总经验表!$F$2:$F$66)</f>
        <v>0.4</v>
      </c>
      <c r="H22" s="11">
        <v>21</v>
      </c>
      <c r="I22" s="11">
        <f t="shared" si="0"/>
        <v>2.375</v>
      </c>
      <c r="J22" s="14">
        <v>2.375</v>
      </c>
      <c r="K22" s="14">
        <f t="shared" si="1"/>
        <v>53</v>
      </c>
    </row>
    <row r="23" spans="1:11" s="12" customFormat="1" ht="20.100000000000001" customHeight="1">
      <c r="A23" s="11">
        <v>22</v>
      </c>
      <c r="B23" s="14">
        <f t="shared" si="2"/>
        <v>6</v>
      </c>
      <c r="C23" s="11">
        <f>LOOKUP(A23,[3]总经验表!$A$2:$A$66,[3]总经验表!$F$2:$F$66)</f>
        <v>0.42499999999999999</v>
      </c>
      <c r="H23" s="11">
        <v>22</v>
      </c>
      <c r="I23" s="11">
        <f t="shared" si="0"/>
        <v>2.4750000000000001</v>
      </c>
      <c r="J23" s="14">
        <v>2.4750000000000001</v>
      </c>
      <c r="K23" s="14">
        <f t="shared" si="1"/>
        <v>55</v>
      </c>
    </row>
    <row r="24" spans="1:11" s="12" customFormat="1" ht="20.100000000000001" customHeight="1">
      <c r="A24" s="11">
        <v>23</v>
      </c>
      <c r="B24" s="14">
        <f t="shared" si="2"/>
        <v>6</v>
      </c>
      <c r="C24" s="11">
        <f>LOOKUP(A24,[3]总经验表!$A$2:$A$66,[3]总经验表!$F$2:$F$66)</f>
        <v>0.45</v>
      </c>
      <c r="H24" s="11">
        <v>23</v>
      </c>
      <c r="I24" s="11">
        <f t="shared" si="0"/>
        <v>2.5750000000000002</v>
      </c>
      <c r="J24" s="14">
        <v>2.5750000000000002</v>
      </c>
      <c r="K24" s="14">
        <f t="shared" si="1"/>
        <v>57</v>
      </c>
    </row>
    <row r="25" spans="1:11" s="12" customFormat="1" ht="20.100000000000001" customHeight="1">
      <c r="A25" s="11">
        <v>24</v>
      </c>
      <c r="B25" s="14">
        <f t="shared" si="2"/>
        <v>7</v>
      </c>
      <c r="C25" s="11">
        <f>LOOKUP(A25,[3]总经验表!$A$2:$A$66,[3]总经验表!$F$2:$F$66)</f>
        <v>0.47499999999999998</v>
      </c>
      <c r="H25" s="11">
        <v>24</v>
      </c>
      <c r="I25" s="11">
        <f t="shared" si="0"/>
        <v>2.6749999999999998</v>
      </c>
      <c r="J25" s="14">
        <v>2.6749999999999998</v>
      </c>
      <c r="K25" s="14">
        <f t="shared" si="1"/>
        <v>59</v>
      </c>
    </row>
    <row r="26" spans="1:11" s="12" customFormat="1" ht="20.100000000000001" customHeight="1">
      <c r="A26" s="11">
        <v>25</v>
      </c>
      <c r="B26" s="14">
        <f t="shared" si="2"/>
        <v>7</v>
      </c>
      <c r="C26" s="11">
        <f>LOOKUP(A26,[3]总经验表!$A$2:$A$66,[3]总经验表!$F$2:$F$66)</f>
        <v>0.5</v>
      </c>
      <c r="H26" s="11">
        <v>25</v>
      </c>
      <c r="I26" s="11">
        <f t="shared" si="0"/>
        <v>8.625</v>
      </c>
      <c r="J26" s="14">
        <v>8.625</v>
      </c>
      <c r="K26" s="14">
        <f t="shared" si="1"/>
        <v>65</v>
      </c>
    </row>
    <row r="27" spans="1:11" s="12" customFormat="1" ht="20.100000000000001" customHeight="1">
      <c r="A27" s="11">
        <v>26</v>
      </c>
      <c r="B27" s="14">
        <f t="shared" si="2"/>
        <v>8</v>
      </c>
      <c r="C27" s="11">
        <f>LOOKUP(A27,[3]总经验表!$A$2:$A$66,[3]总经验表!$F$2:$F$66)</f>
        <v>0.52500000000000002</v>
      </c>
      <c r="H27" s="11"/>
      <c r="I27" s="11"/>
    </row>
    <row r="28" spans="1:11" s="12" customFormat="1" ht="20.100000000000001" customHeight="1">
      <c r="A28" s="11">
        <v>27</v>
      </c>
      <c r="B28" s="14">
        <f t="shared" si="2"/>
        <v>8</v>
      </c>
      <c r="C28" s="11">
        <f>LOOKUP(A28,[3]总经验表!$A$2:$A$66,[3]总经验表!$F$2:$F$66)</f>
        <v>0.55000000000000004</v>
      </c>
      <c r="H28" s="11"/>
      <c r="I28" s="11"/>
    </row>
    <row r="29" spans="1:11" s="12" customFormat="1" ht="20.100000000000001" customHeight="1">
      <c r="A29" s="11">
        <v>28</v>
      </c>
      <c r="B29" s="14">
        <f t="shared" si="2"/>
        <v>9</v>
      </c>
      <c r="C29" s="11">
        <f>LOOKUP(A29,[3]总经验表!$A$2:$A$66,[3]总经验表!$F$2:$F$66)</f>
        <v>0.57499999999999996</v>
      </c>
      <c r="H29" s="11"/>
    </row>
    <row r="30" spans="1:11" s="12" customFormat="1" ht="20.100000000000001" customHeight="1">
      <c r="A30" s="11">
        <v>29</v>
      </c>
      <c r="B30" s="14">
        <f t="shared" si="2"/>
        <v>9</v>
      </c>
      <c r="C30" s="11">
        <f>LOOKUP(A30,[3]总经验表!$A$2:$A$66,[3]总经验表!$F$2:$F$66)</f>
        <v>0.6</v>
      </c>
      <c r="H30" s="11"/>
    </row>
    <row r="31" spans="1:11" s="12" customFormat="1" ht="20.100000000000001" customHeight="1">
      <c r="A31" s="11">
        <v>30</v>
      </c>
      <c r="B31" s="14">
        <f t="shared" si="2"/>
        <v>10</v>
      </c>
      <c r="C31" s="11">
        <f>LOOKUP(A31,[3]总经验表!$A$2:$A$66,[3]总经验表!$F$2:$F$66)</f>
        <v>0.625</v>
      </c>
      <c r="H31" s="11"/>
    </row>
    <row r="32" spans="1:11" s="12" customFormat="1" ht="20.100000000000001" customHeight="1">
      <c r="A32" s="11">
        <v>31</v>
      </c>
      <c r="B32" s="14">
        <f t="shared" si="2"/>
        <v>10</v>
      </c>
      <c r="C32" s="11">
        <f>LOOKUP(A32,[3]总经验表!$A$2:$A$66,[3]总经验表!$F$2:$F$66)</f>
        <v>0.65</v>
      </c>
      <c r="H32" s="11"/>
    </row>
    <row r="33" spans="1:8" s="12" customFormat="1" ht="20.100000000000001" customHeight="1">
      <c r="A33" s="11">
        <v>32</v>
      </c>
      <c r="B33" s="14">
        <f t="shared" si="2"/>
        <v>11</v>
      </c>
      <c r="C33" s="11">
        <f>LOOKUP(A33,[3]总经验表!$A$2:$A$66,[3]总经验表!$F$2:$F$66)</f>
        <v>0.67500000000000004</v>
      </c>
      <c r="H33" s="11"/>
    </row>
    <row r="34" spans="1:8" s="12" customFormat="1" ht="20.100000000000001" customHeight="1">
      <c r="A34" s="11">
        <v>33</v>
      </c>
      <c r="B34" s="14">
        <f t="shared" si="2"/>
        <v>11</v>
      </c>
      <c r="C34" s="11">
        <f>LOOKUP(A34,[3]总经验表!$A$2:$A$66,[3]总经验表!$F$2:$F$66)</f>
        <v>0.7</v>
      </c>
      <c r="H34" s="11"/>
    </row>
    <row r="35" spans="1:8" s="12" customFormat="1" ht="20.100000000000001" customHeight="1">
      <c r="A35" s="11">
        <v>34</v>
      </c>
      <c r="B35" s="14">
        <f t="shared" si="2"/>
        <v>12</v>
      </c>
      <c r="C35" s="11">
        <f>LOOKUP(A35,[3]总经验表!$A$2:$A$66,[3]总经验表!$F$2:$F$66)</f>
        <v>0.72499999999999998</v>
      </c>
      <c r="H35" s="11"/>
    </row>
    <row r="36" spans="1:8" s="12" customFormat="1" ht="20.100000000000001" customHeight="1">
      <c r="A36" s="11">
        <v>35</v>
      </c>
      <c r="B36" s="14">
        <f t="shared" si="2"/>
        <v>12</v>
      </c>
      <c r="C36" s="11">
        <f>LOOKUP(A36,[3]总经验表!$A$2:$A$66,[3]总经验表!$F$2:$F$66)</f>
        <v>0.75</v>
      </c>
      <c r="H36" s="11"/>
    </row>
    <row r="37" spans="1:8" s="12" customFormat="1" ht="20.100000000000001" customHeight="1">
      <c r="A37" s="11">
        <v>36</v>
      </c>
      <c r="B37" s="14">
        <f t="shared" si="2"/>
        <v>13</v>
      </c>
      <c r="C37" s="11">
        <f>LOOKUP(A37,[3]总经验表!$A$2:$A$66,[3]总经验表!$F$2:$F$66)</f>
        <v>0.77500000000000002</v>
      </c>
      <c r="H37" s="11"/>
    </row>
    <row r="38" spans="1:8" s="12" customFormat="1" ht="20.100000000000001" customHeight="1">
      <c r="A38" s="11">
        <v>37</v>
      </c>
      <c r="B38" s="14">
        <f t="shared" si="2"/>
        <v>13</v>
      </c>
      <c r="C38" s="11">
        <f>LOOKUP(A38,[3]总经验表!$A$2:$A$66,[3]总经验表!$F$2:$F$66)</f>
        <v>0.8</v>
      </c>
      <c r="H38" s="11"/>
    </row>
    <row r="39" spans="1:8" s="12" customFormat="1" ht="20.100000000000001" customHeight="1">
      <c r="A39" s="11">
        <v>38</v>
      </c>
      <c r="B39" s="14">
        <f t="shared" si="2"/>
        <v>14</v>
      </c>
      <c r="C39" s="11">
        <f>LOOKUP(A39,[3]总经验表!$A$2:$A$66,[3]总经验表!$F$2:$F$66)</f>
        <v>0.82499999999999996</v>
      </c>
      <c r="H39" s="11"/>
    </row>
    <row r="40" spans="1:8" s="12" customFormat="1" ht="20.100000000000001" customHeight="1">
      <c r="A40" s="11">
        <v>39</v>
      </c>
      <c r="B40" s="14">
        <f t="shared" si="2"/>
        <v>14</v>
      </c>
      <c r="C40" s="11">
        <f>LOOKUP(A40,[3]总经验表!$A$2:$A$66,[3]总经验表!$F$2:$F$66)</f>
        <v>0.85</v>
      </c>
      <c r="H40" s="11"/>
    </row>
    <row r="41" spans="1:8" s="12" customFormat="1" ht="20.100000000000001" customHeight="1">
      <c r="A41" s="11">
        <v>40</v>
      </c>
      <c r="B41" s="14">
        <f t="shared" si="2"/>
        <v>15</v>
      </c>
      <c r="C41" s="11">
        <f>LOOKUP(A41,[3]总经验表!$A$2:$A$66,[3]总经验表!$F$2:$F$66)</f>
        <v>0.875</v>
      </c>
      <c r="H41" s="11"/>
    </row>
    <row r="42" spans="1:8" s="12" customFormat="1" ht="20.100000000000001" customHeight="1">
      <c r="A42" s="11">
        <v>41</v>
      </c>
      <c r="B42" s="14">
        <f t="shared" si="2"/>
        <v>15</v>
      </c>
      <c r="C42" s="11">
        <f>LOOKUP(A42,[3]总经验表!$A$2:$A$66,[3]总经验表!$F$2:$F$66)</f>
        <v>0.9</v>
      </c>
      <c r="H42" s="11"/>
    </row>
    <row r="43" spans="1:8" s="12" customFormat="1" ht="20.100000000000001" customHeight="1">
      <c r="A43" s="11">
        <v>42</v>
      </c>
      <c r="B43" s="14">
        <f t="shared" si="2"/>
        <v>16</v>
      </c>
      <c r="C43" s="11">
        <f>LOOKUP(A43,[3]总经验表!$A$2:$A$66,[3]总经验表!$F$2:$F$66)</f>
        <v>0.92500000000000004</v>
      </c>
      <c r="H43" s="11"/>
    </row>
    <row r="44" spans="1:8" s="12" customFormat="1" ht="20.100000000000001" customHeight="1">
      <c r="A44" s="11">
        <v>43</v>
      </c>
      <c r="B44" s="14">
        <f t="shared" si="2"/>
        <v>16</v>
      </c>
      <c r="C44" s="11">
        <f>LOOKUP(A44,[3]总经验表!$A$2:$A$66,[3]总经验表!$F$2:$F$66)</f>
        <v>0.95</v>
      </c>
      <c r="H44" s="11"/>
    </row>
    <row r="45" spans="1:8" s="12" customFormat="1" ht="20.100000000000001" customHeight="1">
      <c r="A45" s="11">
        <v>44</v>
      </c>
      <c r="B45" s="14">
        <f t="shared" si="2"/>
        <v>17</v>
      </c>
      <c r="C45" s="11">
        <f>LOOKUP(A45,[3]总经验表!$A$2:$A$66,[3]总经验表!$F$2:$F$66)</f>
        <v>0.97499999999999998</v>
      </c>
      <c r="H45" s="11"/>
    </row>
    <row r="46" spans="1:8" s="12" customFormat="1" ht="20.100000000000001" customHeight="1">
      <c r="A46" s="11">
        <v>45</v>
      </c>
      <c r="B46" s="14">
        <f t="shared" si="2"/>
        <v>17</v>
      </c>
      <c r="C46" s="11">
        <f>LOOKUP(A46,[3]总经验表!$A$2:$A$66,[3]总经验表!$F$2:$F$66)</f>
        <v>1</v>
      </c>
      <c r="H46" s="11"/>
    </row>
    <row r="47" spans="1:8" s="12" customFormat="1" ht="20.100000000000001" customHeight="1">
      <c r="A47" s="11">
        <v>46</v>
      </c>
      <c r="B47" s="14">
        <f t="shared" si="2"/>
        <v>18</v>
      </c>
      <c r="C47" s="11">
        <f>LOOKUP(A47,[3]总经验表!$A$2:$A$66,[3]总经验表!$F$2:$F$66)</f>
        <v>1.0249999999999999</v>
      </c>
      <c r="H47" s="11"/>
    </row>
    <row r="48" spans="1:8" s="12" customFormat="1" ht="20.100000000000001" customHeight="1">
      <c r="A48" s="11">
        <v>47</v>
      </c>
      <c r="B48" s="14">
        <f t="shared" si="2"/>
        <v>18</v>
      </c>
      <c r="C48" s="11">
        <f>LOOKUP(A48,[3]总经验表!$A$2:$A$66,[3]总经验表!$F$2:$F$66)</f>
        <v>1.05</v>
      </c>
      <c r="H48" s="11"/>
    </row>
    <row r="49" spans="1:8" s="12" customFormat="1" ht="20.100000000000001" customHeight="1">
      <c r="A49" s="11">
        <v>48</v>
      </c>
      <c r="B49" s="14">
        <f t="shared" si="2"/>
        <v>19</v>
      </c>
      <c r="C49" s="11">
        <f>LOOKUP(A49,[3]总经验表!$A$2:$A$66,[3]总经验表!$F$2:$F$66)</f>
        <v>1.075</v>
      </c>
      <c r="H49" s="11"/>
    </row>
    <row r="50" spans="1:8" s="12" customFormat="1" ht="20.100000000000001" customHeight="1">
      <c r="A50" s="11">
        <v>49</v>
      </c>
      <c r="B50" s="14">
        <f t="shared" si="2"/>
        <v>19</v>
      </c>
      <c r="C50" s="11">
        <f>LOOKUP(A50,[3]总经验表!$A$2:$A$66,[3]总经验表!$F$2:$F$66)</f>
        <v>1.1000000000000001</v>
      </c>
      <c r="H50" s="11"/>
    </row>
    <row r="51" spans="1:8" s="12" customFormat="1" ht="20.100000000000001" customHeight="1">
      <c r="A51" s="11">
        <v>50</v>
      </c>
      <c r="B51" s="14">
        <f t="shared" si="2"/>
        <v>20</v>
      </c>
      <c r="C51" s="11">
        <f>LOOKUP(A51,[3]总经验表!$A$2:$A$66,[3]总经验表!$F$2:$F$66)</f>
        <v>1.125</v>
      </c>
      <c r="H51" s="11"/>
    </row>
    <row r="52" spans="1:8" s="12" customFormat="1" ht="20.100000000000001" customHeight="1">
      <c r="A52" s="11">
        <v>51</v>
      </c>
      <c r="B52" s="14">
        <f t="shared" si="2"/>
        <v>20</v>
      </c>
      <c r="C52" s="11">
        <f>LOOKUP(A52,[3]总经验表!$A$2:$A$66,[3]总经验表!$F$2:$F$66)</f>
        <v>1.1499999999999999</v>
      </c>
      <c r="H52" s="11"/>
    </row>
    <row r="53" spans="1:8" s="12" customFormat="1" ht="20.100000000000001" customHeight="1">
      <c r="A53" s="11">
        <v>52</v>
      </c>
      <c r="B53" s="14">
        <f t="shared" si="2"/>
        <v>21</v>
      </c>
      <c r="C53" s="11">
        <f>LOOKUP(A53,[3]总经验表!$A$2:$A$66,[3]总经验表!$F$2:$F$66)</f>
        <v>1.175</v>
      </c>
      <c r="H53" s="11"/>
    </row>
    <row r="54" spans="1:8" s="12" customFormat="1" ht="20.100000000000001" customHeight="1">
      <c r="A54" s="11">
        <v>53</v>
      </c>
      <c r="B54" s="14">
        <f t="shared" si="2"/>
        <v>21</v>
      </c>
      <c r="C54" s="11">
        <f>LOOKUP(A54,[3]总经验表!$A$2:$A$66,[3]总经验表!$F$2:$F$66)</f>
        <v>1.2</v>
      </c>
      <c r="H54" s="11"/>
    </row>
    <row r="55" spans="1:8" s="12" customFormat="1" ht="20.100000000000001" customHeight="1">
      <c r="A55" s="11">
        <v>54</v>
      </c>
      <c r="B55" s="14">
        <f t="shared" si="2"/>
        <v>22</v>
      </c>
      <c r="C55" s="11">
        <f>LOOKUP(A55,[3]总经验表!$A$2:$A$66,[3]总经验表!$F$2:$F$66)</f>
        <v>1.2250000000000001</v>
      </c>
      <c r="H55" s="11"/>
    </row>
    <row r="56" spans="1:8" s="12" customFormat="1" ht="20.100000000000001" customHeight="1">
      <c r="A56" s="11">
        <v>55</v>
      </c>
      <c r="B56" s="14">
        <f t="shared" si="2"/>
        <v>22</v>
      </c>
      <c r="C56" s="11">
        <f>LOOKUP(A56,[3]总经验表!$A$2:$A$66,[3]总经验表!$F$2:$F$66)</f>
        <v>1.25</v>
      </c>
      <c r="H56" s="11"/>
    </row>
    <row r="57" spans="1:8" s="12" customFormat="1" ht="20.100000000000001" customHeight="1">
      <c r="A57" s="11">
        <v>56</v>
      </c>
      <c r="B57" s="14">
        <f t="shared" si="2"/>
        <v>23</v>
      </c>
      <c r="C57" s="11">
        <f>LOOKUP(A57,[3]总经验表!$A$2:$A$66,[3]总经验表!$F$2:$F$66)</f>
        <v>1.2749999999999999</v>
      </c>
      <c r="H57" s="11"/>
    </row>
    <row r="58" spans="1:8" s="12" customFormat="1" ht="20.100000000000001" customHeight="1">
      <c r="A58" s="11">
        <v>57</v>
      </c>
      <c r="B58" s="14">
        <f t="shared" si="2"/>
        <v>23</v>
      </c>
      <c r="C58" s="11">
        <f>LOOKUP(A58,[3]总经验表!$A$2:$A$66,[3]总经验表!$F$2:$F$66)</f>
        <v>1.3</v>
      </c>
      <c r="H58" s="11"/>
    </row>
    <row r="59" spans="1:8" s="12" customFormat="1" ht="20.100000000000001" customHeight="1">
      <c r="A59" s="11">
        <v>58</v>
      </c>
      <c r="B59" s="14">
        <f t="shared" si="2"/>
        <v>24</v>
      </c>
      <c r="C59" s="11">
        <f>LOOKUP(A59,[3]总经验表!$A$2:$A$66,[3]总经验表!$F$2:$F$66)</f>
        <v>1.325</v>
      </c>
      <c r="H59" s="11"/>
    </row>
    <row r="60" spans="1:8" s="12" customFormat="1" ht="20.100000000000001" customHeight="1">
      <c r="A60" s="11">
        <v>59</v>
      </c>
      <c r="B60" s="14">
        <f t="shared" si="2"/>
        <v>24</v>
      </c>
      <c r="C60" s="11">
        <f>LOOKUP(A60,[3]总经验表!$A$2:$A$66,[3]总经验表!$F$2:$F$66)</f>
        <v>1.35</v>
      </c>
      <c r="H60" s="11"/>
    </row>
    <row r="61" spans="1:8" s="12" customFormat="1" ht="20.100000000000001" customHeight="1">
      <c r="A61" s="11">
        <v>60</v>
      </c>
      <c r="B61" s="14">
        <f t="shared" si="2"/>
        <v>25</v>
      </c>
      <c r="C61" s="11">
        <f>LOOKUP(A61,[3]总经验表!$A$2:$A$66,[3]总经验表!$F$2:$F$66)</f>
        <v>1.375</v>
      </c>
      <c r="H61" s="11"/>
    </row>
    <row r="62" spans="1:8" s="12" customFormat="1" ht="20.100000000000001" customHeight="1">
      <c r="A62" s="11">
        <v>61</v>
      </c>
      <c r="B62" s="14">
        <f t="shared" si="2"/>
        <v>25</v>
      </c>
      <c r="C62" s="11">
        <f>LOOKUP(A62,[3]总经验表!$A$2:$A$66,[3]总经验表!$F$2:$F$66)</f>
        <v>1.4</v>
      </c>
      <c r="H62" s="11"/>
    </row>
    <row r="63" spans="1:8" s="12" customFormat="1" ht="20.100000000000001" customHeight="1">
      <c r="A63" s="11">
        <v>62</v>
      </c>
      <c r="B63" s="14">
        <v>25</v>
      </c>
      <c r="C63" s="11">
        <f>LOOKUP(A63,[3]总经验表!$A$2:$A$66,[3]总经验表!$F$2:$F$66)</f>
        <v>1.425</v>
      </c>
      <c r="H63" s="11"/>
    </row>
    <row r="64" spans="1:8" s="12" customFormat="1" ht="20.100000000000001" customHeight="1">
      <c r="A64" s="11">
        <v>63</v>
      </c>
      <c r="B64" s="14">
        <v>25</v>
      </c>
      <c r="C64" s="11">
        <f>LOOKUP(A64,[3]总经验表!$A$2:$A$66,[3]总经验表!$F$2:$F$66)</f>
        <v>1.45</v>
      </c>
      <c r="H64" s="11"/>
    </row>
    <row r="65" spans="1:8" s="12" customFormat="1" ht="20.100000000000001" customHeight="1">
      <c r="A65" s="11">
        <v>64</v>
      </c>
      <c r="B65" s="14">
        <v>25</v>
      </c>
      <c r="C65" s="11">
        <f>LOOKUP(A65,[3]总经验表!$A$2:$A$66,[3]总经验表!$F$2:$F$66)</f>
        <v>1.4750000000000001</v>
      </c>
      <c r="H65" s="11"/>
    </row>
    <row r="66" spans="1:8" s="12" customFormat="1" ht="20.100000000000001" customHeight="1">
      <c r="A66" s="11">
        <v>65</v>
      </c>
      <c r="B66" s="14">
        <v>25</v>
      </c>
      <c r="C66" s="11">
        <f>LOOKUP(A66,[3]总经验表!$A$2:$A$66,[3]总经验表!$F$2:$F$66)</f>
        <v>1.5</v>
      </c>
      <c r="H66" s="11"/>
    </row>
    <row r="67" spans="1:8" s="12" customFormat="1" ht="20.100000000000001" customHeight="1">
      <c r="H67" s="11"/>
    </row>
    <row r="68" spans="1:8" s="12" customFormat="1" ht="20.100000000000001" customHeight="1">
      <c r="H68" s="11"/>
    </row>
    <row r="69" spans="1:8" s="12" customFormat="1" ht="20.100000000000001" customHeight="1">
      <c r="H69" s="11"/>
    </row>
    <row r="70" spans="1:8" s="12" customFormat="1" ht="20.100000000000001" customHeight="1">
      <c r="H70" s="11"/>
    </row>
    <row r="71" spans="1:8" s="12" customFormat="1" ht="20.100000000000001" customHeight="1">
      <c r="H71" s="11"/>
    </row>
    <row r="72" spans="1:8" s="12" customFormat="1" ht="20.100000000000001" customHeight="1">
      <c r="H72" s="11"/>
    </row>
    <row r="73" spans="1:8" s="12" customFormat="1" ht="20.100000000000001" customHeight="1">
      <c r="H73" s="11"/>
    </row>
    <row r="74" spans="1:8" s="12" customFormat="1" ht="20.100000000000001" customHeight="1">
      <c r="H74" s="11"/>
    </row>
    <row r="75" spans="1:8" s="12" customFormat="1" ht="20.100000000000001" customHeight="1">
      <c r="H75" s="11"/>
    </row>
    <row r="76" spans="1:8" s="12" customFormat="1" ht="20.100000000000001" customHeight="1">
      <c r="H76" s="11"/>
    </row>
    <row r="77" spans="1:8" s="12" customFormat="1" ht="20.100000000000001" customHeight="1">
      <c r="H77" s="11"/>
    </row>
    <row r="78" spans="1:8" s="12" customFormat="1" ht="20.100000000000001" customHeight="1">
      <c r="H78" s="11"/>
    </row>
    <row r="79" spans="1:8" s="12" customFormat="1" ht="20.100000000000001" customHeight="1">
      <c r="H79" s="11"/>
    </row>
    <row r="80" spans="1:8" s="12" customFormat="1" ht="20.100000000000001" customHeight="1">
      <c r="H80" s="11"/>
    </row>
    <row r="81" spans="8:8" s="12" customFormat="1" ht="20.100000000000001" customHeight="1">
      <c r="H81" s="11"/>
    </row>
    <row r="82" spans="8:8" s="12" customFormat="1" ht="20.100000000000001" customHeight="1">
      <c r="H82" s="11"/>
    </row>
    <row r="83" spans="8:8" s="12" customFormat="1" ht="20.100000000000001" customHeight="1">
      <c r="H83" s="11"/>
    </row>
    <row r="84" spans="8:8" s="12" customFormat="1" ht="20.100000000000001" customHeight="1">
      <c r="H84" s="11"/>
    </row>
    <row r="85" spans="8:8" s="12" customFormat="1" ht="20.100000000000001" customHeight="1">
      <c r="H85" s="11"/>
    </row>
    <row r="86" spans="8:8" s="12" customFormat="1" ht="20.100000000000001" customHeight="1">
      <c r="H86" s="11"/>
    </row>
    <row r="87" spans="8:8" s="12" customFormat="1" ht="20.100000000000001" customHeight="1">
      <c r="H87" s="11"/>
    </row>
    <row r="88" spans="8:8" s="12" customFormat="1" ht="20.100000000000001" customHeight="1">
      <c r="H88" s="11"/>
    </row>
    <row r="89" spans="8:8" s="12" customFormat="1" ht="20.100000000000001" customHeight="1">
      <c r="H89" s="11"/>
    </row>
    <row r="90" spans="8:8" s="12" customFormat="1" ht="20.100000000000001" customHeight="1">
      <c r="H90" s="11"/>
    </row>
    <row r="91" spans="8:8" s="12" customFormat="1" ht="20.100000000000001" customHeight="1">
      <c r="H91" s="11"/>
    </row>
    <row r="92" spans="8:8" s="12" customFormat="1" ht="20.100000000000001" customHeight="1">
      <c r="H92" s="11"/>
    </row>
    <row r="93" spans="8:8" s="12" customFormat="1" ht="20.100000000000001" customHeight="1">
      <c r="H93" s="11"/>
    </row>
    <row r="94" spans="8:8" s="12" customFormat="1" ht="20.100000000000001" customHeight="1">
      <c r="H94" s="11"/>
    </row>
    <row r="95" spans="8:8" s="12" customFormat="1" ht="20.100000000000001" customHeight="1">
      <c r="H95" s="11"/>
    </row>
    <row r="96" spans="8:8" s="12" customFormat="1" ht="20.100000000000001" customHeight="1">
      <c r="H96" s="11"/>
    </row>
    <row r="97" spans="8:8" s="12" customFormat="1" ht="20.100000000000001" customHeight="1">
      <c r="H97" s="11"/>
    </row>
    <row r="98" spans="8:8" s="12" customFormat="1" ht="20.100000000000001" customHeight="1">
      <c r="H98" s="11"/>
    </row>
    <row r="99" spans="8:8" s="12" customFormat="1" ht="20.100000000000001" customHeight="1">
      <c r="H99" s="11"/>
    </row>
    <row r="100" spans="8:8" s="12" customFormat="1" ht="20.100000000000001" customHeight="1">
      <c r="H100" s="11"/>
    </row>
    <row r="101" spans="8:8" s="12" customFormat="1" ht="20.100000000000001" customHeight="1">
      <c r="H101" s="11"/>
    </row>
    <row r="102" spans="8:8" s="12" customFormat="1" ht="20.100000000000001" customHeight="1">
      <c r="H102" s="11"/>
    </row>
    <row r="103" spans="8:8" s="12" customFormat="1" ht="20.100000000000001" customHeight="1">
      <c r="H103" s="11"/>
    </row>
    <row r="104" spans="8:8" s="12" customFormat="1" ht="20.100000000000001" customHeight="1">
      <c r="H104" s="11"/>
    </row>
    <row r="105" spans="8:8" s="12" customFormat="1" ht="20.100000000000001" customHeight="1">
      <c r="H105" s="11"/>
    </row>
    <row r="106" spans="8:8" s="12" customFormat="1" ht="20.100000000000001" customHeight="1">
      <c r="H106" s="11"/>
    </row>
    <row r="107" spans="8:8" s="12" customFormat="1" ht="20.100000000000001" customHeight="1">
      <c r="H107" s="11"/>
    </row>
    <row r="108" spans="8:8" s="12" customFormat="1" ht="20.100000000000001" customHeight="1">
      <c r="H108" s="11"/>
    </row>
    <row r="109" spans="8:8" s="12" customFormat="1" ht="20.100000000000001" customHeight="1">
      <c r="H109" s="11"/>
    </row>
    <row r="110" spans="8:8" s="12" customFormat="1" ht="20.100000000000001" customHeight="1">
      <c r="H110" s="11"/>
    </row>
    <row r="111" spans="8:8" s="12" customFormat="1" ht="20.100000000000001" customHeight="1">
      <c r="H111" s="11"/>
    </row>
    <row r="112" spans="8:8" s="12" customFormat="1" ht="20.100000000000001" customHeight="1">
      <c r="H112" s="11"/>
    </row>
    <row r="113" spans="8:8" s="12" customFormat="1" ht="20.100000000000001" customHeight="1">
      <c r="H113" s="11"/>
    </row>
    <row r="114" spans="8:8" s="12" customFormat="1" ht="20.100000000000001" customHeight="1">
      <c r="H114" s="11"/>
    </row>
    <row r="115" spans="8:8" s="12" customFormat="1" ht="20.100000000000001" customHeight="1">
      <c r="H115" s="11"/>
    </row>
    <row r="116" spans="8:8" s="12" customFormat="1" ht="20.100000000000001" customHeight="1">
      <c r="H116" s="11"/>
    </row>
    <row r="117" spans="8:8" s="12" customFormat="1" ht="20.100000000000001" customHeight="1">
      <c r="H117" s="11"/>
    </row>
    <row r="118" spans="8:8" s="12" customFormat="1" ht="20.100000000000001" customHeight="1">
      <c r="H118" s="11"/>
    </row>
    <row r="119" spans="8:8" s="12" customFormat="1" ht="20.100000000000001" customHeight="1">
      <c r="H119" s="11"/>
    </row>
    <row r="120" spans="8:8" s="12" customFormat="1" ht="20.100000000000001" customHeight="1">
      <c r="H120" s="11"/>
    </row>
    <row r="121" spans="8:8" s="12" customFormat="1" ht="20.100000000000001" customHeight="1">
      <c r="H121" s="11"/>
    </row>
    <row r="122" spans="8:8" s="12" customFormat="1" ht="20.100000000000001" customHeight="1">
      <c r="H122" s="11"/>
    </row>
    <row r="123" spans="8:8" s="12" customFormat="1" ht="20.100000000000001" customHeight="1">
      <c r="H123" s="11"/>
    </row>
    <row r="124" spans="8:8" s="12" customFormat="1" ht="20.100000000000001" customHeight="1">
      <c r="H124" s="11"/>
    </row>
    <row r="125" spans="8:8" s="12" customFormat="1" ht="20.100000000000001" customHeight="1">
      <c r="H125" s="11"/>
    </row>
    <row r="126" spans="8:8" s="12" customFormat="1" ht="20.100000000000001" customHeight="1">
      <c r="H126" s="11"/>
    </row>
    <row r="127" spans="8:8" s="12" customFormat="1" ht="20.100000000000001" customHeight="1">
      <c r="H127" s="11"/>
    </row>
    <row r="128" spans="8:8" s="12" customFormat="1" ht="20.100000000000001" customHeight="1">
      <c r="H128" s="11"/>
    </row>
    <row r="129" spans="8:8" s="12" customFormat="1" ht="20.100000000000001" customHeight="1">
      <c r="H129" s="11"/>
    </row>
    <row r="130" spans="8:8" s="12" customFormat="1" ht="20.100000000000001" customHeight="1">
      <c r="H130" s="11"/>
    </row>
    <row r="131" spans="8:8" s="12" customFormat="1" ht="20.100000000000001" customHeight="1">
      <c r="H131" s="11"/>
    </row>
    <row r="132" spans="8:8" s="12" customFormat="1" ht="20.100000000000001" customHeight="1">
      <c r="H132" s="11"/>
    </row>
    <row r="133" spans="8:8" s="12" customFormat="1" ht="20.100000000000001" customHeight="1">
      <c r="H133" s="11"/>
    </row>
    <row r="134" spans="8:8" s="12" customFormat="1" ht="20.100000000000001" customHeight="1">
      <c r="H134" s="11"/>
    </row>
    <row r="135" spans="8:8" s="12" customFormat="1" ht="20.100000000000001" customHeight="1">
      <c r="H135" s="11"/>
    </row>
    <row r="136" spans="8:8" s="12" customFormat="1" ht="20.100000000000001" customHeight="1">
      <c r="H136" s="11"/>
    </row>
    <row r="137" spans="8:8" s="12" customFormat="1" ht="20.100000000000001" customHeight="1">
      <c r="H137" s="11"/>
    </row>
    <row r="138" spans="8:8" s="12" customFormat="1" ht="20.100000000000001" customHeight="1">
      <c r="H138" s="11"/>
    </row>
    <row r="139" spans="8:8" s="12" customFormat="1" ht="20.100000000000001" customHeight="1">
      <c r="H139" s="11"/>
    </row>
    <row r="140" spans="8:8" s="12" customFormat="1" ht="20.100000000000001" customHeight="1">
      <c r="H140" s="11"/>
    </row>
    <row r="141" spans="8:8" s="12" customFormat="1" ht="20.100000000000001" customHeight="1">
      <c r="H141" s="11"/>
    </row>
    <row r="142" spans="8:8" s="12" customFormat="1" ht="20.100000000000001" customHeight="1">
      <c r="H142" s="11"/>
    </row>
    <row r="143" spans="8:8" s="12" customFormat="1" ht="20.100000000000001" customHeight="1">
      <c r="H143" s="11"/>
    </row>
    <row r="144" spans="8:8" s="12" customFormat="1" ht="20.100000000000001" customHeight="1">
      <c r="H144" s="11"/>
    </row>
    <row r="145" spans="8:8" s="12" customFormat="1" ht="20.100000000000001" customHeight="1">
      <c r="H145" s="11"/>
    </row>
    <row r="146" spans="8:8" s="12" customFormat="1" ht="20.100000000000001" customHeight="1">
      <c r="H146" s="11"/>
    </row>
    <row r="147" spans="8:8" s="12" customFormat="1" ht="20.100000000000001" customHeight="1">
      <c r="H147" s="11"/>
    </row>
    <row r="148" spans="8:8" s="12" customFormat="1" ht="20.100000000000001" customHeight="1">
      <c r="H148" s="11"/>
    </row>
    <row r="149" spans="8:8" s="12" customFormat="1" ht="20.100000000000001" customHeight="1">
      <c r="H149" s="11"/>
    </row>
    <row r="150" spans="8:8" s="12" customFormat="1" ht="20.100000000000001" customHeight="1">
      <c r="H150" s="11"/>
    </row>
    <row r="151" spans="8:8" s="12" customFormat="1" ht="20.100000000000001" customHeight="1">
      <c r="H151" s="11"/>
    </row>
    <row r="152" spans="8:8" s="12" customFormat="1" ht="20.100000000000001" customHeight="1">
      <c r="H152" s="11"/>
    </row>
    <row r="153" spans="8:8" s="12" customFormat="1" ht="20.100000000000001" customHeight="1">
      <c r="H153" s="11"/>
    </row>
    <row r="154" spans="8:8" s="12" customFormat="1" ht="20.100000000000001" customHeight="1">
      <c r="H154" s="11"/>
    </row>
    <row r="155" spans="8:8" s="12" customFormat="1" ht="20.100000000000001" customHeight="1">
      <c r="H155" s="11"/>
    </row>
    <row r="156" spans="8:8" s="12" customFormat="1" ht="20.100000000000001" customHeight="1">
      <c r="H156" s="11"/>
    </row>
    <row r="157" spans="8:8" s="12" customFormat="1" ht="20.100000000000001" customHeight="1">
      <c r="H157" s="11"/>
    </row>
    <row r="158" spans="8:8" s="12" customFormat="1" ht="20.100000000000001" customHeight="1">
      <c r="H158" s="11"/>
    </row>
    <row r="159" spans="8:8" s="12" customFormat="1" ht="20.100000000000001" customHeight="1">
      <c r="H159" s="11"/>
    </row>
    <row r="160" spans="8:8" s="12" customFormat="1" ht="20.100000000000001" customHeight="1">
      <c r="H160" s="11"/>
    </row>
    <row r="161" spans="8:8" s="12" customFormat="1" ht="20.100000000000001" customHeight="1">
      <c r="H161" s="11"/>
    </row>
    <row r="162" spans="8:8" s="12" customFormat="1" ht="20.100000000000001" customHeight="1">
      <c r="H162" s="11"/>
    </row>
    <row r="163" spans="8:8" s="12" customFormat="1" ht="20.100000000000001" customHeight="1">
      <c r="H163" s="11"/>
    </row>
    <row r="164" spans="8:8" s="12" customFormat="1" ht="20.100000000000001" customHeight="1">
      <c r="H164" s="11"/>
    </row>
    <row r="165" spans="8:8" s="12" customFormat="1" ht="20.100000000000001" customHeight="1">
      <c r="H165" s="11"/>
    </row>
    <row r="166" spans="8:8" s="12" customFormat="1" ht="20.100000000000001" customHeight="1">
      <c r="H166" s="11"/>
    </row>
    <row r="167" spans="8:8" s="12" customFormat="1" ht="20.100000000000001" customHeight="1">
      <c r="H167" s="11"/>
    </row>
    <row r="168" spans="8:8" s="12" customFormat="1" ht="20.100000000000001" customHeight="1">
      <c r="H168" s="11"/>
    </row>
    <row r="169" spans="8:8" s="12" customFormat="1" ht="20.100000000000001" customHeight="1">
      <c r="H169" s="11"/>
    </row>
    <row r="170" spans="8:8" s="12" customFormat="1" ht="20.100000000000001" customHeight="1">
      <c r="H170" s="11"/>
    </row>
    <row r="171" spans="8:8" s="12" customFormat="1" ht="20.100000000000001" customHeight="1">
      <c r="H171" s="11"/>
    </row>
    <row r="172" spans="8:8" s="12" customFormat="1" ht="20.100000000000001" customHeight="1">
      <c r="H172" s="11"/>
    </row>
    <row r="173" spans="8:8" s="12" customFormat="1" ht="20.100000000000001" customHeight="1">
      <c r="H173" s="11"/>
    </row>
    <row r="174" spans="8:8" s="12" customFormat="1" ht="20.100000000000001" customHeight="1">
      <c r="H174" s="11"/>
    </row>
    <row r="175" spans="8:8" s="12" customFormat="1" ht="20.100000000000001" customHeight="1">
      <c r="H175" s="11"/>
    </row>
    <row r="176" spans="8:8" s="12" customFormat="1" ht="20.100000000000001" customHeight="1">
      <c r="H176" s="11"/>
    </row>
    <row r="177" spans="8:8" s="12" customFormat="1" ht="20.100000000000001" customHeight="1">
      <c r="H177" s="11"/>
    </row>
    <row r="178" spans="8:8" s="12" customFormat="1" ht="20.100000000000001" customHeight="1">
      <c r="H178" s="11"/>
    </row>
    <row r="179" spans="8:8" s="12" customFormat="1" ht="20.100000000000001" customHeight="1">
      <c r="H179" s="11"/>
    </row>
    <row r="180" spans="8:8" s="12" customFormat="1" ht="20.100000000000001" customHeight="1">
      <c r="H180" s="11"/>
    </row>
    <row r="181" spans="8:8" s="12" customFormat="1" ht="20.100000000000001" customHeight="1">
      <c r="H181" s="11"/>
    </row>
    <row r="182" spans="8:8" s="12" customFormat="1" ht="20.100000000000001" customHeight="1">
      <c r="H182" s="11"/>
    </row>
    <row r="183" spans="8:8" s="12" customFormat="1" ht="20.100000000000001" customHeight="1">
      <c r="H183" s="11"/>
    </row>
    <row r="184" spans="8:8" s="12" customFormat="1" ht="20.100000000000001" customHeight="1">
      <c r="H184" s="11"/>
    </row>
    <row r="185" spans="8:8" s="12" customFormat="1" ht="20.100000000000001" customHeight="1">
      <c r="H185" s="11"/>
    </row>
    <row r="186" spans="8:8" s="12" customFormat="1" ht="20.100000000000001" customHeight="1">
      <c r="H186" s="11"/>
    </row>
    <row r="187" spans="8:8" s="12" customFormat="1" ht="20.100000000000001" customHeight="1">
      <c r="H187" s="11"/>
    </row>
    <row r="188" spans="8:8" s="12" customFormat="1" ht="20.100000000000001" customHeight="1">
      <c r="H188" s="11"/>
    </row>
    <row r="189" spans="8:8" s="12" customFormat="1" ht="20.100000000000001" customHeight="1">
      <c r="H189" s="11"/>
    </row>
    <row r="190" spans="8:8" s="12" customFormat="1" ht="20.100000000000001" customHeight="1">
      <c r="H190" s="11"/>
    </row>
    <row r="191" spans="8:8" s="12" customFormat="1" ht="20.100000000000001" customHeight="1">
      <c r="H191" s="11"/>
    </row>
    <row r="192" spans="8:8" s="12" customFormat="1" ht="20.100000000000001" customHeight="1">
      <c r="H192" s="11"/>
    </row>
    <row r="193" spans="8:8" s="12" customFormat="1" ht="20.100000000000001" customHeight="1">
      <c r="H193" s="11"/>
    </row>
    <row r="194" spans="8:8" s="12" customFormat="1" ht="20.100000000000001" customHeight="1">
      <c r="H194" s="11"/>
    </row>
    <row r="195" spans="8:8" s="12" customFormat="1" ht="20.100000000000001" customHeight="1">
      <c r="H195" s="11"/>
    </row>
    <row r="196" spans="8:8" s="12" customFormat="1" ht="20.100000000000001" customHeight="1">
      <c r="H196" s="11"/>
    </row>
    <row r="197" spans="8:8" s="12" customFormat="1" ht="20.100000000000001" customHeight="1">
      <c r="H197" s="11"/>
    </row>
    <row r="198" spans="8:8" s="12" customFormat="1" ht="20.100000000000001" customHeight="1">
      <c r="H198" s="11"/>
    </row>
    <row r="199" spans="8:8" s="12" customFormat="1" ht="20.100000000000001" customHeight="1">
      <c r="H199" s="11"/>
    </row>
    <row r="200" spans="8:8" s="12" customFormat="1" ht="20.100000000000001" customHeight="1">
      <c r="H200" s="11"/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5"/>
  <dimension ref="A1:Y316"/>
  <sheetViews>
    <sheetView workbookViewId="0">
      <selection activeCell="F22" sqref="F22"/>
    </sheetView>
  </sheetViews>
  <sheetFormatPr defaultRowHeight="13.5"/>
  <cols>
    <col min="1" max="14" width="9" style="6"/>
    <col min="15" max="20" width="9" style="15"/>
    <col min="21" max="21" width="11.375" style="6" bestFit="1" customWidth="1"/>
    <col min="22" max="22" width="17.25" bestFit="1" customWidth="1"/>
  </cols>
  <sheetData>
    <row r="1" spans="1:25" s="13" customFormat="1" ht="20.100000000000001" customHeight="1">
      <c r="A1" s="11" t="s">
        <v>51</v>
      </c>
      <c r="B1" s="12" t="s">
        <v>52</v>
      </c>
      <c r="C1" s="16" t="s">
        <v>50</v>
      </c>
      <c r="D1" s="14" t="s">
        <v>23</v>
      </c>
      <c r="E1" s="14" t="s">
        <v>40</v>
      </c>
      <c r="F1" s="14" t="s">
        <v>41</v>
      </c>
      <c r="G1" s="14" t="s">
        <v>42</v>
      </c>
      <c r="H1" s="14" t="s">
        <v>31</v>
      </c>
      <c r="I1" s="14" t="s">
        <v>23</v>
      </c>
      <c r="J1" s="14" t="s">
        <v>27</v>
      </c>
      <c r="K1" s="14" t="s">
        <v>28</v>
      </c>
      <c r="L1" s="14" t="s">
        <v>30</v>
      </c>
      <c r="M1" s="14" t="s">
        <v>31</v>
      </c>
      <c r="N1" s="14"/>
      <c r="O1" s="14"/>
      <c r="P1" s="14"/>
      <c r="Q1" s="14"/>
      <c r="R1" s="14"/>
      <c r="S1" s="14"/>
      <c r="T1" s="14"/>
      <c r="U1" s="12"/>
    </row>
    <row r="2" spans="1:25" s="13" customFormat="1" ht="20.100000000000001" customHeight="1">
      <c r="A2" s="11"/>
      <c r="B2" s="12"/>
      <c r="C2" s="16"/>
      <c r="D2" s="14"/>
      <c r="E2" s="14"/>
      <c r="F2" s="14"/>
      <c r="G2" s="14"/>
      <c r="H2" s="14"/>
      <c r="I2" s="14">
        <v>1</v>
      </c>
      <c r="J2" s="14">
        <v>3</v>
      </c>
      <c r="K2" s="14">
        <v>4</v>
      </c>
      <c r="L2" s="14">
        <v>5</v>
      </c>
      <c r="M2" s="14">
        <v>6</v>
      </c>
      <c r="N2" s="14"/>
      <c r="O2" s="14"/>
      <c r="P2" s="14"/>
      <c r="Q2" s="14"/>
      <c r="R2" s="14"/>
      <c r="S2" s="14"/>
      <c r="T2" s="14"/>
      <c r="U2" s="14" t="s">
        <v>72</v>
      </c>
      <c r="V2" s="22" t="s">
        <v>73</v>
      </c>
    </row>
    <row r="3" spans="1:25" s="13" customFormat="1" ht="20.100000000000001" customHeight="1">
      <c r="A3" s="11">
        <v>1</v>
      </c>
      <c r="B3" s="9" t="s">
        <v>22</v>
      </c>
      <c r="C3" s="11">
        <v>1</v>
      </c>
      <c r="D3" s="14">
        <f>LOOKUP($A3,建筑产出!$BF$16:$BF$26,建筑产出!BI$16:BI$26)</f>
        <v>0.1</v>
      </c>
      <c r="E3" s="20">
        <v>0.2</v>
      </c>
      <c r="F3" s="20">
        <v>0.2</v>
      </c>
      <c r="G3" s="20">
        <v>0</v>
      </c>
      <c r="H3" s="20">
        <v>0</v>
      </c>
      <c r="I3" s="14">
        <f>ROUND(LOOKUP($C3,建筑产出!$A$2:$A$26,建筑产出!D$2:D$26)*D3,-2)</f>
        <v>7300</v>
      </c>
      <c r="J3" s="14">
        <f>ROUND(LOOKUP($C3,建筑产出!$A$2:$A$26,建筑产出!E$2:E$26)*E3,-2)</f>
        <v>7300</v>
      </c>
      <c r="K3" s="14">
        <f>ROUND(LOOKUP($C3,建筑产出!$A$2:$A$26,建筑产出!F$2:F$26)*F3,-2)</f>
        <v>7300</v>
      </c>
      <c r="L3" s="14">
        <f>ROUND(LOOKUP($C3,建筑产出!$A$2:$A$26,建筑产出!G$2:G$26)*G3,-2)</f>
        <v>0</v>
      </c>
      <c r="M3" s="14">
        <f>ROUND(LOOKUP($C3,建筑产出!$A$2:$A$26,建筑产出!H$2:H$26)*H3,-2)</f>
        <v>0</v>
      </c>
      <c r="N3" s="14"/>
      <c r="O3" s="14">
        <f>IF(I3=0,0,I$2)</f>
        <v>1</v>
      </c>
      <c r="P3" s="14">
        <f t="shared" ref="P3:S3" si="0">IF(J3=0,0,J$2)</f>
        <v>3</v>
      </c>
      <c r="Q3" s="14">
        <f t="shared" si="0"/>
        <v>4</v>
      </c>
      <c r="R3" s="14">
        <f t="shared" si="0"/>
        <v>0</v>
      </c>
      <c r="S3" s="14">
        <f t="shared" si="0"/>
        <v>0</v>
      </c>
      <c r="T3" s="14"/>
      <c r="U3" s="14" t="str">
        <f>IF(O3&gt;0,O3&amp;";","")&amp;IF(P3&gt;0,P3&amp;";","")&amp;IF(Q3&gt;0,Q3&amp;";","")&amp;IF(R3&gt;0,R3&amp;";","")&amp;IF(S3&gt;0,S3&amp;";","")</f>
        <v>1;3;4;</v>
      </c>
      <c r="V3" s="23" t="str">
        <f>IF(O3&gt;0,I3&amp;";","")&amp;IF(P3&gt;0,J3&amp;";","")&amp;IF(Q3&gt;0,K3&amp;";","")&amp;IF(R3&gt;0,L3&amp;";","")&amp;IF(S3&gt;0,M3&amp;";","")</f>
        <v>7300;7300;7300;</v>
      </c>
      <c r="X3" s="13" t="str">
        <f>LEFT(U3,LEN(U3)-1)</f>
        <v>1;3;4</v>
      </c>
      <c r="Y3" s="13" t="str">
        <f>LEFT(V3,LEN(V3)-1)</f>
        <v>7300;7300;7300</v>
      </c>
    </row>
    <row r="4" spans="1:25" s="13" customFormat="1" ht="20.100000000000001" customHeight="1">
      <c r="A4" s="11">
        <v>1</v>
      </c>
      <c r="B4" s="9" t="s">
        <v>22</v>
      </c>
      <c r="C4" s="11">
        <v>2</v>
      </c>
      <c r="D4" s="14">
        <f>LOOKUP($A4,建筑产出!$BF$16:$BF$26,建筑产出!BI$16:BI$26)</f>
        <v>0.1</v>
      </c>
      <c r="E4" s="20">
        <v>0</v>
      </c>
      <c r="F4" s="20">
        <v>0</v>
      </c>
      <c r="G4" s="20">
        <v>0.2</v>
      </c>
      <c r="H4" s="20">
        <v>0.2</v>
      </c>
      <c r="I4" s="14">
        <f>ROUND(LOOKUP($C4,建筑产出!$A$2:$A$26,建筑产出!D$2:D$26)*D4,-2)</f>
        <v>14300</v>
      </c>
      <c r="J4" s="14">
        <f>ROUND(LOOKUP($C4,建筑产出!$A$2:$A$26,建筑产出!E$2:E$26)*E4,-2)</f>
        <v>0</v>
      </c>
      <c r="K4" s="14">
        <f>ROUND(LOOKUP($C4,建筑产出!$A$2:$A$26,建筑产出!F$2:F$26)*F4,-2)</f>
        <v>0</v>
      </c>
      <c r="L4" s="14">
        <f>ROUND(LOOKUP($C4,建筑产出!$A$2:$A$26,建筑产出!G$2:G$26)*G4,-2)</f>
        <v>14300</v>
      </c>
      <c r="M4" s="14">
        <f>ROUND(LOOKUP($C4,建筑产出!$A$2:$A$26,建筑产出!H$2:H$26)*H4,-2)</f>
        <v>14300</v>
      </c>
      <c r="N4" s="14"/>
      <c r="O4" s="14">
        <f t="shared" ref="O4:O67" si="1">IF(I4=0,0,I$2)</f>
        <v>1</v>
      </c>
      <c r="P4" s="14">
        <f t="shared" ref="P4:P67" si="2">IF(J4=0,0,J$2)</f>
        <v>0</v>
      </c>
      <c r="Q4" s="14">
        <f t="shared" ref="Q4:Q67" si="3">IF(K4=0,0,K$2)</f>
        <v>0</v>
      </c>
      <c r="R4" s="14">
        <f t="shared" ref="R4:R67" si="4">IF(L4=0,0,L$2)</f>
        <v>5</v>
      </c>
      <c r="S4" s="14">
        <f t="shared" ref="S4:S67" si="5">IF(M4=0,0,M$2)</f>
        <v>6</v>
      </c>
      <c r="T4" s="14"/>
      <c r="U4" s="14" t="str">
        <f t="shared" ref="U4:U67" si="6">IF(O4&gt;0,O4&amp;";","")&amp;IF(P4&gt;0,P4&amp;";","")&amp;IF(Q4&gt;0,Q4&amp;";","")&amp;IF(R4&gt;0,R4&amp;";","")&amp;IF(S4&gt;0,S4&amp;";","")</f>
        <v>1;5;6;</v>
      </c>
      <c r="V4" s="23" t="str">
        <f t="shared" ref="V4:V67" si="7">IF(O4&gt;0,I4&amp;";","")&amp;IF(P4&gt;0,J4&amp;";","")&amp;IF(Q4&gt;0,K4&amp;";","")&amp;IF(R4&gt;0,L4&amp;";","")&amp;IF(S4&gt;0,M4&amp;";","")</f>
        <v>14300;14300;14300;</v>
      </c>
      <c r="X4" s="13" t="str">
        <f t="shared" ref="X4:X67" si="8">LEFT(U4,LEN(U4)-1)</f>
        <v>1;5;6</v>
      </c>
      <c r="Y4" s="13" t="str">
        <f t="shared" ref="Y4:Y67" si="9">LEFT(V4,LEN(V4)-1)</f>
        <v>14300;14300;14300</v>
      </c>
    </row>
    <row r="5" spans="1:25" s="13" customFormat="1" ht="20.100000000000001" customHeight="1">
      <c r="A5" s="11">
        <v>1</v>
      </c>
      <c r="B5" s="9" t="s">
        <v>22</v>
      </c>
      <c r="C5" s="11">
        <v>3</v>
      </c>
      <c r="D5" s="14">
        <f>LOOKUP($A5,建筑产出!$BF$16:$BF$26,建筑产出!BI$16:BI$26)</f>
        <v>0.1</v>
      </c>
      <c r="E5" s="20">
        <v>0.2</v>
      </c>
      <c r="F5" s="20">
        <v>0.2</v>
      </c>
      <c r="G5" s="20">
        <v>0</v>
      </c>
      <c r="H5" s="20">
        <v>0</v>
      </c>
      <c r="I5" s="14">
        <f>ROUND(LOOKUP($C5,建筑产出!$A$2:$A$26,建筑产出!D$2:D$26)*D5,-2)</f>
        <v>12400</v>
      </c>
      <c r="J5" s="14">
        <f>ROUND(LOOKUP($C5,建筑产出!$A$2:$A$26,建筑产出!E$2:E$26)*E5,-2)</f>
        <v>12400</v>
      </c>
      <c r="K5" s="14">
        <f>ROUND(LOOKUP($C5,建筑产出!$A$2:$A$26,建筑产出!F$2:F$26)*F5,-2)</f>
        <v>12400</v>
      </c>
      <c r="L5" s="14">
        <f>ROUND(LOOKUP($C5,建筑产出!$A$2:$A$26,建筑产出!G$2:G$26)*G5,-2)</f>
        <v>0</v>
      </c>
      <c r="M5" s="14">
        <f>ROUND(LOOKUP($C5,建筑产出!$A$2:$A$26,建筑产出!H$2:H$26)*H5,-2)</f>
        <v>0</v>
      </c>
      <c r="N5" s="14"/>
      <c r="O5" s="14">
        <f t="shared" si="1"/>
        <v>1</v>
      </c>
      <c r="P5" s="14">
        <f t="shared" si="2"/>
        <v>3</v>
      </c>
      <c r="Q5" s="14">
        <f t="shared" si="3"/>
        <v>4</v>
      </c>
      <c r="R5" s="14">
        <f t="shared" si="4"/>
        <v>0</v>
      </c>
      <c r="S5" s="14">
        <f t="shared" si="5"/>
        <v>0</v>
      </c>
      <c r="T5" s="14"/>
      <c r="U5" s="14" t="str">
        <f t="shared" si="6"/>
        <v>1;3;4;</v>
      </c>
      <c r="V5" s="23" t="str">
        <f t="shared" si="7"/>
        <v>12400;12400;12400;</v>
      </c>
      <c r="X5" s="13" t="str">
        <f t="shared" si="8"/>
        <v>1;3;4</v>
      </c>
      <c r="Y5" s="13" t="str">
        <f t="shared" si="9"/>
        <v>12400;12400;12400</v>
      </c>
    </row>
    <row r="6" spans="1:25" s="13" customFormat="1" ht="20.100000000000001" customHeight="1">
      <c r="A6" s="11">
        <v>1</v>
      </c>
      <c r="B6" s="9" t="s">
        <v>22</v>
      </c>
      <c r="C6" s="11">
        <v>4</v>
      </c>
      <c r="D6" s="14">
        <f>LOOKUP($A6,建筑产出!$BF$16:$BF$26,建筑产出!BI$16:BI$26)</f>
        <v>0.1</v>
      </c>
      <c r="E6" s="20">
        <v>0</v>
      </c>
      <c r="F6" s="20">
        <v>0</v>
      </c>
      <c r="G6" s="20">
        <v>0.2</v>
      </c>
      <c r="H6" s="20">
        <v>0.2</v>
      </c>
      <c r="I6" s="14">
        <f>ROUND(LOOKUP($C6,建筑产出!$A$2:$A$26,建筑产出!D$2:D$26)*D6,-2)</f>
        <v>27500</v>
      </c>
      <c r="J6" s="14">
        <f>ROUND(LOOKUP($C6,建筑产出!$A$2:$A$26,建筑产出!E$2:E$26)*E6,-2)</f>
        <v>0</v>
      </c>
      <c r="K6" s="14">
        <f>ROUND(LOOKUP($C6,建筑产出!$A$2:$A$26,建筑产出!F$2:F$26)*F6,-2)</f>
        <v>0</v>
      </c>
      <c r="L6" s="14">
        <f>ROUND(LOOKUP($C6,建筑产出!$A$2:$A$26,建筑产出!G$2:G$26)*G6,-2)</f>
        <v>27500</v>
      </c>
      <c r="M6" s="14">
        <f>ROUND(LOOKUP($C6,建筑产出!$A$2:$A$26,建筑产出!H$2:H$26)*H6,-2)</f>
        <v>27500</v>
      </c>
      <c r="N6" s="14"/>
      <c r="O6" s="14">
        <f t="shared" si="1"/>
        <v>1</v>
      </c>
      <c r="P6" s="14">
        <f t="shared" si="2"/>
        <v>0</v>
      </c>
      <c r="Q6" s="14">
        <f t="shared" si="3"/>
        <v>0</v>
      </c>
      <c r="R6" s="14">
        <f t="shared" si="4"/>
        <v>5</v>
      </c>
      <c r="S6" s="14">
        <f t="shared" si="5"/>
        <v>6</v>
      </c>
      <c r="T6" s="14"/>
      <c r="U6" s="14" t="str">
        <f t="shared" si="6"/>
        <v>1;5;6;</v>
      </c>
      <c r="V6" s="23" t="str">
        <f t="shared" si="7"/>
        <v>27500;27500;27500;</v>
      </c>
      <c r="X6" s="13" t="str">
        <f t="shared" si="8"/>
        <v>1;5;6</v>
      </c>
      <c r="Y6" s="13" t="str">
        <f t="shared" si="9"/>
        <v>27500;27500;27500</v>
      </c>
    </row>
    <row r="7" spans="1:25" s="13" customFormat="1" ht="20.100000000000001" customHeight="1">
      <c r="A7" s="11">
        <v>1</v>
      </c>
      <c r="B7" s="9" t="s">
        <v>22</v>
      </c>
      <c r="C7" s="11">
        <v>5</v>
      </c>
      <c r="D7" s="14">
        <f>LOOKUP($A7,建筑产出!$BF$16:$BF$26,建筑产出!BI$16:BI$26)</f>
        <v>0.1</v>
      </c>
      <c r="E7" s="20">
        <v>0.2</v>
      </c>
      <c r="F7" s="20">
        <v>0.2</v>
      </c>
      <c r="G7" s="20">
        <v>0</v>
      </c>
      <c r="H7" s="20">
        <v>0</v>
      </c>
      <c r="I7" s="14">
        <f>ROUND(LOOKUP($C7,建筑产出!$A$2:$A$26,建筑产出!D$2:D$26)*D7,-2)</f>
        <v>25400</v>
      </c>
      <c r="J7" s="14">
        <f>ROUND(LOOKUP($C7,建筑产出!$A$2:$A$26,建筑产出!E$2:E$26)*E7,-2)</f>
        <v>25400</v>
      </c>
      <c r="K7" s="14">
        <f>ROUND(LOOKUP($C7,建筑产出!$A$2:$A$26,建筑产出!F$2:F$26)*F7,-2)</f>
        <v>25400</v>
      </c>
      <c r="L7" s="14">
        <f>ROUND(LOOKUP($C7,建筑产出!$A$2:$A$26,建筑产出!G$2:G$26)*G7,-2)</f>
        <v>0</v>
      </c>
      <c r="M7" s="14">
        <f>ROUND(LOOKUP($C7,建筑产出!$A$2:$A$26,建筑产出!H$2:H$26)*H7,-2)</f>
        <v>0</v>
      </c>
      <c r="N7" s="14"/>
      <c r="O7" s="14">
        <f t="shared" si="1"/>
        <v>1</v>
      </c>
      <c r="P7" s="14">
        <f t="shared" si="2"/>
        <v>3</v>
      </c>
      <c r="Q7" s="14">
        <f t="shared" si="3"/>
        <v>4</v>
      </c>
      <c r="R7" s="14">
        <f t="shared" si="4"/>
        <v>0</v>
      </c>
      <c r="S7" s="14">
        <f t="shared" si="5"/>
        <v>0</v>
      </c>
      <c r="T7" s="14"/>
      <c r="U7" s="14" t="str">
        <f t="shared" si="6"/>
        <v>1;3;4;</v>
      </c>
      <c r="V7" s="23" t="str">
        <f t="shared" si="7"/>
        <v>25400;25400;25400;</v>
      </c>
      <c r="X7" s="13" t="str">
        <f t="shared" si="8"/>
        <v>1;3;4</v>
      </c>
      <c r="Y7" s="13" t="str">
        <f t="shared" si="9"/>
        <v>25400;25400;25400</v>
      </c>
    </row>
    <row r="8" spans="1:25" s="13" customFormat="1" ht="20.100000000000001" customHeight="1">
      <c r="A8" s="11">
        <v>1</v>
      </c>
      <c r="B8" s="9" t="s">
        <v>22</v>
      </c>
      <c r="C8" s="11">
        <v>6</v>
      </c>
      <c r="D8" s="14">
        <f>LOOKUP($A8,建筑产出!$BF$16:$BF$26,建筑产出!BI$16:BI$26)</f>
        <v>0.1</v>
      </c>
      <c r="E8" s="20">
        <v>0</v>
      </c>
      <c r="F8" s="20">
        <v>0</v>
      </c>
      <c r="G8" s="20">
        <v>0.2</v>
      </c>
      <c r="H8" s="20">
        <v>0.2</v>
      </c>
      <c r="I8" s="14">
        <f>ROUND(LOOKUP($C8,建筑产出!$A$2:$A$26,建筑产出!D$2:D$26)*D8,-2)</f>
        <v>34800</v>
      </c>
      <c r="J8" s="14">
        <f>ROUND(LOOKUP($C8,建筑产出!$A$2:$A$26,建筑产出!E$2:E$26)*E8,-2)</f>
        <v>0</v>
      </c>
      <c r="K8" s="14">
        <f>ROUND(LOOKUP($C8,建筑产出!$A$2:$A$26,建筑产出!F$2:F$26)*F8,-2)</f>
        <v>0</v>
      </c>
      <c r="L8" s="14">
        <f>ROUND(LOOKUP($C8,建筑产出!$A$2:$A$26,建筑产出!G$2:G$26)*G8,-2)</f>
        <v>34800</v>
      </c>
      <c r="M8" s="14">
        <f>ROUND(LOOKUP($C8,建筑产出!$A$2:$A$26,建筑产出!H$2:H$26)*H8,-2)</f>
        <v>34800</v>
      </c>
      <c r="N8" s="14"/>
      <c r="O8" s="14">
        <f t="shared" si="1"/>
        <v>1</v>
      </c>
      <c r="P8" s="14">
        <f t="shared" si="2"/>
        <v>0</v>
      </c>
      <c r="Q8" s="14">
        <f t="shared" si="3"/>
        <v>0</v>
      </c>
      <c r="R8" s="14">
        <f t="shared" si="4"/>
        <v>5</v>
      </c>
      <c r="S8" s="14">
        <f t="shared" si="5"/>
        <v>6</v>
      </c>
      <c r="T8" s="14"/>
      <c r="U8" s="14" t="str">
        <f t="shared" si="6"/>
        <v>1;5;6;</v>
      </c>
      <c r="V8" s="23" t="str">
        <f t="shared" si="7"/>
        <v>34800;34800;34800;</v>
      </c>
      <c r="X8" s="13" t="str">
        <f t="shared" si="8"/>
        <v>1;5;6</v>
      </c>
      <c r="Y8" s="13" t="str">
        <f t="shared" si="9"/>
        <v>34800;34800;34800</v>
      </c>
    </row>
    <row r="9" spans="1:25" s="13" customFormat="1" ht="20.100000000000001" customHeight="1">
      <c r="A9" s="11">
        <v>1</v>
      </c>
      <c r="B9" s="9" t="s">
        <v>22</v>
      </c>
      <c r="C9" s="11">
        <v>7</v>
      </c>
      <c r="D9" s="14">
        <f>LOOKUP($A9,建筑产出!$BF$16:$BF$26,建筑产出!BI$16:BI$26)</f>
        <v>0.1</v>
      </c>
      <c r="E9" s="20">
        <v>0.2</v>
      </c>
      <c r="F9" s="20">
        <v>0.2</v>
      </c>
      <c r="G9" s="20">
        <v>0</v>
      </c>
      <c r="H9" s="20">
        <v>0</v>
      </c>
      <c r="I9" s="14">
        <f>ROUND(LOOKUP($C9,建筑产出!$A$2:$A$26,建筑产出!D$2:D$26)*D9,-2)</f>
        <v>45500</v>
      </c>
      <c r="J9" s="14">
        <f>ROUND(LOOKUP($C9,建筑产出!$A$2:$A$26,建筑产出!E$2:E$26)*E9,-2)</f>
        <v>45500</v>
      </c>
      <c r="K9" s="14">
        <f>ROUND(LOOKUP($C9,建筑产出!$A$2:$A$26,建筑产出!F$2:F$26)*F9,-2)</f>
        <v>45500</v>
      </c>
      <c r="L9" s="14">
        <f>ROUND(LOOKUP($C9,建筑产出!$A$2:$A$26,建筑产出!G$2:G$26)*G9,-2)</f>
        <v>0</v>
      </c>
      <c r="M9" s="14">
        <f>ROUND(LOOKUP($C9,建筑产出!$A$2:$A$26,建筑产出!H$2:H$26)*H9,-2)</f>
        <v>0</v>
      </c>
      <c r="N9" s="14"/>
      <c r="O9" s="14">
        <f t="shared" si="1"/>
        <v>1</v>
      </c>
      <c r="P9" s="14">
        <f t="shared" si="2"/>
        <v>3</v>
      </c>
      <c r="Q9" s="14">
        <f t="shared" si="3"/>
        <v>4</v>
      </c>
      <c r="R9" s="14">
        <f t="shared" si="4"/>
        <v>0</v>
      </c>
      <c r="S9" s="14">
        <f t="shared" si="5"/>
        <v>0</v>
      </c>
      <c r="T9" s="14"/>
      <c r="U9" s="14" t="str">
        <f t="shared" si="6"/>
        <v>1;3;4;</v>
      </c>
      <c r="V9" s="23" t="str">
        <f t="shared" si="7"/>
        <v>45500;45500;45500;</v>
      </c>
      <c r="X9" s="13" t="str">
        <f t="shared" si="8"/>
        <v>1;3;4</v>
      </c>
      <c r="Y9" s="13" t="str">
        <f t="shared" si="9"/>
        <v>45500;45500;45500</v>
      </c>
    </row>
    <row r="10" spans="1:25" s="13" customFormat="1" ht="20.100000000000001" customHeight="1">
      <c r="A10" s="11">
        <v>1</v>
      </c>
      <c r="B10" s="9" t="s">
        <v>22</v>
      </c>
      <c r="C10" s="11">
        <v>8</v>
      </c>
      <c r="D10" s="14">
        <f>LOOKUP($A10,建筑产出!$BF$16:$BF$26,建筑产出!BI$16:BI$26)</f>
        <v>0.1</v>
      </c>
      <c r="E10" s="20">
        <v>0</v>
      </c>
      <c r="F10" s="20">
        <v>0</v>
      </c>
      <c r="G10" s="20">
        <v>0.2</v>
      </c>
      <c r="H10" s="20">
        <v>0.2</v>
      </c>
      <c r="I10" s="14">
        <f>ROUND(LOOKUP($C10,建筑产出!$A$2:$A$26,建筑产出!D$2:D$26)*D10,-2)</f>
        <v>57600</v>
      </c>
      <c r="J10" s="14">
        <f>ROUND(LOOKUP($C10,建筑产出!$A$2:$A$26,建筑产出!E$2:E$26)*E10,-2)</f>
        <v>0</v>
      </c>
      <c r="K10" s="14">
        <f>ROUND(LOOKUP($C10,建筑产出!$A$2:$A$26,建筑产出!F$2:F$26)*F10,-2)</f>
        <v>0</v>
      </c>
      <c r="L10" s="14">
        <f>ROUND(LOOKUP($C10,建筑产出!$A$2:$A$26,建筑产出!G$2:G$26)*G10,-2)</f>
        <v>57600</v>
      </c>
      <c r="M10" s="14">
        <f>ROUND(LOOKUP($C10,建筑产出!$A$2:$A$26,建筑产出!H$2:H$26)*H10,-2)</f>
        <v>57600</v>
      </c>
      <c r="N10" s="14"/>
      <c r="O10" s="14">
        <f t="shared" si="1"/>
        <v>1</v>
      </c>
      <c r="P10" s="14">
        <f t="shared" si="2"/>
        <v>0</v>
      </c>
      <c r="Q10" s="14">
        <f t="shared" si="3"/>
        <v>0</v>
      </c>
      <c r="R10" s="14">
        <f t="shared" si="4"/>
        <v>5</v>
      </c>
      <c r="S10" s="14">
        <f t="shared" si="5"/>
        <v>6</v>
      </c>
      <c r="T10" s="14"/>
      <c r="U10" s="14" t="str">
        <f t="shared" si="6"/>
        <v>1;5;6;</v>
      </c>
      <c r="V10" s="23" t="str">
        <f t="shared" si="7"/>
        <v>57600;57600;57600;</v>
      </c>
      <c r="X10" s="13" t="str">
        <f t="shared" si="8"/>
        <v>1;5;6</v>
      </c>
      <c r="Y10" s="13" t="str">
        <f t="shared" si="9"/>
        <v>57600;57600;57600</v>
      </c>
    </row>
    <row r="11" spans="1:25" s="13" customFormat="1" ht="20.100000000000001" customHeight="1">
      <c r="A11" s="11">
        <v>1</v>
      </c>
      <c r="B11" s="9" t="s">
        <v>22</v>
      </c>
      <c r="C11" s="11">
        <v>9</v>
      </c>
      <c r="D11" s="14">
        <f>LOOKUP($A11,建筑产出!$BF$16:$BF$26,建筑产出!BI$16:BI$26)</f>
        <v>0.1</v>
      </c>
      <c r="E11" s="20">
        <v>0.2</v>
      </c>
      <c r="F11" s="20">
        <v>0.2</v>
      </c>
      <c r="G11" s="20">
        <v>0</v>
      </c>
      <c r="H11" s="20">
        <v>0</v>
      </c>
      <c r="I11" s="14">
        <f>ROUND(LOOKUP($C11,建筑产出!$A$2:$A$26,建筑产出!D$2:D$26)*D11,-2)</f>
        <v>71100</v>
      </c>
      <c r="J11" s="14">
        <f>ROUND(LOOKUP($C11,建筑产出!$A$2:$A$26,建筑产出!E$2:E$26)*E11,-2)</f>
        <v>71100</v>
      </c>
      <c r="K11" s="14">
        <f>ROUND(LOOKUP($C11,建筑产出!$A$2:$A$26,建筑产出!F$2:F$26)*F11,-2)</f>
        <v>71100</v>
      </c>
      <c r="L11" s="14">
        <f>ROUND(LOOKUP($C11,建筑产出!$A$2:$A$26,建筑产出!G$2:G$26)*G11,-2)</f>
        <v>0</v>
      </c>
      <c r="M11" s="14">
        <f>ROUND(LOOKUP($C11,建筑产出!$A$2:$A$26,建筑产出!H$2:H$26)*H11,-2)</f>
        <v>0</v>
      </c>
      <c r="N11" s="14"/>
      <c r="O11" s="14">
        <f t="shared" si="1"/>
        <v>1</v>
      </c>
      <c r="P11" s="14">
        <f t="shared" si="2"/>
        <v>3</v>
      </c>
      <c r="Q11" s="14">
        <f t="shared" si="3"/>
        <v>4</v>
      </c>
      <c r="R11" s="14">
        <f t="shared" si="4"/>
        <v>0</v>
      </c>
      <c r="S11" s="14">
        <f t="shared" si="5"/>
        <v>0</v>
      </c>
      <c r="T11" s="14"/>
      <c r="U11" s="14" t="str">
        <f t="shared" si="6"/>
        <v>1;3;4;</v>
      </c>
      <c r="V11" s="23" t="str">
        <f t="shared" si="7"/>
        <v>71100;71100;71100;</v>
      </c>
      <c r="X11" s="13" t="str">
        <f t="shared" si="8"/>
        <v>1;3;4</v>
      </c>
      <c r="Y11" s="13" t="str">
        <f t="shared" si="9"/>
        <v>71100;71100;71100</v>
      </c>
    </row>
    <row r="12" spans="1:25" s="13" customFormat="1" ht="20.100000000000001" customHeight="1">
      <c r="A12" s="11">
        <v>1</v>
      </c>
      <c r="B12" s="9" t="s">
        <v>22</v>
      </c>
      <c r="C12" s="11">
        <v>10</v>
      </c>
      <c r="D12" s="14">
        <f>LOOKUP($A12,建筑产出!$BF$16:$BF$26,建筑产出!BI$16:BI$26)</f>
        <v>0.1</v>
      </c>
      <c r="E12" s="20">
        <v>0</v>
      </c>
      <c r="F12" s="20">
        <v>0</v>
      </c>
      <c r="G12" s="20">
        <v>0.2</v>
      </c>
      <c r="H12" s="20">
        <v>0.2</v>
      </c>
      <c r="I12" s="14">
        <f>ROUND(LOOKUP($C12,建筑产出!$A$2:$A$26,建筑产出!D$2:D$26)*D12,-2)</f>
        <v>88900</v>
      </c>
      <c r="J12" s="14">
        <f>ROUND(LOOKUP($C12,建筑产出!$A$2:$A$26,建筑产出!E$2:E$26)*E12,-2)</f>
        <v>0</v>
      </c>
      <c r="K12" s="14">
        <f>ROUND(LOOKUP($C12,建筑产出!$A$2:$A$26,建筑产出!F$2:F$26)*F12,-2)</f>
        <v>0</v>
      </c>
      <c r="L12" s="14">
        <f>ROUND(LOOKUP($C12,建筑产出!$A$2:$A$26,建筑产出!G$2:G$26)*G12,-2)</f>
        <v>88900</v>
      </c>
      <c r="M12" s="14">
        <f>ROUND(LOOKUP($C12,建筑产出!$A$2:$A$26,建筑产出!H$2:H$26)*H12,-2)</f>
        <v>88900</v>
      </c>
      <c r="N12" s="14"/>
      <c r="O12" s="14">
        <f t="shared" si="1"/>
        <v>1</v>
      </c>
      <c r="P12" s="14">
        <f t="shared" si="2"/>
        <v>0</v>
      </c>
      <c r="Q12" s="14">
        <f t="shared" si="3"/>
        <v>0</v>
      </c>
      <c r="R12" s="14">
        <f t="shared" si="4"/>
        <v>5</v>
      </c>
      <c r="S12" s="14">
        <f t="shared" si="5"/>
        <v>6</v>
      </c>
      <c r="T12" s="14"/>
      <c r="U12" s="14" t="str">
        <f t="shared" si="6"/>
        <v>1;5;6;</v>
      </c>
      <c r="V12" s="23" t="str">
        <f t="shared" si="7"/>
        <v>88900;88900;88900;</v>
      </c>
      <c r="X12" s="13" t="str">
        <f t="shared" si="8"/>
        <v>1;5;6</v>
      </c>
      <c r="Y12" s="13" t="str">
        <f t="shared" si="9"/>
        <v>88900;88900;88900</v>
      </c>
    </row>
    <row r="13" spans="1:25" s="13" customFormat="1" ht="20.100000000000001" customHeight="1">
      <c r="A13" s="11">
        <v>1</v>
      </c>
      <c r="B13" s="9" t="s">
        <v>22</v>
      </c>
      <c r="C13" s="11">
        <v>11</v>
      </c>
      <c r="D13" s="14">
        <f>LOOKUP($A13,建筑产出!$BF$16:$BF$26,建筑产出!BI$16:BI$26)</f>
        <v>0.1</v>
      </c>
      <c r="E13" s="20">
        <v>0.2</v>
      </c>
      <c r="F13" s="20">
        <v>0.2</v>
      </c>
      <c r="G13" s="20">
        <v>0</v>
      </c>
      <c r="H13" s="20">
        <v>0</v>
      </c>
      <c r="I13" s="14">
        <f>ROUND(LOOKUP($C13,建筑产出!$A$2:$A$26,建筑产出!D$2:D$26)*D13,-2)</f>
        <v>108500</v>
      </c>
      <c r="J13" s="14">
        <f>ROUND(LOOKUP($C13,建筑产出!$A$2:$A$26,建筑产出!E$2:E$26)*E13,-2)</f>
        <v>108500</v>
      </c>
      <c r="K13" s="14">
        <f>ROUND(LOOKUP($C13,建筑产出!$A$2:$A$26,建筑产出!F$2:F$26)*F13,-2)</f>
        <v>108500</v>
      </c>
      <c r="L13" s="14">
        <f>ROUND(LOOKUP($C13,建筑产出!$A$2:$A$26,建筑产出!G$2:G$26)*G13,-2)</f>
        <v>0</v>
      </c>
      <c r="M13" s="14">
        <f>ROUND(LOOKUP($C13,建筑产出!$A$2:$A$26,建筑产出!H$2:H$26)*H13,-2)</f>
        <v>0</v>
      </c>
      <c r="N13" s="14"/>
      <c r="O13" s="14">
        <f t="shared" si="1"/>
        <v>1</v>
      </c>
      <c r="P13" s="14">
        <f t="shared" si="2"/>
        <v>3</v>
      </c>
      <c r="Q13" s="14">
        <f t="shared" si="3"/>
        <v>4</v>
      </c>
      <c r="R13" s="14">
        <f t="shared" si="4"/>
        <v>0</v>
      </c>
      <c r="S13" s="14">
        <f t="shared" si="5"/>
        <v>0</v>
      </c>
      <c r="T13" s="14"/>
      <c r="U13" s="14" t="str">
        <f t="shared" si="6"/>
        <v>1;3;4;</v>
      </c>
      <c r="V13" s="23" t="str">
        <f t="shared" si="7"/>
        <v>108500;108500;108500;</v>
      </c>
      <c r="X13" s="13" t="str">
        <f t="shared" si="8"/>
        <v>1;3;4</v>
      </c>
      <c r="Y13" s="13" t="str">
        <f t="shared" si="9"/>
        <v>108500;108500;108500</v>
      </c>
    </row>
    <row r="14" spans="1:25" s="13" customFormat="1" ht="20.100000000000001" customHeight="1">
      <c r="A14" s="11">
        <v>1</v>
      </c>
      <c r="B14" s="9" t="s">
        <v>22</v>
      </c>
      <c r="C14" s="11">
        <v>12</v>
      </c>
      <c r="D14" s="14">
        <f>LOOKUP($A14,建筑产出!$BF$16:$BF$26,建筑产出!BI$16:BI$26)</f>
        <v>0.1</v>
      </c>
      <c r="E14" s="20">
        <v>0</v>
      </c>
      <c r="F14" s="20">
        <v>0</v>
      </c>
      <c r="G14" s="20">
        <v>0.2</v>
      </c>
      <c r="H14" s="20">
        <v>0.2</v>
      </c>
      <c r="I14" s="14">
        <f>ROUND(LOOKUP($C14,建筑产出!$A$2:$A$26,建筑产出!D$2:D$26)*D14,-2)</f>
        <v>130000</v>
      </c>
      <c r="J14" s="14">
        <f>ROUND(LOOKUP($C14,建筑产出!$A$2:$A$26,建筑产出!E$2:E$26)*E14,-2)</f>
        <v>0</v>
      </c>
      <c r="K14" s="14">
        <f>ROUND(LOOKUP($C14,建筑产出!$A$2:$A$26,建筑产出!F$2:F$26)*F14,-2)</f>
        <v>0</v>
      </c>
      <c r="L14" s="14">
        <f>ROUND(LOOKUP($C14,建筑产出!$A$2:$A$26,建筑产出!G$2:G$26)*G14,-2)</f>
        <v>130000</v>
      </c>
      <c r="M14" s="14">
        <f>ROUND(LOOKUP($C14,建筑产出!$A$2:$A$26,建筑产出!H$2:H$26)*H14,-2)</f>
        <v>130000</v>
      </c>
      <c r="N14" s="14"/>
      <c r="O14" s="14">
        <f t="shared" si="1"/>
        <v>1</v>
      </c>
      <c r="P14" s="14">
        <f t="shared" si="2"/>
        <v>0</v>
      </c>
      <c r="Q14" s="14">
        <f t="shared" si="3"/>
        <v>0</v>
      </c>
      <c r="R14" s="14">
        <f t="shared" si="4"/>
        <v>5</v>
      </c>
      <c r="S14" s="14">
        <f t="shared" si="5"/>
        <v>6</v>
      </c>
      <c r="T14" s="14"/>
      <c r="U14" s="14" t="str">
        <f t="shared" si="6"/>
        <v>1;5;6;</v>
      </c>
      <c r="V14" s="23" t="str">
        <f t="shared" si="7"/>
        <v>130000;130000;130000;</v>
      </c>
      <c r="X14" s="13" t="str">
        <f t="shared" si="8"/>
        <v>1;5;6</v>
      </c>
      <c r="Y14" s="13" t="str">
        <f t="shared" si="9"/>
        <v>130000;130000;130000</v>
      </c>
    </row>
    <row r="15" spans="1:25" s="13" customFormat="1" ht="20.100000000000001" customHeight="1">
      <c r="A15" s="11">
        <v>1</v>
      </c>
      <c r="B15" s="9" t="s">
        <v>22</v>
      </c>
      <c r="C15" s="11">
        <v>13</v>
      </c>
      <c r="D15" s="14">
        <f>LOOKUP($A15,建筑产出!$BF$16:$BF$26,建筑产出!BI$16:BI$26)</f>
        <v>0.1</v>
      </c>
      <c r="E15" s="20">
        <v>0.2</v>
      </c>
      <c r="F15" s="20">
        <v>0.2</v>
      </c>
      <c r="G15" s="20">
        <v>0</v>
      </c>
      <c r="H15" s="20">
        <v>0</v>
      </c>
      <c r="I15" s="14">
        <f>ROUND(LOOKUP($C15,建筑产出!$A$2:$A$26,建筑产出!D$2:D$26)*D15,-2)</f>
        <v>153300</v>
      </c>
      <c r="J15" s="14">
        <f>ROUND(LOOKUP($C15,建筑产出!$A$2:$A$26,建筑产出!E$2:E$26)*E15,-2)</f>
        <v>153300</v>
      </c>
      <c r="K15" s="14">
        <f>ROUND(LOOKUP($C15,建筑产出!$A$2:$A$26,建筑产出!F$2:F$26)*F15,-2)</f>
        <v>153300</v>
      </c>
      <c r="L15" s="14">
        <f>ROUND(LOOKUP($C15,建筑产出!$A$2:$A$26,建筑产出!G$2:G$26)*G15,-2)</f>
        <v>0</v>
      </c>
      <c r="M15" s="14">
        <f>ROUND(LOOKUP($C15,建筑产出!$A$2:$A$26,建筑产出!H$2:H$26)*H15,-2)</f>
        <v>0</v>
      </c>
      <c r="N15" s="14"/>
      <c r="O15" s="14">
        <f t="shared" si="1"/>
        <v>1</v>
      </c>
      <c r="P15" s="14">
        <f t="shared" si="2"/>
        <v>3</v>
      </c>
      <c r="Q15" s="14">
        <f t="shared" si="3"/>
        <v>4</v>
      </c>
      <c r="R15" s="14">
        <f t="shared" si="4"/>
        <v>0</v>
      </c>
      <c r="S15" s="14">
        <f t="shared" si="5"/>
        <v>0</v>
      </c>
      <c r="T15" s="14"/>
      <c r="U15" s="14" t="str">
        <f t="shared" si="6"/>
        <v>1;3;4;</v>
      </c>
      <c r="V15" s="23" t="str">
        <f t="shared" si="7"/>
        <v>153300;153300;153300;</v>
      </c>
      <c r="X15" s="13" t="str">
        <f t="shared" si="8"/>
        <v>1;3;4</v>
      </c>
      <c r="Y15" s="13" t="str">
        <f t="shared" si="9"/>
        <v>153300;153300;153300</v>
      </c>
    </row>
    <row r="16" spans="1:25" s="13" customFormat="1" ht="20.100000000000001" customHeight="1">
      <c r="A16" s="11">
        <v>1</v>
      </c>
      <c r="B16" s="9" t="s">
        <v>22</v>
      </c>
      <c r="C16" s="11">
        <v>14</v>
      </c>
      <c r="D16" s="14">
        <f>LOOKUP($A16,建筑产出!$BF$16:$BF$26,建筑产出!BI$16:BI$26)</f>
        <v>0.1</v>
      </c>
      <c r="E16" s="20">
        <v>0</v>
      </c>
      <c r="F16" s="20">
        <v>0</v>
      </c>
      <c r="G16" s="20">
        <v>0.2</v>
      </c>
      <c r="H16" s="20">
        <v>0.2</v>
      </c>
      <c r="I16" s="14">
        <f>ROUND(LOOKUP($C16,建筑产出!$A$2:$A$26,建筑产出!D$2:D$26)*D16,-2)</f>
        <v>178500</v>
      </c>
      <c r="J16" s="14">
        <f>ROUND(LOOKUP($C16,建筑产出!$A$2:$A$26,建筑产出!E$2:E$26)*E16,-2)</f>
        <v>0</v>
      </c>
      <c r="K16" s="14">
        <f>ROUND(LOOKUP($C16,建筑产出!$A$2:$A$26,建筑产出!F$2:F$26)*F16,-2)</f>
        <v>0</v>
      </c>
      <c r="L16" s="14">
        <f>ROUND(LOOKUP($C16,建筑产出!$A$2:$A$26,建筑产出!G$2:G$26)*G16,-2)</f>
        <v>178500</v>
      </c>
      <c r="M16" s="14">
        <f>ROUND(LOOKUP($C16,建筑产出!$A$2:$A$26,建筑产出!H$2:H$26)*H16,-2)</f>
        <v>178500</v>
      </c>
      <c r="N16" s="14"/>
      <c r="O16" s="14">
        <f t="shared" si="1"/>
        <v>1</v>
      </c>
      <c r="P16" s="14">
        <f t="shared" si="2"/>
        <v>0</v>
      </c>
      <c r="Q16" s="14">
        <f t="shared" si="3"/>
        <v>0</v>
      </c>
      <c r="R16" s="14">
        <f t="shared" si="4"/>
        <v>5</v>
      </c>
      <c r="S16" s="14">
        <f t="shared" si="5"/>
        <v>6</v>
      </c>
      <c r="T16" s="14"/>
      <c r="U16" s="14" t="str">
        <f t="shared" si="6"/>
        <v>1;5;6;</v>
      </c>
      <c r="V16" s="23" t="str">
        <f t="shared" si="7"/>
        <v>178500;178500;178500;</v>
      </c>
      <c r="X16" s="13" t="str">
        <f t="shared" si="8"/>
        <v>1;5;6</v>
      </c>
      <c r="Y16" s="13" t="str">
        <f t="shared" si="9"/>
        <v>178500;178500;178500</v>
      </c>
    </row>
    <row r="17" spans="1:25" s="13" customFormat="1" ht="20.100000000000001" customHeight="1">
      <c r="A17" s="11">
        <v>1</v>
      </c>
      <c r="B17" s="9" t="s">
        <v>22</v>
      </c>
      <c r="C17" s="11">
        <v>15</v>
      </c>
      <c r="D17" s="14">
        <f>LOOKUP($A17,建筑产出!$BF$16:$BF$26,建筑产出!BI$16:BI$26)</f>
        <v>0.1</v>
      </c>
      <c r="E17" s="20">
        <v>0.2</v>
      </c>
      <c r="F17" s="20">
        <v>0.2</v>
      </c>
      <c r="G17" s="20">
        <v>0</v>
      </c>
      <c r="H17" s="20">
        <v>0</v>
      </c>
      <c r="I17" s="14">
        <f>ROUND(LOOKUP($C17,建筑产出!$A$2:$A$26,建筑产出!D$2:D$26)*D17,-2)</f>
        <v>209600</v>
      </c>
      <c r="J17" s="14">
        <f>ROUND(LOOKUP($C17,建筑产出!$A$2:$A$26,建筑产出!E$2:E$26)*E17,-2)</f>
        <v>209600</v>
      </c>
      <c r="K17" s="14">
        <f>ROUND(LOOKUP($C17,建筑产出!$A$2:$A$26,建筑产出!F$2:F$26)*F17,-2)</f>
        <v>209600</v>
      </c>
      <c r="L17" s="14">
        <f>ROUND(LOOKUP($C17,建筑产出!$A$2:$A$26,建筑产出!G$2:G$26)*G17,-2)</f>
        <v>0</v>
      </c>
      <c r="M17" s="14">
        <f>ROUND(LOOKUP($C17,建筑产出!$A$2:$A$26,建筑产出!H$2:H$26)*H17,-2)</f>
        <v>0</v>
      </c>
      <c r="N17" s="14"/>
      <c r="O17" s="14">
        <f t="shared" si="1"/>
        <v>1</v>
      </c>
      <c r="P17" s="14">
        <f t="shared" si="2"/>
        <v>3</v>
      </c>
      <c r="Q17" s="14">
        <f t="shared" si="3"/>
        <v>4</v>
      </c>
      <c r="R17" s="14">
        <f t="shared" si="4"/>
        <v>0</v>
      </c>
      <c r="S17" s="14">
        <f t="shared" si="5"/>
        <v>0</v>
      </c>
      <c r="T17" s="14"/>
      <c r="U17" s="14" t="str">
        <f t="shared" si="6"/>
        <v>1;3;4;</v>
      </c>
      <c r="V17" s="23" t="str">
        <f t="shared" si="7"/>
        <v>209600;209600;209600;</v>
      </c>
      <c r="X17" s="13" t="str">
        <f t="shared" si="8"/>
        <v>1;3;4</v>
      </c>
      <c r="Y17" s="13" t="str">
        <f t="shared" si="9"/>
        <v>209600;209600;209600</v>
      </c>
    </row>
    <row r="18" spans="1:25" s="13" customFormat="1" ht="20.100000000000001" customHeight="1">
      <c r="A18" s="11">
        <v>1</v>
      </c>
      <c r="B18" s="9" t="s">
        <v>22</v>
      </c>
      <c r="C18" s="11">
        <v>16</v>
      </c>
      <c r="D18" s="14">
        <f>LOOKUP($A18,建筑产出!$BF$16:$BF$26,建筑产出!BI$16:BI$26)</f>
        <v>0.1</v>
      </c>
      <c r="E18" s="20">
        <v>0</v>
      </c>
      <c r="F18" s="20">
        <v>0</v>
      </c>
      <c r="G18" s="20">
        <v>0.2</v>
      </c>
      <c r="H18" s="20">
        <v>0.2</v>
      </c>
      <c r="I18" s="14">
        <f>ROUND(LOOKUP($C18,建筑产出!$A$2:$A$26,建筑产出!D$2:D$26)*D18,-2)</f>
        <v>243000</v>
      </c>
      <c r="J18" s="14">
        <f>ROUND(LOOKUP($C18,建筑产出!$A$2:$A$26,建筑产出!E$2:E$26)*E18,-2)</f>
        <v>0</v>
      </c>
      <c r="K18" s="14">
        <f>ROUND(LOOKUP($C18,建筑产出!$A$2:$A$26,建筑产出!F$2:F$26)*F18,-2)</f>
        <v>0</v>
      </c>
      <c r="L18" s="14">
        <f>ROUND(LOOKUP($C18,建筑产出!$A$2:$A$26,建筑产出!G$2:G$26)*G18,-2)</f>
        <v>243000</v>
      </c>
      <c r="M18" s="14">
        <f>ROUND(LOOKUP($C18,建筑产出!$A$2:$A$26,建筑产出!H$2:H$26)*H18,-2)</f>
        <v>243000</v>
      </c>
      <c r="N18" s="14"/>
      <c r="O18" s="14">
        <f t="shared" si="1"/>
        <v>1</v>
      </c>
      <c r="P18" s="14">
        <f t="shared" si="2"/>
        <v>0</v>
      </c>
      <c r="Q18" s="14">
        <f t="shared" si="3"/>
        <v>0</v>
      </c>
      <c r="R18" s="14">
        <f t="shared" si="4"/>
        <v>5</v>
      </c>
      <c r="S18" s="14">
        <f t="shared" si="5"/>
        <v>6</v>
      </c>
      <c r="T18" s="14"/>
      <c r="U18" s="14" t="str">
        <f t="shared" si="6"/>
        <v>1;5;6;</v>
      </c>
      <c r="V18" s="23" t="str">
        <f t="shared" si="7"/>
        <v>243000;243000;243000;</v>
      </c>
      <c r="X18" s="13" t="str">
        <f t="shared" si="8"/>
        <v>1;5;6</v>
      </c>
      <c r="Y18" s="13" t="str">
        <f t="shared" si="9"/>
        <v>243000;243000;243000</v>
      </c>
    </row>
    <row r="19" spans="1:25" s="13" customFormat="1" ht="20.100000000000001" customHeight="1">
      <c r="A19" s="11">
        <v>1</v>
      </c>
      <c r="B19" s="9" t="s">
        <v>22</v>
      </c>
      <c r="C19" s="11">
        <v>17</v>
      </c>
      <c r="D19" s="14">
        <f>LOOKUP($A19,建筑产出!$BF$16:$BF$26,建筑产出!BI$16:BI$26)</f>
        <v>0.1</v>
      </c>
      <c r="E19" s="20">
        <v>0.2</v>
      </c>
      <c r="F19" s="20">
        <v>0.2</v>
      </c>
      <c r="G19" s="20">
        <v>0</v>
      </c>
      <c r="H19" s="20">
        <v>0</v>
      </c>
      <c r="I19" s="14">
        <f>ROUND(LOOKUP($C19,建筑产出!$A$2:$A$26,建筑产出!D$2:D$26)*D19,-2)</f>
        <v>278700</v>
      </c>
      <c r="J19" s="14">
        <f>ROUND(LOOKUP($C19,建筑产出!$A$2:$A$26,建筑产出!E$2:E$26)*E19,-2)</f>
        <v>278700</v>
      </c>
      <c r="K19" s="14">
        <f>ROUND(LOOKUP($C19,建筑产出!$A$2:$A$26,建筑产出!F$2:F$26)*F19,-2)</f>
        <v>278700</v>
      </c>
      <c r="L19" s="14">
        <f>ROUND(LOOKUP($C19,建筑产出!$A$2:$A$26,建筑产出!G$2:G$26)*G19,-2)</f>
        <v>0</v>
      </c>
      <c r="M19" s="14">
        <f>ROUND(LOOKUP($C19,建筑产出!$A$2:$A$26,建筑产出!H$2:H$26)*H19,-2)</f>
        <v>0</v>
      </c>
      <c r="N19" s="14"/>
      <c r="O19" s="14">
        <f t="shared" si="1"/>
        <v>1</v>
      </c>
      <c r="P19" s="14">
        <f t="shared" si="2"/>
        <v>3</v>
      </c>
      <c r="Q19" s="14">
        <f t="shared" si="3"/>
        <v>4</v>
      </c>
      <c r="R19" s="14">
        <f t="shared" si="4"/>
        <v>0</v>
      </c>
      <c r="S19" s="14">
        <f t="shared" si="5"/>
        <v>0</v>
      </c>
      <c r="T19" s="14"/>
      <c r="U19" s="14" t="str">
        <f t="shared" si="6"/>
        <v>1;3;4;</v>
      </c>
      <c r="V19" s="23" t="str">
        <f t="shared" si="7"/>
        <v>278700;278700;278700;</v>
      </c>
      <c r="X19" s="13" t="str">
        <f t="shared" si="8"/>
        <v>1;3;4</v>
      </c>
      <c r="Y19" s="13" t="str">
        <f t="shared" si="9"/>
        <v>278700;278700;278700</v>
      </c>
    </row>
    <row r="20" spans="1:25" s="13" customFormat="1" ht="20.100000000000001" customHeight="1">
      <c r="A20" s="11">
        <v>1</v>
      </c>
      <c r="B20" s="9" t="s">
        <v>22</v>
      </c>
      <c r="C20" s="11">
        <v>18</v>
      </c>
      <c r="D20" s="14">
        <f>LOOKUP($A20,建筑产出!$BF$16:$BF$26,建筑产出!BI$16:BI$26)</f>
        <v>0.1</v>
      </c>
      <c r="E20" s="20">
        <v>0</v>
      </c>
      <c r="F20" s="20">
        <v>0</v>
      </c>
      <c r="G20" s="20">
        <v>0.2</v>
      </c>
      <c r="H20" s="20">
        <v>0.2</v>
      </c>
      <c r="I20" s="14">
        <f>ROUND(LOOKUP($C20,建筑产出!$A$2:$A$26,建筑产出!D$2:D$26)*D20,-2)</f>
        <v>316700</v>
      </c>
      <c r="J20" s="14">
        <f>ROUND(LOOKUP($C20,建筑产出!$A$2:$A$26,建筑产出!E$2:E$26)*E20,-2)</f>
        <v>0</v>
      </c>
      <c r="K20" s="14">
        <f>ROUND(LOOKUP($C20,建筑产出!$A$2:$A$26,建筑产出!F$2:F$26)*F20,-2)</f>
        <v>0</v>
      </c>
      <c r="L20" s="14">
        <f>ROUND(LOOKUP($C20,建筑产出!$A$2:$A$26,建筑产出!G$2:G$26)*G20,-2)</f>
        <v>316700</v>
      </c>
      <c r="M20" s="14">
        <f>ROUND(LOOKUP($C20,建筑产出!$A$2:$A$26,建筑产出!H$2:H$26)*H20,-2)</f>
        <v>316700</v>
      </c>
      <c r="N20" s="14"/>
      <c r="O20" s="14">
        <f t="shared" si="1"/>
        <v>1</v>
      </c>
      <c r="P20" s="14">
        <f t="shared" si="2"/>
        <v>0</v>
      </c>
      <c r="Q20" s="14">
        <f t="shared" si="3"/>
        <v>0</v>
      </c>
      <c r="R20" s="14">
        <f t="shared" si="4"/>
        <v>5</v>
      </c>
      <c r="S20" s="14">
        <f t="shared" si="5"/>
        <v>6</v>
      </c>
      <c r="T20" s="14"/>
      <c r="U20" s="14" t="str">
        <f t="shared" si="6"/>
        <v>1;5;6;</v>
      </c>
      <c r="V20" s="23" t="str">
        <f t="shared" si="7"/>
        <v>316700;316700;316700;</v>
      </c>
      <c r="X20" s="13" t="str">
        <f t="shared" si="8"/>
        <v>1;5;6</v>
      </c>
      <c r="Y20" s="13" t="str">
        <f t="shared" si="9"/>
        <v>316700;316700;316700</v>
      </c>
    </row>
    <row r="21" spans="1:25" s="13" customFormat="1" ht="20.100000000000001" customHeight="1">
      <c r="A21" s="11">
        <v>1</v>
      </c>
      <c r="B21" s="9" t="s">
        <v>22</v>
      </c>
      <c r="C21" s="11">
        <v>19</v>
      </c>
      <c r="D21" s="14">
        <f>LOOKUP($A21,建筑产出!$BF$16:$BF$26,建筑产出!BI$16:BI$26)</f>
        <v>0.1</v>
      </c>
      <c r="E21" s="20">
        <v>0.2</v>
      </c>
      <c r="F21" s="20">
        <v>0.2</v>
      </c>
      <c r="G21" s="20">
        <v>0</v>
      </c>
      <c r="H21" s="20">
        <v>0</v>
      </c>
      <c r="I21" s="14">
        <f>ROUND(LOOKUP($C21,建筑产出!$A$2:$A$26,建筑产出!D$2:D$26)*D21,-2)</f>
        <v>357000</v>
      </c>
      <c r="J21" s="14">
        <f>ROUND(LOOKUP($C21,建筑产出!$A$2:$A$26,建筑产出!E$2:E$26)*E21,-2)</f>
        <v>357000</v>
      </c>
      <c r="K21" s="14">
        <f>ROUND(LOOKUP($C21,建筑产出!$A$2:$A$26,建筑产出!F$2:F$26)*F21,-2)</f>
        <v>357000</v>
      </c>
      <c r="L21" s="14">
        <f>ROUND(LOOKUP($C21,建筑产出!$A$2:$A$26,建筑产出!G$2:G$26)*G21,-2)</f>
        <v>0</v>
      </c>
      <c r="M21" s="14">
        <f>ROUND(LOOKUP($C21,建筑产出!$A$2:$A$26,建筑产出!H$2:H$26)*H21,-2)</f>
        <v>0</v>
      </c>
      <c r="N21" s="14"/>
      <c r="O21" s="14">
        <f t="shared" si="1"/>
        <v>1</v>
      </c>
      <c r="P21" s="14">
        <f t="shared" si="2"/>
        <v>3</v>
      </c>
      <c r="Q21" s="14">
        <f t="shared" si="3"/>
        <v>4</v>
      </c>
      <c r="R21" s="14">
        <f t="shared" si="4"/>
        <v>0</v>
      </c>
      <c r="S21" s="14">
        <f t="shared" si="5"/>
        <v>0</v>
      </c>
      <c r="T21" s="14"/>
      <c r="U21" s="14" t="str">
        <f t="shared" si="6"/>
        <v>1;3;4;</v>
      </c>
      <c r="V21" s="23" t="str">
        <f t="shared" si="7"/>
        <v>357000;357000;357000;</v>
      </c>
      <c r="X21" s="13" t="str">
        <f t="shared" si="8"/>
        <v>1;3;4</v>
      </c>
      <c r="Y21" s="13" t="str">
        <f t="shared" si="9"/>
        <v>357000;357000;357000</v>
      </c>
    </row>
    <row r="22" spans="1:25" s="13" customFormat="1" ht="20.100000000000001" customHeight="1">
      <c r="A22" s="11">
        <v>1</v>
      </c>
      <c r="B22" s="9" t="s">
        <v>22</v>
      </c>
      <c r="C22" s="11">
        <v>20</v>
      </c>
      <c r="D22" s="14">
        <f>LOOKUP($A22,建筑产出!$BF$16:$BF$26,建筑产出!BI$16:BI$26)</f>
        <v>0.1</v>
      </c>
      <c r="E22" s="20">
        <v>0</v>
      </c>
      <c r="F22" s="20">
        <v>0</v>
      </c>
      <c r="G22" s="20">
        <v>0.2</v>
      </c>
      <c r="H22" s="20">
        <v>0.2</v>
      </c>
      <c r="I22" s="14">
        <f>ROUND(LOOKUP($C22,建筑产出!$A$2:$A$26,建筑产出!D$2:D$26)*D22,-2)</f>
        <v>404900</v>
      </c>
      <c r="J22" s="14">
        <f>ROUND(LOOKUP($C22,建筑产出!$A$2:$A$26,建筑产出!E$2:E$26)*E22,-2)</f>
        <v>0</v>
      </c>
      <c r="K22" s="14">
        <f>ROUND(LOOKUP($C22,建筑产出!$A$2:$A$26,建筑产出!F$2:F$26)*F22,-2)</f>
        <v>0</v>
      </c>
      <c r="L22" s="14">
        <f>ROUND(LOOKUP($C22,建筑产出!$A$2:$A$26,建筑产出!G$2:G$26)*G22,-2)</f>
        <v>404900</v>
      </c>
      <c r="M22" s="14">
        <f>ROUND(LOOKUP($C22,建筑产出!$A$2:$A$26,建筑产出!H$2:H$26)*H22,-2)</f>
        <v>404900</v>
      </c>
      <c r="N22" s="14"/>
      <c r="O22" s="14">
        <f t="shared" si="1"/>
        <v>1</v>
      </c>
      <c r="P22" s="14">
        <f t="shared" si="2"/>
        <v>0</v>
      </c>
      <c r="Q22" s="14">
        <f t="shared" si="3"/>
        <v>0</v>
      </c>
      <c r="R22" s="14">
        <f t="shared" si="4"/>
        <v>5</v>
      </c>
      <c r="S22" s="14">
        <f t="shared" si="5"/>
        <v>6</v>
      </c>
      <c r="T22" s="14"/>
      <c r="U22" s="14" t="str">
        <f t="shared" si="6"/>
        <v>1;5;6;</v>
      </c>
      <c r="V22" s="23" t="str">
        <f t="shared" si="7"/>
        <v>404900;404900;404900;</v>
      </c>
      <c r="X22" s="13" t="str">
        <f t="shared" si="8"/>
        <v>1;5;6</v>
      </c>
      <c r="Y22" s="13" t="str">
        <f t="shared" si="9"/>
        <v>404900;404900;404900</v>
      </c>
    </row>
    <row r="23" spans="1:25" s="13" customFormat="1" ht="20.100000000000001" customHeight="1">
      <c r="A23" s="11">
        <v>1</v>
      </c>
      <c r="B23" s="9" t="s">
        <v>22</v>
      </c>
      <c r="C23" s="11">
        <v>21</v>
      </c>
      <c r="D23" s="14">
        <f>LOOKUP($A23,建筑产出!$BF$16:$BF$26,建筑产出!BI$16:BI$26)</f>
        <v>0.1</v>
      </c>
      <c r="E23" s="20">
        <v>0.2</v>
      </c>
      <c r="F23" s="20">
        <v>0.2</v>
      </c>
      <c r="G23" s="20">
        <v>0</v>
      </c>
      <c r="H23" s="20">
        <v>0</v>
      </c>
      <c r="I23" s="14">
        <f>ROUND(LOOKUP($C23,建筑产出!$A$2:$A$26,建筑产出!D$2:D$26)*D23,-2)</f>
        <v>455500</v>
      </c>
      <c r="J23" s="14">
        <f>ROUND(LOOKUP($C23,建筑产出!$A$2:$A$26,建筑产出!E$2:E$26)*E23,-2)</f>
        <v>455500</v>
      </c>
      <c r="K23" s="14">
        <f>ROUND(LOOKUP($C23,建筑产出!$A$2:$A$26,建筑产出!F$2:F$26)*F23,-2)</f>
        <v>455500</v>
      </c>
      <c r="L23" s="14">
        <f>ROUND(LOOKUP($C23,建筑产出!$A$2:$A$26,建筑产出!G$2:G$26)*G23,-2)</f>
        <v>0</v>
      </c>
      <c r="M23" s="14">
        <f>ROUND(LOOKUP($C23,建筑产出!$A$2:$A$26,建筑产出!H$2:H$26)*H23,-2)</f>
        <v>0</v>
      </c>
      <c r="N23" s="14"/>
      <c r="O23" s="14">
        <f t="shared" si="1"/>
        <v>1</v>
      </c>
      <c r="P23" s="14">
        <f t="shared" si="2"/>
        <v>3</v>
      </c>
      <c r="Q23" s="14">
        <f t="shared" si="3"/>
        <v>4</v>
      </c>
      <c r="R23" s="14">
        <f t="shared" si="4"/>
        <v>0</v>
      </c>
      <c r="S23" s="14">
        <f t="shared" si="5"/>
        <v>0</v>
      </c>
      <c r="T23" s="14"/>
      <c r="U23" s="14" t="str">
        <f t="shared" si="6"/>
        <v>1;3;4;</v>
      </c>
      <c r="V23" s="23" t="str">
        <f t="shared" si="7"/>
        <v>455500;455500;455500;</v>
      </c>
      <c r="X23" s="13" t="str">
        <f t="shared" si="8"/>
        <v>1;3;4</v>
      </c>
      <c r="Y23" s="13" t="str">
        <f t="shared" si="9"/>
        <v>455500;455500;455500</v>
      </c>
    </row>
    <row r="24" spans="1:25" s="13" customFormat="1" ht="20.100000000000001" customHeight="1">
      <c r="A24" s="11">
        <v>1</v>
      </c>
      <c r="B24" s="9" t="s">
        <v>22</v>
      </c>
      <c r="C24" s="11">
        <v>22</v>
      </c>
      <c r="D24" s="14">
        <f>LOOKUP($A24,建筑产出!$BF$16:$BF$26,建筑产出!BI$16:BI$26)</f>
        <v>0.1</v>
      </c>
      <c r="E24" s="20">
        <v>0</v>
      </c>
      <c r="F24" s="20">
        <v>0</v>
      </c>
      <c r="G24" s="20">
        <v>0.2</v>
      </c>
      <c r="H24" s="20">
        <v>0.2</v>
      </c>
      <c r="I24" s="14">
        <f>ROUND(LOOKUP($C24,建筑产出!$A$2:$A$26,建筑产出!D$2:D$26)*D24,-2)</f>
        <v>508900</v>
      </c>
      <c r="J24" s="14">
        <f>ROUND(LOOKUP($C24,建筑产出!$A$2:$A$26,建筑产出!E$2:E$26)*E24,-2)</f>
        <v>0</v>
      </c>
      <c r="K24" s="14">
        <f>ROUND(LOOKUP($C24,建筑产出!$A$2:$A$26,建筑产出!F$2:F$26)*F24,-2)</f>
        <v>0</v>
      </c>
      <c r="L24" s="14">
        <f>ROUND(LOOKUP($C24,建筑产出!$A$2:$A$26,建筑产出!G$2:G$26)*G24,-2)</f>
        <v>508900</v>
      </c>
      <c r="M24" s="14">
        <f>ROUND(LOOKUP($C24,建筑产出!$A$2:$A$26,建筑产出!H$2:H$26)*H24,-2)</f>
        <v>508900</v>
      </c>
      <c r="N24" s="14"/>
      <c r="O24" s="14">
        <f t="shared" si="1"/>
        <v>1</v>
      </c>
      <c r="P24" s="14">
        <f t="shared" si="2"/>
        <v>0</v>
      </c>
      <c r="Q24" s="14">
        <f t="shared" si="3"/>
        <v>0</v>
      </c>
      <c r="R24" s="14">
        <f t="shared" si="4"/>
        <v>5</v>
      </c>
      <c r="S24" s="14">
        <f t="shared" si="5"/>
        <v>6</v>
      </c>
      <c r="T24" s="14"/>
      <c r="U24" s="14" t="str">
        <f t="shared" si="6"/>
        <v>1;5;6;</v>
      </c>
      <c r="V24" s="23" t="str">
        <f t="shared" si="7"/>
        <v>508900;508900;508900;</v>
      </c>
      <c r="X24" s="13" t="str">
        <f t="shared" si="8"/>
        <v>1;5;6</v>
      </c>
      <c r="Y24" s="13" t="str">
        <f t="shared" si="9"/>
        <v>508900;508900;508900</v>
      </c>
    </row>
    <row r="25" spans="1:25" s="13" customFormat="1" ht="20.100000000000001" customHeight="1">
      <c r="A25" s="11">
        <v>1</v>
      </c>
      <c r="B25" s="9" t="s">
        <v>22</v>
      </c>
      <c r="C25" s="11">
        <v>23</v>
      </c>
      <c r="D25" s="14">
        <f>LOOKUP($A25,建筑产出!$BF$16:$BF$26,建筑产出!BI$16:BI$26)</f>
        <v>0.1</v>
      </c>
      <c r="E25" s="20">
        <v>0.2</v>
      </c>
      <c r="F25" s="20">
        <v>0.2</v>
      </c>
      <c r="G25" s="20">
        <v>0</v>
      </c>
      <c r="H25" s="20">
        <v>0</v>
      </c>
      <c r="I25" s="14">
        <f>ROUND(LOOKUP($C25,建筑产出!$A$2:$A$26,建筑产出!D$2:D$26)*D25,-2)</f>
        <v>565100</v>
      </c>
      <c r="J25" s="14">
        <f>ROUND(LOOKUP($C25,建筑产出!$A$2:$A$26,建筑产出!E$2:E$26)*E25,-2)</f>
        <v>565100</v>
      </c>
      <c r="K25" s="14">
        <f>ROUND(LOOKUP($C25,建筑产出!$A$2:$A$26,建筑产出!F$2:F$26)*F25,-2)</f>
        <v>565100</v>
      </c>
      <c r="L25" s="14">
        <f>ROUND(LOOKUP($C25,建筑产出!$A$2:$A$26,建筑产出!G$2:G$26)*G25,-2)</f>
        <v>0</v>
      </c>
      <c r="M25" s="14">
        <f>ROUND(LOOKUP($C25,建筑产出!$A$2:$A$26,建筑产出!H$2:H$26)*H25,-2)</f>
        <v>0</v>
      </c>
      <c r="N25" s="14"/>
      <c r="O25" s="14">
        <f t="shared" si="1"/>
        <v>1</v>
      </c>
      <c r="P25" s="14">
        <f t="shared" si="2"/>
        <v>3</v>
      </c>
      <c r="Q25" s="14">
        <f t="shared" si="3"/>
        <v>4</v>
      </c>
      <c r="R25" s="14">
        <f t="shared" si="4"/>
        <v>0</v>
      </c>
      <c r="S25" s="14">
        <f t="shared" si="5"/>
        <v>0</v>
      </c>
      <c r="T25" s="14"/>
      <c r="U25" s="14" t="str">
        <f t="shared" si="6"/>
        <v>1;3;4;</v>
      </c>
      <c r="V25" s="23" t="str">
        <f t="shared" si="7"/>
        <v>565100;565100;565100;</v>
      </c>
      <c r="X25" s="13" t="str">
        <f t="shared" si="8"/>
        <v>1;3;4</v>
      </c>
      <c r="Y25" s="13" t="str">
        <f t="shared" si="9"/>
        <v>565100;565100;565100</v>
      </c>
    </row>
    <row r="26" spans="1:25" s="13" customFormat="1" ht="20.100000000000001" customHeight="1">
      <c r="A26" s="11">
        <v>1</v>
      </c>
      <c r="B26" s="9" t="s">
        <v>22</v>
      </c>
      <c r="C26" s="11">
        <v>24</v>
      </c>
      <c r="D26" s="14">
        <f>LOOKUP($A26,建筑产出!$BF$16:$BF$26,建筑产出!BI$16:BI$26)</f>
        <v>0.1</v>
      </c>
      <c r="E26" s="20">
        <v>0</v>
      </c>
      <c r="F26" s="20">
        <v>0</v>
      </c>
      <c r="G26" s="20">
        <v>0.2</v>
      </c>
      <c r="H26" s="20">
        <v>0.2</v>
      </c>
      <c r="I26" s="14">
        <f>ROUND(LOOKUP($C26,建筑产出!$A$2:$A$26,建筑产出!D$2:D$26)*D26,-2)</f>
        <v>624000</v>
      </c>
      <c r="J26" s="14">
        <f>ROUND(LOOKUP($C26,建筑产出!$A$2:$A$26,建筑产出!E$2:E$26)*E26,-2)</f>
        <v>0</v>
      </c>
      <c r="K26" s="14">
        <f>ROUND(LOOKUP($C26,建筑产出!$A$2:$A$26,建筑产出!F$2:F$26)*F26,-2)</f>
        <v>0</v>
      </c>
      <c r="L26" s="14">
        <f>ROUND(LOOKUP($C26,建筑产出!$A$2:$A$26,建筑产出!G$2:G$26)*G26,-2)</f>
        <v>624000</v>
      </c>
      <c r="M26" s="14">
        <f>ROUND(LOOKUP($C26,建筑产出!$A$2:$A$26,建筑产出!H$2:H$26)*H26,-2)</f>
        <v>624000</v>
      </c>
      <c r="N26" s="14"/>
      <c r="O26" s="14">
        <f t="shared" si="1"/>
        <v>1</v>
      </c>
      <c r="P26" s="14">
        <f t="shared" si="2"/>
        <v>0</v>
      </c>
      <c r="Q26" s="14">
        <f t="shared" si="3"/>
        <v>0</v>
      </c>
      <c r="R26" s="14">
        <f t="shared" si="4"/>
        <v>5</v>
      </c>
      <c r="S26" s="14">
        <f t="shared" si="5"/>
        <v>6</v>
      </c>
      <c r="T26" s="14"/>
      <c r="U26" s="14" t="str">
        <f t="shared" si="6"/>
        <v>1;5;6;</v>
      </c>
      <c r="V26" s="23" t="str">
        <f t="shared" si="7"/>
        <v>624000;624000;624000;</v>
      </c>
      <c r="X26" s="13" t="str">
        <f t="shared" si="8"/>
        <v>1;5;6</v>
      </c>
      <c r="Y26" s="13" t="str">
        <f t="shared" si="9"/>
        <v>624000;624000;624000</v>
      </c>
    </row>
    <row r="27" spans="1:25" s="13" customFormat="1" ht="20.100000000000001" customHeight="1">
      <c r="A27" s="11">
        <v>1</v>
      </c>
      <c r="B27" s="9" t="s">
        <v>22</v>
      </c>
      <c r="C27" s="11">
        <v>25</v>
      </c>
      <c r="D27" s="14">
        <f>LOOKUP($A27,建筑产出!$BF$16:$BF$26,建筑产出!BI$16:BI$26)</f>
        <v>0.1</v>
      </c>
      <c r="E27" s="20">
        <v>0.2</v>
      </c>
      <c r="F27" s="20">
        <v>0.2</v>
      </c>
      <c r="G27" s="20">
        <v>0</v>
      </c>
      <c r="H27" s="20">
        <v>0</v>
      </c>
      <c r="I27" s="14">
        <f>ROUND(LOOKUP($C27,建筑产出!$A$2:$A$26,建筑产出!D$2:D$26)*D27,-2)</f>
        <v>2210800</v>
      </c>
      <c r="J27" s="14">
        <f>ROUND(LOOKUP($C27,建筑产出!$A$2:$A$26,建筑产出!E$2:E$26)*E27,-2)</f>
        <v>2210800</v>
      </c>
      <c r="K27" s="14">
        <f>ROUND(LOOKUP($C27,建筑产出!$A$2:$A$26,建筑产出!F$2:F$26)*F27,-2)</f>
        <v>2210800</v>
      </c>
      <c r="L27" s="14">
        <f>ROUND(LOOKUP($C27,建筑产出!$A$2:$A$26,建筑产出!G$2:G$26)*G27,-2)</f>
        <v>0</v>
      </c>
      <c r="M27" s="14">
        <f>ROUND(LOOKUP($C27,建筑产出!$A$2:$A$26,建筑产出!H$2:H$26)*H27,-2)</f>
        <v>0</v>
      </c>
      <c r="N27" s="14"/>
      <c r="O27" s="14">
        <f t="shared" si="1"/>
        <v>1</v>
      </c>
      <c r="P27" s="14">
        <f t="shared" si="2"/>
        <v>3</v>
      </c>
      <c r="Q27" s="14">
        <f t="shared" si="3"/>
        <v>4</v>
      </c>
      <c r="R27" s="14">
        <f t="shared" si="4"/>
        <v>0</v>
      </c>
      <c r="S27" s="14">
        <f t="shared" si="5"/>
        <v>0</v>
      </c>
      <c r="T27" s="14"/>
      <c r="U27" s="14" t="str">
        <f t="shared" si="6"/>
        <v>1;3;4;</v>
      </c>
      <c r="V27" s="23" t="str">
        <f t="shared" si="7"/>
        <v>2210800;2210800;2210800;</v>
      </c>
      <c r="X27" s="13" t="str">
        <f t="shared" si="8"/>
        <v>1;3;4</v>
      </c>
      <c r="Y27" s="13" t="str">
        <f t="shared" si="9"/>
        <v>2210800;2210800;2210800</v>
      </c>
    </row>
    <row r="28" spans="1:25" s="13" customFormat="1" ht="20.100000000000001" customHeight="1">
      <c r="A28" s="11">
        <f>A3+1</f>
        <v>2</v>
      </c>
      <c r="B28" s="9" t="s">
        <v>26</v>
      </c>
      <c r="C28" s="11">
        <v>1</v>
      </c>
      <c r="D28" s="14">
        <f>LOOKUP($A28,建筑产出!$BF$16:$BF$26,建筑产出!BI$16:BI$26)</f>
        <v>0.05</v>
      </c>
      <c r="E28" s="14">
        <f>LOOKUP($A28,建筑产出!$BF$16:$BF$26,建筑产出!BJ$16:BJ$26)</f>
        <v>0.2</v>
      </c>
      <c r="F28" s="14">
        <f>LOOKUP($A28,建筑产出!$BF$16:$BF$26,建筑产出!BK$16:BK$26)</f>
        <v>0.2</v>
      </c>
      <c r="G28" s="14">
        <f>LOOKUP($A28,建筑产出!$BF$16:$BF$26,建筑产出!BL$16:BL$26)</f>
        <v>0</v>
      </c>
      <c r="H28" s="14">
        <f>LOOKUP($A28,建筑产出!$BF$16:$BF$26,建筑产出!BM$16:BM$26)</f>
        <v>0</v>
      </c>
      <c r="I28" s="14">
        <f>ROUND(LOOKUP($C28,建筑产出!$A$2:$A$26,建筑产出!D$2:D$26)*D28,-2)</f>
        <v>3700</v>
      </c>
      <c r="J28" s="14">
        <f>ROUND(LOOKUP($C28,建筑产出!$A$2:$A$26,建筑产出!E$2:E$26)*E28,-2)</f>
        <v>7300</v>
      </c>
      <c r="K28" s="14">
        <f>ROUND(LOOKUP($C28,建筑产出!$A$2:$A$26,建筑产出!F$2:F$26)*F28,-2)</f>
        <v>7300</v>
      </c>
      <c r="L28" s="14">
        <f>ROUND(LOOKUP($C28,建筑产出!$A$2:$A$26,建筑产出!G$2:G$26)*G28,-2)</f>
        <v>0</v>
      </c>
      <c r="M28" s="14">
        <f>ROUND(LOOKUP($C28,建筑产出!$A$2:$A$26,建筑产出!H$2:H$26)*H28,-2)</f>
        <v>0</v>
      </c>
      <c r="N28" s="14"/>
      <c r="O28" s="14">
        <f t="shared" si="1"/>
        <v>1</v>
      </c>
      <c r="P28" s="14">
        <f t="shared" si="2"/>
        <v>3</v>
      </c>
      <c r="Q28" s="14">
        <f t="shared" si="3"/>
        <v>4</v>
      </c>
      <c r="R28" s="14">
        <f t="shared" si="4"/>
        <v>0</v>
      </c>
      <c r="S28" s="14">
        <f t="shared" si="5"/>
        <v>0</v>
      </c>
      <c r="T28" s="14"/>
      <c r="U28" s="14" t="str">
        <f t="shared" si="6"/>
        <v>1;3;4;</v>
      </c>
      <c r="V28" s="23" t="str">
        <f t="shared" si="7"/>
        <v>3700;7300;7300;</v>
      </c>
      <c r="X28" s="13" t="str">
        <f t="shared" si="8"/>
        <v>1;3;4</v>
      </c>
      <c r="Y28" s="13" t="str">
        <f t="shared" si="9"/>
        <v>3700;7300;7300</v>
      </c>
    </row>
    <row r="29" spans="1:25" s="13" customFormat="1" ht="20.100000000000001" customHeight="1">
      <c r="A29" s="11">
        <f t="shared" ref="A29:A92" si="10">A4+1</f>
        <v>2</v>
      </c>
      <c r="B29" s="9" t="s">
        <v>26</v>
      </c>
      <c r="C29" s="11">
        <v>2</v>
      </c>
      <c r="D29" s="14">
        <f>LOOKUP($A29,建筑产出!$BF$16:$BF$26,建筑产出!BI$16:BI$26)</f>
        <v>0.05</v>
      </c>
      <c r="E29" s="14">
        <f>LOOKUP($A29,建筑产出!$BF$16:$BF$26,建筑产出!BJ$16:BJ$26)</f>
        <v>0.2</v>
      </c>
      <c r="F29" s="14">
        <f>LOOKUP($A29,建筑产出!$BF$16:$BF$26,建筑产出!BK$16:BK$26)</f>
        <v>0.2</v>
      </c>
      <c r="G29" s="14">
        <f>LOOKUP($A29,建筑产出!$BF$16:$BF$26,建筑产出!BL$16:BL$26)</f>
        <v>0</v>
      </c>
      <c r="H29" s="14">
        <f>LOOKUP($A29,建筑产出!$BF$16:$BF$26,建筑产出!BM$16:BM$26)</f>
        <v>0</v>
      </c>
      <c r="I29" s="14">
        <f>ROUND(LOOKUP($C29,建筑产出!$A$2:$A$26,建筑产出!D$2:D$26)*D29,-2)</f>
        <v>7100</v>
      </c>
      <c r="J29" s="14">
        <f>ROUND(LOOKUP($C29,建筑产出!$A$2:$A$26,建筑产出!E$2:E$26)*E29,-2)</f>
        <v>14300</v>
      </c>
      <c r="K29" s="14">
        <f>ROUND(LOOKUP($C29,建筑产出!$A$2:$A$26,建筑产出!F$2:F$26)*F29,-2)</f>
        <v>14300</v>
      </c>
      <c r="L29" s="14">
        <f>ROUND(LOOKUP($C29,建筑产出!$A$2:$A$26,建筑产出!G$2:G$26)*G29,-2)</f>
        <v>0</v>
      </c>
      <c r="M29" s="14">
        <f>ROUND(LOOKUP($C29,建筑产出!$A$2:$A$26,建筑产出!H$2:H$26)*H29,-2)</f>
        <v>0</v>
      </c>
      <c r="N29" s="14"/>
      <c r="O29" s="14">
        <f t="shared" si="1"/>
        <v>1</v>
      </c>
      <c r="P29" s="14">
        <f t="shared" si="2"/>
        <v>3</v>
      </c>
      <c r="Q29" s="14">
        <f t="shared" si="3"/>
        <v>4</v>
      </c>
      <c r="R29" s="14">
        <f t="shared" si="4"/>
        <v>0</v>
      </c>
      <c r="S29" s="14">
        <f t="shared" si="5"/>
        <v>0</v>
      </c>
      <c r="T29" s="14"/>
      <c r="U29" s="14" t="str">
        <f t="shared" si="6"/>
        <v>1;3;4;</v>
      </c>
      <c r="V29" s="23" t="str">
        <f t="shared" si="7"/>
        <v>7100;14300;14300;</v>
      </c>
      <c r="X29" s="13" t="str">
        <f t="shared" si="8"/>
        <v>1;3;4</v>
      </c>
      <c r="Y29" s="13" t="str">
        <f t="shared" si="9"/>
        <v>7100;14300;14300</v>
      </c>
    </row>
    <row r="30" spans="1:25" s="13" customFormat="1" ht="20.100000000000001" customHeight="1">
      <c r="A30" s="11">
        <f t="shared" si="10"/>
        <v>2</v>
      </c>
      <c r="B30" s="9" t="s">
        <v>26</v>
      </c>
      <c r="C30" s="11">
        <v>3</v>
      </c>
      <c r="D30" s="14">
        <f>LOOKUP($A30,建筑产出!$BF$16:$BF$26,建筑产出!BI$16:BI$26)</f>
        <v>0.05</v>
      </c>
      <c r="E30" s="14">
        <f>LOOKUP($A30,建筑产出!$BF$16:$BF$26,建筑产出!BJ$16:BJ$26)</f>
        <v>0.2</v>
      </c>
      <c r="F30" s="14">
        <f>LOOKUP($A30,建筑产出!$BF$16:$BF$26,建筑产出!BK$16:BK$26)</f>
        <v>0.2</v>
      </c>
      <c r="G30" s="14">
        <f>LOOKUP($A30,建筑产出!$BF$16:$BF$26,建筑产出!BL$16:BL$26)</f>
        <v>0</v>
      </c>
      <c r="H30" s="14">
        <f>LOOKUP($A30,建筑产出!$BF$16:$BF$26,建筑产出!BM$16:BM$26)</f>
        <v>0</v>
      </c>
      <c r="I30" s="14">
        <f>ROUND(LOOKUP($C30,建筑产出!$A$2:$A$26,建筑产出!D$2:D$26)*D30,-2)</f>
        <v>6200</v>
      </c>
      <c r="J30" s="14">
        <f>ROUND(LOOKUP($C30,建筑产出!$A$2:$A$26,建筑产出!E$2:E$26)*E30,-2)</f>
        <v>12400</v>
      </c>
      <c r="K30" s="14">
        <f>ROUND(LOOKUP($C30,建筑产出!$A$2:$A$26,建筑产出!F$2:F$26)*F30,-2)</f>
        <v>12400</v>
      </c>
      <c r="L30" s="14">
        <f>ROUND(LOOKUP($C30,建筑产出!$A$2:$A$26,建筑产出!G$2:G$26)*G30,-2)</f>
        <v>0</v>
      </c>
      <c r="M30" s="14">
        <f>ROUND(LOOKUP($C30,建筑产出!$A$2:$A$26,建筑产出!H$2:H$26)*H30,-2)</f>
        <v>0</v>
      </c>
      <c r="N30" s="14"/>
      <c r="O30" s="14">
        <f t="shared" si="1"/>
        <v>1</v>
      </c>
      <c r="P30" s="14">
        <f t="shared" si="2"/>
        <v>3</v>
      </c>
      <c r="Q30" s="14">
        <f t="shared" si="3"/>
        <v>4</v>
      </c>
      <c r="R30" s="14">
        <f t="shared" si="4"/>
        <v>0</v>
      </c>
      <c r="S30" s="14">
        <f t="shared" si="5"/>
        <v>0</v>
      </c>
      <c r="T30" s="14"/>
      <c r="U30" s="14" t="str">
        <f t="shared" si="6"/>
        <v>1;3;4;</v>
      </c>
      <c r="V30" s="23" t="str">
        <f t="shared" si="7"/>
        <v>6200;12400;12400;</v>
      </c>
      <c r="X30" s="13" t="str">
        <f t="shared" si="8"/>
        <v>1;3;4</v>
      </c>
      <c r="Y30" s="13" t="str">
        <f t="shared" si="9"/>
        <v>6200;12400;12400</v>
      </c>
    </row>
    <row r="31" spans="1:25" s="13" customFormat="1" ht="20.100000000000001" customHeight="1">
      <c r="A31" s="11">
        <f t="shared" si="10"/>
        <v>2</v>
      </c>
      <c r="B31" s="9" t="s">
        <v>26</v>
      </c>
      <c r="C31" s="11">
        <v>4</v>
      </c>
      <c r="D31" s="14">
        <f>LOOKUP($A31,建筑产出!$BF$16:$BF$26,建筑产出!BI$16:BI$26)</f>
        <v>0.05</v>
      </c>
      <c r="E31" s="14">
        <f>LOOKUP($A31,建筑产出!$BF$16:$BF$26,建筑产出!BJ$16:BJ$26)</f>
        <v>0.2</v>
      </c>
      <c r="F31" s="14">
        <f>LOOKUP($A31,建筑产出!$BF$16:$BF$26,建筑产出!BK$16:BK$26)</f>
        <v>0.2</v>
      </c>
      <c r="G31" s="14">
        <f>LOOKUP($A31,建筑产出!$BF$16:$BF$26,建筑产出!BL$16:BL$26)</f>
        <v>0</v>
      </c>
      <c r="H31" s="14">
        <f>LOOKUP($A31,建筑产出!$BF$16:$BF$26,建筑产出!BM$16:BM$26)</f>
        <v>0</v>
      </c>
      <c r="I31" s="14">
        <f>ROUND(LOOKUP($C31,建筑产出!$A$2:$A$26,建筑产出!D$2:D$26)*D31,-2)</f>
        <v>13800</v>
      </c>
      <c r="J31" s="14">
        <f>ROUND(LOOKUP($C31,建筑产出!$A$2:$A$26,建筑产出!E$2:E$26)*E31,-2)</f>
        <v>27500</v>
      </c>
      <c r="K31" s="14">
        <f>ROUND(LOOKUP($C31,建筑产出!$A$2:$A$26,建筑产出!F$2:F$26)*F31,-2)</f>
        <v>27500</v>
      </c>
      <c r="L31" s="14">
        <f>ROUND(LOOKUP($C31,建筑产出!$A$2:$A$26,建筑产出!G$2:G$26)*G31,-2)</f>
        <v>0</v>
      </c>
      <c r="M31" s="14">
        <f>ROUND(LOOKUP($C31,建筑产出!$A$2:$A$26,建筑产出!H$2:H$26)*H31,-2)</f>
        <v>0</v>
      </c>
      <c r="N31" s="14"/>
      <c r="O31" s="14">
        <f t="shared" si="1"/>
        <v>1</v>
      </c>
      <c r="P31" s="14">
        <f t="shared" si="2"/>
        <v>3</v>
      </c>
      <c r="Q31" s="14">
        <f t="shared" si="3"/>
        <v>4</v>
      </c>
      <c r="R31" s="14">
        <f t="shared" si="4"/>
        <v>0</v>
      </c>
      <c r="S31" s="14">
        <f t="shared" si="5"/>
        <v>0</v>
      </c>
      <c r="T31" s="14"/>
      <c r="U31" s="14" t="str">
        <f t="shared" si="6"/>
        <v>1;3;4;</v>
      </c>
      <c r="V31" s="23" t="str">
        <f t="shared" si="7"/>
        <v>13800;27500;27500;</v>
      </c>
      <c r="X31" s="13" t="str">
        <f t="shared" si="8"/>
        <v>1;3;4</v>
      </c>
      <c r="Y31" s="13" t="str">
        <f t="shared" si="9"/>
        <v>13800;27500;27500</v>
      </c>
    </row>
    <row r="32" spans="1:25" s="13" customFormat="1" ht="20.100000000000001" customHeight="1">
      <c r="A32" s="11">
        <f t="shared" si="10"/>
        <v>2</v>
      </c>
      <c r="B32" s="9" t="s">
        <v>26</v>
      </c>
      <c r="C32" s="11">
        <v>5</v>
      </c>
      <c r="D32" s="14">
        <f>LOOKUP($A32,建筑产出!$BF$16:$BF$26,建筑产出!BI$16:BI$26)</f>
        <v>0.05</v>
      </c>
      <c r="E32" s="14">
        <f>LOOKUP($A32,建筑产出!$BF$16:$BF$26,建筑产出!BJ$16:BJ$26)</f>
        <v>0.2</v>
      </c>
      <c r="F32" s="14">
        <f>LOOKUP($A32,建筑产出!$BF$16:$BF$26,建筑产出!BK$16:BK$26)</f>
        <v>0.2</v>
      </c>
      <c r="G32" s="14">
        <f>LOOKUP($A32,建筑产出!$BF$16:$BF$26,建筑产出!BL$16:BL$26)</f>
        <v>0</v>
      </c>
      <c r="H32" s="14">
        <f>LOOKUP($A32,建筑产出!$BF$16:$BF$26,建筑产出!BM$16:BM$26)</f>
        <v>0</v>
      </c>
      <c r="I32" s="14">
        <f>ROUND(LOOKUP($C32,建筑产出!$A$2:$A$26,建筑产出!D$2:D$26)*D32,-2)</f>
        <v>12700</v>
      </c>
      <c r="J32" s="14">
        <f>ROUND(LOOKUP($C32,建筑产出!$A$2:$A$26,建筑产出!E$2:E$26)*E32,-2)</f>
        <v>25400</v>
      </c>
      <c r="K32" s="14">
        <f>ROUND(LOOKUP($C32,建筑产出!$A$2:$A$26,建筑产出!F$2:F$26)*F32,-2)</f>
        <v>25400</v>
      </c>
      <c r="L32" s="14">
        <f>ROUND(LOOKUP($C32,建筑产出!$A$2:$A$26,建筑产出!G$2:G$26)*G32,-2)</f>
        <v>0</v>
      </c>
      <c r="M32" s="14">
        <f>ROUND(LOOKUP($C32,建筑产出!$A$2:$A$26,建筑产出!H$2:H$26)*H32,-2)</f>
        <v>0</v>
      </c>
      <c r="N32" s="14"/>
      <c r="O32" s="14">
        <f t="shared" si="1"/>
        <v>1</v>
      </c>
      <c r="P32" s="14">
        <f t="shared" si="2"/>
        <v>3</v>
      </c>
      <c r="Q32" s="14">
        <f t="shared" si="3"/>
        <v>4</v>
      </c>
      <c r="R32" s="14">
        <f t="shared" si="4"/>
        <v>0</v>
      </c>
      <c r="S32" s="14">
        <f t="shared" si="5"/>
        <v>0</v>
      </c>
      <c r="T32" s="14"/>
      <c r="U32" s="14" t="str">
        <f t="shared" si="6"/>
        <v>1;3;4;</v>
      </c>
      <c r="V32" s="23" t="str">
        <f t="shared" si="7"/>
        <v>12700;25400;25400;</v>
      </c>
      <c r="X32" s="13" t="str">
        <f t="shared" si="8"/>
        <v>1;3;4</v>
      </c>
      <c r="Y32" s="13" t="str">
        <f t="shared" si="9"/>
        <v>12700;25400;25400</v>
      </c>
    </row>
    <row r="33" spans="1:25" s="13" customFormat="1" ht="20.100000000000001" customHeight="1">
      <c r="A33" s="11">
        <f t="shared" si="10"/>
        <v>2</v>
      </c>
      <c r="B33" s="9" t="s">
        <v>26</v>
      </c>
      <c r="C33" s="11">
        <v>6</v>
      </c>
      <c r="D33" s="14">
        <f>LOOKUP($A33,建筑产出!$BF$16:$BF$26,建筑产出!BI$16:BI$26)</f>
        <v>0.05</v>
      </c>
      <c r="E33" s="14">
        <f>LOOKUP($A33,建筑产出!$BF$16:$BF$26,建筑产出!BJ$16:BJ$26)</f>
        <v>0.2</v>
      </c>
      <c r="F33" s="14">
        <f>LOOKUP($A33,建筑产出!$BF$16:$BF$26,建筑产出!BK$16:BK$26)</f>
        <v>0.2</v>
      </c>
      <c r="G33" s="14">
        <f>LOOKUP($A33,建筑产出!$BF$16:$BF$26,建筑产出!BL$16:BL$26)</f>
        <v>0</v>
      </c>
      <c r="H33" s="14">
        <f>LOOKUP($A33,建筑产出!$BF$16:$BF$26,建筑产出!BM$16:BM$26)</f>
        <v>0</v>
      </c>
      <c r="I33" s="14">
        <f>ROUND(LOOKUP($C33,建筑产出!$A$2:$A$26,建筑产出!D$2:D$26)*D33,-2)</f>
        <v>17400</v>
      </c>
      <c r="J33" s="14">
        <f>ROUND(LOOKUP($C33,建筑产出!$A$2:$A$26,建筑产出!E$2:E$26)*E33,-2)</f>
        <v>34800</v>
      </c>
      <c r="K33" s="14">
        <f>ROUND(LOOKUP($C33,建筑产出!$A$2:$A$26,建筑产出!F$2:F$26)*F33,-2)</f>
        <v>34800</v>
      </c>
      <c r="L33" s="14">
        <f>ROUND(LOOKUP($C33,建筑产出!$A$2:$A$26,建筑产出!G$2:G$26)*G33,-2)</f>
        <v>0</v>
      </c>
      <c r="M33" s="14">
        <f>ROUND(LOOKUP($C33,建筑产出!$A$2:$A$26,建筑产出!H$2:H$26)*H33,-2)</f>
        <v>0</v>
      </c>
      <c r="N33" s="14"/>
      <c r="O33" s="14">
        <f t="shared" si="1"/>
        <v>1</v>
      </c>
      <c r="P33" s="14">
        <f t="shared" si="2"/>
        <v>3</v>
      </c>
      <c r="Q33" s="14">
        <f t="shared" si="3"/>
        <v>4</v>
      </c>
      <c r="R33" s="14">
        <f t="shared" si="4"/>
        <v>0</v>
      </c>
      <c r="S33" s="14">
        <f t="shared" si="5"/>
        <v>0</v>
      </c>
      <c r="T33" s="14"/>
      <c r="U33" s="14" t="str">
        <f t="shared" si="6"/>
        <v>1;3;4;</v>
      </c>
      <c r="V33" s="23" t="str">
        <f t="shared" si="7"/>
        <v>17400;34800;34800;</v>
      </c>
      <c r="X33" s="13" t="str">
        <f t="shared" si="8"/>
        <v>1;3;4</v>
      </c>
      <c r="Y33" s="13" t="str">
        <f t="shared" si="9"/>
        <v>17400;34800;34800</v>
      </c>
    </row>
    <row r="34" spans="1:25" s="13" customFormat="1" ht="20.100000000000001" customHeight="1">
      <c r="A34" s="11">
        <f t="shared" si="10"/>
        <v>2</v>
      </c>
      <c r="B34" s="9" t="s">
        <v>26</v>
      </c>
      <c r="C34" s="11">
        <v>7</v>
      </c>
      <c r="D34" s="14">
        <f>LOOKUP($A34,建筑产出!$BF$16:$BF$26,建筑产出!BI$16:BI$26)</f>
        <v>0.05</v>
      </c>
      <c r="E34" s="14">
        <f>LOOKUP($A34,建筑产出!$BF$16:$BF$26,建筑产出!BJ$16:BJ$26)</f>
        <v>0.2</v>
      </c>
      <c r="F34" s="14">
        <f>LOOKUP($A34,建筑产出!$BF$16:$BF$26,建筑产出!BK$16:BK$26)</f>
        <v>0.2</v>
      </c>
      <c r="G34" s="14">
        <f>LOOKUP($A34,建筑产出!$BF$16:$BF$26,建筑产出!BL$16:BL$26)</f>
        <v>0</v>
      </c>
      <c r="H34" s="14">
        <f>LOOKUP($A34,建筑产出!$BF$16:$BF$26,建筑产出!BM$16:BM$26)</f>
        <v>0</v>
      </c>
      <c r="I34" s="14">
        <f>ROUND(LOOKUP($C34,建筑产出!$A$2:$A$26,建筑产出!D$2:D$26)*D34,-2)</f>
        <v>22700</v>
      </c>
      <c r="J34" s="14">
        <f>ROUND(LOOKUP($C34,建筑产出!$A$2:$A$26,建筑产出!E$2:E$26)*E34,-2)</f>
        <v>45500</v>
      </c>
      <c r="K34" s="14">
        <f>ROUND(LOOKUP($C34,建筑产出!$A$2:$A$26,建筑产出!F$2:F$26)*F34,-2)</f>
        <v>45500</v>
      </c>
      <c r="L34" s="14">
        <f>ROUND(LOOKUP($C34,建筑产出!$A$2:$A$26,建筑产出!G$2:G$26)*G34,-2)</f>
        <v>0</v>
      </c>
      <c r="M34" s="14">
        <f>ROUND(LOOKUP($C34,建筑产出!$A$2:$A$26,建筑产出!H$2:H$26)*H34,-2)</f>
        <v>0</v>
      </c>
      <c r="N34" s="14"/>
      <c r="O34" s="14">
        <f t="shared" si="1"/>
        <v>1</v>
      </c>
      <c r="P34" s="14">
        <f t="shared" si="2"/>
        <v>3</v>
      </c>
      <c r="Q34" s="14">
        <f t="shared" si="3"/>
        <v>4</v>
      </c>
      <c r="R34" s="14">
        <f t="shared" si="4"/>
        <v>0</v>
      </c>
      <c r="S34" s="14">
        <f t="shared" si="5"/>
        <v>0</v>
      </c>
      <c r="T34" s="14"/>
      <c r="U34" s="14" t="str">
        <f t="shared" si="6"/>
        <v>1;3;4;</v>
      </c>
      <c r="V34" s="23" t="str">
        <f t="shared" si="7"/>
        <v>22700;45500;45500;</v>
      </c>
      <c r="X34" s="13" t="str">
        <f t="shared" si="8"/>
        <v>1;3;4</v>
      </c>
      <c r="Y34" s="13" t="str">
        <f t="shared" si="9"/>
        <v>22700;45500;45500</v>
      </c>
    </row>
    <row r="35" spans="1:25" s="13" customFormat="1" ht="20.100000000000001" customHeight="1">
      <c r="A35" s="11">
        <f t="shared" si="10"/>
        <v>2</v>
      </c>
      <c r="B35" s="9" t="s">
        <v>26</v>
      </c>
      <c r="C35" s="11">
        <v>8</v>
      </c>
      <c r="D35" s="14">
        <f>LOOKUP($A35,建筑产出!$BF$16:$BF$26,建筑产出!BI$16:BI$26)</f>
        <v>0.05</v>
      </c>
      <c r="E35" s="14">
        <f>LOOKUP($A35,建筑产出!$BF$16:$BF$26,建筑产出!BJ$16:BJ$26)</f>
        <v>0.2</v>
      </c>
      <c r="F35" s="14">
        <f>LOOKUP($A35,建筑产出!$BF$16:$BF$26,建筑产出!BK$16:BK$26)</f>
        <v>0.2</v>
      </c>
      <c r="G35" s="14">
        <f>LOOKUP($A35,建筑产出!$BF$16:$BF$26,建筑产出!BL$16:BL$26)</f>
        <v>0</v>
      </c>
      <c r="H35" s="14">
        <f>LOOKUP($A35,建筑产出!$BF$16:$BF$26,建筑产出!BM$16:BM$26)</f>
        <v>0</v>
      </c>
      <c r="I35" s="14">
        <f>ROUND(LOOKUP($C35,建筑产出!$A$2:$A$26,建筑产出!D$2:D$26)*D35,-2)</f>
        <v>28800</v>
      </c>
      <c r="J35" s="14">
        <f>ROUND(LOOKUP($C35,建筑产出!$A$2:$A$26,建筑产出!E$2:E$26)*E35,-2)</f>
        <v>57600</v>
      </c>
      <c r="K35" s="14">
        <f>ROUND(LOOKUP($C35,建筑产出!$A$2:$A$26,建筑产出!F$2:F$26)*F35,-2)</f>
        <v>57600</v>
      </c>
      <c r="L35" s="14">
        <f>ROUND(LOOKUP($C35,建筑产出!$A$2:$A$26,建筑产出!G$2:G$26)*G35,-2)</f>
        <v>0</v>
      </c>
      <c r="M35" s="14">
        <f>ROUND(LOOKUP($C35,建筑产出!$A$2:$A$26,建筑产出!H$2:H$26)*H35,-2)</f>
        <v>0</v>
      </c>
      <c r="N35" s="14"/>
      <c r="O35" s="14">
        <f t="shared" si="1"/>
        <v>1</v>
      </c>
      <c r="P35" s="14">
        <f t="shared" si="2"/>
        <v>3</v>
      </c>
      <c r="Q35" s="14">
        <f t="shared" si="3"/>
        <v>4</v>
      </c>
      <c r="R35" s="14">
        <f t="shared" si="4"/>
        <v>0</v>
      </c>
      <c r="S35" s="14">
        <f t="shared" si="5"/>
        <v>0</v>
      </c>
      <c r="T35" s="14"/>
      <c r="U35" s="14" t="str">
        <f t="shared" si="6"/>
        <v>1;3;4;</v>
      </c>
      <c r="V35" s="23" t="str">
        <f t="shared" si="7"/>
        <v>28800;57600;57600;</v>
      </c>
      <c r="X35" s="13" t="str">
        <f t="shared" si="8"/>
        <v>1;3;4</v>
      </c>
      <c r="Y35" s="13" t="str">
        <f t="shared" si="9"/>
        <v>28800;57600;57600</v>
      </c>
    </row>
    <row r="36" spans="1:25" s="13" customFormat="1" ht="20.100000000000001" customHeight="1">
      <c r="A36" s="11">
        <f t="shared" si="10"/>
        <v>2</v>
      </c>
      <c r="B36" s="9" t="s">
        <v>26</v>
      </c>
      <c r="C36" s="11">
        <v>9</v>
      </c>
      <c r="D36" s="14">
        <f>LOOKUP($A36,建筑产出!$BF$16:$BF$26,建筑产出!BI$16:BI$26)</f>
        <v>0.05</v>
      </c>
      <c r="E36" s="14">
        <f>LOOKUP($A36,建筑产出!$BF$16:$BF$26,建筑产出!BJ$16:BJ$26)</f>
        <v>0.2</v>
      </c>
      <c r="F36" s="14">
        <f>LOOKUP($A36,建筑产出!$BF$16:$BF$26,建筑产出!BK$16:BK$26)</f>
        <v>0.2</v>
      </c>
      <c r="G36" s="14">
        <f>LOOKUP($A36,建筑产出!$BF$16:$BF$26,建筑产出!BL$16:BL$26)</f>
        <v>0</v>
      </c>
      <c r="H36" s="14">
        <f>LOOKUP($A36,建筑产出!$BF$16:$BF$26,建筑产出!BM$16:BM$26)</f>
        <v>0</v>
      </c>
      <c r="I36" s="14">
        <f>ROUND(LOOKUP($C36,建筑产出!$A$2:$A$26,建筑产出!D$2:D$26)*D36,-2)</f>
        <v>35500</v>
      </c>
      <c r="J36" s="14">
        <f>ROUND(LOOKUP($C36,建筑产出!$A$2:$A$26,建筑产出!E$2:E$26)*E36,-2)</f>
        <v>71100</v>
      </c>
      <c r="K36" s="14">
        <f>ROUND(LOOKUP($C36,建筑产出!$A$2:$A$26,建筑产出!F$2:F$26)*F36,-2)</f>
        <v>71100</v>
      </c>
      <c r="L36" s="14">
        <f>ROUND(LOOKUP($C36,建筑产出!$A$2:$A$26,建筑产出!G$2:G$26)*G36,-2)</f>
        <v>0</v>
      </c>
      <c r="M36" s="14">
        <f>ROUND(LOOKUP($C36,建筑产出!$A$2:$A$26,建筑产出!H$2:H$26)*H36,-2)</f>
        <v>0</v>
      </c>
      <c r="N36" s="14"/>
      <c r="O36" s="14">
        <f t="shared" si="1"/>
        <v>1</v>
      </c>
      <c r="P36" s="14">
        <f t="shared" si="2"/>
        <v>3</v>
      </c>
      <c r="Q36" s="14">
        <f t="shared" si="3"/>
        <v>4</v>
      </c>
      <c r="R36" s="14">
        <f t="shared" si="4"/>
        <v>0</v>
      </c>
      <c r="S36" s="14">
        <f t="shared" si="5"/>
        <v>0</v>
      </c>
      <c r="T36" s="14"/>
      <c r="U36" s="14" t="str">
        <f t="shared" si="6"/>
        <v>1;3;4;</v>
      </c>
      <c r="V36" s="23" t="str">
        <f t="shared" si="7"/>
        <v>35500;71100;71100;</v>
      </c>
      <c r="X36" s="13" t="str">
        <f t="shared" si="8"/>
        <v>1;3;4</v>
      </c>
      <c r="Y36" s="13" t="str">
        <f t="shared" si="9"/>
        <v>35500;71100;71100</v>
      </c>
    </row>
    <row r="37" spans="1:25" s="13" customFormat="1" ht="20.100000000000001" customHeight="1">
      <c r="A37" s="11">
        <f t="shared" si="10"/>
        <v>2</v>
      </c>
      <c r="B37" s="9" t="s">
        <v>26</v>
      </c>
      <c r="C37" s="11">
        <v>10</v>
      </c>
      <c r="D37" s="14">
        <f>LOOKUP($A37,建筑产出!$BF$16:$BF$26,建筑产出!BI$16:BI$26)</f>
        <v>0.05</v>
      </c>
      <c r="E37" s="14">
        <f>LOOKUP($A37,建筑产出!$BF$16:$BF$26,建筑产出!BJ$16:BJ$26)</f>
        <v>0.2</v>
      </c>
      <c r="F37" s="14">
        <f>LOOKUP($A37,建筑产出!$BF$16:$BF$26,建筑产出!BK$16:BK$26)</f>
        <v>0.2</v>
      </c>
      <c r="G37" s="14">
        <f>LOOKUP($A37,建筑产出!$BF$16:$BF$26,建筑产出!BL$16:BL$26)</f>
        <v>0</v>
      </c>
      <c r="H37" s="14">
        <f>LOOKUP($A37,建筑产出!$BF$16:$BF$26,建筑产出!BM$16:BM$26)</f>
        <v>0</v>
      </c>
      <c r="I37" s="14">
        <f>ROUND(LOOKUP($C37,建筑产出!$A$2:$A$26,建筑产出!D$2:D$26)*D37,-2)</f>
        <v>44400</v>
      </c>
      <c r="J37" s="14">
        <f>ROUND(LOOKUP($C37,建筑产出!$A$2:$A$26,建筑产出!E$2:E$26)*E37,-2)</f>
        <v>88900</v>
      </c>
      <c r="K37" s="14">
        <f>ROUND(LOOKUP($C37,建筑产出!$A$2:$A$26,建筑产出!F$2:F$26)*F37,-2)</f>
        <v>88900</v>
      </c>
      <c r="L37" s="14">
        <f>ROUND(LOOKUP($C37,建筑产出!$A$2:$A$26,建筑产出!G$2:G$26)*G37,-2)</f>
        <v>0</v>
      </c>
      <c r="M37" s="14">
        <f>ROUND(LOOKUP($C37,建筑产出!$A$2:$A$26,建筑产出!H$2:H$26)*H37,-2)</f>
        <v>0</v>
      </c>
      <c r="N37" s="14"/>
      <c r="O37" s="14">
        <f t="shared" si="1"/>
        <v>1</v>
      </c>
      <c r="P37" s="14">
        <f t="shared" si="2"/>
        <v>3</v>
      </c>
      <c r="Q37" s="14">
        <f t="shared" si="3"/>
        <v>4</v>
      </c>
      <c r="R37" s="14">
        <f t="shared" si="4"/>
        <v>0</v>
      </c>
      <c r="S37" s="14">
        <f t="shared" si="5"/>
        <v>0</v>
      </c>
      <c r="T37" s="14"/>
      <c r="U37" s="14" t="str">
        <f t="shared" si="6"/>
        <v>1;3;4;</v>
      </c>
      <c r="V37" s="23" t="str">
        <f t="shared" si="7"/>
        <v>44400;88900;88900;</v>
      </c>
      <c r="X37" s="13" t="str">
        <f t="shared" si="8"/>
        <v>1;3;4</v>
      </c>
      <c r="Y37" s="13" t="str">
        <f t="shared" si="9"/>
        <v>44400;88900;88900</v>
      </c>
    </row>
    <row r="38" spans="1:25" s="13" customFormat="1" ht="20.100000000000001" customHeight="1">
      <c r="A38" s="11">
        <f t="shared" si="10"/>
        <v>2</v>
      </c>
      <c r="B38" s="9" t="s">
        <v>26</v>
      </c>
      <c r="C38" s="11">
        <v>11</v>
      </c>
      <c r="D38" s="14">
        <f>LOOKUP($A38,建筑产出!$BF$16:$BF$26,建筑产出!BI$16:BI$26)</f>
        <v>0.05</v>
      </c>
      <c r="E38" s="14">
        <f>LOOKUP($A38,建筑产出!$BF$16:$BF$26,建筑产出!BJ$16:BJ$26)</f>
        <v>0.2</v>
      </c>
      <c r="F38" s="14">
        <f>LOOKUP($A38,建筑产出!$BF$16:$BF$26,建筑产出!BK$16:BK$26)</f>
        <v>0.2</v>
      </c>
      <c r="G38" s="14">
        <f>LOOKUP($A38,建筑产出!$BF$16:$BF$26,建筑产出!BL$16:BL$26)</f>
        <v>0</v>
      </c>
      <c r="H38" s="14">
        <f>LOOKUP($A38,建筑产出!$BF$16:$BF$26,建筑产出!BM$16:BM$26)</f>
        <v>0</v>
      </c>
      <c r="I38" s="14">
        <f>ROUND(LOOKUP($C38,建筑产出!$A$2:$A$26,建筑产出!D$2:D$26)*D38,-2)</f>
        <v>54300</v>
      </c>
      <c r="J38" s="14">
        <f>ROUND(LOOKUP($C38,建筑产出!$A$2:$A$26,建筑产出!E$2:E$26)*E38,-2)</f>
        <v>108500</v>
      </c>
      <c r="K38" s="14">
        <f>ROUND(LOOKUP($C38,建筑产出!$A$2:$A$26,建筑产出!F$2:F$26)*F38,-2)</f>
        <v>108500</v>
      </c>
      <c r="L38" s="14">
        <f>ROUND(LOOKUP($C38,建筑产出!$A$2:$A$26,建筑产出!G$2:G$26)*G38,-2)</f>
        <v>0</v>
      </c>
      <c r="M38" s="14">
        <f>ROUND(LOOKUP($C38,建筑产出!$A$2:$A$26,建筑产出!H$2:H$26)*H38,-2)</f>
        <v>0</v>
      </c>
      <c r="N38" s="14"/>
      <c r="O38" s="14">
        <f t="shared" si="1"/>
        <v>1</v>
      </c>
      <c r="P38" s="14">
        <f t="shared" si="2"/>
        <v>3</v>
      </c>
      <c r="Q38" s="14">
        <f t="shared" si="3"/>
        <v>4</v>
      </c>
      <c r="R38" s="14">
        <f t="shared" si="4"/>
        <v>0</v>
      </c>
      <c r="S38" s="14">
        <f t="shared" si="5"/>
        <v>0</v>
      </c>
      <c r="T38" s="14"/>
      <c r="U38" s="14" t="str">
        <f t="shared" si="6"/>
        <v>1;3;4;</v>
      </c>
      <c r="V38" s="23" t="str">
        <f t="shared" si="7"/>
        <v>54300;108500;108500;</v>
      </c>
      <c r="X38" s="13" t="str">
        <f t="shared" si="8"/>
        <v>1;3;4</v>
      </c>
      <c r="Y38" s="13" t="str">
        <f t="shared" si="9"/>
        <v>54300;108500;108500</v>
      </c>
    </row>
    <row r="39" spans="1:25" s="13" customFormat="1" ht="20.100000000000001" customHeight="1">
      <c r="A39" s="11">
        <f t="shared" si="10"/>
        <v>2</v>
      </c>
      <c r="B39" s="9" t="s">
        <v>26</v>
      </c>
      <c r="C39" s="11">
        <v>12</v>
      </c>
      <c r="D39" s="14">
        <f>LOOKUP($A39,建筑产出!$BF$16:$BF$26,建筑产出!BI$16:BI$26)</f>
        <v>0.05</v>
      </c>
      <c r="E39" s="14">
        <f>LOOKUP($A39,建筑产出!$BF$16:$BF$26,建筑产出!BJ$16:BJ$26)</f>
        <v>0.2</v>
      </c>
      <c r="F39" s="14">
        <f>LOOKUP($A39,建筑产出!$BF$16:$BF$26,建筑产出!BK$16:BK$26)</f>
        <v>0.2</v>
      </c>
      <c r="G39" s="14">
        <f>LOOKUP($A39,建筑产出!$BF$16:$BF$26,建筑产出!BL$16:BL$26)</f>
        <v>0</v>
      </c>
      <c r="H39" s="14">
        <f>LOOKUP($A39,建筑产出!$BF$16:$BF$26,建筑产出!BM$16:BM$26)</f>
        <v>0</v>
      </c>
      <c r="I39" s="14">
        <f>ROUND(LOOKUP($C39,建筑产出!$A$2:$A$26,建筑产出!D$2:D$26)*D39,-2)</f>
        <v>65000</v>
      </c>
      <c r="J39" s="14">
        <f>ROUND(LOOKUP($C39,建筑产出!$A$2:$A$26,建筑产出!E$2:E$26)*E39,-2)</f>
        <v>130000</v>
      </c>
      <c r="K39" s="14">
        <f>ROUND(LOOKUP($C39,建筑产出!$A$2:$A$26,建筑产出!F$2:F$26)*F39,-2)</f>
        <v>130000</v>
      </c>
      <c r="L39" s="14">
        <f>ROUND(LOOKUP($C39,建筑产出!$A$2:$A$26,建筑产出!G$2:G$26)*G39,-2)</f>
        <v>0</v>
      </c>
      <c r="M39" s="14">
        <f>ROUND(LOOKUP($C39,建筑产出!$A$2:$A$26,建筑产出!H$2:H$26)*H39,-2)</f>
        <v>0</v>
      </c>
      <c r="N39" s="14"/>
      <c r="O39" s="14">
        <f t="shared" si="1"/>
        <v>1</v>
      </c>
      <c r="P39" s="14">
        <f t="shared" si="2"/>
        <v>3</v>
      </c>
      <c r="Q39" s="14">
        <f t="shared" si="3"/>
        <v>4</v>
      </c>
      <c r="R39" s="14">
        <f t="shared" si="4"/>
        <v>0</v>
      </c>
      <c r="S39" s="14">
        <f t="shared" si="5"/>
        <v>0</v>
      </c>
      <c r="T39" s="14"/>
      <c r="U39" s="14" t="str">
        <f t="shared" si="6"/>
        <v>1;3;4;</v>
      </c>
      <c r="V39" s="23" t="str">
        <f t="shared" si="7"/>
        <v>65000;130000;130000;</v>
      </c>
      <c r="X39" s="13" t="str">
        <f t="shared" si="8"/>
        <v>1;3;4</v>
      </c>
      <c r="Y39" s="13" t="str">
        <f t="shared" si="9"/>
        <v>65000;130000;130000</v>
      </c>
    </row>
    <row r="40" spans="1:25" s="13" customFormat="1" ht="20.100000000000001" customHeight="1">
      <c r="A40" s="11">
        <f t="shared" si="10"/>
        <v>2</v>
      </c>
      <c r="B40" s="9" t="s">
        <v>26</v>
      </c>
      <c r="C40" s="11">
        <v>13</v>
      </c>
      <c r="D40" s="14">
        <f>LOOKUP($A40,建筑产出!$BF$16:$BF$26,建筑产出!BI$16:BI$26)</f>
        <v>0.05</v>
      </c>
      <c r="E40" s="14">
        <f>LOOKUP($A40,建筑产出!$BF$16:$BF$26,建筑产出!BJ$16:BJ$26)</f>
        <v>0.2</v>
      </c>
      <c r="F40" s="14">
        <f>LOOKUP($A40,建筑产出!$BF$16:$BF$26,建筑产出!BK$16:BK$26)</f>
        <v>0.2</v>
      </c>
      <c r="G40" s="14">
        <f>LOOKUP($A40,建筑产出!$BF$16:$BF$26,建筑产出!BL$16:BL$26)</f>
        <v>0</v>
      </c>
      <c r="H40" s="14">
        <f>LOOKUP($A40,建筑产出!$BF$16:$BF$26,建筑产出!BM$16:BM$26)</f>
        <v>0</v>
      </c>
      <c r="I40" s="14">
        <f>ROUND(LOOKUP($C40,建筑产出!$A$2:$A$26,建筑产出!D$2:D$26)*D40,-2)</f>
        <v>76700</v>
      </c>
      <c r="J40" s="14">
        <f>ROUND(LOOKUP($C40,建筑产出!$A$2:$A$26,建筑产出!E$2:E$26)*E40,-2)</f>
        <v>153300</v>
      </c>
      <c r="K40" s="14">
        <f>ROUND(LOOKUP($C40,建筑产出!$A$2:$A$26,建筑产出!F$2:F$26)*F40,-2)</f>
        <v>153300</v>
      </c>
      <c r="L40" s="14">
        <f>ROUND(LOOKUP($C40,建筑产出!$A$2:$A$26,建筑产出!G$2:G$26)*G40,-2)</f>
        <v>0</v>
      </c>
      <c r="M40" s="14">
        <f>ROUND(LOOKUP($C40,建筑产出!$A$2:$A$26,建筑产出!H$2:H$26)*H40,-2)</f>
        <v>0</v>
      </c>
      <c r="N40" s="14"/>
      <c r="O40" s="14">
        <f t="shared" si="1"/>
        <v>1</v>
      </c>
      <c r="P40" s="14">
        <f t="shared" si="2"/>
        <v>3</v>
      </c>
      <c r="Q40" s="14">
        <f t="shared" si="3"/>
        <v>4</v>
      </c>
      <c r="R40" s="14">
        <f t="shared" si="4"/>
        <v>0</v>
      </c>
      <c r="S40" s="14">
        <f t="shared" si="5"/>
        <v>0</v>
      </c>
      <c r="T40" s="14"/>
      <c r="U40" s="14" t="str">
        <f t="shared" si="6"/>
        <v>1;3;4;</v>
      </c>
      <c r="V40" s="23" t="str">
        <f t="shared" si="7"/>
        <v>76700;153300;153300;</v>
      </c>
      <c r="X40" s="13" t="str">
        <f t="shared" si="8"/>
        <v>1;3;4</v>
      </c>
      <c r="Y40" s="13" t="str">
        <f t="shared" si="9"/>
        <v>76700;153300;153300</v>
      </c>
    </row>
    <row r="41" spans="1:25" s="13" customFormat="1" ht="20.100000000000001" customHeight="1">
      <c r="A41" s="11">
        <f t="shared" si="10"/>
        <v>2</v>
      </c>
      <c r="B41" s="9" t="s">
        <v>26</v>
      </c>
      <c r="C41" s="11">
        <v>14</v>
      </c>
      <c r="D41" s="14">
        <f>LOOKUP($A41,建筑产出!$BF$16:$BF$26,建筑产出!BI$16:BI$26)</f>
        <v>0.05</v>
      </c>
      <c r="E41" s="14">
        <f>LOOKUP($A41,建筑产出!$BF$16:$BF$26,建筑产出!BJ$16:BJ$26)</f>
        <v>0.2</v>
      </c>
      <c r="F41" s="14">
        <f>LOOKUP($A41,建筑产出!$BF$16:$BF$26,建筑产出!BK$16:BK$26)</f>
        <v>0.2</v>
      </c>
      <c r="G41" s="14">
        <f>LOOKUP($A41,建筑产出!$BF$16:$BF$26,建筑产出!BL$16:BL$26)</f>
        <v>0</v>
      </c>
      <c r="H41" s="14">
        <f>LOOKUP($A41,建筑产出!$BF$16:$BF$26,建筑产出!BM$16:BM$26)</f>
        <v>0</v>
      </c>
      <c r="I41" s="14">
        <f>ROUND(LOOKUP($C41,建筑产出!$A$2:$A$26,建筑产出!D$2:D$26)*D41,-2)</f>
        <v>89200</v>
      </c>
      <c r="J41" s="14">
        <f>ROUND(LOOKUP($C41,建筑产出!$A$2:$A$26,建筑产出!E$2:E$26)*E41,-2)</f>
        <v>178500</v>
      </c>
      <c r="K41" s="14">
        <f>ROUND(LOOKUP($C41,建筑产出!$A$2:$A$26,建筑产出!F$2:F$26)*F41,-2)</f>
        <v>178500</v>
      </c>
      <c r="L41" s="14">
        <f>ROUND(LOOKUP($C41,建筑产出!$A$2:$A$26,建筑产出!G$2:G$26)*G41,-2)</f>
        <v>0</v>
      </c>
      <c r="M41" s="14">
        <f>ROUND(LOOKUP($C41,建筑产出!$A$2:$A$26,建筑产出!H$2:H$26)*H41,-2)</f>
        <v>0</v>
      </c>
      <c r="N41" s="14"/>
      <c r="O41" s="14">
        <f t="shared" si="1"/>
        <v>1</v>
      </c>
      <c r="P41" s="14">
        <f t="shared" si="2"/>
        <v>3</v>
      </c>
      <c r="Q41" s="14">
        <f t="shared" si="3"/>
        <v>4</v>
      </c>
      <c r="R41" s="14">
        <f t="shared" si="4"/>
        <v>0</v>
      </c>
      <c r="S41" s="14">
        <f t="shared" si="5"/>
        <v>0</v>
      </c>
      <c r="T41" s="14"/>
      <c r="U41" s="14" t="str">
        <f t="shared" si="6"/>
        <v>1;3;4;</v>
      </c>
      <c r="V41" s="23" t="str">
        <f t="shared" si="7"/>
        <v>89200;178500;178500;</v>
      </c>
      <c r="X41" s="13" t="str">
        <f t="shared" si="8"/>
        <v>1;3;4</v>
      </c>
      <c r="Y41" s="13" t="str">
        <f t="shared" si="9"/>
        <v>89200;178500;178500</v>
      </c>
    </row>
    <row r="42" spans="1:25" s="13" customFormat="1" ht="20.100000000000001" customHeight="1">
      <c r="A42" s="11">
        <f t="shared" si="10"/>
        <v>2</v>
      </c>
      <c r="B42" s="9" t="s">
        <v>26</v>
      </c>
      <c r="C42" s="11">
        <v>15</v>
      </c>
      <c r="D42" s="14">
        <f>LOOKUP($A42,建筑产出!$BF$16:$BF$26,建筑产出!BI$16:BI$26)</f>
        <v>0.05</v>
      </c>
      <c r="E42" s="14">
        <f>LOOKUP($A42,建筑产出!$BF$16:$BF$26,建筑产出!BJ$16:BJ$26)</f>
        <v>0.2</v>
      </c>
      <c r="F42" s="14">
        <f>LOOKUP($A42,建筑产出!$BF$16:$BF$26,建筑产出!BK$16:BK$26)</f>
        <v>0.2</v>
      </c>
      <c r="G42" s="14">
        <f>LOOKUP($A42,建筑产出!$BF$16:$BF$26,建筑产出!BL$16:BL$26)</f>
        <v>0</v>
      </c>
      <c r="H42" s="14">
        <f>LOOKUP($A42,建筑产出!$BF$16:$BF$26,建筑产出!BM$16:BM$26)</f>
        <v>0</v>
      </c>
      <c r="I42" s="14">
        <f>ROUND(LOOKUP($C42,建筑产出!$A$2:$A$26,建筑产出!D$2:D$26)*D42,-2)</f>
        <v>104800</v>
      </c>
      <c r="J42" s="14">
        <f>ROUND(LOOKUP($C42,建筑产出!$A$2:$A$26,建筑产出!E$2:E$26)*E42,-2)</f>
        <v>209600</v>
      </c>
      <c r="K42" s="14">
        <f>ROUND(LOOKUP($C42,建筑产出!$A$2:$A$26,建筑产出!F$2:F$26)*F42,-2)</f>
        <v>209600</v>
      </c>
      <c r="L42" s="14">
        <f>ROUND(LOOKUP($C42,建筑产出!$A$2:$A$26,建筑产出!G$2:G$26)*G42,-2)</f>
        <v>0</v>
      </c>
      <c r="M42" s="14">
        <f>ROUND(LOOKUP($C42,建筑产出!$A$2:$A$26,建筑产出!H$2:H$26)*H42,-2)</f>
        <v>0</v>
      </c>
      <c r="N42" s="14"/>
      <c r="O42" s="14">
        <f t="shared" si="1"/>
        <v>1</v>
      </c>
      <c r="P42" s="14">
        <f t="shared" si="2"/>
        <v>3</v>
      </c>
      <c r="Q42" s="14">
        <f t="shared" si="3"/>
        <v>4</v>
      </c>
      <c r="R42" s="14">
        <f t="shared" si="4"/>
        <v>0</v>
      </c>
      <c r="S42" s="14">
        <f t="shared" si="5"/>
        <v>0</v>
      </c>
      <c r="T42" s="14"/>
      <c r="U42" s="14" t="str">
        <f t="shared" si="6"/>
        <v>1;3;4;</v>
      </c>
      <c r="V42" s="23" t="str">
        <f t="shared" si="7"/>
        <v>104800;209600;209600;</v>
      </c>
      <c r="X42" s="13" t="str">
        <f t="shared" si="8"/>
        <v>1;3;4</v>
      </c>
      <c r="Y42" s="13" t="str">
        <f t="shared" si="9"/>
        <v>104800;209600;209600</v>
      </c>
    </row>
    <row r="43" spans="1:25" s="13" customFormat="1" ht="20.100000000000001" customHeight="1">
      <c r="A43" s="11">
        <f t="shared" si="10"/>
        <v>2</v>
      </c>
      <c r="B43" s="9" t="s">
        <v>26</v>
      </c>
      <c r="C43" s="11">
        <v>16</v>
      </c>
      <c r="D43" s="14">
        <f>LOOKUP($A43,建筑产出!$BF$16:$BF$26,建筑产出!BI$16:BI$26)</f>
        <v>0.05</v>
      </c>
      <c r="E43" s="14">
        <f>LOOKUP($A43,建筑产出!$BF$16:$BF$26,建筑产出!BJ$16:BJ$26)</f>
        <v>0.2</v>
      </c>
      <c r="F43" s="14">
        <f>LOOKUP($A43,建筑产出!$BF$16:$BF$26,建筑产出!BK$16:BK$26)</f>
        <v>0.2</v>
      </c>
      <c r="G43" s="14">
        <f>LOOKUP($A43,建筑产出!$BF$16:$BF$26,建筑产出!BL$16:BL$26)</f>
        <v>0</v>
      </c>
      <c r="H43" s="14">
        <f>LOOKUP($A43,建筑产出!$BF$16:$BF$26,建筑产出!BM$16:BM$26)</f>
        <v>0</v>
      </c>
      <c r="I43" s="14">
        <f>ROUND(LOOKUP($C43,建筑产出!$A$2:$A$26,建筑产出!D$2:D$26)*D43,-2)</f>
        <v>121500</v>
      </c>
      <c r="J43" s="14">
        <f>ROUND(LOOKUP($C43,建筑产出!$A$2:$A$26,建筑产出!E$2:E$26)*E43,-2)</f>
        <v>243000</v>
      </c>
      <c r="K43" s="14">
        <f>ROUND(LOOKUP($C43,建筑产出!$A$2:$A$26,建筑产出!F$2:F$26)*F43,-2)</f>
        <v>243000</v>
      </c>
      <c r="L43" s="14">
        <f>ROUND(LOOKUP($C43,建筑产出!$A$2:$A$26,建筑产出!G$2:G$26)*G43,-2)</f>
        <v>0</v>
      </c>
      <c r="M43" s="14">
        <f>ROUND(LOOKUP($C43,建筑产出!$A$2:$A$26,建筑产出!H$2:H$26)*H43,-2)</f>
        <v>0</v>
      </c>
      <c r="N43" s="14"/>
      <c r="O43" s="14">
        <f t="shared" si="1"/>
        <v>1</v>
      </c>
      <c r="P43" s="14">
        <f t="shared" si="2"/>
        <v>3</v>
      </c>
      <c r="Q43" s="14">
        <f t="shared" si="3"/>
        <v>4</v>
      </c>
      <c r="R43" s="14">
        <f t="shared" si="4"/>
        <v>0</v>
      </c>
      <c r="S43" s="14">
        <f t="shared" si="5"/>
        <v>0</v>
      </c>
      <c r="T43" s="14"/>
      <c r="U43" s="14" t="str">
        <f t="shared" si="6"/>
        <v>1;3;4;</v>
      </c>
      <c r="V43" s="23" t="str">
        <f t="shared" si="7"/>
        <v>121500;243000;243000;</v>
      </c>
      <c r="X43" s="13" t="str">
        <f t="shared" si="8"/>
        <v>1;3;4</v>
      </c>
      <c r="Y43" s="13" t="str">
        <f t="shared" si="9"/>
        <v>121500;243000;243000</v>
      </c>
    </row>
    <row r="44" spans="1:25" s="13" customFormat="1" ht="20.100000000000001" customHeight="1">
      <c r="A44" s="11">
        <f t="shared" si="10"/>
        <v>2</v>
      </c>
      <c r="B44" s="9" t="s">
        <v>26</v>
      </c>
      <c r="C44" s="11">
        <v>17</v>
      </c>
      <c r="D44" s="14">
        <f>LOOKUP($A44,建筑产出!$BF$16:$BF$26,建筑产出!BI$16:BI$26)</f>
        <v>0.05</v>
      </c>
      <c r="E44" s="14">
        <f>LOOKUP($A44,建筑产出!$BF$16:$BF$26,建筑产出!BJ$16:BJ$26)</f>
        <v>0.2</v>
      </c>
      <c r="F44" s="14">
        <f>LOOKUP($A44,建筑产出!$BF$16:$BF$26,建筑产出!BK$16:BK$26)</f>
        <v>0.2</v>
      </c>
      <c r="G44" s="14">
        <f>LOOKUP($A44,建筑产出!$BF$16:$BF$26,建筑产出!BL$16:BL$26)</f>
        <v>0</v>
      </c>
      <c r="H44" s="14">
        <f>LOOKUP($A44,建筑产出!$BF$16:$BF$26,建筑产出!BM$16:BM$26)</f>
        <v>0</v>
      </c>
      <c r="I44" s="14">
        <f>ROUND(LOOKUP($C44,建筑产出!$A$2:$A$26,建筑产出!D$2:D$26)*D44,-2)</f>
        <v>139400</v>
      </c>
      <c r="J44" s="14">
        <f>ROUND(LOOKUP($C44,建筑产出!$A$2:$A$26,建筑产出!E$2:E$26)*E44,-2)</f>
        <v>278700</v>
      </c>
      <c r="K44" s="14">
        <f>ROUND(LOOKUP($C44,建筑产出!$A$2:$A$26,建筑产出!F$2:F$26)*F44,-2)</f>
        <v>278700</v>
      </c>
      <c r="L44" s="14">
        <f>ROUND(LOOKUP($C44,建筑产出!$A$2:$A$26,建筑产出!G$2:G$26)*G44,-2)</f>
        <v>0</v>
      </c>
      <c r="M44" s="14">
        <f>ROUND(LOOKUP($C44,建筑产出!$A$2:$A$26,建筑产出!H$2:H$26)*H44,-2)</f>
        <v>0</v>
      </c>
      <c r="N44" s="14"/>
      <c r="O44" s="14">
        <f t="shared" si="1"/>
        <v>1</v>
      </c>
      <c r="P44" s="14">
        <f t="shared" si="2"/>
        <v>3</v>
      </c>
      <c r="Q44" s="14">
        <f t="shared" si="3"/>
        <v>4</v>
      </c>
      <c r="R44" s="14">
        <f t="shared" si="4"/>
        <v>0</v>
      </c>
      <c r="S44" s="14">
        <f t="shared" si="5"/>
        <v>0</v>
      </c>
      <c r="T44" s="14"/>
      <c r="U44" s="14" t="str">
        <f t="shared" si="6"/>
        <v>1;3;4;</v>
      </c>
      <c r="V44" s="23" t="str">
        <f t="shared" si="7"/>
        <v>139400;278700;278700;</v>
      </c>
      <c r="X44" s="13" t="str">
        <f t="shared" si="8"/>
        <v>1;3;4</v>
      </c>
      <c r="Y44" s="13" t="str">
        <f t="shared" si="9"/>
        <v>139400;278700;278700</v>
      </c>
    </row>
    <row r="45" spans="1:25" s="13" customFormat="1" ht="20.100000000000001" customHeight="1">
      <c r="A45" s="11">
        <f t="shared" si="10"/>
        <v>2</v>
      </c>
      <c r="B45" s="9" t="s">
        <v>26</v>
      </c>
      <c r="C45" s="11">
        <v>18</v>
      </c>
      <c r="D45" s="14">
        <f>LOOKUP($A45,建筑产出!$BF$16:$BF$26,建筑产出!BI$16:BI$26)</f>
        <v>0.05</v>
      </c>
      <c r="E45" s="14">
        <f>LOOKUP($A45,建筑产出!$BF$16:$BF$26,建筑产出!BJ$16:BJ$26)</f>
        <v>0.2</v>
      </c>
      <c r="F45" s="14">
        <f>LOOKUP($A45,建筑产出!$BF$16:$BF$26,建筑产出!BK$16:BK$26)</f>
        <v>0.2</v>
      </c>
      <c r="G45" s="14">
        <f>LOOKUP($A45,建筑产出!$BF$16:$BF$26,建筑产出!BL$16:BL$26)</f>
        <v>0</v>
      </c>
      <c r="H45" s="14">
        <f>LOOKUP($A45,建筑产出!$BF$16:$BF$26,建筑产出!BM$16:BM$26)</f>
        <v>0</v>
      </c>
      <c r="I45" s="14">
        <f>ROUND(LOOKUP($C45,建筑产出!$A$2:$A$26,建筑产出!D$2:D$26)*D45,-2)</f>
        <v>158400</v>
      </c>
      <c r="J45" s="14">
        <f>ROUND(LOOKUP($C45,建筑产出!$A$2:$A$26,建筑产出!E$2:E$26)*E45,-2)</f>
        <v>316700</v>
      </c>
      <c r="K45" s="14">
        <f>ROUND(LOOKUP($C45,建筑产出!$A$2:$A$26,建筑产出!F$2:F$26)*F45,-2)</f>
        <v>316700</v>
      </c>
      <c r="L45" s="14">
        <f>ROUND(LOOKUP($C45,建筑产出!$A$2:$A$26,建筑产出!G$2:G$26)*G45,-2)</f>
        <v>0</v>
      </c>
      <c r="M45" s="14">
        <f>ROUND(LOOKUP($C45,建筑产出!$A$2:$A$26,建筑产出!H$2:H$26)*H45,-2)</f>
        <v>0</v>
      </c>
      <c r="N45" s="14"/>
      <c r="O45" s="14">
        <f t="shared" si="1"/>
        <v>1</v>
      </c>
      <c r="P45" s="14">
        <f t="shared" si="2"/>
        <v>3</v>
      </c>
      <c r="Q45" s="14">
        <f t="shared" si="3"/>
        <v>4</v>
      </c>
      <c r="R45" s="14">
        <f t="shared" si="4"/>
        <v>0</v>
      </c>
      <c r="S45" s="14">
        <f t="shared" si="5"/>
        <v>0</v>
      </c>
      <c r="T45" s="14"/>
      <c r="U45" s="14" t="str">
        <f t="shared" si="6"/>
        <v>1;3;4;</v>
      </c>
      <c r="V45" s="23" t="str">
        <f t="shared" si="7"/>
        <v>158400;316700;316700;</v>
      </c>
      <c r="X45" s="13" t="str">
        <f t="shared" si="8"/>
        <v>1;3;4</v>
      </c>
      <c r="Y45" s="13" t="str">
        <f t="shared" si="9"/>
        <v>158400;316700;316700</v>
      </c>
    </row>
    <row r="46" spans="1:25" s="13" customFormat="1" ht="20.100000000000001" customHeight="1">
      <c r="A46" s="11">
        <f t="shared" si="10"/>
        <v>2</v>
      </c>
      <c r="B46" s="9" t="s">
        <v>26</v>
      </c>
      <c r="C46" s="11">
        <v>19</v>
      </c>
      <c r="D46" s="14">
        <f>LOOKUP($A46,建筑产出!$BF$16:$BF$26,建筑产出!BI$16:BI$26)</f>
        <v>0.05</v>
      </c>
      <c r="E46" s="14">
        <f>LOOKUP($A46,建筑产出!$BF$16:$BF$26,建筑产出!BJ$16:BJ$26)</f>
        <v>0.2</v>
      </c>
      <c r="F46" s="14">
        <f>LOOKUP($A46,建筑产出!$BF$16:$BF$26,建筑产出!BK$16:BK$26)</f>
        <v>0.2</v>
      </c>
      <c r="G46" s="14">
        <f>LOOKUP($A46,建筑产出!$BF$16:$BF$26,建筑产出!BL$16:BL$26)</f>
        <v>0</v>
      </c>
      <c r="H46" s="14">
        <f>LOOKUP($A46,建筑产出!$BF$16:$BF$26,建筑产出!BM$16:BM$26)</f>
        <v>0</v>
      </c>
      <c r="I46" s="14">
        <f>ROUND(LOOKUP($C46,建筑产出!$A$2:$A$26,建筑产出!D$2:D$26)*D46,-2)</f>
        <v>178500</v>
      </c>
      <c r="J46" s="14">
        <f>ROUND(LOOKUP($C46,建筑产出!$A$2:$A$26,建筑产出!E$2:E$26)*E46,-2)</f>
        <v>357000</v>
      </c>
      <c r="K46" s="14">
        <f>ROUND(LOOKUP($C46,建筑产出!$A$2:$A$26,建筑产出!F$2:F$26)*F46,-2)</f>
        <v>357000</v>
      </c>
      <c r="L46" s="14">
        <f>ROUND(LOOKUP($C46,建筑产出!$A$2:$A$26,建筑产出!G$2:G$26)*G46,-2)</f>
        <v>0</v>
      </c>
      <c r="M46" s="14">
        <f>ROUND(LOOKUP($C46,建筑产出!$A$2:$A$26,建筑产出!H$2:H$26)*H46,-2)</f>
        <v>0</v>
      </c>
      <c r="N46" s="14"/>
      <c r="O46" s="14">
        <f t="shared" si="1"/>
        <v>1</v>
      </c>
      <c r="P46" s="14">
        <f t="shared" si="2"/>
        <v>3</v>
      </c>
      <c r="Q46" s="14">
        <f t="shared" si="3"/>
        <v>4</v>
      </c>
      <c r="R46" s="14">
        <f t="shared" si="4"/>
        <v>0</v>
      </c>
      <c r="S46" s="14">
        <f t="shared" si="5"/>
        <v>0</v>
      </c>
      <c r="T46" s="14"/>
      <c r="U46" s="14" t="str">
        <f t="shared" si="6"/>
        <v>1;3;4;</v>
      </c>
      <c r="V46" s="23" t="str">
        <f t="shared" si="7"/>
        <v>178500;357000;357000;</v>
      </c>
      <c r="X46" s="13" t="str">
        <f t="shared" si="8"/>
        <v>1;3;4</v>
      </c>
      <c r="Y46" s="13" t="str">
        <f t="shared" si="9"/>
        <v>178500;357000;357000</v>
      </c>
    </row>
    <row r="47" spans="1:25" s="13" customFormat="1" ht="20.100000000000001" customHeight="1">
      <c r="A47" s="11">
        <f t="shared" si="10"/>
        <v>2</v>
      </c>
      <c r="B47" s="9" t="s">
        <v>26</v>
      </c>
      <c r="C47" s="11">
        <v>20</v>
      </c>
      <c r="D47" s="14">
        <f>LOOKUP($A47,建筑产出!$BF$16:$BF$26,建筑产出!BI$16:BI$26)</f>
        <v>0.05</v>
      </c>
      <c r="E47" s="14">
        <f>LOOKUP($A47,建筑产出!$BF$16:$BF$26,建筑产出!BJ$16:BJ$26)</f>
        <v>0.2</v>
      </c>
      <c r="F47" s="14">
        <f>LOOKUP($A47,建筑产出!$BF$16:$BF$26,建筑产出!BK$16:BK$26)</f>
        <v>0.2</v>
      </c>
      <c r="G47" s="14">
        <f>LOOKUP($A47,建筑产出!$BF$16:$BF$26,建筑产出!BL$16:BL$26)</f>
        <v>0</v>
      </c>
      <c r="H47" s="14">
        <f>LOOKUP($A47,建筑产出!$BF$16:$BF$26,建筑产出!BM$16:BM$26)</f>
        <v>0</v>
      </c>
      <c r="I47" s="14">
        <f>ROUND(LOOKUP($C47,建筑产出!$A$2:$A$26,建筑产出!D$2:D$26)*D47,-2)</f>
        <v>202500</v>
      </c>
      <c r="J47" s="14">
        <f>ROUND(LOOKUP($C47,建筑产出!$A$2:$A$26,建筑产出!E$2:E$26)*E47,-2)</f>
        <v>404900</v>
      </c>
      <c r="K47" s="14">
        <f>ROUND(LOOKUP($C47,建筑产出!$A$2:$A$26,建筑产出!F$2:F$26)*F47,-2)</f>
        <v>404900</v>
      </c>
      <c r="L47" s="14">
        <f>ROUND(LOOKUP($C47,建筑产出!$A$2:$A$26,建筑产出!G$2:G$26)*G47,-2)</f>
        <v>0</v>
      </c>
      <c r="M47" s="14">
        <f>ROUND(LOOKUP($C47,建筑产出!$A$2:$A$26,建筑产出!H$2:H$26)*H47,-2)</f>
        <v>0</v>
      </c>
      <c r="N47" s="14"/>
      <c r="O47" s="14">
        <f t="shared" si="1"/>
        <v>1</v>
      </c>
      <c r="P47" s="14">
        <f t="shared" si="2"/>
        <v>3</v>
      </c>
      <c r="Q47" s="14">
        <f t="shared" si="3"/>
        <v>4</v>
      </c>
      <c r="R47" s="14">
        <f t="shared" si="4"/>
        <v>0</v>
      </c>
      <c r="S47" s="14">
        <f t="shared" si="5"/>
        <v>0</v>
      </c>
      <c r="T47" s="14"/>
      <c r="U47" s="14" t="str">
        <f t="shared" si="6"/>
        <v>1;3;4;</v>
      </c>
      <c r="V47" s="23" t="str">
        <f t="shared" si="7"/>
        <v>202500;404900;404900;</v>
      </c>
      <c r="X47" s="13" t="str">
        <f t="shared" si="8"/>
        <v>1;3;4</v>
      </c>
      <c r="Y47" s="13" t="str">
        <f t="shared" si="9"/>
        <v>202500;404900;404900</v>
      </c>
    </row>
    <row r="48" spans="1:25" s="13" customFormat="1" ht="20.100000000000001" customHeight="1">
      <c r="A48" s="11">
        <f t="shared" si="10"/>
        <v>2</v>
      </c>
      <c r="B48" s="9" t="s">
        <v>26</v>
      </c>
      <c r="C48" s="11">
        <v>21</v>
      </c>
      <c r="D48" s="14">
        <f>LOOKUP($A48,建筑产出!$BF$16:$BF$26,建筑产出!BI$16:BI$26)</f>
        <v>0.05</v>
      </c>
      <c r="E48" s="14">
        <f>LOOKUP($A48,建筑产出!$BF$16:$BF$26,建筑产出!BJ$16:BJ$26)</f>
        <v>0.2</v>
      </c>
      <c r="F48" s="14">
        <f>LOOKUP($A48,建筑产出!$BF$16:$BF$26,建筑产出!BK$16:BK$26)</f>
        <v>0.2</v>
      </c>
      <c r="G48" s="14">
        <f>LOOKUP($A48,建筑产出!$BF$16:$BF$26,建筑产出!BL$16:BL$26)</f>
        <v>0</v>
      </c>
      <c r="H48" s="14">
        <f>LOOKUP($A48,建筑产出!$BF$16:$BF$26,建筑产出!BM$16:BM$26)</f>
        <v>0</v>
      </c>
      <c r="I48" s="14">
        <f>ROUND(LOOKUP($C48,建筑产出!$A$2:$A$26,建筑产出!D$2:D$26)*D48,-2)</f>
        <v>227800</v>
      </c>
      <c r="J48" s="14">
        <f>ROUND(LOOKUP($C48,建筑产出!$A$2:$A$26,建筑产出!E$2:E$26)*E48,-2)</f>
        <v>455500</v>
      </c>
      <c r="K48" s="14">
        <f>ROUND(LOOKUP($C48,建筑产出!$A$2:$A$26,建筑产出!F$2:F$26)*F48,-2)</f>
        <v>455500</v>
      </c>
      <c r="L48" s="14">
        <f>ROUND(LOOKUP($C48,建筑产出!$A$2:$A$26,建筑产出!G$2:G$26)*G48,-2)</f>
        <v>0</v>
      </c>
      <c r="M48" s="14">
        <f>ROUND(LOOKUP($C48,建筑产出!$A$2:$A$26,建筑产出!H$2:H$26)*H48,-2)</f>
        <v>0</v>
      </c>
      <c r="N48" s="14"/>
      <c r="O48" s="14">
        <f t="shared" si="1"/>
        <v>1</v>
      </c>
      <c r="P48" s="14">
        <f t="shared" si="2"/>
        <v>3</v>
      </c>
      <c r="Q48" s="14">
        <f t="shared" si="3"/>
        <v>4</v>
      </c>
      <c r="R48" s="14">
        <f t="shared" si="4"/>
        <v>0</v>
      </c>
      <c r="S48" s="14">
        <f t="shared" si="5"/>
        <v>0</v>
      </c>
      <c r="T48" s="14"/>
      <c r="U48" s="14" t="str">
        <f t="shared" si="6"/>
        <v>1;3;4;</v>
      </c>
      <c r="V48" s="23" t="str">
        <f t="shared" si="7"/>
        <v>227800;455500;455500;</v>
      </c>
      <c r="X48" s="13" t="str">
        <f t="shared" si="8"/>
        <v>1;3;4</v>
      </c>
      <c r="Y48" s="13" t="str">
        <f t="shared" si="9"/>
        <v>227800;455500;455500</v>
      </c>
    </row>
    <row r="49" spans="1:25" s="13" customFormat="1" ht="20.100000000000001" customHeight="1">
      <c r="A49" s="11">
        <f t="shared" si="10"/>
        <v>2</v>
      </c>
      <c r="B49" s="9" t="s">
        <v>26</v>
      </c>
      <c r="C49" s="11">
        <v>22</v>
      </c>
      <c r="D49" s="14">
        <f>LOOKUP($A49,建筑产出!$BF$16:$BF$26,建筑产出!BI$16:BI$26)</f>
        <v>0.05</v>
      </c>
      <c r="E49" s="14">
        <f>LOOKUP($A49,建筑产出!$BF$16:$BF$26,建筑产出!BJ$16:BJ$26)</f>
        <v>0.2</v>
      </c>
      <c r="F49" s="14">
        <f>LOOKUP($A49,建筑产出!$BF$16:$BF$26,建筑产出!BK$16:BK$26)</f>
        <v>0.2</v>
      </c>
      <c r="G49" s="14">
        <f>LOOKUP($A49,建筑产出!$BF$16:$BF$26,建筑产出!BL$16:BL$26)</f>
        <v>0</v>
      </c>
      <c r="H49" s="14">
        <f>LOOKUP($A49,建筑产出!$BF$16:$BF$26,建筑产出!BM$16:BM$26)</f>
        <v>0</v>
      </c>
      <c r="I49" s="14">
        <f>ROUND(LOOKUP($C49,建筑产出!$A$2:$A$26,建筑产出!D$2:D$26)*D49,-2)</f>
        <v>254500</v>
      </c>
      <c r="J49" s="14">
        <f>ROUND(LOOKUP($C49,建筑产出!$A$2:$A$26,建筑产出!E$2:E$26)*E49,-2)</f>
        <v>508900</v>
      </c>
      <c r="K49" s="14">
        <f>ROUND(LOOKUP($C49,建筑产出!$A$2:$A$26,建筑产出!F$2:F$26)*F49,-2)</f>
        <v>508900</v>
      </c>
      <c r="L49" s="14">
        <f>ROUND(LOOKUP($C49,建筑产出!$A$2:$A$26,建筑产出!G$2:G$26)*G49,-2)</f>
        <v>0</v>
      </c>
      <c r="M49" s="14">
        <f>ROUND(LOOKUP($C49,建筑产出!$A$2:$A$26,建筑产出!H$2:H$26)*H49,-2)</f>
        <v>0</v>
      </c>
      <c r="N49" s="14"/>
      <c r="O49" s="14">
        <f t="shared" si="1"/>
        <v>1</v>
      </c>
      <c r="P49" s="14">
        <f t="shared" si="2"/>
        <v>3</v>
      </c>
      <c r="Q49" s="14">
        <f t="shared" si="3"/>
        <v>4</v>
      </c>
      <c r="R49" s="14">
        <f t="shared" si="4"/>
        <v>0</v>
      </c>
      <c r="S49" s="14">
        <f t="shared" si="5"/>
        <v>0</v>
      </c>
      <c r="T49" s="14"/>
      <c r="U49" s="14" t="str">
        <f t="shared" si="6"/>
        <v>1;3;4;</v>
      </c>
      <c r="V49" s="23" t="str">
        <f t="shared" si="7"/>
        <v>254500;508900;508900;</v>
      </c>
      <c r="X49" s="13" t="str">
        <f t="shared" si="8"/>
        <v>1;3;4</v>
      </c>
      <c r="Y49" s="13" t="str">
        <f t="shared" si="9"/>
        <v>254500;508900;508900</v>
      </c>
    </row>
    <row r="50" spans="1:25" s="13" customFormat="1" ht="20.100000000000001" customHeight="1">
      <c r="A50" s="11">
        <f t="shared" si="10"/>
        <v>2</v>
      </c>
      <c r="B50" s="9" t="s">
        <v>26</v>
      </c>
      <c r="C50" s="11">
        <v>23</v>
      </c>
      <c r="D50" s="14">
        <f>LOOKUP($A50,建筑产出!$BF$16:$BF$26,建筑产出!BI$16:BI$26)</f>
        <v>0.05</v>
      </c>
      <c r="E50" s="14">
        <f>LOOKUP($A50,建筑产出!$BF$16:$BF$26,建筑产出!BJ$16:BJ$26)</f>
        <v>0.2</v>
      </c>
      <c r="F50" s="14">
        <f>LOOKUP($A50,建筑产出!$BF$16:$BF$26,建筑产出!BK$16:BK$26)</f>
        <v>0.2</v>
      </c>
      <c r="G50" s="14">
        <f>LOOKUP($A50,建筑产出!$BF$16:$BF$26,建筑产出!BL$16:BL$26)</f>
        <v>0</v>
      </c>
      <c r="H50" s="14">
        <f>LOOKUP($A50,建筑产出!$BF$16:$BF$26,建筑产出!BM$16:BM$26)</f>
        <v>0</v>
      </c>
      <c r="I50" s="14">
        <f>ROUND(LOOKUP($C50,建筑产出!$A$2:$A$26,建筑产出!D$2:D$26)*D50,-2)</f>
        <v>282500</v>
      </c>
      <c r="J50" s="14">
        <f>ROUND(LOOKUP($C50,建筑产出!$A$2:$A$26,建筑产出!E$2:E$26)*E50,-2)</f>
        <v>565100</v>
      </c>
      <c r="K50" s="14">
        <f>ROUND(LOOKUP($C50,建筑产出!$A$2:$A$26,建筑产出!F$2:F$26)*F50,-2)</f>
        <v>565100</v>
      </c>
      <c r="L50" s="14">
        <f>ROUND(LOOKUP($C50,建筑产出!$A$2:$A$26,建筑产出!G$2:G$26)*G50,-2)</f>
        <v>0</v>
      </c>
      <c r="M50" s="14">
        <f>ROUND(LOOKUP($C50,建筑产出!$A$2:$A$26,建筑产出!H$2:H$26)*H50,-2)</f>
        <v>0</v>
      </c>
      <c r="N50" s="14"/>
      <c r="O50" s="14">
        <f t="shared" si="1"/>
        <v>1</v>
      </c>
      <c r="P50" s="14">
        <f t="shared" si="2"/>
        <v>3</v>
      </c>
      <c r="Q50" s="14">
        <f t="shared" si="3"/>
        <v>4</v>
      </c>
      <c r="R50" s="14">
        <f t="shared" si="4"/>
        <v>0</v>
      </c>
      <c r="S50" s="14">
        <f t="shared" si="5"/>
        <v>0</v>
      </c>
      <c r="T50" s="14"/>
      <c r="U50" s="14" t="str">
        <f t="shared" si="6"/>
        <v>1;3;4;</v>
      </c>
      <c r="V50" s="23" t="str">
        <f t="shared" si="7"/>
        <v>282500;565100;565100;</v>
      </c>
      <c r="X50" s="13" t="str">
        <f t="shared" si="8"/>
        <v>1;3;4</v>
      </c>
      <c r="Y50" s="13" t="str">
        <f t="shared" si="9"/>
        <v>282500;565100;565100</v>
      </c>
    </row>
    <row r="51" spans="1:25" s="13" customFormat="1" ht="20.100000000000001" customHeight="1">
      <c r="A51" s="11">
        <f t="shared" si="10"/>
        <v>2</v>
      </c>
      <c r="B51" s="9" t="s">
        <v>26</v>
      </c>
      <c r="C51" s="11">
        <v>24</v>
      </c>
      <c r="D51" s="14">
        <f>LOOKUP($A51,建筑产出!$BF$16:$BF$26,建筑产出!BI$16:BI$26)</f>
        <v>0.05</v>
      </c>
      <c r="E51" s="14">
        <f>LOOKUP($A51,建筑产出!$BF$16:$BF$26,建筑产出!BJ$16:BJ$26)</f>
        <v>0.2</v>
      </c>
      <c r="F51" s="14">
        <f>LOOKUP($A51,建筑产出!$BF$16:$BF$26,建筑产出!BK$16:BK$26)</f>
        <v>0.2</v>
      </c>
      <c r="G51" s="14">
        <f>LOOKUP($A51,建筑产出!$BF$16:$BF$26,建筑产出!BL$16:BL$26)</f>
        <v>0</v>
      </c>
      <c r="H51" s="14">
        <f>LOOKUP($A51,建筑产出!$BF$16:$BF$26,建筑产出!BM$16:BM$26)</f>
        <v>0</v>
      </c>
      <c r="I51" s="14">
        <f>ROUND(LOOKUP($C51,建筑产出!$A$2:$A$26,建筑产出!D$2:D$26)*D51,-2)</f>
        <v>312000</v>
      </c>
      <c r="J51" s="14">
        <f>ROUND(LOOKUP($C51,建筑产出!$A$2:$A$26,建筑产出!E$2:E$26)*E51,-2)</f>
        <v>624000</v>
      </c>
      <c r="K51" s="14">
        <f>ROUND(LOOKUP($C51,建筑产出!$A$2:$A$26,建筑产出!F$2:F$26)*F51,-2)</f>
        <v>624000</v>
      </c>
      <c r="L51" s="14">
        <f>ROUND(LOOKUP($C51,建筑产出!$A$2:$A$26,建筑产出!G$2:G$26)*G51,-2)</f>
        <v>0</v>
      </c>
      <c r="M51" s="14">
        <f>ROUND(LOOKUP($C51,建筑产出!$A$2:$A$26,建筑产出!H$2:H$26)*H51,-2)</f>
        <v>0</v>
      </c>
      <c r="N51" s="14"/>
      <c r="O51" s="14">
        <f t="shared" si="1"/>
        <v>1</v>
      </c>
      <c r="P51" s="14">
        <f t="shared" si="2"/>
        <v>3</v>
      </c>
      <c r="Q51" s="14">
        <f t="shared" si="3"/>
        <v>4</v>
      </c>
      <c r="R51" s="14">
        <f t="shared" si="4"/>
        <v>0</v>
      </c>
      <c r="S51" s="14">
        <f t="shared" si="5"/>
        <v>0</v>
      </c>
      <c r="T51" s="14"/>
      <c r="U51" s="14" t="str">
        <f t="shared" si="6"/>
        <v>1;3;4;</v>
      </c>
      <c r="V51" s="23" t="str">
        <f t="shared" si="7"/>
        <v>312000;624000;624000;</v>
      </c>
      <c r="X51" s="13" t="str">
        <f t="shared" si="8"/>
        <v>1;3;4</v>
      </c>
      <c r="Y51" s="13" t="str">
        <f t="shared" si="9"/>
        <v>312000;624000;624000</v>
      </c>
    </row>
    <row r="52" spans="1:25" s="13" customFormat="1" ht="20.100000000000001" customHeight="1">
      <c r="A52" s="11">
        <f t="shared" si="10"/>
        <v>2</v>
      </c>
      <c r="B52" s="9" t="s">
        <v>26</v>
      </c>
      <c r="C52" s="11">
        <v>25</v>
      </c>
      <c r="D52" s="14">
        <f>LOOKUP($A52,建筑产出!$BF$16:$BF$26,建筑产出!BI$16:BI$26)</f>
        <v>0.05</v>
      </c>
      <c r="E52" s="14">
        <f>LOOKUP($A52,建筑产出!$BF$16:$BF$26,建筑产出!BJ$16:BJ$26)</f>
        <v>0.2</v>
      </c>
      <c r="F52" s="14">
        <f>LOOKUP($A52,建筑产出!$BF$16:$BF$26,建筑产出!BK$16:BK$26)</f>
        <v>0.2</v>
      </c>
      <c r="G52" s="14">
        <f>LOOKUP($A52,建筑产出!$BF$16:$BF$26,建筑产出!BL$16:BL$26)</f>
        <v>0</v>
      </c>
      <c r="H52" s="14">
        <f>LOOKUP($A52,建筑产出!$BF$16:$BF$26,建筑产出!BM$16:BM$26)</f>
        <v>0</v>
      </c>
      <c r="I52" s="14">
        <f>ROUND(LOOKUP($C52,建筑产出!$A$2:$A$26,建筑产出!D$2:D$26)*D52,-2)</f>
        <v>1105400</v>
      </c>
      <c r="J52" s="14">
        <f>ROUND(LOOKUP($C52,建筑产出!$A$2:$A$26,建筑产出!E$2:E$26)*E52,-2)</f>
        <v>2210800</v>
      </c>
      <c r="K52" s="14">
        <f>ROUND(LOOKUP($C52,建筑产出!$A$2:$A$26,建筑产出!F$2:F$26)*F52,-2)</f>
        <v>2210800</v>
      </c>
      <c r="L52" s="14">
        <f>ROUND(LOOKUP($C52,建筑产出!$A$2:$A$26,建筑产出!G$2:G$26)*G52,-2)</f>
        <v>0</v>
      </c>
      <c r="M52" s="14">
        <f>ROUND(LOOKUP($C52,建筑产出!$A$2:$A$26,建筑产出!H$2:H$26)*H52,-2)</f>
        <v>0</v>
      </c>
      <c r="N52" s="14"/>
      <c r="O52" s="14">
        <f t="shared" si="1"/>
        <v>1</v>
      </c>
      <c r="P52" s="14">
        <f t="shared" si="2"/>
        <v>3</v>
      </c>
      <c r="Q52" s="14">
        <f t="shared" si="3"/>
        <v>4</v>
      </c>
      <c r="R52" s="14">
        <f t="shared" si="4"/>
        <v>0</v>
      </c>
      <c r="S52" s="14">
        <f t="shared" si="5"/>
        <v>0</v>
      </c>
      <c r="T52" s="14"/>
      <c r="U52" s="14" t="str">
        <f t="shared" si="6"/>
        <v>1;3;4;</v>
      </c>
      <c r="V52" s="23" t="str">
        <f t="shared" si="7"/>
        <v>1105400;2210800;2210800;</v>
      </c>
      <c r="X52" s="13" t="str">
        <f t="shared" si="8"/>
        <v>1;3;4</v>
      </c>
      <c r="Y52" s="13" t="str">
        <f t="shared" si="9"/>
        <v>1105400;2210800;2210800</v>
      </c>
    </row>
    <row r="53" spans="1:25" s="13" customFormat="1" ht="20.100000000000001" customHeight="1">
      <c r="A53" s="11">
        <f t="shared" si="10"/>
        <v>3</v>
      </c>
      <c r="B53" s="9" t="s">
        <v>29</v>
      </c>
      <c r="C53" s="11">
        <v>1</v>
      </c>
      <c r="D53" s="14">
        <f>LOOKUP($A53,建筑产出!$BF$16:$BF$26,建筑产出!BI$16:BI$26)</f>
        <v>0.05</v>
      </c>
      <c r="E53" s="14">
        <f>LOOKUP($A53,建筑产出!$BF$16:$BF$26,建筑产出!BJ$16:BJ$26)</f>
        <v>0</v>
      </c>
      <c r="F53" s="14">
        <f>LOOKUP($A53,建筑产出!$BF$16:$BF$26,建筑产出!BK$16:BK$26)</f>
        <v>0</v>
      </c>
      <c r="G53" s="14">
        <f>LOOKUP($A53,建筑产出!$BF$16:$BF$26,建筑产出!BL$16:BL$26)</f>
        <v>0.2</v>
      </c>
      <c r="H53" s="14">
        <f>LOOKUP($A53,建筑产出!$BF$16:$BF$26,建筑产出!BM$16:BM$26)</f>
        <v>0.2</v>
      </c>
      <c r="I53" s="14">
        <f>ROUND(LOOKUP($C53,建筑产出!$A$2:$A$26,建筑产出!D$2:D$26)*D53,-2)</f>
        <v>3700</v>
      </c>
      <c r="J53" s="14">
        <f>ROUND(LOOKUP($C53,建筑产出!$A$2:$A$26,建筑产出!E$2:E$26)*E53,-2)</f>
        <v>0</v>
      </c>
      <c r="K53" s="14">
        <f>ROUND(LOOKUP($C53,建筑产出!$A$2:$A$26,建筑产出!F$2:F$26)*F53,-2)</f>
        <v>0</v>
      </c>
      <c r="L53" s="14">
        <f>ROUND(LOOKUP($C53,建筑产出!$A$2:$A$26,建筑产出!G$2:G$26)*G53,-2)</f>
        <v>7300</v>
      </c>
      <c r="M53" s="14">
        <f>ROUND(LOOKUP($C53,建筑产出!$A$2:$A$26,建筑产出!H$2:H$26)*H53,-2)</f>
        <v>7300</v>
      </c>
      <c r="N53" s="14"/>
      <c r="O53" s="14">
        <f t="shared" si="1"/>
        <v>1</v>
      </c>
      <c r="P53" s="14">
        <f t="shared" si="2"/>
        <v>0</v>
      </c>
      <c r="Q53" s="14">
        <f t="shared" si="3"/>
        <v>0</v>
      </c>
      <c r="R53" s="14">
        <f t="shared" si="4"/>
        <v>5</v>
      </c>
      <c r="S53" s="14">
        <f t="shared" si="5"/>
        <v>6</v>
      </c>
      <c r="T53" s="14"/>
      <c r="U53" s="14" t="str">
        <f t="shared" si="6"/>
        <v>1;5;6;</v>
      </c>
      <c r="V53" s="23" t="str">
        <f t="shared" si="7"/>
        <v>3700;7300;7300;</v>
      </c>
      <c r="X53" s="13" t="str">
        <f t="shared" si="8"/>
        <v>1;5;6</v>
      </c>
      <c r="Y53" s="13" t="str">
        <f t="shared" si="9"/>
        <v>3700;7300;7300</v>
      </c>
    </row>
    <row r="54" spans="1:25" s="13" customFormat="1" ht="20.100000000000001" customHeight="1">
      <c r="A54" s="11">
        <f t="shared" si="10"/>
        <v>3</v>
      </c>
      <c r="B54" s="9" t="s">
        <v>29</v>
      </c>
      <c r="C54" s="11">
        <v>2</v>
      </c>
      <c r="D54" s="14">
        <f>LOOKUP($A54,建筑产出!$BF$16:$BF$26,建筑产出!BI$16:BI$26)</f>
        <v>0.05</v>
      </c>
      <c r="E54" s="14">
        <f>LOOKUP($A54,建筑产出!$BF$16:$BF$26,建筑产出!BJ$16:BJ$26)</f>
        <v>0</v>
      </c>
      <c r="F54" s="14">
        <f>LOOKUP($A54,建筑产出!$BF$16:$BF$26,建筑产出!BK$16:BK$26)</f>
        <v>0</v>
      </c>
      <c r="G54" s="14">
        <f>LOOKUP($A54,建筑产出!$BF$16:$BF$26,建筑产出!BL$16:BL$26)</f>
        <v>0.2</v>
      </c>
      <c r="H54" s="14">
        <f>LOOKUP($A54,建筑产出!$BF$16:$BF$26,建筑产出!BM$16:BM$26)</f>
        <v>0.2</v>
      </c>
      <c r="I54" s="14">
        <f>ROUND(LOOKUP($C54,建筑产出!$A$2:$A$26,建筑产出!D$2:D$26)*D54,-2)</f>
        <v>7100</v>
      </c>
      <c r="J54" s="14">
        <f>ROUND(LOOKUP($C54,建筑产出!$A$2:$A$26,建筑产出!E$2:E$26)*E54,-2)</f>
        <v>0</v>
      </c>
      <c r="K54" s="14">
        <f>ROUND(LOOKUP($C54,建筑产出!$A$2:$A$26,建筑产出!F$2:F$26)*F54,-2)</f>
        <v>0</v>
      </c>
      <c r="L54" s="14">
        <f>ROUND(LOOKUP($C54,建筑产出!$A$2:$A$26,建筑产出!G$2:G$26)*G54,-2)</f>
        <v>14300</v>
      </c>
      <c r="M54" s="14">
        <f>ROUND(LOOKUP($C54,建筑产出!$A$2:$A$26,建筑产出!H$2:H$26)*H54,-2)</f>
        <v>14300</v>
      </c>
      <c r="N54" s="14"/>
      <c r="O54" s="14">
        <f t="shared" si="1"/>
        <v>1</v>
      </c>
      <c r="P54" s="14">
        <f t="shared" si="2"/>
        <v>0</v>
      </c>
      <c r="Q54" s="14">
        <f t="shared" si="3"/>
        <v>0</v>
      </c>
      <c r="R54" s="14">
        <f t="shared" si="4"/>
        <v>5</v>
      </c>
      <c r="S54" s="14">
        <f t="shared" si="5"/>
        <v>6</v>
      </c>
      <c r="T54" s="14"/>
      <c r="U54" s="14" t="str">
        <f t="shared" si="6"/>
        <v>1;5;6;</v>
      </c>
      <c r="V54" s="23" t="str">
        <f t="shared" si="7"/>
        <v>7100;14300;14300;</v>
      </c>
      <c r="X54" s="13" t="str">
        <f t="shared" si="8"/>
        <v>1;5;6</v>
      </c>
      <c r="Y54" s="13" t="str">
        <f t="shared" si="9"/>
        <v>7100;14300;14300</v>
      </c>
    </row>
    <row r="55" spans="1:25" s="13" customFormat="1" ht="20.100000000000001" customHeight="1">
      <c r="A55" s="11">
        <f t="shared" si="10"/>
        <v>3</v>
      </c>
      <c r="B55" s="9" t="s">
        <v>29</v>
      </c>
      <c r="C55" s="11">
        <v>3</v>
      </c>
      <c r="D55" s="14">
        <f>LOOKUP($A55,建筑产出!$BF$16:$BF$26,建筑产出!BI$16:BI$26)</f>
        <v>0.05</v>
      </c>
      <c r="E55" s="14">
        <f>LOOKUP($A55,建筑产出!$BF$16:$BF$26,建筑产出!BJ$16:BJ$26)</f>
        <v>0</v>
      </c>
      <c r="F55" s="14">
        <f>LOOKUP($A55,建筑产出!$BF$16:$BF$26,建筑产出!BK$16:BK$26)</f>
        <v>0</v>
      </c>
      <c r="G55" s="14">
        <f>LOOKUP($A55,建筑产出!$BF$16:$BF$26,建筑产出!BL$16:BL$26)</f>
        <v>0.2</v>
      </c>
      <c r="H55" s="14">
        <f>LOOKUP($A55,建筑产出!$BF$16:$BF$26,建筑产出!BM$16:BM$26)</f>
        <v>0.2</v>
      </c>
      <c r="I55" s="14">
        <f>ROUND(LOOKUP($C55,建筑产出!$A$2:$A$26,建筑产出!D$2:D$26)*D55,-2)</f>
        <v>6200</v>
      </c>
      <c r="J55" s="14">
        <f>ROUND(LOOKUP($C55,建筑产出!$A$2:$A$26,建筑产出!E$2:E$26)*E55,-2)</f>
        <v>0</v>
      </c>
      <c r="K55" s="14">
        <f>ROUND(LOOKUP($C55,建筑产出!$A$2:$A$26,建筑产出!F$2:F$26)*F55,-2)</f>
        <v>0</v>
      </c>
      <c r="L55" s="14">
        <f>ROUND(LOOKUP($C55,建筑产出!$A$2:$A$26,建筑产出!G$2:G$26)*G55,-2)</f>
        <v>12400</v>
      </c>
      <c r="M55" s="14">
        <f>ROUND(LOOKUP($C55,建筑产出!$A$2:$A$26,建筑产出!H$2:H$26)*H55,-2)</f>
        <v>12400</v>
      </c>
      <c r="N55" s="14"/>
      <c r="O55" s="14">
        <f t="shared" si="1"/>
        <v>1</v>
      </c>
      <c r="P55" s="14">
        <f t="shared" si="2"/>
        <v>0</v>
      </c>
      <c r="Q55" s="14">
        <f t="shared" si="3"/>
        <v>0</v>
      </c>
      <c r="R55" s="14">
        <f t="shared" si="4"/>
        <v>5</v>
      </c>
      <c r="S55" s="14">
        <f t="shared" si="5"/>
        <v>6</v>
      </c>
      <c r="T55" s="14"/>
      <c r="U55" s="14" t="str">
        <f t="shared" si="6"/>
        <v>1;5;6;</v>
      </c>
      <c r="V55" s="23" t="str">
        <f t="shared" si="7"/>
        <v>6200;12400;12400;</v>
      </c>
      <c r="X55" s="13" t="str">
        <f t="shared" si="8"/>
        <v>1;5;6</v>
      </c>
      <c r="Y55" s="13" t="str">
        <f t="shared" si="9"/>
        <v>6200;12400;12400</v>
      </c>
    </row>
    <row r="56" spans="1:25" s="13" customFormat="1" ht="20.100000000000001" customHeight="1">
      <c r="A56" s="11">
        <f t="shared" si="10"/>
        <v>3</v>
      </c>
      <c r="B56" s="9" t="s">
        <v>29</v>
      </c>
      <c r="C56" s="11">
        <v>4</v>
      </c>
      <c r="D56" s="14">
        <f>LOOKUP($A56,建筑产出!$BF$16:$BF$26,建筑产出!BI$16:BI$26)</f>
        <v>0.05</v>
      </c>
      <c r="E56" s="14">
        <f>LOOKUP($A56,建筑产出!$BF$16:$BF$26,建筑产出!BJ$16:BJ$26)</f>
        <v>0</v>
      </c>
      <c r="F56" s="14">
        <f>LOOKUP($A56,建筑产出!$BF$16:$BF$26,建筑产出!BK$16:BK$26)</f>
        <v>0</v>
      </c>
      <c r="G56" s="14">
        <f>LOOKUP($A56,建筑产出!$BF$16:$BF$26,建筑产出!BL$16:BL$26)</f>
        <v>0.2</v>
      </c>
      <c r="H56" s="14">
        <f>LOOKUP($A56,建筑产出!$BF$16:$BF$26,建筑产出!BM$16:BM$26)</f>
        <v>0.2</v>
      </c>
      <c r="I56" s="14">
        <f>ROUND(LOOKUP($C56,建筑产出!$A$2:$A$26,建筑产出!D$2:D$26)*D56,-2)</f>
        <v>13800</v>
      </c>
      <c r="J56" s="14">
        <f>ROUND(LOOKUP($C56,建筑产出!$A$2:$A$26,建筑产出!E$2:E$26)*E56,-2)</f>
        <v>0</v>
      </c>
      <c r="K56" s="14">
        <f>ROUND(LOOKUP($C56,建筑产出!$A$2:$A$26,建筑产出!F$2:F$26)*F56,-2)</f>
        <v>0</v>
      </c>
      <c r="L56" s="14">
        <f>ROUND(LOOKUP($C56,建筑产出!$A$2:$A$26,建筑产出!G$2:G$26)*G56,-2)</f>
        <v>27500</v>
      </c>
      <c r="M56" s="14">
        <f>ROUND(LOOKUP($C56,建筑产出!$A$2:$A$26,建筑产出!H$2:H$26)*H56,-2)</f>
        <v>27500</v>
      </c>
      <c r="N56" s="14"/>
      <c r="O56" s="14">
        <f t="shared" si="1"/>
        <v>1</v>
      </c>
      <c r="P56" s="14">
        <f t="shared" si="2"/>
        <v>0</v>
      </c>
      <c r="Q56" s="14">
        <f t="shared" si="3"/>
        <v>0</v>
      </c>
      <c r="R56" s="14">
        <f t="shared" si="4"/>
        <v>5</v>
      </c>
      <c r="S56" s="14">
        <f t="shared" si="5"/>
        <v>6</v>
      </c>
      <c r="T56" s="14"/>
      <c r="U56" s="14" t="str">
        <f t="shared" si="6"/>
        <v>1;5;6;</v>
      </c>
      <c r="V56" s="23" t="str">
        <f t="shared" si="7"/>
        <v>13800;27500;27500;</v>
      </c>
      <c r="X56" s="13" t="str">
        <f t="shared" si="8"/>
        <v>1;5;6</v>
      </c>
      <c r="Y56" s="13" t="str">
        <f t="shared" si="9"/>
        <v>13800;27500;27500</v>
      </c>
    </row>
    <row r="57" spans="1:25" s="13" customFormat="1" ht="20.100000000000001" customHeight="1">
      <c r="A57" s="11">
        <f t="shared" si="10"/>
        <v>3</v>
      </c>
      <c r="B57" s="9" t="s">
        <v>29</v>
      </c>
      <c r="C57" s="11">
        <v>5</v>
      </c>
      <c r="D57" s="14">
        <f>LOOKUP($A57,建筑产出!$BF$16:$BF$26,建筑产出!BI$16:BI$26)</f>
        <v>0.05</v>
      </c>
      <c r="E57" s="14">
        <f>LOOKUP($A57,建筑产出!$BF$16:$BF$26,建筑产出!BJ$16:BJ$26)</f>
        <v>0</v>
      </c>
      <c r="F57" s="14">
        <f>LOOKUP($A57,建筑产出!$BF$16:$BF$26,建筑产出!BK$16:BK$26)</f>
        <v>0</v>
      </c>
      <c r="G57" s="14">
        <f>LOOKUP($A57,建筑产出!$BF$16:$BF$26,建筑产出!BL$16:BL$26)</f>
        <v>0.2</v>
      </c>
      <c r="H57" s="14">
        <f>LOOKUP($A57,建筑产出!$BF$16:$BF$26,建筑产出!BM$16:BM$26)</f>
        <v>0.2</v>
      </c>
      <c r="I57" s="14">
        <f>ROUND(LOOKUP($C57,建筑产出!$A$2:$A$26,建筑产出!D$2:D$26)*D57,-2)</f>
        <v>12700</v>
      </c>
      <c r="J57" s="14">
        <f>ROUND(LOOKUP($C57,建筑产出!$A$2:$A$26,建筑产出!E$2:E$26)*E57,-2)</f>
        <v>0</v>
      </c>
      <c r="K57" s="14">
        <f>ROUND(LOOKUP($C57,建筑产出!$A$2:$A$26,建筑产出!F$2:F$26)*F57,-2)</f>
        <v>0</v>
      </c>
      <c r="L57" s="14">
        <f>ROUND(LOOKUP($C57,建筑产出!$A$2:$A$26,建筑产出!G$2:G$26)*G57,-2)</f>
        <v>25400</v>
      </c>
      <c r="M57" s="14">
        <f>ROUND(LOOKUP($C57,建筑产出!$A$2:$A$26,建筑产出!H$2:H$26)*H57,-2)</f>
        <v>25400</v>
      </c>
      <c r="N57" s="14"/>
      <c r="O57" s="14">
        <f t="shared" si="1"/>
        <v>1</v>
      </c>
      <c r="P57" s="14">
        <f t="shared" si="2"/>
        <v>0</v>
      </c>
      <c r="Q57" s="14">
        <f t="shared" si="3"/>
        <v>0</v>
      </c>
      <c r="R57" s="14">
        <f t="shared" si="4"/>
        <v>5</v>
      </c>
      <c r="S57" s="14">
        <f t="shared" si="5"/>
        <v>6</v>
      </c>
      <c r="T57" s="14"/>
      <c r="U57" s="14" t="str">
        <f t="shared" si="6"/>
        <v>1;5;6;</v>
      </c>
      <c r="V57" s="23" t="str">
        <f t="shared" si="7"/>
        <v>12700;25400;25400;</v>
      </c>
      <c r="X57" s="13" t="str">
        <f t="shared" si="8"/>
        <v>1;5;6</v>
      </c>
      <c r="Y57" s="13" t="str">
        <f t="shared" si="9"/>
        <v>12700;25400;25400</v>
      </c>
    </row>
    <row r="58" spans="1:25" s="13" customFormat="1" ht="20.100000000000001" customHeight="1">
      <c r="A58" s="11">
        <f t="shared" si="10"/>
        <v>3</v>
      </c>
      <c r="B58" s="9" t="s">
        <v>29</v>
      </c>
      <c r="C58" s="11">
        <v>6</v>
      </c>
      <c r="D58" s="14">
        <f>LOOKUP($A58,建筑产出!$BF$16:$BF$26,建筑产出!BI$16:BI$26)</f>
        <v>0.05</v>
      </c>
      <c r="E58" s="14">
        <f>LOOKUP($A58,建筑产出!$BF$16:$BF$26,建筑产出!BJ$16:BJ$26)</f>
        <v>0</v>
      </c>
      <c r="F58" s="14">
        <f>LOOKUP($A58,建筑产出!$BF$16:$BF$26,建筑产出!BK$16:BK$26)</f>
        <v>0</v>
      </c>
      <c r="G58" s="14">
        <f>LOOKUP($A58,建筑产出!$BF$16:$BF$26,建筑产出!BL$16:BL$26)</f>
        <v>0.2</v>
      </c>
      <c r="H58" s="14">
        <f>LOOKUP($A58,建筑产出!$BF$16:$BF$26,建筑产出!BM$16:BM$26)</f>
        <v>0.2</v>
      </c>
      <c r="I58" s="14">
        <f>ROUND(LOOKUP($C58,建筑产出!$A$2:$A$26,建筑产出!D$2:D$26)*D58,-2)</f>
        <v>17400</v>
      </c>
      <c r="J58" s="14">
        <f>ROUND(LOOKUP($C58,建筑产出!$A$2:$A$26,建筑产出!E$2:E$26)*E58,-2)</f>
        <v>0</v>
      </c>
      <c r="K58" s="14">
        <f>ROUND(LOOKUP($C58,建筑产出!$A$2:$A$26,建筑产出!F$2:F$26)*F58,-2)</f>
        <v>0</v>
      </c>
      <c r="L58" s="14">
        <f>ROUND(LOOKUP($C58,建筑产出!$A$2:$A$26,建筑产出!G$2:G$26)*G58,-2)</f>
        <v>34800</v>
      </c>
      <c r="M58" s="14">
        <f>ROUND(LOOKUP($C58,建筑产出!$A$2:$A$26,建筑产出!H$2:H$26)*H58,-2)</f>
        <v>34800</v>
      </c>
      <c r="N58" s="14"/>
      <c r="O58" s="14">
        <f t="shared" si="1"/>
        <v>1</v>
      </c>
      <c r="P58" s="14">
        <f t="shared" si="2"/>
        <v>0</v>
      </c>
      <c r="Q58" s="14">
        <f t="shared" si="3"/>
        <v>0</v>
      </c>
      <c r="R58" s="14">
        <f t="shared" si="4"/>
        <v>5</v>
      </c>
      <c r="S58" s="14">
        <f t="shared" si="5"/>
        <v>6</v>
      </c>
      <c r="T58" s="14"/>
      <c r="U58" s="14" t="str">
        <f t="shared" si="6"/>
        <v>1;5;6;</v>
      </c>
      <c r="V58" s="23" t="str">
        <f t="shared" si="7"/>
        <v>17400;34800;34800;</v>
      </c>
      <c r="X58" s="13" t="str">
        <f t="shared" si="8"/>
        <v>1;5;6</v>
      </c>
      <c r="Y58" s="13" t="str">
        <f t="shared" si="9"/>
        <v>17400;34800;34800</v>
      </c>
    </row>
    <row r="59" spans="1:25" s="13" customFormat="1" ht="20.100000000000001" customHeight="1">
      <c r="A59" s="11">
        <f t="shared" si="10"/>
        <v>3</v>
      </c>
      <c r="B59" s="9" t="s">
        <v>29</v>
      </c>
      <c r="C59" s="11">
        <v>7</v>
      </c>
      <c r="D59" s="14">
        <f>LOOKUP($A59,建筑产出!$BF$16:$BF$26,建筑产出!BI$16:BI$26)</f>
        <v>0.05</v>
      </c>
      <c r="E59" s="14">
        <f>LOOKUP($A59,建筑产出!$BF$16:$BF$26,建筑产出!BJ$16:BJ$26)</f>
        <v>0</v>
      </c>
      <c r="F59" s="14">
        <f>LOOKUP($A59,建筑产出!$BF$16:$BF$26,建筑产出!BK$16:BK$26)</f>
        <v>0</v>
      </c>
      <c r="G59" s="14">
        <f>LOOKUP($A59,建筑产出!$BF$16:$BF$26,建筑产出!BL$16:BL$26)</f>
        <v>0.2</v>
      </c>
      <c r="H59" s="14">
        <f>LOOKUP($A59,建筑产出!$BF$16:$BF$26,建筑产出!BM$16:BM$26)</f>
        <v>0.2</v>
      </c>
      <c r="I59" s="14">
        <f>ROUND(LOOKUP($C59,建筑产出!$A$2:$A$26,建筑产出!D$2:D$26)*D59,-2)</f>
        <v>22700</v>
      </c>
      <c r="J59" s="14">
        <f>ROUND(LOOKUP($C59,建筑产出!$A$2:$A$26,建筑产出!E$2:E$26)*E59,-2)</f>
        <v>0</v>
      </c>
      <c r="K59" s="14">
        <f>ROUND(LOOKUP($C59,建筑产出!$A$2:$A$26,建筑产出!F$2:F$26)*F59,-2)</f>
        <v>0</v>
      </c>
      <c r="L59" s="14">
        <f>ROUND(LOOKUP($C59,建筑产出!$A$2:$A$26,建筑产出!G$2:G$26)*G59,-2)</f>
        <v>45500</v>
      </c>
      <c r="M59" s="14">
        <f>ROUND(LOOKUP($C59,建筑产出!$A$2:$A$26,建筑产出!H$2:H$26)*H59,-2)</f>
        <v>45500</v>
      </c>
      <c r="N59" s="14"/>
      <c r="O59" s="14">
        <f t="shared" si="1"/>
        <v>1</v>
      </c>
      <c r="P59" s="14">
        <f t="shared" si="2"/>
        <v>0</v>
      </c>
      <c r="Q59" s="14">
        <f t="shared" si="3"/>
        <v>0</v>
      </c>
      <c r="R59" s="14">
        <f t="shared" si="4"/>
        <v>5</v>
      </c>
      <c r="S59" s="14">
        <f t="shared" si="5"/>
        <v>6</v>
      </c>
      <c r="T59" s="14"/>
      <c r="U59" s="14" t="str">
        <f t="shared" si="6"/>
        <v>1;5;6;</v>
      </c>
      <c r="V59" s="23" t="str">
        <f t="shared" si="7"/>
        <v>22700;45500;45500;</v>
      </c>
      <c r="X59" s="13" t="str">
        <f t="shared" si="8"/>
        <v>1;5;6</v>
      </c>
      <c r="Y59" s="13" t="str">
        <f t="shared" si="9"/>
        <v>22700;45500;45500</v>
      </c>
    </row>
    <row r="60" spans="1:25" s="13" customFormat="1" ht="20.100000000000001" customHeight="1">
      <c r="A60" s="11">
        <f t="shared" si="10"/>
        <v>3</v>
      </c>
      <c r="B60" s="9" t="s">
        <v>29</v>
      </c>
      <c r="C60" s="11">
        <v>8</v>
      </c>
      <c r="D60" s="14">
        <f>LOOKUP($A60,建筑产出!$BF$16:$BF$26,建筑产出!BI$16:BI$26)</f>
        <v>0.05</v>
      </c>
      <c r="E60" s="14">
        <f>LOOKUP($A60,建筑产出!$BF$16:$BF$26,建筑产出!BJ$16:BJ$26)</f>
        <v>0</v>
      </c>
      <c r="F60" s="14">
        <f>LOOKUP($A60,建筑产出!$BF$16:$BF$26,建筑产出!BK$16:BK$26)</f>
        <v>0</v>
      </c>
      <c r="G60" s="14">
        <f>LOOKUP($A60,建筑产出!$BF$16:$BF$26,建筑产出!BL$16:BL$26)</f>
        <v>0.2</v>
      </c>
      <c r="H60" s="14">
        <f>LOOKUP($A60,建筑产出!$BF$16:$BF$26,建筑产出!BM$16:BM$26)</f>
        <v>0.2</v>
      </c>
      <c r="I60" s="14">
        <f>ROUND(LOOKUP($C60,建筑产出!$A$2:$A$26,建筑产出!D$2:D$26)*D60,-2)</f>
        <v>28800</v>
      </c>
      <c r="J60" s="14">
        <f>ROUND(LOOKUP($C60,建筑产出!$A$2:$A$26,建筑产出!E$2:E$26)*E60,-2)</f>
        <v>0</v>
      </c>
      <c r="K60" s="14">
        <f>ROUND(LOOKUP($C60,建筑产出!$A$2:$A$26,建筑产出!F$2:F$26)*F60,-2)</f>
        <v>0</v>
      </c>
      <c r="L60" s="14">
        <f>ROUND(LOOKUP($C60,建筑产出!$A$2:$A$26,建筑产出!G$2:G$26)*G60,-2)</f>
        <v>57600</v>
      </c>
      <c r="M60" s="14">
        <f>ROUND(LOOKUP($C60,建筑产出!$A$2:$A$26,建筑产出!H$2:H$26)*H60,-2)</f>
        <v>57600</v>
      </c>
      <c r="N60" s="14"/>
      <c r="O60" s="14">
        <f t="shared" si="1"/>
        <v>1</v>
      </c>
      <c r="P60" s="14">
        <f t="shared" si="2"/>
        <v>0</v>
      </c>
      <c r="Q60" s="14">
        <f t="shared" si="3"/>
        <v>0</v>
      </c>
      <c r="R60" s="14">
        <f t="shared" si="4"/>
        <v>5</v>
      </c>
      <c r="S60" s="14">
        <f t="shared" si="5"/>
        <v>6</v>
      </c>
      <c r="T60" s="14"/>
      <c r="U60" s="14" t="str">
        <f t="shared" si="6"/>
        <v>1;5;6;</v>
      </c>
      <c r="V60" s="23" t="str">
        <f t="shared" si="7"/>
        <v>28800;57600;57600;</v>
      </c>
      <c r="X60" s="13" t="str">
        <f t="shared" si="8"/>
        <v>1;5;6</v>
      </c>
      <c r="Y60" s="13" t="str">
        <f t="shared" si="9"/>
        <v>28800;57600;57600</v>
      </c>
    </row>
    <row r="61" spans="1:25" s="13" customFormat="1" ht="20.100000000000001" customHeight="1">
      <c r="A61" s="11">
        <f t="shared" si="10"/>
        <v>3</v>
      </c>
      <c r="B61" s="9" t="s">
        <v>29</v>
      </c>
      <c r="C61" s="11">
        <v>9</v>
      </c>
      <c r="D61" s="14">
        <f>LOOKUP($A61,建筑产出!$BF$16:$BF$26,建筑产出!BI$16:BI$26)</f>
        <v>0.05</v>
      </c>
      <c r="E61" s="14">
        <f>LOOKUP($A61,建筑产出!$BF$16:$BF$26,建筑产出!BJ$16:BJ$26)</f>
        <v>0</v>
      </c>
      <c r="F61" s="14">
        <f>LOOKUP($A61,建筑产出!$BF$16:$BF$26,建筑产出!BK$16:BK$26)</f>
        <v>0</v>
      </c>
      <c r="G61" s="14">
        <f>LOOKUP($A61,建筑产出!$BF$16:$BF$26,建筑产出!BL$16:BL$26)</f>
        <v>0.2</v>
      </c>
      <c r="H61" s="14">
        <f>LOOKUP($A61,建筑产出!$BF$16:$BF$26,建筑产出!BM$16:BM$26)</f>
        <v>0.2</v>
      </c>
      <c r="I61" s="14">
        <f>ROUND(LOOKUP($C61,建筑产出!$A$2:$A$26,建筑产出!D$2:D$26)*D61,-2)</f>
        <v>35500</v>
      </c>
      <c r="J61" s="14">
        <f>ROUND(LOOKUP($C61,建筑产出!$A$2:$A$26,建筑产出!E$2:E$26)*E61,-2)</f>
        <v>0</v>
      </c>
      <c r="K61" s="14">
        <f>ROUND(LOOKUP($C61,建筑产出!$A$2:$A$26,建筑产出!F$2:F$26)*F61,-2)</f>
        <v>0</v>
      </c>
      <c r="L61" s="14">
        <f>ROUND(LOOKUP($C61,建筑产出!$A$2:$A$26,建筑产出!G$2:G$26)*G61,-2)</f>
        <v>71100</v>
      </c>
      <c r="M61" s="14">
        <f>ROUND(LOOKUP($C61,建筑产出!$A$2:$A$26,建筑产出!H$2:H$26)*H61,-2)</f>
        <v>71100</v>
      </c>
      <c r="N61" s="14"/>
      <c r="O61" s="14">
        <f t="shared" si="1"/>
        <v>1</v>
      </c>
      <c r="P61" s="14">
        <f t="shared" si="2"/>
        <v>0</v>
      </c>
      <c r="Q61" s="14">
        <f t="shared" si="3"/>
        <v>0</v>
      </c>
      <c r="R61" s="14">
        <f t="shared" si="4"/>
        <v>5</v>
      </c>
      <c r="S61" s="14">
        <f t="shared" si="5"/>
        <v>6</v>
      </c>
      <c r="T61" s="14"/>
      <c r="U61" s="14" t="str">
        <f t="shared" si="6"/>
        <v>1;5;6;</v>
      </c>
      <c r="V61" s="23" t="str">
        <f t="shared" si="7"/>
        <v>35500;71100;71100;</v>
      </c>
      <c r="X61" s="13" t="str">
        <f t="shared" si="8"/>
        <v>1;5;6</v>
      </c>
      <c r="Y61" s="13" t="str">
        <f t="shared" si="9"/>
        <v>35500;71100;71100</v>
      </c>
    </row>
    <row r="62" spans="1:25" s="13" customFormat="1" ht="20.100000000000001" customHeight="1">
      <c r="A62" s="11">
        <f t="shared" si="10"/>
        <v>3</v>
      </c>
      <c r="B62" s="9" t="s">
        <v>29</v>
      </c>
      <c r="C62" s="11">
        <v>10</v>
      </c>
      <c r="D62" s="14">
        <f>LOOKUP($A62,建筑产出!$BF$16:$BF$26,建筑产出!BI$16:BI$26)</f>
        <v>0.05</v>
      </c>
      <c r="E62" s="14">
        <f>LOOKUP($A62,建筑产出!$BF$16:$BF$26,建筑产出!BJ$16:BJ$26)</f>
        <v>0</v>
      </c>
      <c r="F62" s="14">
        <f>LOOKUP($A62,建筑产出!$BF$16:$BF$26,建筑产出!BK$16:BK$26)</f>
        <v>0</v>
      </c>
      <c r="G62" s="14">
        <f>LOOKUP($A62,建筑产出!$BF$16:$BF$26,建筑产出!BL$16:BL$26)</f>
        <v>0.2</v>
      </c>
      <c r="H62" s="14">
        <f>LOOKUP($A62,建筑产出!$BF$16:$BF$26,建筑产出!BM$16:BM$26)</f>
        <v>0.2</v>
      </c>
      <c r="I62" s="14">
        <f>ROUND(LOOKUP($C62,建筑产出!$A$2:$A$26,建筑产出!D$2:D$26)*D62,-2)</f>
        <v>44400</v>
      </c>
      <c r="J62" s="14">
        <f>ROUND(LOOKUP($C62,建筑产出!$A$2:$A$26,建筑产出!E$2:E$26)*E62,-2)</f>
        <v>0</v>
      </c>
      <c r="K62" s="14">
        <f>ROUND(LOOKUP($C62,建筑产出!$A$2:$A$26,建筑产出!F$2:F$26)*F62,-2)</f>
        <v>0</v>
      </c>
      <c r="L62" s="14">
        <f>ROUND(LOOKUP($C62,建筑产出!$A$2:$A$26,建筑产出!G$2:G$26)*G62,-2)</f>
        <v>88900</v>
      </c>
      <c r="M62" s="14">
        <f>ROUND(LOOKUP($C62,建筑产出!$A$2:$A$26,建筑产出!H$2:H$26)*H62,-2)</f>
        <v>88900</v>
      </c>
      <c r="N62" s="14"/>
      <c r="O62" s="14">
        <f t="shared" si="1"/>
        <v>1</v>
      </c>
      <c r="P62" s="14">
        <f t="shared" si="2"/>
        <v>0</v>
      </c>
      <c r="Q62" s="14">
        <f t="shared" si="3"/>
        <v>0</v>
      </c>
      <c r="R62" s="14">
        <f t="shared" si="4"/>
        <v>5</v>
      </c>
      <c r="S62" s="14">
        <f t="shared" si="5"/>
        <v>6</v>
      </c>
      <c r="T62" s="14"/>
      <c r="U62" s="14" t="str">
        <f t="shared" si="6"/>
        <v>1;5;6;</v>
      </c>
      <c r="V62" s="23" t="str">
        <f t="shared" si="7"/>
        <v>44400;88900;88900;</v>
      </c>
      <c r="X62" s="13" t="str">
        <f t="shared" si="8"/>
        <v>1;5;6</v>
      </c>
      <c r="Y62" s="13" t="str">
        <f t="shared" si="9"/>
        <v>44400;88900;88900</v>
      </c>
    </row>
    <row r="63" spans="1:25" s="13" customFormat="1" ht="20.100000000000001" customHeight="1">
      <c r="A63" s="11">
        <f t="shared" si="10"/>
        <v>3</v>
      </c>
      <c r="B63" s="9" t="s">
        <v>29</v>
      </c>
      <c r="C63" s="11">
        <v>11</v>
      </c>
      <c r="D63" s="14">
        <f>LOOKUP($A63,建筑产出!$BF$16:$BF$26,建筑产出!BI$16:BI$26)</f>
        <v>0.05</v>
      </c>
      <c r="E63" s="14">
        <f>LOOKUP($A63,建筑产出!$BF$16:$BF$26,建筑产出!BJ$16:BJ$26)</f>
        <v>0</v>
      </c>
      <c r="F63" s="14">
        <f>LOOKUP($A63,建筑产出!$BF$16:$BF$26,建筑产出!BK$16:BK$26)</f>
        <v>0</v>
      </c>
      <c r="G63" s="14">
        <f>LOOKUP($A63,建筑产出!$BF$16:$BF$26,建筑产出!BL$16:BL$26)</f>
        <v>0.2</v>
      </c>
      <c r="H63" s="14">
        <f>LOOKUP($A63,建筑产出!$BF$16:$BF$26,建筑产出!BM$16:BM$26)</f>
        <v>0.2</v>
      </c>
      <c r="I63" s="14">
        <f>ROUND(LOOKUP($C63,建筑产出!$A$2:$A$26,建筑产出!D$2:D$26)*D63,-2)</f>
        <v>54300</v>
      </c>
      <c r="J63" s="14">
        <f>ROUND(LOOKUP($C63,建筑产出!$A$2:$A$26,建筑产出!E$2:E$26)*E63,-2)</f>
        <v>0</v>
      </c>
      <c r="K63" s="14">
        <f>ROUND(LOOKUP($C63,建筑产出!$A$2:$A$26,建筑产出!F$2:F$26)*F63,-2)</f>
        <v>0</v>
      </c>
      <c r="L63" s="14">
        <f>ROUND(LOOKUP($C63,建筑产出!$A$2:$A$26,建筑产出!G$2:G$26)*G63,-2)</f>
        <v>108500</v>
      </c>
      <c r="M63" s="14">
        <f>ROUND(LOOKUP($C63,建筑产出!$A$2:$A$26,建筑产出!H$2:H$26)*H63,-2)</f>
        <v>108500</v>
      </c>
      <c r="N63" s="14"/>
      <c r="O63" s="14">
        <f t="shared" si="1"/>
        <v>1</v>
      </c>
      <c r="P63" s="14">
        <f t="shared" si="2"/>
        <v>0</v>
      </c>
      <c r="Q63" s="14">
        <f t="shared" si="3"/>
        <v>0</v>
      </c>
      <c r="R63" s="14">
        <f t="shared" si="4"/>
        <v>5</v>
      </c>
      <c r="S63" s="14">
        <f t="shared" si="5"/>
        <v>6</v>
      </c>
      <c r="T63" s="14"/>
      <c r="U63" s="14" t="str">
        <f t="shared" si="6"/>
        <v>1;5;6;</v>
      </c>
      <c r="V63" s="23" t="str">
        <f t="shared" si="7"/>
        <v>54300;108500;108500;</v>
      </c>
      <c r="X63" s="13" t="str">
        <f t="shared" si="8"/>
        <v>1;5;6</v>
      </c>
      <c r="Y63" s="13" t="str">
        <f t="shared" si="9"/>
        <v>54300;108500;108500</v>
      </c>
    </row>
    <row r="64" spans="1:25" s="13" customFormat="1" ht="20.100000000000001" customHeight="1">
      <c r="A64" s="11">
        <f t="shared" si="10"/>
        <v>3</v>
      </c>
      <c r="B64" s="9" t="s">
        <v>29</v>
      </c>
      <c r="C64" s="11">
        <v>12</v>
      </c>
      <c r="D64" s="14">
        <f>LOOKUP($A64,建筑产出!$BF$16:$BF$26,建筑产出!BI$16:BI$26)</f>
        <v>0.05</v>
      </c>
      <c r="E64" s="14">
        <f>LOOKUP($A64,建筑产出!$BF$16:$BF$26,建筑产出!BJ$16:BJ$26)</f>
        <v>0</v>
      </c>
      <c r="F64" s="14">
        <f>LOOKUP($A64,建筑产出!$BF$16:$BF$26,建筑产出!BK$16:BK$26)</f>
        <v>0</v>
      </c>
      <c r="G64" s="14">
        <f>LOOKUP($A64,建筑产出!$BF$16:$BF$26,建筑产出!BL$16:BL$26)</f>
        <v>0.2</v>
      </c>
      <c r="H64" s="14">
        <f>LOOKUP($A64,建筑产出!$BF$16:$BF$26,建筑产出!BM$16:BM$26)</f>
        <v>0.2</v>
      </c>
      <c r="I64" s="14">
        <f>ROUND(LOOKUP($C64,建筑产出!$A$2:$A$26,建筑产出!D$2:D$26)*D64,-2)</f>
        <v>65000</v>
      </c>
      <c r="J64" s="14">
        <f>ROUND(LOOKUP($C64,建筑产出!$A$2:$A$26,建筑产出!E$2:E$26)*E64,-2)</f>
        <v>0</v>
      </c>
      <c r="K64" s="14">
        <f>ROUND(LOOKUP($C64,建筑产出!$A$2:$A$26,建筑产出!F$2:F$26)*F64,-2)</f>
        <v>0</v>
      </c>
      <c r="L64" s="14">
        <f>ROUND(LOOKUP($C64,建筑产出!$A$2:$A$26,建筑产出!G$2:G$26)*G64,-2)</f>
        <v>130000</v>
      </c>
      <c r="M64" s="14">
        <f>ROUND(LOOKUP($C64,建筑产出!$A$2:$A$26,建筑产出!H$2:H$26)*H64,-2)</f>
        <v>130000</v>
      </c>
      <c r="N64" s="14"/>
      <c r="O64" s="14">
        <f t="shared" si="1"/>
        <v>1</v>
      </c>
      <c r="P64" s="14">
        <f t="shared" si="2"/>
        <v>0</v>
      </c>
      <c r="Q64" s="14">
        <f t="shared" si="3"/>
        <v>0</v>
      </c>
      <c r="R64" s="14">
        <f t="shared" si="4"/>
        <v>5</v>
      </c>
      <c r="S64" s="14">
        <f t="shared" si="5"/>
        <v>6</v>
      </c>
      <c r="T64" s="14"/>
      <c r="U64" s="14" t="str">
        <f t="shared" si="6"/>
        <v>1;5;6;</v>
      </c>
      <c r="V64" s="23" t="str">
        <f t="shared" si="7"/>
        <v>65000;130000;130000;</v>
      </c>
      <c r="X64" s="13" t="str">
        <f t="shared" si="8"/>
        <v>1;5;6</v>
      </c>
      <c r="Y64" s="13" t="str">
        <f t="shared" si="9"/>
        <v>65000;130000;130000</v>
      </c>
    </row>
    <row r="65" spans="1:25" s="13" customFormat="1" ht="20.100000000000001" customHeight="1">
      <c r="A65" s="11">
        <f t="shared" si="10"/>
        <v>3</v>
      </c>
      <c r="B65" s="9" t="s">
        <v>29</v>
      </c>
      <c r="C65" s="11">
        <v>13</v>
      </c>
      <c r="D65" s="14">
        <f>LOOKUP($A65,建筑产出!$BF$16:$BF$26,建筑产出!BI$16:BI$26)</f>
        <v>0.05</v>
      </c>
      <c r="E65" s="14">
        <f>LOOKUP($A65,建筑产出!$BF$16:$BF$26,建筑产出!BJ$16:BJ$26)</f>
        <v>0</v>
      </c>
      <c r="F65" s="14">
        <f>LOOKUP($A65,建筑产出!$BF$16:$BF$26,建筑产出!BK$16:BK$26)</f>
        <v>0</v>
      </c>
      <c r="G65" s="14">
        <f>LOOKUP($A65,建筑产出!$BF$16:$BF$26,建筑产出!BL$16:BL$26)</f>
        <v>0.2</v>
      </c>
      <c r="H65" s="14">
        <f>LOOKUP($A65,建筑产出!$BF$16:$BF$26,建筑产出!BM$16:BM$26)</f>
        <v>0.2</v>
      </c>
      <c r="I65" s="14">
        <f>ROUND(LOOKUP($C65,建筑产出!$A$2:$A$26,建筑产出!D$2:D$26)*D65,-2)</f>
        <v>76700</v>
      </c>
      <c r="J65" s="14">
        <f>ROUND(LOOKUP($C65,建筑产出!$A$2:$A$26,建筑产出!E$2:E$26)*E65,-2)</f>
        <v>0</v>
      </c>
      <c r="K65" s="14">
        <f>ROUND(LOOKUP($C65,建筑产出!$A$2:$A$26,建筑产出!F$2:F$26)*F65,-2)</f>
        <v>0</v>
      </c>
      <c r="L65" s="14">
        <f>ROUND(LOOKUP($C65,建筑产出!$A$2:$A$26,建筑产出!G$2:G$26)*G65,-2)</f>
        <v>153300</v>
      </c>
      <c r="M65" s="14">
        <f>ROUND(LOOKUP($C65,建筑产出!$A$2:$A$26,建筑产出!H$2:H$26)*H65,-2)</f>
        <v>153300</v>
      </c>
      <c r="N65" s="14"/>
      <c r="O65" s="14">
        <f t="shared" si="1"/>
        <v>1</v>
      </c>
      <c r="P65" s="14">
        <f t="shared" si="2"/>
        <v>0</v>
      </c>
      <c r="Q65" s="14">
        <f t="shared" si="3"/>
        <v>0</v>
      </c>
      <c r="R65" s="14">
        <f t="shared" si="4"/>
        <v>5</v>
      </c>
      <c r="S65" s="14">
        <f t="shared" si="5"/>
        <v>6</v>
      </c>
      <c r="T65" s="14"/>
      <c r="U65" s="14" t="str">
        <f t="shared" si="6"/>
        <v>1;5;6;</v>
      </c>
      <c r="V65" s="23" t="str">
        <f t="shared" si="7"/>
        <v>76700;153300;153300;</v>
      </c>
      <c r="X65" s="13" t="str">
        <f t="shared" si="8"/>
        <v>1;5;6</v>
      </c>
      <c r="Y65" s="13" t="str">
        <f t="shared" si="9"/>
        <v>76700;153300;153300</v>
      </c>
    </row>
    <row r="66" spans="1:25" s="13" customFormat="1" ht="20.100000000000001" customHeight="1">
      <c r="A66" s="11">
        <f t="shared" si="10"/>
        <v>3</v>
      </c>
      <c r="B66" s="9" t="s">
        <v>29</v>
      </c>
      <c r="C66" s="11">
        <v>14</v>
      </c>
      <c r="D66" s="14">
        <f>LOOKUP($A66,建筑产出!$BF$16:$BF$26,建筑产出!BI$16:BI$26)</f>
        <v>0.05</v>
      </c>
      <c r="E66" s="14">
        <f>LOOKUP($A66,建筑产出!$BF$16:$BF$26,建筑产出!BJ$16:BJ$26)</f>
        <v>0</v>
      </c>
      <c r="F66" s="14">
        <f>LOOKUP($A66,建筑产出!$BF$16:$BF$26,建筑产出!BK$16:BK$26)</f>
        <v>0</v>
      </c>
      <c r="G66" s="14">
        <f>LOOKUP($A66,建筑产出!$BF$16:$BF$26,建筑产出!BL$16:BL$26)</f>
        <v>0.2</v>
      </c>
      <c r="H66" s="14">
        <f>LOOKUP($A66,建筑产出!$BF$16:$BF$26,建筑产出!BM$16:BM$26)</f>
        <v>0.2</v>
      </c>
      <c r="I66" s="14">
        <f>ROUND(LOOKUP($C66,建筑产出!$A$2:$A$26,建筑产出!D$2:D$26)*D66,-2)</f>
        <v>89200</v>
      </c>
      <c r="J66" s="14">
        <f>ROUND(LOOKUP($C66,建筑产出!$A$2:$A$26,建筑产出!E$2:E$26)*E66,-2)</f>
        <v>0</v>
      </c>
      <c r="K66" s="14">
        <f>ROUND(LOOKUP($C66,建筑产出!$A$2:$A$26,建筑产出!F$2:F$26)*F66,-2)</f>
        <v>0</v>
      </c>
      <c r="L66" s="14">
        <f>ROUND(LOOKUP($C66,建筑产出!$A$2:$A$26,建筑产出!G$2:G$26)*G66,-2)</f>
        <v>178500</v>
      </c>
      <c r="M66" s="14">
        <f>ROUND(LOOKUP($C66,建筑产出!$A$2:$A$26,建筑产出!H$2:H$26)*H66,-2)</f>
        <v>178500</v>
      </c>
      <c r="N66" s="14"/>
      <c r="O66" s="14">
        <f t="shared" si="1"/>
        <v>1</v>
      </c>
      <c r="P66" s="14">
        <f t="shared" si="2"/>
        <v>0</v>
      </c>
      <c r="Q66" s="14">
        <f t="shared" si="3"/>
        <v>0</v>
      </c>
      <c r="R66" s="14">
        <f t="shared" si="4"/>
        <v>5</v>
      </c>
      <c r="S66" s="14">
        <f t="shared" si="5"/>
        <v>6</v>
      </c>
      <c r="T66" s="14"/>
      <c r="U66" s="14" t="str">
        <f t="shared" si="6"/>
        <v>1;5;6;</v>
      </c>
      <c r="V66" s="23" t="str">
        <f t="shared" si="7"/>
        <v>89200;178500;178500;</v>
      </c>
      <c r="X66" s="13" t="str">
        <f t="shared" si="8"/>
        <v>1;5;6</v>
      </c>
      <c r="Y66" s="13" t="str">
        <f t="shared" si="9"/>
        <v>89200;178500;178500</v>
      </c>
    </row>
    <row r="67" spans="1:25" s="13" customFormat="1" ht="20.100000000000001" customHeight="1">
      <c r="A67" s="11">
        <f t="shared" si="10"/>
        <v>3</v>
      </c>
      <c r="B67" s="9" t="s">
        <v>29</v>
      </c>
      <c r="C67" s="11">
        <v>15</v>
      </c>
      <c r="D67" s="14">
        <f>LOOKUP($A67,建筑产出!$BF$16:$BF$26,建筑产出!BI$16:BI$26)</f>
        <v>0.05</v>
      </c>
      <c r="E67" s="14">
        <f>LOOKUP($A67,建筑产出!$BF$16:$BF$26,建筑产出!BJ$16:BJ$26)</f>
        <v>0</v>
      </c>
      <c r="F67" s="14">
        <f>LOOKUP($A67,建筑产出!$BF$16:$BF$26,建筑产出!BK$16:BK$26)</f>
        <v>0</v>
      </c>
      <c r="G67" s="14">
        <f>LOOKUP($A67,建筑产出!$BF$16:$BF$26,建筑产出!BL$16:BL$26)</f>
        <v>0.2</v>
      </c>
      <c r="H67" s="14">
        <f>LOOKUP($A67,建筑产出!$BF$16:$BF$26,建筑产出!BM$16:BM$26)</f>
        <v>0.2</v>
      </c>
      <c r="I67" s="14">
        <f>ROUND(LOOKUP($C67,建筑产出!$A$2:$A$26,建筑产出!D$2:D$26)*D67,-2)</f>
        <v>104800</v>
      </c>
      <c r="J67" s="14">
        <f>ROUND(LOOKUP($C67,建筑产出!$A$2:$A$26,建筑产出!E$2:E$26)*E67,-2)</f>
        <v>0</v>
      </c>
      <c r="K67" s="14">
        <f>ROUND(LOOKUP($C67,建筑产出!$A$2:$A$26,建筑产出!F$2:F$26)*F67,-2)</f>
        <v>0</v>
      </c>
      <c r="L67" s="14">
        <f>ROUND(LOOKUP($C67,建筑产出!$A$2:$A$26,建筑产出!G$2:G$26)*G67,-2)</f>
        <v>209600</v>
      </c>
      <c r="M67" s="14">
        <f>ROUND(LOOKUP($C67,建筑产出!$A$2:$A$26,建筑产出!H$2:H$26)*H67,-2)</f>
        <v>209600</v>
      </c>
      <c r="N67" s="14"/>
      <c r="O67" s="14">
        <f t="shared" si="1"/>
        <v>1</v>
      </c>
      <c r="P67" s="14">
        <f t="shared" si="2"/>
        <v>0</v>
      </c>
      <c r="Q67" s="14">
        <f t="shared" si="3"/>
        <v>0</v>
      </c>
      <c r="R67" s="14">
        <f t="shared" si="4"/>
        <v>5</v>
      </c>
      <c r="S67" s="14">
        <f t="shared" si="5"/>
        <v>6</v>
      </c>
      <c r="T67" s="14"/>
      <c r="U67" s="14" t="str">
        <f t="shared" si="6"/>
        <v>1;5;6;</v>
      </c>
      <c r="V67" s="23" t="str">
        <f t="shared" si="7"/>
        <v>104800;209600;209600;</v>
      </c>
      <c r="X67" s="13" t="str">
        <f t="shared" si="8"/>
        <v>1;5;6</v>
      </c>
      <c r="Y67" s="13" t="str">
        <f t="shared" si="9"/>
        <v>104800;209600;209600</v>
      </c>
    </row>
    <row r="68" spans="1:25" s="13" customFormat="1" ht="20.100000000000001" customHeight="1">
      <c r="A68" s="11">
        <f t="shared" si="10"/>
        <v>3</v>
      </c>
      <c r="B68" s="9" t="s">
        <v>29</v>
      </c>
      <c r="C68" s="11">
        <v>16</v>
      </c>
      <c r="D68" s="14">
        <f>LOOKUP($A68,建筑产出!$BF$16:$BF$26,建筑产出!BI$16:BI$26)</f>
        <v>0.05</v>
      </c>
      <c r="E68" s="14">
        <f>LOOKUP($A68,建筑产出!$BF$16:$BF$26,建筑产出!BJ$16:BJ$26)</f>
        <v>0</v>
      </c>
      <c r="F68" s="14">
        <f>LOOKUP($A68,建筑产出!$BF$16:$BF$26,建筑产出!BK$16:BK$26)</f>
        <v>0</v>
      </c>
      <c r="G68" s="14">
        <f>LOOKUP($A68,建筑产出!$BF$16:$BF$26,建筑产出!BL$16:BL$26)</f>
        <v>0.2</v>
      </c>
      <c r="H68" s="14">
        <f>LOOKUP($A68,建筑产出!$BF$16:$BF$26,建筑产出!BM$16:BM$26)</f>
        <v>0.2</v>
      </c>
      <c r="I68" s="14">
        <f>ROUND(LOOKUP($C68,建筑产出!$A$2:$A$26,建筑产出!D$2:D$26)*D68,-2)</f>
        <v>121500</v>
      </c>
      <c r="J68" s="14">
        <f>ROUND(LOOKUP($C68,建筑产出!$A$2:$A$26,建筑产出!E$2:E$26)*E68,-2)</f>
        <v>0</v>
      </c>
      <c r="K68" s="14">
        <f>ROUND(LOOKUP($C68,建筑产出!$A$2:$A$26,建筑产出!F$2:F$26)*F68,-2)</f>
        <v>0</v>
      </c>
      <c r="L68" s="14">
        <f>ROUND(LOOKUP($C68,建筑产出!$A$2:$A$26,建筑产出!G$2:G$26)*G68,-2)</f>
        <v>243000</v>
      </c>
      <c r="M68" s="14">
        <f>ROUND(LOOKUP($C68,建筑产出!$A$2:$A$26,建筑产出!H$2:H$26)*H68,-2)</f>
        <v>243000</v>
      </c>
      <c r="N68" s="14"/>
      <c r="O68" s="14">
        <f t="shared" ref="O68:O131" si="11">IF(I68=0,0,I$2)</f>
        <v>1</v>
      </c>
      <c r="P68" s="14">
        <f t="shared" ref="P68:P131" si="12">IF(J68=0,0,J$2)</f>
        <v>0</v>
      </c>
      <c r="Q68" s="14">
        <f t="shared" ref="Q68:Q131" si="13">IF(K68=0,0,K$2)</f>
        <v>0</v>
      </c>
      <c r="R68" s="14">
        <f t="shared" ref="R68:R131" si="14">IF(L68=0,0,L$2)</f>
        <v>5</v>
      </c>
      <c r="S68" s="14">
        <f t="shared" ref="S68:S131" si="15">IF(M68=0,0,M$2)</f>
        <v>6</v>
      </c>
      <c r="T68" s="14"/>
      <c r="U68" s="14" t="str">
        <f t="shared" ref="U68:U131" si="16">IF(O68&gt;0,O68&amp;";","")&amp;IF(P68&gt;0,P68&amp;";","")&amp;IF(Q68&gt;0,Q68&amp;";","")&amp;IF(R68&gt;0,R68&amp;";","")&amp;IF(S68&gt;0,S68&amp;";","")</f>
        <v>1;5;6;</v>
      </c>
      <c r="V68" s="23" t="str">
        <f t="shared" ref="V68:V131" si="17">IF(O68&gt;0,I68&amp;";","")&amp;IF(P68&gt;0,J68&amp;";","")&amp;IF(Q68&gt;0,K68&amp;";","")&amp;IF(R68&gt;0,L68&amp;";","")&amp;IF(S68&gt;0,M68&amp;";","")</f>
        <v>121500;243000;243000;</v>
      </c>
      <c r="X68" s="13" t="str">
        <f t="shared" ref="X68:X131" si="18">LEFT(U68,LEN(U68)-1)</f>
        <v>1;5;6</v>
      </c>
      <c r="Y68" s="13" t="str">
        <f t="shared" ref="Y68:Y131" si="19">LEFT(V68,LEN(V68)-1)</f>
        <v>121500;243000;243000</v>
      </c>
    </row>
    <row r="69" spans="1:25" s="13" customFormat="1" ht="20.100000000000001" customHeight="1">
      <c r="A69" s="11">
        <f t="shared" si="10"/>
        <v>3</v>
      </c>
      <c r="B69" s="9" t="s">
        <v>29</v>
      </c>
      <c r="C69" s="11">
        <v>17</v>
      </c>
      <c r="D69" s="14">
        <f>LOOKUP($A69,建筑产出!$BF$16:$BF$26,建筑产出!BI$16:BI$26)</f>
        <v>0.05</v>
      </c>
      <c r="E69" s="14">
        <f>LOOKUP($A69,建筑产出!$BF$16:$BF$26,建筑产出!BJ$16:BJ$26)</f>
        <v>0</v>
      </c>
      <c r="F69" s="14">
        <f>LOOKUP($A69,建筑产出!$BF$16:$BF$26,建筑产出!BK$16:BK$26)</f>
        <v>0</v>
      </c>
      <c r="G69" s="14">
        <f>LOOKUP($A69,建筑产出!$BF$16:$BF$26,建筑产出!BL$16:BL$26)</f>
        <v>0.2</v>
      </c>
      <c r="H69" s="14">
        <f>LOOKUP($A69,建筑产出!$BF$16:$BF$26,建筑产出!BM$16:BM$26)</f>
        <v>0.2</v>
      </c>
      <c r="I69" s="14">
        <f>ROUND(LOOKUP($C69,建筑产出!$A$2:$A$26,建筑产出!D$2:D$26)*D69,-2)</f>
        <v>139400</v>
      </c>
      <c r="J69" s="14">
        <f>ROUND(LOOKUP($C69,建筑产出!$A$2:$A$26,建筑产出!E$2:E$26)*E69,-2)</f>
        <v>0</v>
      </c>
      <c r="K69" s="14">
        <f>ROUND(LOOKUP($C69,建筑产出!$A$2:$A$26,建筑产出!F$2:F$26)*F69,-2)</f>
        <v>0</v>
      </c>
      <c r="L69" s="14">
        <f>ROUND(LOOKUP($C69,建筑产出!$A$2:$A$26,建筑产出!G$2:G$26)*G69,-2)</f>
        <v>278700</v>
      </c>
      <c r="M69" s="14">
        <f>ROUND(LOOKUP($C69,建筑产出!$A$2:$A$26,建筑产出!H$2:H$26)*H69,-2)</f>
        <v>278700</v>
      </c>
      <c r="N69" s="14"/>
      <c r="O69" s="14">
        <f t="shared" si="11"/>
        <v>1</v>
      </c>
      <c r="P69" s="14">
        <f t="shared" si="12"/>
        <v>0</v>
      </c>
      <c r="Q69" s="14">
        <f t="shared" si="13"/>
        <v>0</v>
      </c>
      <c r="R69" s="14">
        <f t="shared" si="14"/>
        <v>5</v>
      </c>
      <c r="S69" s="14">
        <f t="shared" si="15"/>
        <v>6</v>
      </c>
      <c r="T69" s="14"/>
      <c r="U69" s="14" t="str">
        <f t="shared" si="16"/>
        <v>1;5;6;</v>
      </c>
      <c r="V69" s="23" t="str">
        <f t="shared" si="17"/>
        <v>139400;278700;278700;</v>
      </c>
      <c r="X69" s="13" t="str">
        <f t="shared" si="18"/>
        <v>1;5;6</v>
      </c>
      <c r="Y69" s="13" t="str">
        <f t="shared" si="19"/>
        <v>139400;278700;278700</v>
      </c>
    </row>
    <row r="70" spans="1:25" s="13" customFormat="1" ht="20.100000000000001" customHeight="1">
      <c r="A70" s="11">
        <f t="shared" si="10"/>
        <v>3</v>
      </c>
      <c r="B70" s="9" t="s">
        <v>29</v>
      </c>
      <c r="C70" s="11">
        <v>18</v>
      </c>
      <c r="D70" s="14">
        <f>LOOKUP($A70,建筑产出!$BF$16:$BF$26,建筑产出!BI$16:BI$26)</f>
        <v>0.05</v>
      </c>
      <c r="E70" s="14">
        <f>LOOKUP($A70,建筑产出!$BF$16:$BF$26,建筑产出!BJ$16:BJ$26)</f>
        <v>0</v>
      </c>
      <c r="F70" s="14">
        <f>LOOKUP($A70,建筑产出!$BF$16:$BF$26,建筑产出!BK$16:BK$26)</f>
        <v>0</v>
      </c>
      <c r="G70" s="14">
        <f>LOOKUP($A70,建筑产出!$BF$16:$BF$26,建筑产出!BL$16:BL$26)</f>
        <v>0.2</v>
      </c>
      <c r="H70" s="14">
        <f>LOOKUP($A70,建筑产出!$BF$16:$BF$26,建筑产出!BM$16:BM$26)</f>
        <v>0.2</v>
      </c>
      <c r="I70" s="14">
        <f>ROUND(LOOKUP($C70,建筑产出!$A$2:$A$26,建筑产出!D$2:D$26)*D70,-2)</f>
        <v>158400</v>
      </c>
      <c r="J70" s="14">
        <f>ROUND(LOOKUP($C70,建筑产出!$A$2:$A$26,建筑产出!E$2:E$26)*E70,-2)</f>
        <v>0</v>
      </c>
      <c r="K70" s="14">
        <f>ROUND(LOOKUP($C70,建筑产出!$A$2:$A$26,建筑产出!F$2:F$26)*F70,-2)</f>
        <v>0</v>
      </c>
      <c r="L70" s="14">
        <f>ROUND(LOOKUP($C70,建筑产出!$A$2:$A$26,建筑产出!G$2:G$26)*G70,-2)</f>
        <v>316700</v>
      </c>
      <c r="M70" s="14">
        <f>ROUND(LOOKUP($C70,建筑产出!$A$2:$A$26,建筑产出!H$2:H$26)*H70,-2)</f>
        <v>316700</v>
      </c>
      <c r="N70" s="14"/>
      <c r="O70" s="14">
        <f t="shared" si="11"/>
        <v>1</v>
      </c>
      <c r="P70" s="14">
        <f t="shared" si="12"/>
        <v>0</v>
      </c>
      <c r="Q70" s="14">
        <f t="shared" si="13"/>
        <v>0</v>
      </c>
      <c r="R70" s="14">
        <f t="shared" si="14"/>
        <v>5</v>
      </c>
      <c r="S70" s="14">
        <f t="shared" si="15"/>
        <v>6</v>
      </c>
      <c r="T70" s="14"/>
      <c r="U70" s="14" t="str">
        <f t="shared" si="16"/>
        <v>1;5;6;</v>
      </c>
      <c r="V70" s="23" t="str">
        <f t="shared" si="17"/>
        <v>158400;316700;316700;</v>
      </c>
      <c r="X70" s="13" t="str">
        <f t="shared" si="18"/>
        <v>1;5;6</v>
      </c>
      <c r="Y70" s="13" t="str">
        <f t="shared" si="19"/>
        <v>158400;316700;316700</v>
      </c>
    </row>
    <row r="71" spans="1:25" s="13" customFormat="1" ht="20.100000000000001" customHeight="1">
      <c r="A71" s="11">
        <f t="shared" si="10"/>
        <v>3</v>
      </c>
      <c r="B71" s="9" t="s">
        <v>29</v>
      </c>
      <c r="C71" s="11">
        <v>19</v>
      </c>
      <c r="D71" s="14">
        <f>LOOKUP($A71,建筑产出!$BF$16:$BF$26,建筑产出!BI$16:BI$26)</f>
        <v>0.05</v>
      </c>
      <c r="E71" s="14">
        <f>LOOKUP($A71,建筑产出!$BF$16:$BF$26,建筑产出!BJ$16:BJ$26)</f>
        <v>0</v>
      </c>
      <c r="F71" s="14">
        <f>LOOKUP($A71,建筑产出!$BF$16:$BF$26,建筑产出!BK$16:BK$26)</f>
        <v>0</v>
      </c>
      <c r="G71" s="14">
        <f>LOOKUP($A71,建筑产出!$BF$16:$BF$26,建筑产出!BL$16:BL$26)</f>
        <v>0.2</v>
      </c>
      <c r="H71" s="14">
        <f>LOOKUP($A71,建筑产出!$BF$16:$BF$26,建筑产出!BM$16:BM$26)</f>
        <v>0.2</v>
      </c>
      <c r="I71" s="14">
        <f>ROUND(LOOKUP($C71,建筑产出!$A$2:$A$26,建筑产出!D$2:D$26)*D71,-2)</f>
        <v>178500</v>
      </c>
      <c r="J71" s="14">
        <f>ROUND(LOOKUP($C71,建筑产出!$A$2:$A$26,建筑产出!E$2:E$26)*E71,-2)</f>
        <v>0</v>
      </c>
      <c r="K71" s="14">
        <f>ROUND(LOOKUP($C71,建筑产出!$A$2:$A$26,建筑产出!F$2:F$26)*F71,-2)</f>
        <v>0</v>
      </c>
      <c r="L71" s="14">
        <f>ROUND(LOOKUP($C71,建筑产出!$A$2:$A$26,建筑产出!G$2:G$26)*G71,-2)</f>
        <v>357000</v>
      </c>
      <c r="M71" s="14">
        <f>ROUND(LOOKUP($C71,建筑产出!$A$2:$A$26,建筑产出!H$2:H$26)*H71,-2)</f>
        <v>357000</v>
      </c>
      <c r="N71" s="14"/>
      <c r="O71" s="14">
        <f t="shared" si="11"/>
        <v>1</v>
      </c>
      <c r="P71" s="14">
        <f t="shared" si="12"/>
        <v>0</v>
      </c>
      <c r="Q71" s="14">
        <f t="shared" si="13"/>
        <v>0</v>
      </c>
      <c r="R71" s="14">
        <f t="shared" si="14"/>
        <v>5</v>
      </c>
      <c r="S71" s="14">
        <f t="shared" si="15"/>
        <v>6</v>
      </c>
      <c r="T71" s="14"/>
      <c r="U71" s="14" t="str">
        <f t="shared" si="16"/>
        <v>1;5;6;</v>
      </c>
      <c r="V71" s="23" t="str">
        <f t="shared" si="17"/>
        <v>178500;357000;357000;</v>
      </c>
      <c r="X71" s="13" t="str">
        <f t="shared" si="18"/>
        <v>1;5;6</v>
      </c>
      <c r="Y71" s="13" t="str">
        <f t="shared" si="19"/>
        <v>178500;357000;357000</v>
      </c>
    </row>
    <row r="72" spans="1:25" s="13" customFormat="1" ht="20.100000000000001" customHeight="1">
      <c r="A72" s="11">
        <f t="shared" si="10"/>
        <v>3</v>
      </c>
      <c r="B72" s="9" t="s">
        <v>29</v>
      </c>
      <c r="C72" s="11">
        <v>20</v>
      </c>
      <c r="D72" s="14">
        <f>LOOKUP($A72,建筑产出!$BF$16:$BF$26,建筑产出!BI$16:BI$26)</f>
        <v>0.05</v>
      </c>
      <c r="E72" s="14">
        <f>LOOKUP($A72,建筑产出!$BF$16:$BF$26,建筑产出!BJ$16:BJ$26)</f>
        <v>0</v>
      </c>
      <c r="F72" s="14">
        <f>LOOKUP($A72,建筑产出!$BF$16:$BF$26,建筑产出!BK$16:BK$26)</f>
        <v>0</v>
      </c>
      <c r="G72" s="14">
        <f>LOOKUP($A72,建筑产出!$BF$16:$BF$26,建筑产出!BL$16:BL$26)</f>
        <v>0.2</v>
      </c>
      <c r="H72" s="14">
        <f>LOOKUP($A72,建筑产出!$BF$16:$BF$26,建筑产出!BM$16:BM$26)</f>
        <v>0.2</v>
      </c>
      <c r="I72" s="14">
        <f>ROUND(LOOKUP($C72,建筑产出!$A$2:$A$26,建筑产出!D$2:D$26)*D72,-2)</f>
        <v>202500</v>
      </c>
      <c r="J72" s="14">
        <f>ROUND(LOOKUP($C72,建筑产出!$A$2:$A$26,建筑产出!E$2:E$26)*E72,-2)</f>
        <v>0</v>
      </c>
      <c r="K72" s="14">
        <f>ROUND(LOOKUP($C72,建筑产出!$A$2:$A$26,建筑产出!F$2:F$26)*F72,-2)</f>
        <v>0</v>
      </c>
      <c r="L72" s="14">
        <f>ROUND(LOOKUP($C72,建筑产出!$A$2:$A$26,建筑产出!G$2:G$26)*G72,-2)</f>
        <v>404900</v>
      </c>
      <c r="M72" s="14">
        <f>ROUND(LOOKUP($C72,建筑产出!$A$2:$A$26,建筑产出!H$2:H$26)*H72,-2)</f>
        <v>404900</v>
      </c>
      <c r="N72" s="14"/>
      <c r="O72" s="14">
        <f t="shared" si="11"/>
        <v>1</v>
      </c>
      <c r="P72" s="14">
        <f t="shared" si="12"/>
        <v>0</v>
      </c>
      <c r="Q72" s="14">
        <f t="shared" si="13"/>
        <v>0</v>
      </c>
      <c r="R72" s="14">
        <f t="shared" si="14"/>
        <v>5</v>
      </c>
      <c r="S72" s="14">
        <f t="shared" si="15"/>
        <v>6</v>
      </c>
      <c r="T72" s="14"/>
      <c r="U72" s="14" t="str">
        <f t="shared" si="16"/>
        <v>1;5;6;</v>
      </c>
      <c r="V72" s="23" t="str">
        <f t="shared" si="17"/>
        <v>202500;404900;404900;</v>
      </c>
      <c r="X72" s="13" t="str">
        <f t="shared" si="18"/>
        <v>1;5;6</v>
      </c>
      <c r="Y72" s="13" t="str">
        <f t="shared" si="19"/>
        <v>202500;404900;404900</v>
      </c>
    </row>
    <row r="73" spans="1:25" s="13" customFormat="1" ht="20.100000000000001" customHeight="1">
      <c r="A73" s="11">
        <f t="shared" si="10"/>
        <v>3</v>
      </c>
      <c r="B73" s="9" t="s">
        <v>29</v>
      </c>
      <c r="C73" s="11">
        <v>21</v>
      </c>
      <c r="D73" s="14">
        <f>LOOKUP($A73,建筑产出!$BF$16:$BF$26,建筑产出!BI$16:BI$26)</f>
        <v>0.05</v>
      </c>
      <c r="E73" s="14">
        <f>LOOKUP($A73,建筑产出!$BF$16:$BF$26,建筑产出!BJ$16:BJ$26)</f>
        <v>0</v>
      </c>
      <c r="F73" s="14">
        <f>LOOKUP($A73,建筑产出!$BF$16:$BF$26,建筑产出!BK$16:BK$26)</f>
        <v>0</v>
      </c>
      <c r="G73" s="14">
        <f>LOOKUP($A73,建筑产出!$BF$16:$BF$26,建筑产出!BL$16:BL$26)</f>
        <v>0.2</v>
      </c>
      <c r="H73" s="14">
        <f>LOOKUP($A73,建筑产出!$BF$16:$BF$26,建筑产出!BM$16:BM$26)</f>
        <v>0.2</v>
      </c>
      <c r="I73" s="14">
        <f>ROUND(LOOKUP($C73,建筑产出!$A$2:$A$26,建筑产出!D$2:D$26)*D73,-2)</f>
        <v>227800</v>
      </c>
      <c r="J73" s="14">
        <f>ROUND(LOOKUP($C73,建筑产出!$A$2:$A$26,建筑产出!E$2:E$26)*E73,-2)</f>
        <v>0</v>
      </c>
      <c r="K73" s="14">
        <f>ROUND(LOOKUP($C73,建筑产出!$A$2:$A$26,建筑产出!F$2:F$26)*F73,-2)</f>
        <v>0</v>
      </c>
      <c r="L73" s="14">
        <f>ROUND(LOOKUP($C73,建筑产出!$A$2:$A$26,建筑产出!G$2:G$26)*G73,-2)</f>
        <v>455500</v>
      </c>
      <c r="M73" s="14">
        <f>ROUND(LOOKUP($C73,建筑产出!$A$2:$A$26,建筑产出!H$2:H$26)*H73,-2)</f>
        <v>455500</v>
      </c>
      <c r="N73" s="14"/>
      <c r="O73" s="14">
        <f t="shared" si="11"/>
        <v>1</v>
      </c>
      <c r="P73" s="14">
        <f t="shared" si="12"/>
        <v>0</v>
      </c>
      <c r="Q73" s="14">
        <f t="shared" si="13"/>
        <v>0</v>
      </c>
      <c r="R73" s="14">
        <f t="shared" si="14"/>
        <v>5</v>
      </c>
      <c r="S73" s="14">
        <f t="shared" si="15"/>
        <v>6</v>
      </c>
      <c r="T73" s="14"/>
      <c r="U73" s="14" t="str">
        <f t="shared" si="16"/>
        <v>1;5;6;</v>
      </c>
      <c r="V73" s="23" t="str">
        <f t="shared" si="17"/>
        <v>227800;455500;455500;</v>
      </c>
      <c r="X73" s="13" t="str">
        <f t="shared" si="18"/>
        <v>1;5;6</v>
      </c>
      <c r="Y73" s="13" t="str">
        <f t="shared" si="19"/>
        <v>227800;455500;455500</v>
      </c>
    </row>
    <row r="74" spans="1:25" s="13" customFormat="1" ht="20.100000000000001" customHeight="1">
      <c r="A74" s="11">
        <f t="shared" si="10"/>
        <v>3</v>
      </c>
      <c r="B74" s="9" t="s">
        <v>29</v>
      </c>
      <c r="C74" s="11">
        <v>22</v>
      </c>
      <c r="D74" s="14">
        <f>LOOKUP($A74,建筑产出!$BF$16:$BF$26,建筑产出!BI$16:BI$26)</f>
        <v>0.05</v>
      </c>
      <c r="E74" s="14">
        <f>LOOKUP($A74,建筑产出!$BF$16:$BF$26,建筑产出!BJ$16:BJ$26)</f>
        <v>0</v>
      </c>
      <c r="F74" s="14">
        <f>LOOKUP($A74,建筑产出!$BF$16:$BF$26,建筑产出!BK$16:BK$26)</f>
        <v>0</v>
      </c>
      <c r="G74" s="14">
        <f>LOOKUP($A74,建筑产出!$BF$16:$BF$26,建筑产出!BL$16:BL$26)</f>
        <v>0.2</v>
      </c>
      <c r="H74" s="14">
        <f>LOOKUP($A74,建筑产出!$BF$16:$BF$26,建筑产出!BM$16:BM$26)</f>
        <v>0.2</v>
      </c>
      <c r="I74" s="14">
        <f>ROUND(LOOKUP($C74,建筑产出!$A$2:$A$26,建筑产出!D$2:D$26)*D74,-2)</f>
        <v>254500</v>
      </c>
      <c r="J74" s="14">
        <f>ROUND(LOOKUP($C74,建筑产出!$A$2:$A$26,建筑产出!E$2:E$26)*E74,-2)</f>
        <v>0</v>
      </c>
      <c r="K74" s="14">
        <f>ROUND(LOOKUP($C74,建筑产出!$A$2:$A$26,建筑产出!F$2:F$26)*F74,-2)</f>
        <v>0</v>
      </c>
      <c r="L74" s="14">
        <f>ROUND(LOOKUP($C74,建筑产出!$A$2:$A$26,建筑产出!G$2:G$26)*G74,-2)</f>
        <v>508900</v>
      </c>
      <c r="M74" s="14">
        <f>ROUND(LOOKUP($C74,建筑产出!$A$2:$A$26,建筑产出!H$2:H$26)*H74,-2)</f>
        <v>508900</v>
      </c>
      <c r="N74" s="14"/>
      <c r="O74" s="14">
        <f t="shared" si="11"/>
        <v>1</v>
      </c>
      <c r="P74" s="14">
        <f t="shared" si="12"/>
        <v>0</v>
      </c>
      <c r="Q74" s="14">
        <f t="shared" si="13"/>
        <v>0</v>
      </c>
      <c r="R74" s="14">
        <f t="shared" si="14"/>
        <v>5</v>
      </c>
      <c r="S74" s="14">
        <f t="shared" si="15"/>
        <v>6</v>
      </c>
      <c r="T74" s="14"/>
      <c r="U74" s="14" t="str">
        <f t="shared" si="16"/>
        <v>1;5;6;</v>
      </c>
      <c r="V74" s="23" t="str">
        <f t="shared" si="17"/>
        <v>254500;508900;508900;</v>
      </c>
      <c r="X74" s="13" t="str">
        <f t="shared" si="18"/>
        <v>1;5;6</v>
      </c>
      <c r="Y74" s="13" t="str">
        <f t="shared" si="19"/>
        <v>254500;508900;508900</v>
      </c>
    </row>
    <row r="75" spans="1:25" s="13" customFormat="1" ht="20.100000000000001" customHeight="1">
      <c r="A75" s="11">
        <f t="shared" si="10"/>
        <v>3</v>
      </c>
      <c r="B75" s="9" t="s">
        <v>29</v>
      </c>
      <c r="C75" s="11">
        <v>23</v>
      </c>
      <c r="D75" s="14">
        <f>LOOKUP($A75,建筑产出!$BF$16:$BF$26,建筑产出!BI$16:BI$26)</f>
        <v>0.05</v>
      </c>
      <c r="E75" s="14">
        <f>LOOKUP($A75,建筑产出!$BF$16:$BF$26,建筑产出!BJ$16:BJ$26)</f>
        <v>0</v>
      </c>
      <c r="F75" s="14">
        <f>LOOKUP($A75,建筑产出!$BF$16:$BF$26,建筑产出!BK$16:BK$26)</f>
        <v>0</v>
      </c>
      <c r="G75" s="14">
        <f>LOOKUP($A75,建筑产出!$BF$16:$BF$26,建筑产出!BL$16:BL$26)</f>
        <v>0.2</v>
      </c>
      <c r="H75" s="14">
        <f>LOOKUP($A75,建筑产出!$BF$16:$BF$26,建筑产出!BM$16:BM$26)</f>
        <v>0.2</v>
      </c>
      <c r="I75" s="14">
        <f>ROUND(LOOKUP($C75,建筑产出!$A$2:$A$26,建筑产出!D$2:D$26)*D75,-2)</f>
        <v>282500</v>
      </c>
      <c r="J75" s="14">
        <f>ROUND(LOOKUP($C75,建筑产出!$A$2:$A$26,建筑产出!E$2:E$26)*E75,-2)</f>
        <v>0</v>
      </c>
      <c r="K75" s="14">
        <f>ROUND(LOOKUP($C75,建筑产出!$A$2:$A$26,建筑产出!F$2:F$26)*F75,-2)</f>
        <v>0</v>
      </c>
      <c r="L75" s="14">
        <f>ROUND(LOOKUP($C75,建筑产出!$A$2:$A$26,建筑产出!G$2:G$26)*G75,-2)</f>
        <v>565100</v>
      </c>
      <c r="M75" s="14">
        <f>ROUND(LOOKUP($C75,建筑产出!$A$2:$A$26,建筑产出!H$2:H$26)*H75,-2)</f>
        <v>565100</v>
      </c>
      <c r="N75" s="14"/>
      <c r="O75" s="14">
        <f t="shared" si="11"/>
        <v>1</v>
      </c>
      <c r="P75" s="14">
        <f t="shared" si="12"/>
        <v>0</v>
      </c>
      <c r="Q75" s="14">
        <f t="shared" si="13"/>
        <v>0</v>
      </c>
      <c r="R75" s="14">
        <f t="shared" si="14"/>
        <v>5</v>
      </c>
      <c r="S75" s="14">
        <f t="shared" si="15"/>
        <v>6</v>
      </c>
      <c r="T75" s="14"/>
      <c r="U75" s="14" t="str">
        <f t="shared" si="16"/>
        <v>1;5;6;</v>
      </c>
      <c r="V75" s="23" t="str">
        <f t="shared" si="17"/>
        <v>282500;565100;565100;</v>
      </c>
      <c r="X75" s="13" t="str">
        <f t="shared" si="18"/>
        <v>1;5;6</v>
      </c>
      <c r="Y75" s="13" t="str">
        <f t="shared" si="19"/>
        <v>282500;565100;565100</v>
      </c>
    </row>
    <row r="76" spans="1:25" s="13" customFormat="1" ht="20.100000000000001" customHeight="1">
      <c r="A76" s="11">
        <f t="shared" si="10"/>
        <v>3</v>
      </c>
      <c r="B76" s="9" t="s">
        <v>29</v>
      </c>
      <c r="C76" s="11">
        <v>24</v>
      </c>
      <c r="D76" s="14">
        <f>LOOKUP($A76,建筑产出!$BF$16:$BF$26,建筑产出!BI$16:BI$26)</f>
        <v>0.05</v>
      </c>
      <c r="E76" s="14">
        <f>LOOKUP($A76,建筑产出!$BF$16:$BF$26,建筑产出!BJ$16:BJ$26)</f>
        <v>0</v>
      </c>
      <c r="F76" s="14">
        <f>LOOKUP($A76,建筑产出!$BF$16:$BF$26,建筑产出!BK$16:BK$26)</f>
        <v>0</v>
      </c>
      <c r="G76" s="14">
        <f>LOOKUP($A76,建筑产出!$BF$16:$BF$26,建筑产出!BL$16:BL$26)</f>
        <v>0.2</v>
      </c>
      <c r="H76" s="14">
        <f>LOOKUP($A76,建筑产出!$BF$16:$BF$26,建筑产出!BM$16:BM$26)</f>
        <v>0.2</v>
      </c>
      <c r="I76" s="14">
        <f>ROUND(LOOKUP($C76,建筑产出!$A$2:$A$26,建筑产出!D$2:D$26)*D76,-2)</f>
        <v>312000</v>
      </c>
      <c r="J76" s="14">
        <f>ROUND(LOOKUP($C76,建筑产出!$A$2:$A$26,建筑产出!E$2:E$26)*E76,-2)</f>
        <v>0</v>
      </c>
      <c r="K76" s="14">
        <f>ROUND(LOOKUP($C76,建筑产出!$A$2:$A$26,建筑产出!F$2:F$26)*F76,-2)</f>
        <v>0</v>
      </c>
      <c r="L76" s="14">
        <f>ROUND(LOOKUP($C76,建筑产出!$A$2:$A$26,建筑产出!G$2:G$26)*G76,-2)</f>
        <v>624000</v>
      </c>
      <c r="M76" s="14">
        <f>ROUND(LOOKUP($C76,建筑产出!$A$2:$A$26,建筑产出!H$2:H$26)*H76,-2)</f>
        <v>624000</v>
      </c>
      <c r="N76" s="14"/>
      <c r="O76" s="14">
        <f t="shared" si="11"/>
        <v>1</v>
      </c>
      <c r="P76" s="14">
        <f t="shared" si="12"/>
        <v>0</v>
      </c>
      <c r="Q76" s="14">
        <f t="shared" si="13"/>
        <v>0</v>
      </c>
      <c r="R76" s="14">
        <f t="shared" si="14"/>
        <v>5</v>
      </c>
      <c r="S76" s="14">
        <f t="shared" si="15"/>
        <v>6</v>
      </c>
      <c r="T76" s="14"/>
      <c r="U76" s="14" t="str">
        <f t="shared" si="16"/>
        <v>1;5;6;</v>
      </c>
      <c r="V76" s="23" t="str">
        <f t="shared" si="17"/>
        <v>312000;624000;624000;</v>
      </c>
      <c r="X76" s="13" t="str">
        <f t="shared" si="18"/>
        <v>1;5;6</v>
      </c>
      <c r="Y76" s="13" t="str">
        <f t="shared" si="19"/>
        <v>312000;624000;624000</v>
      </c>
    </row>
    <row r="77" spans="1:25" s="13" customFormat="1" ht="20.100000000000001" customHeight="1">
      <c r="A77" s="11">
        <f t="shared" si="10"/>
        <v>3</v>
      </c>
      <c r="B77" s="9" t="s">
        <v>29</v>
      </c>
      <c r="C77" s="11">
        <v>25</v>
      </c>
      <c r="D77" s="14">
        <f>LOOKUP($A77,建筑产出!$BF$16:$BF$26,建筑产出!BI$16:BI$26)</f>
        <v>0.05</v>
      </c>
      <c r="E77" s="14">
        <f>LOOKUP($A77,建筑产出!$BF$16:$BF$26,建筑产出!BJ$16:BJ$26)</f>
        <v>0</v>
      </c>
      <c r="F77" s="14">
        <f>LOOKUP($A77,建筑产出!$BF$16:$BF$26,建筑产出!BK$16:BK$26)</f>
        <v>0</v>
      </c>
      <c r="G77" s="14">
        <f>LOOKUP($A77,建筑产出!$BF$16:$BF$26,建筑产出!BL$16:BL$26)</f>
        <v>0.2</v>
      </c>
      <c r="H77" s="14">
        <f>LOOKUP($A77,建筑产出!$BF$16:$BF$26,建筑产出!BM$16:BM$26)</f>
        <v>0.2</v>
      </c>
      <c r="I77" s="14">
        <f>ROUND(LOOKUP($C77,建筑产出!$A$2:$A$26,建筑产出!D$2:D$26)*D77,-2)</f>
        <v>1105400</v>
      </c>
      <c r="J77" s="14">
        <f>ROUND(LOOKUP($C77,建筑产出!$A$2:$A$26,建筑产出!E$2:E$26)*E77,-2)</f>
        <v>0</v>
      </c>
      <c r="K77" s="14">
        <f>ROUND(LOOKUP($C77,建筑产出!$A$2:$A$26,建筑产出!F$2:F$26)*F77,-2)</f>
        <v>0</v>
      </c>
      <c r="L77" s="14">
        <f>ROUND(LOOKUP($C77,建筑产出!$A$2:$A$26,建筑产出!G$2:G$26)*G77,-2)</f>
        <v>2210800</v>
      </c>
      <c r="M77" s="14">
        <f>ROUND(LOOKUP($C77,建筑产出!$A$2:$A$26,建筑产出!H$2:H$26)*H77,-2)</f>
        <v>2210800</v>
      </c>
      <c r="N77" s="14"/>
      <c r="O77" s="14">
        <f t="shared" si="11"/>
        <v>1</v>
      </c>
      <c r="P77" s="14">
        <f t="shared" si="12"/>
        <v>0</v>
      </c>
      <c r="Q77" s="14">
        <f t="shared" si="13"/>
        <v>0</v>
      </c>
      <c r="R77" s="14">
        <f t="shared" si="14"/>
        <v>5</v>
      </c>
      <c r="S77" s="14">
        <f t="shared" si="15"/>
        <v>6</v>
      </c>
      <c r="T77" s="14"/>
      <c r="U77" s="14" t="str">
        <f t="shared" si="16"/>
        <v>1;5;6;</v>
      </c>
      <c r="V77" s="23" t="str">
        <f t="shared" si="17"/>
        <v>1105400;2210800;2210800;</v>
      </c>
      <c r="X77" s="13" t="str">
        <f t="shared" si="18"/>
        <v>1;5;6</v>
      </c>
      <c r="Y77" s="13" t="str">
        <f t="shared" si="19"/>
        <v>1105400;2210800;2210800</v>
      </c>
    </row>
    <row r="78" spans="1:25" s="13" customFormat="1" ht="20.100000000000001" customHeight="1">
      <c r="A78" s="11">
        <f t="shared" si="10"/>
        <v>4</v>
      </c>
      <c r="B78" s="9" t="s">
        <v>32</v>
      </c>
      <c r="C78" s="11">
        <v>1</v>
      </c>
      <c r="D78" s="14">
        <f>LOOKUP($A78,建筑产出!$BF$16:$BF$26,建筑产出!BI$16:BI$26)</f>
        <v>0.05</v>
      </c>
      <c r="E78" s="14">
        <f>LOOKUP($A78,建筑产出!$BF$16:$BF$26,建筑产出!BJ$16:BJ$26)</f>
        <v>0.2</v>
      </c>
      <c r="F78" s="14">
        <f>LOOKUP($A78,建筑产出!$BF$16:$BF$26,建筑产出!BK$16:BK$26)</f>
        <v>0</v>
      </c>
      <c r="G78" s="14">
        <f>LOOKUP($A78,建筑产出!$BF$16:$BF$26,建筑产出!BL$16:BL$26)</f>
        <v>0.2</v>
      </c>
      <c r="H78" s="14">
        <f>LOOKUP($A78,建筑产出!$BF$16:$BF$26,建筑产出!BM$16:BM$26)</f>
        <v>0</v>
      </c>
      <c r="I78" s="14">
        <f>ROUND(LOOKUP($C78,建筑产出!$A$2:$A$26,建筑产出!D$2:D$26)*D78,-2)</f>
        <v>3700</v>
      </c>
      <c r="J78" s="14">
        <f>ROUND(LOOKUP($C78,建筑产出!$A$2:$A$26,建筑产出!E$2:E$26)*E78,-2)</f>
        <v>7300</v>
      </c>
      <c r="K78" s="14">
        <f>ROUND(LOOKUP($C78,建筑产出!$A$2:$A$26,建筑产出!F$2:F$26)*F78,-2)</f>
        <v>0</v>
      </c>
      <c r="L78" s="14">
        <f>ROUND(LOOKUP($C78,建筑产出!$A$2:$A$26,建筑产出!G$2:G$26)*G78,-2)</f>
        <v>7300</v>
      </c>
      <c r="M78" s="14">
        <f>ROUND(LOOKUP($C78,建筑产出!$A$2:$A$26,建筑产出!H$2:H$26)*H78,-2)</f>
        <v>0</v>
      </c>
      <c r="N78" s="14"/>
      <c r="O78" s="14">
        <f t="shared" si="11"/>
        <v>1</v>
      </c>
      <c r="P78" s="14">
        <f t="shared" si="12"/>
        <v>3</v>
      </c>
      <c r="Q78" s="14">
        <f t="shared" si="13"/>
        <v>0</v>
      </c>
      <c r="R78" s="14">
        <f t="shared" si="14"/>
        <v>5</v>
      </c>
      <c r="S78" s="14">
        <f t="shared" si="15"/>
        <v>0</v>
      </c>
      <c r="T78" s="14"/>
      <c r="U78" s="14" t="str">
        <f t="shared" si="16"/>
        <v>1;3;5;</v>
      </c>
      <c r="V78" s="23" t="str">
        <f t="shared" si="17"/>
        <v>3700;7300;7300;</v>
      </c>
      <c r="X78" s="13" t="str">
        <f t="shared" si="18"/>
        <v>1;3;5</v>
      </c>
      <c r="Y78" s="13" t="str">
        <f t="shared" si="19"/>
        <v>3700;7300;7300</v>
      </c>
    </row>
    <row r="79" spans="1:25" s="13" customFormat="1" ht="20.100000000000001" customHeight="1">
      <c r="A79" s="11">
        <f t="shared" si="10"/>
        <v>4</v>
      </c>
      <c r="B79" s="9" t="s">
        <v>32</v>
      </c>
      <c r="C79" s="11">
        <v>2</v>
      </c>
      <c r="D79" s="14">
        <f>LOOKUP($A79,建筑产出!$BF$16:$BF$26,建筑产出!BI$16:BI$26)</f>
        <v>0.05</v>
      </c>
      <c r="E79" s="14">
        <f>LOOKUP($A79,建筑产出!$BF$16:$BF$26,建筑产出!BJ$16:BJ$26)</f>
        <v>0.2</v>
      </c>
      <c r="F79" s="14">
        <f>LOOKUP($A79,建筑产出!$BF$16:$BF$26,建筑产出!BK$16:BK$26)</f>
        <v>0</v>
      </c>
      <c r="G79" s="14">
        <f>LOOKUP($A79,建筑产出!$BF$16:$BF$26,建筑产出!BL$16:BL$26)</f>
        <v>0.2</v>
      </c>
      <c r="H79" s="14">
        <f>LOOKUP($A79,建筑产出!$BF$16:$BF$26,建筑产出!BM$16:BM$26)</f>
        <v>0</v>
      </c>
      <c r="I79" s="14">
        <f>ROUND(LOOKUP($C79,建筑产出!$A$2:$A$26,建筑产出!D$2:D$26)*D79,-2)</f>
        <v>7100</v>
      </c>
      <c r="J79" s="14">
        <f>ROUND(LOOKUP($C79,建筑产出!$A$2:$A$26,建筑产出!E$2:E$26)*E79,-2)</f>
        <v>14300</v>
      </c>
      <c r="K79" s="14">
        <f>ROUND(LOOKUP($C79,建筑产出!$A$2:$A$26,建筑产出!F$2:F$26)*F79,-2)</f>
        <v>0</v>
      </c>
      <c r="L79" s="14">
        <f>ROUND(LOOKUP($C79,建筑产出!$A$2:$A$26,建筑产出!G$2:G$26)*G79,-2)</f>
        <v>14300</v>
      </c>
      <c r="M79" s="14">
        <f>ROUND(LOOKUP($C79,建筑产出!$A$2:$A$26,建筑产出!H$2:H$26)*H79,-2)</f>
        <v>0</v>
      </c>
      <c r="N79" s="14"/>
      <c r="O79" s="14">
        <f t="shared" si="11"/>
        <v>1</v>
      </c>
      <c r="P79" s="14">
        <f t="shared" si="12"/>
        <v>3</v>
      </c>
      <c r="Q79" s="14">
        <f t="shared" si="13"/>
        <v>0</v>
      </c>
      <c r="R79" s="14">
        <f t="shared" si="14"/>
        <v>5</v>
      </c>
      <c r="S79" s="14">
        <f t="shared" si="15"/>
        <v>0</v>
      </c>
      <c r="T79" s="14"/>
      <c r="U79" s="14" t="str">
        <f t="shared" si="16"/>
        <v>1;3;5;</v>
      </c>
      <c r="V79" s="23" t="str">
        <f t="shared" si="17"/>
        <v>7100;14300;14300;</v>
      </c>
      <c r="X79" s="13" t="str">
        <f t="shared" si="18"/>
        <v>1;3;5</v>
      </c>
      <c r="Y79" s="13" t="str">
        <f t="shared" si="19"/>
        <v>7100;14300;14300</v>
      </c>
    </row>
    <row r="80" spans="1:25" s="13" customFormat="1" ht="20.100000000000001" customHeight="1">
      <c r="A80" s="11">
        <f t="shared" si="10"/>
        <v>4</v>
      </c>
      <c r="B80" s="9" t="s">
        <v>32</v>
      </c>
      <c r="C80" s="11">
        <v>3</v>
      </c>
      <c r="D80" s="14">
        <f>LOOKUP($A80,建筑产出!$BF$16:$BF$26,建筑产出!BI$16:BI$26)</f>
        <v>0.05</v>
      </c>
      <c r="E80" s="14">
        <f>LOOKUP($A80,建筑产出!$BF$16:$BF$26,建筑产出!BJ$16:BJ$26)</f>
        <v>0.2</v>
      </c>
      <c r="F80" s="14">
        <f>LOOKUP($A80,建筑产出!$BF$16:$BF$26,建筑产出!BK$16:BK$26)</f>
        <v>0</v>
      </c>
      <c r="G80" s="14">
        <f>LOOKUP($A80,建筑产出!$BF$16:$BF$26,建筑产出!BL$16:BL$26)</f>
        <v>0.2</v>
      </c>
      <c r="H80" s="14">
        <f>LOOKUP($A80,建筑产出!$BF$16:$BF$26,建筑产出!BM$16:BM$26)</f>
        <v>0</v>
      </c>
      <c r="I80" s="14">
        <f>ROUND(LOOKUP($C80,建筑产出!$A$2:$A$26,建筑产出!D$2:D$26)*D80,-2)</f>
        <v>6200</v>
      </c>
      <c r="J80" s="14">
        <f>ROUND(LOOKUP($C80,建筑产出!$A$2:$A$26,建筑产出!E$2:E$26)*E80,-2)</f>
        <v>12400</v>
      </c>
      <c r="K80" s="14">
        <f>ROUND(LOOKUP($C80,建筑产出!$A$2:$A$26,建筑产出!F$2:F$26)*F80,-2)</f>
        <v>0</v>
      </c>
      <c r="L80" s="14">
        <f>ROUND(LOOKUP($C80,建筑产出!$A$2:$A$26,建筑产出!G$2:G$26)*G80,-2)</f>
        <v>12400</v>
      </c>
      <c r="M80" s="14">
        <f>ROUND(LOOKUP($C80,建筑产出!$A$2:$A$26,建筑产出!H$2:H$26)*H80,-2)</f>
        <v>0</v>
      </c>
      <c r="N80" s="14"/>
      <c r="O80" s="14">
        <f t="shared" si="11"/>
        <v>1</v>
      </c>
      <c r="P80" s="14">
        <f t="shared" si="12"/>
        <v>3</v>
      </c>
      <c r="Q80" s="14">
        <f t="shared" si="13"/>
        <v>0</v>
      </c>
      <c r="R80" s="14">
        <f t="shared" si="14"/>
        <v>5</v>
      </c>
      <c r="S80" s="14">
        <f t="shared" si="15"/>
        <v>0</v>
      </c>
      <c r="T80" s="14"/>
      <c r="U80" s="14" t="str">
        <f t="shared" si="16"/>
        <v>1;3;5;</v>
      </c>
      <c r="V80" s="23" t="str">
        <f t="shared" si="17"/>
        <v>6200;12400;12400;</v>
      </c>
      <c r="X80" s="13" t="str">
        <f t="shared" si="18"/>
        <v>1;3;5</v>
      </c>
      <c r="Y80" s="13" t="str">
        <f t="shared" si="19"/>
        <v>6200;12400;12400</v>
      </c>
    </row>
    <row r="81" spans="1:25" s="13" customFormat="1" ht="20.100000000000001" customHeight="1">
      <c r="A81" s="11">
        <f t="shared" si="10"/>
        <v>4</v>
      </c>
      <c r="B81" s="9" t="s">
        <v>32</v>
      </c>
      <c r="C81" s="11">
        <v>4</v>
      </c>
      <c r="D81" s="14">
        <f>LOOKUP($A81,建筑产出!$BF$16:$BF$26,建筑产出!BI$16:BI$26)</f>
        <v>0.05</v>
      </c>
      <c r="E81" s="14">
        <f>LOOKUP($A81,建筑产出!$BF$16:$BF$26,建筑产出!BJ$16:BJ$26)</f>
        <v>0.2</v>
      </c>
      <c r="F81" s="14">
        <f>LOOKUP($A81,建筑产出!$BF$16:$BF$26,建筑产出!BK$16:BK$26)</f>
        <v>0</v>
      </c>
      <c r="G81" s="14">
        <f>LOOKUP($A81,建筑产出!$BF$16:$BF$26,建筑产出!BL$16:BL$26)</f>
        <v>0.2</v>
      </c>
      <c r="H81" s="14">
        <f>LOOKUP($A81,建筑产出!$BF$16:$BF$26,建筑产出!BM$16:BM$26)</f>
        <v>0</v>
      </c>
      <c r="I81" s="14">
        <f>ROUND(LOOKUP($C81,建筑产出!$A$2:$A$26,建筑产出!D$2:D$26)*D81,-2)</f>
        <v>13800</v>
      </c>
      <c r="J81" s="14">
        <f>ROUND(LOOKUP($C81,建筑产出!$A$2:$A$26,建筑产出!E$2:E$26)*E81,-2)</f>
        <v>27500</v>
      </c>
      <c r="K81" s="14">
        <f>ROUND(LOOKUP($C81,建筑产出!$A$2:$A$26,建筑产出!F$2:F$26)*F81,-2)</f>
        <v>0</v>
      </c>
      <c r="L81" s="14">
        <f>ROUND(LOOKUP($C81,建筑产出!$A$2:$A$26,建筑产出!G$2:G$26)*G81,-2)</f>
        <v>27500</v>
      </c>
      <c r="M81" s="14">
        <f>ROUND(LOOKUP($C81,建筑产出!$A$2:$A$26,建筑产出!H$2:H$26)*H81,-2)</f>
        <v>0</v>
      </c>
      <c r="N81" s="14"/>
      <c r="O81" s="14">
        <f t="shared" si="11"/>
        <v>1</v>
      </c>
      <c r="P81" s="14">
        <f t="shared" si="12"/>
        <v>3</v>
      </c>
      <c r="Q81" s="14">
        <f t="shared" si="13"/>
        <v>0</v>
      </c>
      <c r="R81" s="14">
        <f t="shared" si="14"/>
        <v>5</v>
      </c>
      <c r="S81" s="14">
        <f t="shared" si="15"/>
        <v>0</v>
      </c>
      <c r="T81" s="14"/>
      <c r="U81" s="14" t="str">
        <f t="shared" si="16"/>
        <v>1;3;5;</v>
      </c>
      <c r="V81" s="23" t="str">
        <f t="shared" si="17"/>
        <v>13800;27500;27500;</v>
      </c>
      <c r="X81" s="13" t="str">
        <f t="shared" si="18"/>
        <v>1;3;5</v>
      </c>
      <c r="Y81" s="13" t="str">
        <f t="shared" si="19"/>
        <v>13800;27500;27500</v>
      </c>
    </row>
    <row r="82" spans="1:25" s="13" customFormat="1" ht="20.100000000000001" customHeight="1">
      <c r="A82" s="11">
        <f t="shared" si="10"/>
        <v>4</v>
      </c>
      <c r="B82" s="9" t="s">
        <v>32</v>
      </c>
      <c r="C82" s="11">
        <v>5</v>
      </c>
      <c r="D82" s="14">
        <f>LOOKUP($A82,建筑产出!$BF$16:$BF$26,建筑产出!BI$16:BI$26)</f>
        <v>0.05</v>
      </c>
      <c r="E82" s="14">
        <f>LOOKUP($A82,建筑产出!$BF$16:$BF$26,建筑产出!BJ$16:BJ$26)</f>
        <v>0.2</v>
      </c>
      <c r="F82" s="14">
        <f>LOOKUP($A82,建筑产出!$BF$16:$BF$26,建筑产出!BK$16:BK$26)</f>
        <v>0</v>
      </c>
      <c r="G82" s="14">
        <f>LOOKUP($A82,建筑产出!$BF$16:$BF$26,建筑产出!BL$16:BL$26)</f>
        <v>0.2</v>
      </c>
      <c r="H82" s="14">
        <f>LOOKUP($A82,建筑产出!$BF$16:$BF$26,建筑产出!BM$16:BM$26)</f>
        <v>0</v>
      </c>
      <c r="I82" s="14">
        <f>ROUND(LOOKUP($C82,建筑产出!$A$2:$A$26,建筑产出!D$2:D$26)*D82,-2)</f>
        <v>12700</v>
      </c>
      <c r="J82" s="14">
        <f>ROUND(LOOKUP($C82,建筑产出!$A$2:$A$26,建筑产出!E$2:E$26)*E82,-2)</f>
        <v>25400</v>
      </c>
      <c r="K82" s="14">
        <f>ROUND(LOOKUP($C82,建筑产出!$A$2:$A$26,建筑产出!F$2:F$26)*F82,-2)</f>
        <v>0</v>
      </c>
      <c r="L82" s="14">
        <f>ROUND(LOOKUP($C82,建筑产出!$A$2:$A$26,建筑产出!G$2:G$26)*G82,-2)</f>
        <v>25400</v>
      </c>
      <c r="M82" s="14">
        <f>ROUND(LOOKUP($C82,建筑产出!$A$2:$A$26,建筑产出!H$2:H$26)*H82,-2)</f>
        <v>0</v>
      </c>
      <c r="N82" s="14"/>
      <c r="O82" s="14">
        <f t="shared" si="11"/>
        <v>1</v>
      </c>
      <c r="P82" s="14">
        <f t="shared" si="12"/>
        <v>3</v>
      </c>
      <c r="Q82" s="14">
        <f t="shared" si="13"/>
        <v>0</v>
      </c>
      <c r="R82" s="14">
        <f t="shared" si="14"/>
        <v>5</v>
      </c>
      <c r="S82" s="14">
        <f t="shared" si="15"/>
        <v>0</v>
      </c>
      <c r="T82" s="14"/>
      <c r="U82" s="14" t="str">
        <f t="shared" si="16"/>
        <v>1;3;5;</v>
      </c>
      <c r="V82" s="23" t="str">
        <f t="shared" si="17"/>
        <v>12700;25400;25400;</v>
      </c>
      <c r="X82" s="13" t="str">
        <f t="shared" si="18"/>
        <v>1;3;5</v>
      </c>
      <c r="Y82" s="13" t="str">
        <f t="shared" si="19"/>
        <v>12700;25400;25400</v>
      </c>
    </row>
    <row r="83" spans="1:25" s="13" customFormat="1" ht="20.100000000000001" customHeight="1">
      <c r="A83" s="11">
        <f t="shared" si="10"/>
        <v>4</v>
      </c>
      <c r="B83" s="9" t="s">
        <v>32</v>
      </c>
      <c r="C83" s="11">
        <v>6</v>
      </c>
      <c r="D83" s="14">
        <f>LOOKUP($A83,建筑产出!$BF$16:$BF$26,建筑产出!BI$16:BI$26)</f>
        <v>0.05</v>
      </c>
      <c r="E83" s="14">
        <f>LOOKUP($A83,建筑产出!$BF$16:$BF$26,建筑产出!BJ$16:BJ$26)</f>
        <v>0.2</v>
      </c>
      <c r="F83" s="14">
        <f>LOOKUP($A83,建筑产出!$BF$16:$BF$26,建筑产出!BK$16:BK$26)</f>
        <v>0</v>
      </c>
      <c r="G83" s="14">
        <f>LOOKUP($A83,建筑产出!$BF$16:$BF$26,建筑产出!BL$16:BL$26)</f>
        <v>0.2</v>
      </c>
      <c r="H83" s="14">
        <f>LOOKUP($A83,建筑产出!$BF$16:$BF$26,建筑产出!BM$16:BM$26)</f>
        <v>0</v>
      </c>
      <c r="I83" s="14">
        <f>ROUND(LOOKUP($C83,建筑产出!$A$2:$A$26,建筑产出!D$2:D$26)*D83,-2)</f>
        <v>17400</v>
      </c>
      <c r="J83" s="14">
        <f>ROUND(LOOKUP($C83,建筑产出!$A$2:$A$26,建筑产出!E$2:E$26)*E83,-2)</f>
        <v>34800</v>
      </c>
      <c r="K83" s="14">
        <f>ROUND(LOOKUP($C83,建筑产出!$A$2:$A$26,建筑产出!F$2:F$26)*F83,-2)</f>
        <v>0</v>
      </c>
      <c r="L83" s="14">
        <f>ROUND(LOOKUP($C83,建筑产出!$A$2:$A$26,建筑产出!G$2:G$26)*G83,-2)</f>
        <v>34800</v>
      </c>
      <c r="M83" s="14">
        <f>ROUND(LOOKUP($C83,建筑产出!$A$2:$A$26,建筑产出!H$2:H$26)*H83,-2)</f>
        <v>0</v>
      </c>
      <c r="N83" s="14"/>
      <c r="O83" s="14">
        <f t="shared" si="11"/>
        <v>1</v>
      </c>
      <c r="P83" s="14">
        <f t="shared" si="12"/>
        <v>3</v>
      </c>
      <c r="Q83" s="14">
        <f t="shared" si="13"/>
        <v>0</v>
      </c>
      <c r="R83" s="14">
        <f t="shared" si="14"/>
        <v>5</v>
      </c>
      <c r="S83" s="14">
        <f t="shared" si="15"/>
        <v>0</v>
      </c>
      <c r="T83" s="14"/>
      <c r="U83" s="14" t="str">
        <f t="shared" si="16"/>
        <v>1;3;5;</v>
      </c>
      <c r="V83" s="23" t="str">
        <f t="shared" si="17"/>
        <v>17400;34800;34800;</v>
      </c>
      <c r="X83" s="13" t="str">
        <f t="shared" si="18"/>
        <v>1;3;5</v>
      </c>
      <c r="Y83" s="13" t="str">
        <f t="shared" si="19"/>
        <v>17400;34800;34800</v>
      </c>
    </row>
    <row r="84" spans="1:25" s="13" customFormat="1" ht="20.100000000000001" customHeight="1">
      <c r="A84" s="11">
        <f t="shared" si="10"/>
        <v>4</v>
      </c>
      <c r="B84" s="9" t="s">
        <v>32</v>
      </c>
      <c r="C84" s="11">
        <v>7</v>
      </c>
      <c r="D84" s="14">
        <f>LOOKUP($A84,建筑产出!$BF$16:$BF$26,建筑产出!BI$16:BI$26)</f>
        <v>0.05</v>
      </c>
      <c r="E84" s="14">
        <f>LOOKUP($A84,建筑产出!$BF$16:$BF$26,建筑产出!BJ$16:BJ$26)</f>
        <v>0.2</v>
      </c>
      <c r="F84" s="14">
        <f>LOOKUP($A84,建筑产出!$BF$16:$BF$26,建筑产出!BK$16:BK$26)</f>
        <v>0</v>
      </c>
      <c r="G84" s="14">
        <f>LOOKUP($A84,建筑产出!$BF$16:$BF$26,建筑产出!BL$16:BL$26)</f>
        <v>0.2</v>
      </c>
      <c r="H84" s="14">
        <f>LOOKUP($A84,建筑产出!$BF$16:$BF$26,建筑产出!BM$16:BM$26)</f>
        <v>0</v>
      </c>
      <c r="I84" s="14">
        <f>ROUND(LOOKUP($C84,建筑产出!$A$2:$A$26,建筑产出!D$2:D$26)*D84,-2)</f>
        <v>22700</v>
      </c>
      <c r="J84" s="14">
        <f>ROUND(LOOKUP($C84,建筑产出!$A$2:$A$26,建筑产出!E$2:E$26)*E84,-2)</f>
        <v>45500</v>
      </c>
      <c r="K84" s="14">
        <f>ROUND(LOOKUP($C84,建筑产出!$A$2:$A$26,建筑产出!F$2:F$26)*F84,-2)</f>
        <v>0</v>
      </c>
      <c r="L84" s="14">
        <f>ROUND(LOOKUP($C84,建筑产出!$A$2:$A$26,建筑产出!G$2:G$26)*G84,-2)</f>
        <v>45500</v>
      </c>
      <c r="M84" s="14">
        <f>ROUND(LOOKUP($C84,建筑产出!$A$2:$A$26,建筑产出!H$2:H$26)*H84,-2)</f>
        <v>0</v>
      </c>
      <c r="N84" s="14"/>
      <c r="O84" s="14">
        <f t="shared" si="11"/>
        <v>1</v>
      </c>
      <c r="P84" s="14">
        <f t="shared" si="12"/>
        <v>3</v>
      </c>
      <c r="Q84" s="14">
        <f t="shared" si="13"/>
        <v>0</v>
      </c>
      <c r="R84" s="14">
        <f t="shared" si="14"/>
        <v>5</v>
      </c>
      <c r="S84" s="14">
        <f t="shared" si="15"/>
        <v>0</v>
      </c>
      <c r="T84" s="14"/>
      <c r="U84" s="14" t="str">
        <f t="shared" si="16"/>
        <v>1;3;5;</v>
      </c>
      <c r="V84" s="23" t="str">
        <f t="shared" si="17"/>
        <v>22700;45500;45500;</v>
      </c>
      <c r="X84" s="13" t="str">
        <f t="shared" si="18"/>
        <v>1;3;5</v>
      </c>
      <c r="Y84" s="13" t="str">
        <f t="shared" si="19"/>
        <v>22700;45500;45500</v>
      </c>
    </row>
    <row r="85" spans="1:25" s="13" customFormat="1" ht="20.100000000000001" customHeight="1">
      <c r="A85" s="11">
        <f t="shared" si="10"/>
        <v>4</v>
      </c>
      <c r="B85" s="9" t="s">
        <v>32</v>
      </c>
      <c r="C85" s="11">
        <v>8</v>
      </c>
      <c r="D85" s="14">
        <f>LOOKUP($A85,建筑产出!$BF$16:$BF$26,建筑产出!BI$16:BI$26)</f>
        <v>0.05</v>
      </c>
      <c r="E85" s="14">
        <f>LOOKUP($A85,建筑产出!$BF$16:$BF$26,建筑产出!BJ$16:BJ$26)</f>
        <v>0.2</v>
      </c>
      <c r="F85" s="14">
        <f>LOOKUP($A85,建筑产出!$BF$16:$BF$26,建筑产出!BK$16:BK$26)</f>
        <v>0</v>
      </c>
      <c r="G85" s="14">
        <f>LOOKUP($A85,建筑产出!$BF$16:$BF$26,建筑产出!BL$16:BL$26)</f>
        <v>0.2</v>
      </c>
      <c r="H85" s="14">
        <f>LOOKUP($A85,建筑产出!$BF$16:$BF$26,建筑产出!BM$16:BM$26)</f>
        <v>0</v>
      </c>
      <c r="I85" s="14">
        <f>ROUND(LOOKUP($C85,建筑产出!$A$2:$A$26,建筑产出!D$2:D$26)*D85,-2)</f>
        <v>28800</v>
      </c>
      <c r="J85" s="14">
        <f>ROUND(LOOKUP($C85,建筑产出!$A$2:$A$26,建筑产出!E$2:E$26)*E85,-2)</f>
        <v>57600</v>
      </c>
      <c r="K85" s="14">
        <f>ROUND(LOOKUP($C85,建筑产出!$A$2:$A$26,建筑产出!F$2:F$26)*F85,-2)</f>
        <v>0</v>
      </c>
      <c r="L85" s="14">
        <f>ROUND(LOOKUP($C85,建筑产出!$A$2:$A$26,建筑产出!G$2:G$26)*G85,-2)</f>
        <v>57600</v>
      </c>
      <c r="M85" s="14">
        <f>ROUND(LOOKUP($C85,建筑产出!$A$2:$A$26,建筑产出!H$2:H$26)*H85,-2)</f>
        <v>0</v>
      </c>
      <c r="N85" s="14"/>
      <c r="O85" s="14">
        <f t="shared" si="11"/>
        <v>1</v>
      </c>
      <c r="P85" s="14">
        <f t="shared" si="12"/>
        <v>3</v>
      </c>
      <c r="Q85" s="14">
        <f t="shared" si="13"/>
        <v>0</v>
      </c>
      <c r="R85" s="14">
        <f t="shared" si="14"/>
        <v>5</v>
      </c>
      <c r="S85" s="14">
        <f t="shared" si="15"/>
        <v>0</v>
      </c>
      <c r="T85" s="14"/>
      <c r="U85" s="14" t="str">
        <f t="shared" si="16"/>
        <v>1;3;5;</v>
      </c>
      <c r="V85" s="23" t="str">
        <f t="shared" si="17"/>
        <v>28800;57600;57600;</v>
      </c>
      <c r="X85" s="13" t="str">
        <f t="shared" si="18"/>
        <v>1;3;5</v>
      </c>
      <c r="Y85" s="13" t="str">
        <f t="shared" si="19"/>
        <v>28800;57600;57600</v>
      </c>
    </row>
    <row r="86" spans="1:25" s="13" customFormat="1" ht="20.100000000000001" customHeight="1">
      <c r="A86" s="11">
        <f t="shared" si="10"/>
        <v>4</v>
      </c>
      <c r="B86" s="9" t="s">
        <v>32</v>
      </c>
      <c r="C86" s="11">
        <v>9</v>
      </c>
      <c r="D86" s="14">
        <f>LOOKUP($A86,建筑产出!$BF$16:$BF$26,建筑产出!BI$16:BI$26)</f>
        <v>0.05</v>
      </c>
      <c r="E86" s="14">
        <f>LOOKUP($A86,建筑产出!$BF$16:$BF$26,建筑产出!BJ$16:BJ$26)</f>
        <v>0.2</v>
      </c>
      <c r="F86" s="14">
        <f>LOOKUP($A86,建筑产出!$BF$16:$BF$26,建筑产出!BK$16:BK$26)</f>
        <v>0</v>
      </c>
      <c r="G86" s="14">
        <f>LOOKUP($A86,建筑产出!$BF$16:$BF$26,建筑产出!BL$16:BL$26)</f>
        <v>0.2</v>
      </c>
      <c r="H86" s="14">
        <f>LOOKUP($A86,建筑产出!$BF$16:$BF$26,建筑产出!BM$16:BM$26)</f>
        <v>0</v>
      </c>
      <c r="I86" s="14">
        <f>ROUND(LOOKUP($C86,建筑产出!$A$2:$A$26,建筑产出!D$2:D$26)*D86,-2)</f>
        <v>35500</v>
      </c>
      <c r="J86" s="14">
        <f>ROUND(LOOKUP($C86,建筑产出!$A$2:$A$26,建筑产出!E$2:E$26)*E86,-2)</f>
        <v>71100</v>
      </c>
      <c r="K86" s="14">
        <f>ROUND(LOOKUP($C86,建筑产出!$A$2:$A$26,建筑产出!F$2:F$26)*F86,-2)</f>
        <v>0</v>
      </c>
      <c r="L86" s="14">
        <f>ROUND(LOOKUP($C86,建筑产出!$A$2:$A$26,建筑产出!G$2:G$26)*G86,-2)</f>
        <v>71100</v>
      </c>
      <c r="M86" s="14">
        <f>ROUND(LOOKUP($C86,建筑产出!$A$2:$A$26,建筑产出!H$2:H$26)*H86,-2)</f>
        <v>0</v>
      </c>
      <c r="N86" s="14"/>
      <c r="O86" s="14">
        <f t="shared" si="11"/>
        <v>1</v>
      </c>
      <c r="P86" s="14">
        <f t="shared" si="12"/>
        <v>3</v>
      </c>
      <c r="Q86" s="14">
        <f t="shared" si="13"/>
        <v>0</v>
      </c>
      <c r="R86" s="14">
        <f t="shared" si="14"/>
        <v>5</v>
      </c>
      <c r="S86" s="14">
        <f t="shared" si="15"/>
        <v>0</v>
      </c>
      <c r="T86" s="14"/>
      <c r="U86" s="14" t="str">
        <f t="shared" si="16"/>
        <v>1;3;5;</v>
      </c>
      <c r="V86" s="23" t="str">
        <f t="shared" si="17"/>
        <v>35500;71100;71100;</v>
      </c>
      <c r="X86" s="13" t="str">
        <f t="shared" si="18"/>
        <v>1;3;5</v>
      </c>
      <c r="Y86" s="13" t="str">
        <f t="shared" si="19"/>
        <v>35500;71100;71100</v>
      </c>
    </row>
    <row r="87" spans="1:25" s="13" customFormat="1" ht="20.100000000000001" customHeight="1">
      <c r="A87" s="11">
        <f t="shared" si="10"/>
        <v>4</v>
      </c>
      <c r="B87" s="9" t="s">
        <v>32</v>
      </c>
      <c r="C87" s="11">
        <v>10</v>
      </c>
      <c r="D87" s="14">
        <f>LOOKUP($A87,建筑产出!$BF$16:$BF$26,建筑产出!BI$16:BI$26)</f>
        <v>0.05</v>
      </c>
      <c r="E87" s="14">
        <f>LOOKUP($A87,建筑产出!$BF$16:$BF$26,建筑产出!BJ$16:BJ$26)</f>
        <v>0.2</v>
      </c>
      <c r="F87" s="14">
        <f>LOOKUP($A87,建筑产出!$BF$16:$BF$26,建筑产出!BK$16:BK$26)</f>
        <v>0</v>
      </c>
      <c r="G87" s="14">
        <f>LOOKUP($A87,建筑产出!$BF$16:$BF$26,建筑产出!BL$16:BL$26)</f>
        <v>0.2</v>
      </c>
      <c r="H87" s="14">
        <f>LOOKUP($A87,建筑产出!$BF$16:$BF$26,建筑产出!BM$16:BM$26)</f>
        <v>0</v>
      </c>
      <c r="I87" s="14">
        <f>ROUND(LOOKUP($C87,建筑产出!$A$2:$A$26,建筑产出!D$2:D$26)*D87,-2)</f>
        <v>44400</v>
      </c>
      <c r="J87" s="14">
        <f>ROUND(LOOKUP($C87,建筑产出!$A$2:$A$26,建筑产出!E$2:E$26)*E87,-2)</f>
        <v>88900</v>
      </c>
      <c r="K87" s="14">
        <f>ROUND(LOOKUP($C87,建筑产出!$A$2:$A$26,建筑产出!F$2:F$26)*F87,-2)</f>
        <v>0</v>
      </c>
      <c r="L87" s="14">
        <f>ROUND(LOOKUP($C87,建筑产出!$A$2:$A$26,建筑产出!G$2:G$26)*G87,-2)</f>
        <v>88900</v>
      </c>
      <c r="M87" s="14">
        <f>ROUND(LOOKUP($C87,建筑产出!$A$2:$A$26,建筑产出!H$2:H$26)*H87,-2)</f>
        <v>0</v>
      </c>
      <c r="N87" s="14"/>
      <c r="O87" s="14">
        <f t="shared" si="11"/>
        <v>1</v>
      </c>
      <c r="P87" s="14">
        <f t="shared" si="12"/>
        <v>3</v>
      </c>
      <c r="Q87" s="14">
        <f t="shared" si="13"/>
        <v>0</v>
      </c>
      <c r="R87" s="14">
        <f t="shared" si="14"/>
        <v>5</v>
      </c>
      <c r="S87" s="14">
        <f t="shared" si="15"/>
        <v>0</v>
      </c>
      <c r="T87" s="14"/>
      <c r="U87" s="14" t="str">
        <f t="shared" si="16"/>
        <v>1;3;5;</v>
      </c>
      <c r="V87" s="23" t="str">
        <f t="shared" si="17"/>
        <v>44400;88900;88900;</v>
      </c>
      <c r="X87" s="13" t="str">
        <f t="shared" si="18"/>
        <v>1;3;5</v>
      </c>
      <c r="Y87" s="13" t="str">
        <f t="shared" si="19"/>
        <v>44400;88900;88900</v>
      </c>
    </row>
    <row r="88" spans="1:25" s="13" customFormat="1" ht="20.100000000000001" customHeight="1">
      <c r="A88" s="11">
        <f t="shared" si="10"/>
        <v>4</v>
      </c>
      <c r="B88" s="9" t="s">
        <v>32</v>
      </c>
      <c r="C88" s="11">
        <v>11</v>
      </c>
      <c r="D88" s="14">
        <f>LOOKUP($A88,建筑产出!$BF$16:$BF$26,建筑产出!BI$16:BI$26)</f>
        <v>0.05</v>
      </c>
      <c r="E88" s="14">
        <f>LOOKUP($A88,建筑产出!$BF$16:$BF$26,建筑产出!BJ$16:BJ$26)</f>
        <v>0.2</v>
      </c>
      <c r="F88" s="14">
        <f>LOOKUP($A88,建筑产出!$BF$16:$BF$26,建筑产出!BK$16:BK$26)</f>
        <v>0</v>
      </c>
      <c r="G88" s="14">
        <f>LOOKUP($A88,建筑产出!$BF$16:$BF$26,建筑产出!BL$16:BL$26)</f>
        <v>0.2</v>
      </c>
      <c r="H88" s="14">
        <f>LOOKUP($A88,建筑产出!$BF$16:$BF$26,建筑产出!BM$16:BM$26)</f>
        <v>0</v>
      </c>
      <c r="I88" s="14">
        <f>ROUND(LOOKUP($C88,建筑产出!$A$2:$A$26,建筑产出!D$2:D$26)*D88,-2)</f>
        <v>54300</v>
      </c>
      <c r="J88" s="14">
        <f>ROUND(LOOKUP($C88,建筑产出!$A$2:$A$26,建筑产出!E$2:E$26)*E88,-2)</f>
        <v>108500</v>
      </c>
      <c r="K88" s="14">
        <f>ROUND(LOOKUP($C88,建筑产出!$A$2:$A$26,建筑产出!F$2:F$26)*F88,-2)</f>
        <v>0</v>
      </c>
      <c r="L88" s="14">
        <f>ROUND(LOOKUP($C88,建筑产出!$A$2:$A$26,建筑产出!G$2:G$26)*G88,-2)</f>
        <v>108500</v>
      </c>
      <c r="M88" s="14">
        <f>ROUND(LOOKUP($C88,建筑产出!$A$2:$A$26,建筑产出!H$2:H$26)*H88,-2)</f>
        <v>0</v>
      </c>
      <c r="N88" s="14"/>
      <c r="O88" s="14">
        <f t="shared" si="11"/>
        <v>1</v>
      </c>
      <c r="P88" s="14">
        <f t="shared" si="12"/>
        <v>3</v>
      </c>
      <c r="Q88" s="14">
        <f t="shared" si="13"/>
        <v>0</v>
      </c>
      <c r="R88" s="14">
        <f t="shared" si="14"/>
        <v>5</v>
      </c>
      <c r="S88" s="14">
        <f t="shared" si="15"/>
        <v>0</v>
      </c>
      <c r="T88" s="14"/>
      <c r="U88" s="14" t="str">
        <f t="shared" si="16"/>
        <v>1;3;5;</v>
      </c>
      <c r="V88" s="23" t="str">
        <f t="shared" si="17"/>
        <v>54300;108500;108500;</v>
      </c>
      <c r="X88" s="13" t="str">
        <f t="shared" si="18"/>
        <v>1;3;5</v>
      </c>
      <c r="Y88" s="13" t="str">
        <f t="shared" si="19"/>
        <v>54300;108500;108500</v>
      </c>
    </row>
    <row r="89" spans="1:25" s="13" customFormat="1" ht="20.100000000000001" customHeight="1">
      <c r="A89" s="11">
        <f t="shared" si="10"/>
        <v>4</v>
      </c>
      <c r="B89" s="9" t="s">
        <v>32</v>
      </c>
      <c r="C89" s="11">
        <v>12</v>
      </c>
      <c r="D89" s="14">
        <f>LOOKUP($A89,建筑产出!$BF$16:$BF$26,建筑产出!BI$16:BI$26)</f>
        <v>0.05</v>
      </c>
      <c r="E89" s="14">
        <f>LOOKUP($A89,建筑产出!$BF$16:$BF$26,建筑产出!BJ$16:BJ$26)</f>
        <v>0.2</v>
      </c>
      <c r="F89" s="14">
        <f>LOOKUP($A89,建筑产出!$BF$16:$BF$26,建筑产出!BK$16:BK$26)</f>
        <v>0</v>
      </c>
      <c r="G89" s="14">
        <f>LOOKUP($A89,建筑产出!$BF$16:$BF$26,建筑产出!BL$16:BL$26)</f>
        <v>0.2</v>
      </c>
      <c r="H89" s="14">
        <f>LOOKUP($A89,建筑产出!$BF$16:$BF$26,建筑产出!BM$16:BM$26)</f>
        <v>0</v>
      </c>
      <c r="I89" s="14">
        <f>ROUND(LOOKUP($C89,建筑产出!$A$2:$A$26,建筑产出!D$2:D$26)*D89,-2)</f>
        <v>65000</v>
      </c>
      <c r="J89" s="14">
        <f>ROUND(LOOKUP($C89,建筑产出!$A$2:$A$26,建筑产出!E$2:E$26)*E89,-2)</f>
        <v>130000</v>
      </c>
      <c r="K89" s="14">
        <f>ROUND(LOOKUP($C89,建筑产出!$A$2:$A$26,建筑产出!F$2:F$26)*F89,-2)</f>
        <v>0</v>
      </c>
      <c r="L89" s="14">
        <f>ROUND(LOOKUP($C89,建筑产出!$A$2:$A$26,建筑产出!G$2:G$26)*G89,-2)</f>
        <v>130000</v>
      </c>
      <c r="M89" s="14">
        <f>ROUND(LOOKUP($C89,建筑产出!$A$2:$A$26,建筑产出!H$2:H$26)*H89,-2)</f>
        <v>0</v>
      </c>
      <c r="N89" s="14"/>
      <c r="O89" s="14">
        <f t="shared" si="11"/>
        <v>1</v>
      </c>
      <c r="P89" s="14">
        <f t="shared" si="12"/>
        <v>3</v>
      </c>
      <c r="Q89" s="14">
        <f t="shared" si="13"/>
        <v>0</v>
      </c>
      <c r="R89" s="14">
        <f t="shared" si="14"/>
        <v>5</v>
      </c>
      <c r="S89" s="14">
        <f t="shared" si="15"/>
        <v>0</v>
      </c>
      <c r="T89" s="14"/>
      <c r="U89" s="14" t="str">
        <f t="shared" si="16"/>
        <v>1;3;5;</v>
      </c>
      <c r="V89" s="23" t="str">
        <f t="shared" si="17"/>
        <v>65000;130000;130000;</v>
      </c>
      <c r="X89" s="13" t="str">
        <f t="shared" si="18"/>
        <v>1;3;5</v>
      </c>
      <c r="Y89" s="13" t="str">
        <f t="shared" si="19"/>
        <v>65000;130000;130000</v>
      </c>
    </row>
    <row r="90" spans="1:25" s="13" customFormat="1" ht="20.100000000000001" customHeight="1">
      <c r="A90" s="11">
        <f t="shared" si="10"/>
        <v>4</v>
      </c>
      <c r="B90" s="9" t="s">
        <v>32</v>
      </c>
      <c r="C90" s="11">
        <v>13</v>
      </c>
      <c r="D90" s="14">
        <f>LOOKUP($A90,建筑产出!$BF$16:$BF$26,建筑产出!BI$16:BI$26)</f>
        <v>0.05</v>
      </c>
      <c r="E90" s="14">
        <f>LOOKUP($A90,建筑产出!$BF$16:$BF$26,建筑产出!BJ$16:BJ$26)</f>
        <v>0.2</v>
      </c>
      <c r="F90" s="14">
        <f>LOOKUP($A90,建筑产出!$BF$16:$BF$26,建筑产出!BK$16:BK$26)</f>
        <v>0</v>
      </c>
      <c r="G90" s="14">
        <f>LOOKUP($A90,建筑产出!$BF$16:$BF$26,建筑产出!BL$16:BL$26)</f>
        <v>0.2</v>
      </c>
      <c r="H90" s="14">
        <f>LOOKUP($A90,建筑产出!$BF$16:$BF$26,建筑产出!BM$16:BM$26)</f>
        <v>0</v>
      </c>
      <c r="I90" s="14">
        <f>ROUND(LOOKUP($C90,建筑产出!$A$2:$A$26,建筑产出!D$2:D$26)*D90,-2)</f>
        <v>76700</v>
      </c>
      <c r="J90" s="14">
        <f>ROUND(LOOKUP($C90,建筑产出!$A$2:$A$26,建筑产出!E$2:E$26)*E90,-2)</f>
        <v>153300</v>
      </c>
      <c r="K90" s="14">
        <f>ROUND(LOOKUP($C90,建筑产出!$A$2:$A$26,建筑产出!F$2:F$26)*F90,-2)</f>
        <v>0</v>
      </c>
      <c r="L90" s="14">
        <f>ROUND(LOOKUP($C90,建筑产出!$A$2:$A$26,建筑产出!G$2:G$26)*G90,-2)</f>
        <v>153300</v>
      </c>
      <c r="M90" s="14">
        <f>ROUND(LOOKUP($C90,建筑产出!$A$2:$A$26,建筑产出!H$2:H$26)*H90,-2)</f>
        <v>0</v>
      </c>
      <c r="N90" s="14"/>
      <c r="O90" s="14">
        <f t="shared" si="11"/>
        <v>1</v>
      </c>
      <c r="P90" s="14">
        <f t="shared" si="12"/>
        <v>3</v>
      </c>
      <c r="Q90" s="14">
        <f t="shared" si="13"/>
        <v>0</v>
      </c>
      <c r="R90" s="14">
        <f t="shared" si="14"/>
        <v>5</v>
      </c>
      <c r="S90" s="14">
        <f t="shared" si="15"/>
        <v>0</v>
      </c>
      <c r="T90" s="14"/>
      <c r="U90" s="14" t="str">
        <f t="shared" si="16"/>
        <v>1;3;5;</v>
      </c>
      <c r="V90" s="23" t="str">
        <f t="shared" si="17"/>
        <v>76700;153300;153300;</v>
      </c>
      <c r="X90" s="13" t="str">
        <f t="shared" si="18"/>
        <v>1;3;5</v>
      </c>
      <c r="Y90" s="13" t="str">
        <f t="shared" si="19"/>
        <v>76700;153300;153300</v>
      </c>
    </row>
    <row r="91" spans="1:25" s="13" customFormat="1" ht="20.100000000000001" customHeight="1">
      <c r="A91" s="11">
        <f t="shared" si="10"/>
        <v>4</v>
      </c>
      <c r="B91" s="9" t="s">
        <v>32</v>
      </c>
      <c r="C91" s="11">
        <v>14</v>
      </c>
      <c r="D91" s="14">
        <f>LOOKUP($A91,建筑产出!$BF$16:$BF$26,建筑产出!BI$16:BI$26)</f>
        <v>0.05</v>
      </c>
      <c r="E91" s="14">
        <f>LOOKUP($A91,建筑产出!$BF$16:$BF$26,建筑产出!BJ$16:BJ$26)</f>
        <v>0.2</v>
      </c>
      <c r="F91" s="14">
        <f>LOOKUP($A91,建筑产出!$BF$16:$BF$26,建筑产出!BK$16:BK$26)</f>
        <v>0</v>
      </c>
      <c r="G91" s="14">
        <f>LOOKUP($A91,建筑产出!$BF$16:$BF$26,建筑产出!BL$16:BL$26)</f>
        <v>0.2</v>
      </c>
      <c r="H91" s="14">
        <f>LOOKUP($A91,建筑产出!$BF$16:$BF$26,建筑产出!BM$16:BM$26)</f>
        <v>0</v>
      </c>
      <c r="I91" s="14">
        <f>ROUND(LOOKUP($C91,建筑产出!$A$2:$A$26,建筑产出!D$2:D$26)*D91,-2)</f>
        <v>89200</v>
      </c>
      <c r="J91" s="14">
        <f>ROUND(LOOKUP($C91,建筑产出!$A$2:$A$26,建筑产出!E$2:E$26)*E91,-2)</f>
        <v>178500</v>
      </c>
      <c r="K91" s="14">
        <f>ROUND(LOOKUP($C91,建筑产出!$A$2:$A$26,建筑产出!F$2:F$26)*F91,-2)</f>
        <v>0</v>
      </c>
      <c r="L91" s="14">
        <f>ROUND(LOOKUP($C91,建筑产出!$A$2:$A$26,建筑产出!G$2:G$26)*G91,-2)</f>
        <v>178500</v>
      </c>
      <c r="M91" s="14">
        <f>ROUND(LOOKUP($C91,建筑产出!$A$2:$A$26,建筑产出!H$2:H$26)*H91,-2)</f>
        <v>0</v>
      </c>
      <c r="N91" s="14"/>
      <c r="O91" s="14">
        <f t="shared" si="11"/>
        <v>1</v>
      </c>
      <c r="P91" s="14">
        <f t="shared" si="12"/>
        <v>3</v>
      </c>
      <c r="Q91" s="14">
        <f t="shared" si="13"/>
        <v>0</v>
      </c>
      <c r="R91" s="14">
        <f t="shared" si="14"/>
        <v>5</v>
      </c>
      <c r="S91" s="14">
        <f t="shared" si="15"/>
        <v>0</v>
      </c>
      <c r="T91" s="14"/>
      <c r="U91" s="14" t="str">
        <f t="shared" si="16"/>
        <v>1;3;5;</v>
      </c>
      <c r="V91" s="23" t="str">
        <f t="shared" si="17"/>
        <v>89200;178500;178500;</v>
      </c>
      <c r="X91" s="13" t="str">
        <f t="shared" si="18"/>
        <v>1;3;5</v>
      </c>
      <c r="Y91" s="13" t="str">
        <f t="shared" si="19"/>
        <v>89200;178500;178500</v>
      </c>
    </row>
    <row r="92" spans="1:25" s="13" customFormat="1" ht="20.100000000000001" customHeight="1">
      <c r="A92" s="11">
        <f t="shared" si="10"/>
        <v>4</v>
      </c>
      <c r="B92" s="9" t="s">
        <v>32</v>
      </c>
      <c r="C92" s="11">
        <v>15</v>
      </c>
      <c r="D92" s="14">
        <f>LOOKUP($A92,建筑产出!$BF$16:$BF$26,建筑产出!BI$16:BI$26)</f>
        <v>0.05</v>
      </c>
      <c r="E92" s="14">
        <f>LOOKUP($A92,建筑产出!$BF$16:$BF$26,建筑产出!BJ$16:BJ$26)</f>
        <v>0.2</v>
      </c>
      <c r="F92" s="14">
        <f>LOOKUP($A92,建筑产出!$BF$16:$BF$26,建筑产出!BK$16:BK$26)</f>
        <v>0</v>
      </c>
      <c r="G92" s="14">
        <f>LOOKUP($A92,建筑产出!$BF$16:$BF$26,建筑产出!BL$16:BL$26)</f>
        <v>0.2</v>
      </c>
      <c r="H92" s="14">
        <f>LOOKUP($A92,建筑产出!$BF$16:$BF$26,建筑产出!BM$16:BM$26)</f>
        <v>0</v>
      </c>
      <c r="I92" s="14">
        <f>ROUND(LOOKUP($C92,建筑产出!$A$2:$A$26,建筑产出!D$2:D$26)*D92,-2)</f>
        <v>104800</v>
      </c>
      <c r="J92" s="14">
        <f>ROUND(LOOKUP($C92,建筑产出!$A$2:$A$26,建筑产出!E$2:E$26)*E92,-2)</f>
        <v>209600</v>
      </c>
      <c r="K92" s="14">
        <f>ROUND(LOOKUP($C92,建筑产出!$A$2:$A$26,建筑产出!F$2:F$26)*F92,-2)</f>
        <v>0</v>
      </c>
      <c r="L92" s="14">
        <f>ROUND(LOOKUP($C92,建筑产出!$A$2:$A$26,建筑产出!G$2:G$26)*G92,-2)</f>
        <v>209600</v>
      </c>
      <c r="M92" s="14">
        <f>ROUND(LOOKUP($C92,建筑产出!$A$2:$A$26,建筑产出!H$2:H$26)*H92,-2)</f>
        <v>0</v>
      </c>
      <c r="N92" s="14"/>
      <c r="O92" s="14">
        <f t="shared" si="11"/>
        <v>1</v>
      </c>
      <c r="P92" s="14">
        <f t="shared" si="12"/>
        <v>3</v>
      </c>
      <c r="Q92" s="14">
        <f t="shared" si="13"/>
        <v>0</v>
      </c>
      <c r="R92" s="14">
        <f t="shared" si="14"/>
        <v>5</v>
      </c>
      <c r="S92" s="14">
        <f t="shared" si="15"/>
        <v>0</v>
      </c>
      <c r="T92" s="14"/>
      <c r="U92" s="14" t="str">
        <f t="shared" si="16"/>
        <v>1;3;5;</v>
      </c>
      <c r="V92" s="23" t="str">
        <f t="shared" si="17"/>
        <v>104800;209600;209600;</v>
      </c>
      <c r="X92" s="13" t="str">
        <f t="shared" si="18"/>
        <v>1;3;5</v>
      </c>
      <c r="Y92" s="13" t="str">
        <f t="shared" si="19"/>
        <v>104800;209600;209600</v>
      </c>
    </row>
    <row r="93" spans="1:25" s="13" customFormat="1" ht="20.100000000000001" customHeight="1">
      <c r="A93" s="11">
        <f t="shared" ref="A93:A156" si="20">A68+1</f>
        <v>4</v>
      </c>
      <c r="B93" s="9" t="s">
        <v>32</v>
      </c>
      <c r="C93" s="11">
        <v>16</v>
      </c>
      <c r="D93" s="14">
        <f>LOOKUP($A93,建筑产出!$BF$16:$BF$26,建筑产出!BI$16:BI$26)</f>
        <v>0.05</v>
      </c>
      <c r="E93" s="14">
        <f>LOOKUP($A93,建筑产出!$BF$16:$BF$26,建筑产出!BJ$16:BJ$26)</f>
        <v>0.2</v>
      </c>
      <c r="F93" s="14">
        <f>LOOKUP($A93,建筑产出!$BF$16:$BF$26,建筑产出!BK$16:BK$26)</f>
        <v>0</v>
      </c>
      <c r="G93" s="14">
        <f>LOOKUP($A93,建筑产出!$BF$16:$BF$26,建筑产出!BL$16:BL$26)</f>
        <v>0.2</v>
      </c>
      <c r="H93" s="14">
        <f>LOOKUP($A93,建筑产出!$BF$16:$BF$26,建筑产出!BM$16:BM$26)</f>
        <v>0</v>
      </c>
      <c r="I93" s="14">
        <f>ROUND(LOOKUP($C93,建筑产出!$A$2:$A$26,建筑产出!D$2:D$26)*D93,-2)</f>
        <v>121500</v>
      </c>
      <c r="J93" s="14">
        <f>ROUND(LOOKUP($C93,建筑产出!$A$2:$A$26,建筑产出!E$2:E$26)*E93,-2)</f>
        <v>243000</v>
      </c>
      <c r="K93" s="14">
        <f>ROUND(LOOKUP($C93,建筑产出!$A$2:$A$26,建筑产出!F$2:F$26)*F93,-2)</f>
        <v>0</v>
      </c>
      <c r="L93" s="14">
        <f>ROUND(LOOKUP($C93,建筑产出!$A$2:$A$26,建筑产出!G$2:G$26)*G93,-2)</f>
        <v>243000</v>
      </c>
      <c r="M93" s="14">
        <f>ROUND(LOOKUP($C93,建筑产出!$A$2:$A$26,建筑产出!H$2:H$26)*H93,-2)</f>
        <v>0</v>
      </c>
      <c r="N93" s="14"/>
      <c r="O93" s="14">
        <f t="shared" si="11"/>
        <v>1</v>
      </c>
      <c r="P93" s="14">
        <f t="shared" si="12"/>
        <v>3</v>
      </c>
      <c r="Q93" s="14">
        <f t="shared" si="13"/>
        <v>0</v>
      </c>
      <c r="R93" s="14">
        <f t="shared" si="14"/>
        <v>5</v>
      </c>
      <c r="S93" s="14">
        <f t="shared" si="15"/>
        <v>0</v>
      </c>
      <c r="T93" s="14"/>
      <c r="U93" s="14" t="str">
        <f t="shared" si="16"/>
        <v>1;3;5;</v>
      </c>
      <c r="V93" s="23" t="str">
        <f t="shared" si="17"/>
        <v>121500;243000;243000;</v>
      </c>
      <c r="X93" s="13" t="str">
        <f t="shared" si="18"/>
        <v>1;3;5</v>
      </c>
      <c r="Y93" s="13" t="str">
        <f t="shared" si="19"/>
        <v>121500;243000;243000</v>
      </c>
    </row>
    <row r="94" spans="1:25" s="13" customFormat="1" ht="20.100000000000001" customHeight="1">
      <c r="A94" s="11">
        <f t="shared" si="20"/>
        <v>4</v>
      </c>
      <c r="B94" s="9" t="s">
        <v>32</v>
      </c>
      <c r="C94" s="11">
        <v>17</v>
      </c>
      <c r="D94" s="14">
        <f>LOOKUP($A94,建筑产出!$BF$16:$BF$26,建筑产出!BI$16:BI$26)</f>
        <v>0.05</v>
      </c>
      <c r="E94" s="14">
        <f>LOOKUP($A94,建筑产出!$BF$16:$BF$26,建筑产出!BJ$16:BJ$26)</f>
        <v>0.2</v>
      </c>
      <c r="F94" s="14">
        <f>LOOKUP($A94,建筑产出!$BF$16:$BF$26,建筑产出!BK$16:BK$26)</f>
        <v>0</v>
      </c>
      <c r="G94" s="14">
        <f>LOOKUP($A94,建筑产出!$BF$16:$BF$26,建筑产出!BL$16:BL$26)</f>
        <v>0.2</v>
      </c>
      <c r="H94" s="14">
        <f>LOOKUP($A94,建筑产出!$BF$16:$BF$26,建筑产出!BM$16:BM$26)</f>
        <v>0</v>
      </c>
      <c r="I94" s="14">
        <f>ROUND(LOOKUP($C94,建筑产出!$A$2:$A$26,建筑产出!D$2:D$26)*D94,-2)</f>
        <v>139400</v>
      </c>
      <c r="J94" s="14">
        <f>ROUND(LOOKUP($C94,建筑产出!$A$2:$A$26,建筑产出!E$2:E$26)*E94,-2)</f>
        <v>278700</v>
      </c>
      <c r="K94" s="14">
        <f>ROUND(LOOKUP($C94,建筑产出!$A$2:$A$26,建筑产出!F$2:F$26)*F94,-2)</f>
        <v>0</v>
      </c>
      <c r="L94" s="14">
        <f>ROUND(LOOKUP($C94,建筑产出!$A$2:$A$26,建筑产出!G$2:G$26)*G94,-2)</f>
        <v>278700</v>
      </c>
      <c r="M94" s="14">
        <f>ROUND(LOOKUP($C94,建筑产出!$A$2:$A$26,建筑产出!H$2:H$26)*H94,-2)</f>
        <v>0</v>
      </c>
      <c r="N94" s="14"/>
      <c r="O94" s="14">
        <f t="shared" si="11"/>
        <v>1</v>
      </c>
      <c r="P94" s="14">
        <f t="shared" si="12"/>
        <v>3</v>
      </c>
      <c r="Q94" s="14">
        <f t="shared" si="13"/>
        <v>0</v>
      </c>
      <c r="R94" s="14">
        <f t="shared" si="14"/>
        <v>5</v>
      </c>
      <c r="S94" s="14">
        <f t="shared" si="15"/>
        <v>0</v>
      </c>
      <c r="T94" s="14"/>
      <c r="U94" s="14" t="str">
        <f t="shared" si="16"/>
        <v>1;3;5;</v>
      </c>
      <c r="V94" s="23" t="str">
        <f t="shared" si="17"/>
        <v>139400;278700;278700;</v>
      </c>
      <c r="X94" s="13" t="str">
        <f t="shared" si="18"/>
        <v>1;3;5</v>
      </c>
      <c r="Y94" s="13" t="str">
        <f t="shared" si="19"/>
        <v>139400;278700;278700</v>
      </c>
    </row>
    <row r="95" spans="1:25" s="13" customFormat="1" ht="20.100000000000001" customHeight="1">
      <c r="A95" s="11">
        <f t="shared" si="20"/>
        <v>4</v>
      </c>
      <c r="B95" s="9" t="s">
        <v>32</v>
      </c>
      <c r="C95" s="11">
        <v>18</v>
      </c>
      <c r="D95" s="14">
        <f>LOOKUP($A95,建筑产出!$BF$16:$BF$26,建筑产出!BI$16:BI$26)</f>
        <v>0.05</v>
      </c>
      <c r="E95" s="14">
        <f>LOOKUP($A95,建筑产出!$BF$16:$BF$26,建筑产出!BJ$16:BJ$26)</f>
        <v>0.2</v>
      </c>
      <c r="F95" s="14">
        <f>LOOKUP($A95,建筑产出!$BF$16:$BF$26,建筑产出!BK$16:BK$26)</f>
        <v>0</v>
      </c>
      <c r="G95" s="14">
        <f>LOOKUP($A95,建筑产出!$BF$16:$BF$26,建筑产出!BL$16:BL$26)</f>
        <v>0.2</v>
      </c>
      <c r="H95" s="14">
        <f>LOOKUP($A95,建筑产出!$BF$16:$BF$26,建筑产出!BM$16:BM$26)</f>
        <v>0</v>
      </c>
      <c r="I95" s="14">
        <f>ROUND(LOOKUP($C95,建筑产出!$A$2:$A$26,建筑产出!D$2:D$26)*D95,-2)</f>
        <v>158400</v>
      </c>
      <c r="J95" s="14">
        <f>ROUND(LOOKUP($C95,建筑产出!$A$2:$A$26,建筑产出!E$2:E$26)*E95,-2)</f>
        <v>316700</v>
      </c>
      <c r="K95" s="14">
        <f>ROUND(LOOKUP($C95,建筑产出!$A$2:$A$26,建筑产出!F$2:F$26)*F95,-2)</f>
        <v>0</v>
      </c>
      <c r="L95" s="14">
        <f>ROUND(LOOKUP($C95,建筑产出!$A$2:$A$26,建筑产出!G$2:G$26)*G95,-2)</f>
        <v>316700</v>
      </c>
      <c r="M95" s="14">
        <f>ROUND(LOOKUP($C95,建筑产出!$A$2:$A$26,建筑产出!H$2:H$26)*H95,-2)</f>
        <v>0</v>
      </c>
      <c r="N95" s="14"/>
      <c r="O95" s="14">
        <f t="shared" si="11"/>
        <v>1</v>
      </c>
      <c r="P95" s="14">
        <f t="shared" si="12"/>
        <v>3</v>
      </c>
      <c r="Q95" s="14">
        <f t="shared" si="13"/>
        <v>0</v>
      </c>
      <c r="R95" s="14">
        <f t="shared" si="14"/>
        <v>5</v>
      </c>
      <c r="S95" s="14">
        <f t="shared" si="15"/>
        <v>0</v>
      </c>
      <c r="T95" s="14"/>
      <c r="U95" s="14" t="str">
        <f t="shared" si="16"/>
        <v>1;3;5;</v>
      </c>
      <c r="V95" s="23" t="str">
        <f t="shared" si="17"/>
        <v>158400;316700;316700;</v>
      </c>
      <c r="X95" s="13" t="str">
        <f t="shared" si="18"/>
        <v>1;3;5</v>
      </c>
      <c r="Y95" s="13" t="str">
        <f t="shared" si="19"/>
        <v>158400;316700;316700</v>
      </c>
    </row>
    <row r="96" spans="1:25" s="13" customFormat="1" ht="20.100000000000001" customHeight="1">
      <c r="A96" s="11">
        <f t="shared" si="20"/>
        <v>4</v>
      </c>
      <c r="B96" s="9" t="s">
        <v>32</v>
      </c>
      <c r="C96" s="11">
        <v>19</v>
      </c>
      <c r="D96" s="14">
        <f>LOOKUP($A96,建筑产出!$BF$16:$BF$26,建筑产出!BI$16:BI$26)</f>
        <v>0.05</v>
      </c>
      <c r="E96" s="14">
        <f>LOOKUP($A96,建筑产出!$BF$16:$BF$26,建筑产出!BJ$16:BJ$26)</f>
        <v>0.2</v>
      </c>
      <c r="F96" s="14">
        <f>LOOKUP($A96,建筑产出!$BF$16:$BF$26,建筑产出!BK$16:BK$26)</f>
        <v>0</v>
      </c>
      <c r="G96" s="14">
        <f>LOOKUP($A96,建筑产出!$BF$16:$BF$26,建筑产出!BL$16:BL$26)</f>
        <v>0.2</v>
      </c>
      <c r="H96" s="14">
        <f>LOOKUP($A96,建筑产出!$BF$16:$BF$26,建筑产出!BM$16:BM$26)</f>
        <v>0</v>
      </c>
      <c r="I96" s="14">
        <f>ROUND(LOOKUP($C96,建筑产出!$A$2:$A$26,建筑产出!D$2:D$26)*D96,-2)</f>
        <v>178500</v>
      </c>
      <c r="J96" s="14">
        <f>ROUND(LOOKUP($C96,建筑产出!$A$2:$A$26,建筑产出!E$2:E$26)*E96,-2)</f>
        <v>357000</v>
      </c>
      <c r="K96" s="14">
        <f>ROUND(LOOKUP($C96,建筑产出!$A$2:$A$26,建筑产出!F$2:F$26)*F96,-2)</f>
        <v>0</v>
      </c>
      <c r="L96" s="14">
        <f>ROUND(LOOKUP($C96,建筑产出!$A$2:$A$26,建筑产出!G$2:G$26)*G96,-2)</f>
        <v>357000</v>
      </c>
      <c r="M96" s="14">
        <f>ROUND(LOOKUP($C96,建筑产出!$A$2:$A$26,建筑产出!H$2:H$26)*H96,-2)</f>
        <v>0</v>
      </c>
      <c r="N96" s="14"/>
      <c r="O96" s="14">
        <f t="shared" si="11"/>
        <v>1</v>
      </c>
      <c r="P96" s="14">
        <f t="shared" si="12"/>
        <v>3</v>
      </c>
      <c r="Q96" s="14">
        <f t="shared" si="13"/>
        <v>0</v>
      </c>
      <c r="R96" s="14">
        <f t="shared" si="14"/>
        <v>5</v>
      </c>
      <c r="S96" s="14">
        <f t="shared" si="15"/>
        <v>0</v>
      </c>
      <c r="T96" s="14"/>
      <c r="U96" s="14" t="str">
        <f t="shared" si="16"/>
        <v>1;3;5;</v>
      </c>
      <c r="V96" s="23" t="str">
        <f t="shared" si="17"/>
        <v>178500;357000;357000;</v>
      </c>
      <c r="X96" s="13" t="str">
        <f t="shared" si="18"/>
        <v>1;3;5</v>
      </c>
      <c r="Y96" s="13" t="str">
        <f t="shared" si="19"/>
        <v>178500;357000;357000</v>
      </c>
    </row>
    <row r="97" spans="1:25" s="13" customFormat="1" ht="20.100000000000001" customHeight="1">
      <c r="A97" s="11">
        <f t="shared" si="20"/>
        <v>4</v>
      </c>
      <c r="B97" s="9" t="s">
        <v>32</v>
      </c>
      <c r="C97" s="11">
        <v>20</v>
      </c>
      <c r="D97" s="14">
        <f>LOOKUP($A97,建筑产出!$BF$16:$BF$26,建筑产出!BI$16:BI$26)</f>
        <v>0.05</v>
      </c>
      <c r="E97" s="14">
        <f>LOOKUP($A97,建筑产出!$BF$16:$BF$26,建筑产出!BJ$16:BJ$26)</f>
        <v>0.2</v>
      </c>
      <c r="F97" s="14">
        <f>LOOKUP($A97,建筑产出!$BF$16:$BF$26,建筑产出!BK$16:BK$26)</f>
        <v>0</v>
      </c>
      <c r="G97" s="14">
        <f>LOOKUP($A97,建筑产出!$BF$16:$BF$26,建筑产出!BL$16:BL$26)</f>
        <v>0.2</v>
      </c>
      <c r="H97" s="14">
        <f>LOOKUP($A97,建筑产出!$BF$16:$BF$26,建筑产出!BM$16:BM$26)</f>
        <v>0</v>
      </c>
      <c r="I97" s="14">
        <f>ROUND(LOOKUP($C97,建筑产出!$A$2:$A$26,建筑产出!D$2:D$26)*D97,-2)</f>
        <v>202500</v>
      </c>
      <c r="J97" s="14">
        <f>ROUND(LOOKUP($C97,建筑产出!$A$2:$A$26,建筑产出!E$2:E$26)*E97,-2)</f>
        <v>404900</v>
      </c>
      <c r="K97" s="14">
        <f>ROUND(LOOKUP($C97,建筑产出!$A$2:$A$26,建筑产出!F$2:F$26)*F97,-2)</f>
        <v>0</v>
      </c>
      <c r="L97" s="14">
        <f>ROUND(LOOKUP($C97,建筑产出!$A$2:$A$26,建筑产出!G$2:G$26)*G97,-2)</f>
        <v>404900</v>
      </c>
      <c r="M97" s="14">
        <f>ROUND(LOOKUP($C97,建筑产出!$A$2:$A$26,建筑产出!H$2:H$26)*H97,-2)</f>
        <v>0</v>
      </c>
      <c r="N97" s="14"/>
      <c r="O97" s="14">
        <f t="shared" si="11"/>
        <v>1</v>
      </c>
      <c r="P97" s="14">
        <f t="shared" si="12"/>
        <v>3</v>
      </c>
      <c r="Q97" s="14">
        <f t="shared" si="13"/>
        <v>0</v>
      </c>
      <c r="R97" s="14">
        <f t="shared" si="14"/>
        <v>5</v>
      </c>
      <c r="S97" s="14">
        <f t="shared" si="15"/>
        <v>0</v>
      </c>
      <c r="T97" s="14"/>
      <c r="U97" s="14" t="str">
        <f t="shared" si="16"/>
        <v>1;3;5;</v>
      </c>
      <c r="V97" s="23" t="str">
        <f t="shared" si="17"/>
        <v>202500;404900;404900;</v>
      </c>
      <c r="X97" s="13" t="str">
        <f t="shared" si="18"/>
        <v>1;3;5</v>
      </c>
      <c r="Y97" s="13" t="str">
        <f t="shared" si="19"/>
        <v>202500;404900;404900</v>
      </c>
    </row>
    <row r="98" spans="1:25" s="13" customFormat="1" ht="20.100000000000001" customHeight="1">
      <c r="A98" s="11">
        <f t="shared" si="20"/>
        <v>4</v>
      </c>
      <c r="B98" s="9" t="s">
        <v>32</v>
      </c>
      <c r="C98" s="11">
        <v>21</v>
      </c>
      <c r="D98" s="14">
        <f>LOOKUP($A98,建筑产出!$BF$16:$BF$26,建筑产出!BI$16:BI$26)</f>
        <v>0.05</v>
      </c>
      <c r="E98" s="14">
        <f>LOOKUP($A98,建筑产出!$BF$16:$BF$26,建筑产出!BJ$16:BJ$26)</f>
        <v>0.2</v>
      </c>
      <c r="F98" s="14">
        <f>LOOKUP($A98,建筑产出!$BF$16:$BF$26,建筑产出!BK$16:BK$26)</f>
        <v>0</v>
      </c>
      <c r="G98" s="14">
        <f>LOOKUP($A98,建筑产出!$BF$16:$BF$26,建筑产出!BL$16:BL$26)</f>
        <v>0.2</v>
      </c>
      <c r="H98" s="14">
        <f>LOOKUP($A98,建筑产出!$BF$16:$BF$26,建筑产出!BM$16:BM$26)</f>
        <v>0</v>
      </c>
      <c r="I98" s="14">
        <f>ROUND(LOOKUP($C98,建筑产出!$A$2:$A$26,建筑产出!D$2:D$26)*D98,-2)</f>
        <v>227800</v>
      </c>
      <c r="J98" s="14">
        <f>ROUND(LOOKUP($C98,建筑产出!$A$2:$A$26,建筑产出!E$2:E$26)*E98,-2)</f>
        <v>455500</v>
      </c>
      <c r="K98" s="14">
        <f>ROUND(LOOKUP($C98,建筑产出!$A$2:$A$26,建筑产出!F$2:F$26)*F98,-2)</f>
        <v>0</v>
      </c>
      <c r="L98" s="14">
        <f>ROUND(LOOKUP($C98,建筑产出!$A$2:$A$26,建筑产出!G$2:G$26)*G98,-2)</f>
        <v>455500</v>
      </c>
      <c r="M98" s="14">
        <f>ROUND(LOOKUP($C98,建筑产出!$A$2:$A$26,建筑产出!H$2:H$26)*H98,-2)</f>
        <v>0</v>
      </c>
      <c r="N98" s="14"/>
      <c r="O98" s="14">
        <f t="shared" si="11"/>
        <v>1</v>
      </c>
      <c r="P98" s="14">
        <f t="shared" si="12"/>
        <v>3</v>
      </c>
      <c r="Q98" s="14">
        <f t="shared" si="13"/>
        <v>0</v>
      </c>
      <c r="R98" s="14">
        <f t="shared" si="14"/>
        <v>5</v>
      </c>
      <c r="S98" s="14">
        <f t="shared" si="15"/>
        <v>0</v>
      </c>
      <c r="T98" s="14"/>
      <c r="U98" s="14" t="str">
        <f t="shared" si="16"/>
        <v>1;3;5;</v>
      </c>
      <c r="V98" s="23" t="str">
        <f t="shared" si="17"/>
        <v>227800;455500;455500;</v>
      </c>
      <c r="X98" s="13" t="str">
        <f t="shared" si="18"/>
        <v>1;3;5</v>
      </c>
      <c r="Y98" s="13" t="str">
        <f t="shared" si="19"/>
        <v>227800;455500;455500</v>
      </c>
    </row>
    <row r="99" spans="1:25" s="13" customFormat="1" ht="20.100000000000001" customHeight="1">
      <c r="A99" s="11">
        <f t="shared" si="20"/>
        <v>4</v>
      </c>
      <c r="B99" s="9" t="s">
        <v>32</v>
      </c>
      <c r="C99" s="11">
        <v>22</v>
      </c>
      <c r="D99" s="14">
        <f>LOOKUP($A99,建筑产出!$BF$16:$BF$26,建筑产出!BI$16:BI$26)</f>
        <v>0.05</v>
      </c>
      <c r="E99" s="14">
        <f>LOOKUP($A99,建筑产出!$BF$16:$BF$26,建筑产出!BJ$16:BJ$26)</f>
        <v>0.2</v>
      </c>
      <c r="F99" s="14">
        <f>LOOKUP($A99,建筑产出!$BF$16:$BF$26,建筑产出!BK$16:BK$26)</f>
        <v>0</v>
      </c>
      <c r="G99" s="14">
        <f>LOOKUP($A99,建筑产出!$BF$16:$BF$26,建筑产出!BL$16:BL$26)</f>
        <v>0.2</v>
      </c>
      <c r="H99" s="14">
        <f>LOOKUP($A99,建筑产出!$BF$16:$BF$26,建筑产出!BM$16:BM$26)</f>
        <v>0</v>
      </c>
      <c r="I99" s="14">
        <f>ROUND(LOOKUP($C99,建筑产出!$A$2:$A$26,建筑产出!D$2:D$26)*D99,-2)</f>
        <v>254500</v>
      </c>
      <c r="J99" s="14">
        <f>ROUND(LOOKUP($C99,建筑产出!$A$2:$A$26,建筑产出!E$2:E$26)*E99,-2)</f>
        <v>508900</v>
      </c>
      <c r="K99" s="14">
        <f>ROUND(LOOKUP($C99,建筑产出!$A$2:$A$26,建筑产出!F$2:F$26)*F99,-2)</f>
        <v>0</v>
      </c>
      <c r="L99" s="14">
        <f>ROUND(LOOKUP($C99,建筑产出!$A$2:$A$26,建筑产出!G$2:G$26)*G99,-2)</f>
        <v>508900</v>
      </c>
      <c r="M99" s="14">
        <f>ROUND(LOOKUP($C99,建筑产出!$A$2:$A$26,建筑产出!H$2:H$26)*H99,-2)</f>
        <v>0</v>
      </c>
      <c r="N99" s="14"/>
      <c r="O99" s="14">
        <f t="shared" si="11"/>
        <v>1</v>
      </c>
      <c r="P99" s="14">
        <f t="shared" si="12"/>
        <v>3</v>
      </c>
      <c r="Q99" s="14">
        <f t="shared" si="13"/>
        <v>0</v>
      </c>
      <c r="R99" s="14">
        <f t="shared" si="14"/>
        <v>5</v>
      </c>
      <c r="S99" s="14">
        <f t="shared" si="15"/>
        <v>0</v>
      </c>
      <c r="T99" s="14"/>
      <c r="U99" s="14" t="str">
        <f t="shared" si="16"/>
        <v>1;3;5;</v>
      </c>
      <c r="V99" s="23" t="str">
        <f t="shared" si="17"/>
        <v>254500;508900;508900;</v>
      </c>
      <c r="X99" s="13" t="str">
        <f t="shared" si="18"/>
        <v>1;3;5</v>
      </c>
      <c r="Y99" s="13" t="str">
        <f t="shared" si="19"/>
        <v>254500;508900;508900</v>
      </c>
    </row>
    <row r="100" spans="1:25" s="13" customFormat="1" ht="20.100000000000001" customHeight="1">
      <c r="A100" s="11">
        <f t="shared" si="20"/>
        <v>4</v>
      </c>
      <c r="B100" s="9" t="s">
        <v>32</v>
      </c>
      <c r="C100" s="11">
        <v>23</v>
      </c>
      <c r="D100" s="14">
        <f>LOOKUP($A100,建筑产出!$BF$16:$BF$26,建筑产出!BI$16:BI$26)</f>
        <v>0.05</v>
      </c>
      <c r="E100" s="14">
        <f>LOOKUP($A100,建筑产出!$BF$16:$BF$26,建筑产出!BJ$16:BJ$26)</f>
        <v>0.2</v>
      </c>
      <c r="F100" s="14">
        <f>LOOKUP($A100,建筑产出!$BF$16:$BF$26,建筑产出!BK$16:BK$26)</f>
        <v>0</v>
      </c>
      <c r="G100" s="14">
        <f>LOOKUP($A100,建筑产出!$BF$16:$BF$26,建筑产出!BL$16:BL$26)</f>
        <v>0.2</v>
      </c>
      <c r="H100" s="14">
        <f>LOOKUP($A100,建筑产出!$BF$16:$BF$26,建筑产出!BM$16:BM$26)</f>
        <v>0</v>
      </c>
      <c r="I100" s="14">
        <f>ROUND(LOOKUP($C100,建筑产出!$A$2:$A$26,建筑产出!D$2:D$26)*D100,-2)</f>
        <v>282500</v>
      </c>
      <c r="J100" s="14">
        <f>ROUND(LOOKUP($C100,建筑产出!$A$2:$A$26,建筑产出!E$2:E$26)*E100,-2)</f>
        <v>565100</v>
      </c>
      <c r="K100" s="14">
        <f>ROUND(LOOKUP($C100,建筑产出!$A$2:$A$26,建筑产出!F$2:F$26)*F100,-2)</f>
        <v>0</v>
      </c>
      <c r="L100" s="14">
        <f>ROUND(LOOKUP($C100,建筑产出!$A$2:$A$26,建筑产出!G$2:G$26)*G100,-2)</f>
        <v>565100</v>
      </c>
      <c r="M100" s="14">
        <f>ROUND(LOOKUP($C100,建筑产出!$A$2:$A$26,建筑产出!H$2:H$26)*H100,-2)</f>
        <v>0</v>
      </c>
      <c r="N100" s="14"/>
      <c r="O100" s="14">
        <f t="shared" si="11"/>
        <v>1</v>
      </c>
      <c r="P100" s="14">
        <f t="shared" si="12"/>
        <v>3</v>
      </c>
      <c r="Q100" s="14">
        <f t="shared" si="13"/>
        <v>0</v>
      </c>
      <c r="R100" s="14">
        <f t="shared" si="14"/>
        <v>5</v>
      </c>
      <c r="S100" s="14">
        <f t="shared" si="15"/>
        <v>0</v>
      </c>
      <c r="T100" s="14"/>
      <c r="U100" s="14" t="str">
        <f t="shared" si="16"/>
        <v>1;3;5;</v>
      </c>
      <c r="V100" s="23" t="str">
        <f t="shared" si="17"/>
        <v>282500;565100;565100;</v>
      </c>
      <c r="X100" s="13" t="str">
        <f t="shared" si="18"/>
        <v>1;3;5</v>
      </c>
      <c r="Y100" s="13" t="str">
        <f t="shared" si="19"/>
        <v>282500;565100;565100</v>
      </c>
    </row>
    <row r="101" spans="1:25" s="13" customFormat="1" ht="20.100000000000001" customHeight="1">
      <c r="A101" s="11">
        <f t="shared" si="20"/>
        <v>4</v>
      </c>
      <c r="B101" s="9" t="s">
        <v>32</v>
      </c>
      <c r="C101" s="11">
        <v>24</v>
      </c>
      <c r="D101" s="14">
        <f>LOOKUP($A101,建筑产出!$BF$16:$BF$26,建筑产出!BI$16:BI$26)</f>
        <v>0.05</v>
      </c>
      <c r="E101" s="14">
        <f>LOOKUP($A101,建筑产出!$BF$16:$BF$26,建筑产出!BJ$16:BJ$26)</f>
        <v>0.2</v>
      </c>
      <c r="F101" s="14">
        <f>LOOKUP($A101,建筑产出!$BF$16:$BF$26,建筑产出!BK$16:BK$26)</f>
        <v>0</v>
      </c>
      <c r="G101" s="14">
        <f>LOOKUP($A101,建筑产出!$BF$16:$BF$26,建筑产出!BL$16:BL$26)</f>
        <v>0.2</v>
      </c>
      <c r="H101" s="14">
        <f>LOOKUP($A101,建筑产出!$BF$16:$BF$26,建筑产出!BM$16:BM$26)</f>
        <v>0</v>
      </c>
      <c r="I101" s="14">
        <f>ROUND(LOOKUP($C101,建筑产出!$A$2:$A$26,建筑产出!D$2:D$26)*D101,-2)</f>
        <v>312000</v>
      </c>
      <c r="J101" s="14">
        <f>ROUND(LOOKUP($C101,建筑产出!$A$2:$A$26,建筑产出!E$2:E$26)*E101,-2)</f>
        <v>624000</v>
      </c>
      <c r="K101" s="14">
        <f>ROUND(LOOKUP($C101,建筑产出!$A$2:$A$26,建筑产出!F$2:F$26)*F101,-2)</f>
        <v>0</v>
      </c>
      <c r="L101" s="14">
        <f>ROUND(LOOKUP($C101,建筑产出!$A$2:$A$26,建筑产出!G$2:G$26)*G101,-2)</f>
        <v>624000</v>
      </c>
      <c r="M101" s="14">
        <f>ROUND(LOOKUP($C101,建筑产出!$A$2:$A$26,建筑产出!H$2:H$26)*H101,-2)</f>
        <v>0</v>
      </c>
      <c r="N101" s="14"/>
      <c r="O101" s="14">
        <f t="shared" si="11"/>
        <v>1</v>
      </c>
      <c r="P101" s="14">
        <f t="shared" si="12"/>
        <v>3</v>
      </c>
      <c r="Q101" s="14">
        <f t="shared" si="13"/>
        <v>0</v>
      </c>
      <c r="R101" s="14">
        <f t="shared" si="14"/>
        <v>5</v>
      </c>
      <c r="S101" s="14">
        <f t="shared" si="15"/>
        <v>0</v>
      </c>
      <c r="T101" s="14"/>
      <c r="U101" s="14" t="str">
        <f t="shared" si="16"/>
        <v>1;3;5;</v>
      </c>
      <c r="V101" s="23" t="str">
        <f t="shared" si="17"/>
        <v>312000;624000;624000;</v>
      </c>
      <c r="X101" s="13" t="str">
        <f t="shared" si="18"/>
        <v>1;3;5</v>
      </c>
      <c r="Y101" s="13" t="str">
        <f t="shared" si="19"/>
        <v>312000;624000;624000</v>
      </c>
    </row>
    <row r="102" spans="1:25" s="13" customFormat="1" ht="20.100000000000001" customHeight="1">
      <c r="A102" s="11">
        <f t="shared" si="20"/>
        <v>4</v>
      </c>
      <c r="B102" s="9" t="s">
        <v>32</v>
      </c>
      <c r="C102" s="11">
        <v>25</v>
      </c>
      <c r="D102" s="14">
        <f>LOOKUP($A102,建筑产出!$BF$16:$BF$26,建筑产出!BI$16:BI$26)</f>
        <v>0.05</v>
      </c>
      <c r="E102" s="14">
        <f>LOOKUP($A102,建筑产出!$BF$16:$BF$26,建筑产出!BJ$16:BJ$26)</f>
        <v>0.2</v>
      </c>
      <c r="F102" s="14">
        <f>LOOKUP($A102,建筑产出!$BF$16:$BF$26,建筑产出!BK$16:BK$26)</f>
        <v>0</v>
      </c>
      <c r="G102" s="14">
        <f>LOOKUP($A102,建筑产出!$BF$16:$BF$26,建筑产出!BL$16:BL$26)</f>
        <v>0.2</v>
      </c>
      <c r="H102" s="14">
        <f>LOOKUP($A102,建筑产出!$BF$16:$BF$26,建筑产出!BM$16:BM$26)</f>
        <v>0</v>
      </c>
      <c r="I102" s="14">
        <f>ROUND(LOOKUP($C102,建筑产出!$A$2:$A$26,建筑产出!D$2:D$26)*D102,-2)</f>
        <v>1105400</v>
      </c>
      <c r="J102" s="14">
        <f>ROUND(LOOKUP($C102,建筑产出!$A$2:$A$26,建筑产出!E$2:E$26)*E102,-2)</f>
        <v>2210800</v>
      </c>
      <c r="K102" s="14">
        <f>ROUND(LOOKUP($C102,建筑产出!$A$2:$A$26,建筑产出!F$2:F$26)*F102,-2)</f>
        <v>0</v>
      </c>
      <c r="L102" s="14">
        <f>ROUND(LOOKUP($C102,建筑产出!$A$2:$A$26,建筑产出!G$2:G$26)*G102,-2)</f>
        <v>2210800</v>
      </c>
      <c r="M102" s="14">
        <f>ROUND(LOOKUP($C102,建筑产出!$A$2:$A$26,建筑产出!H$2:H$26)*H102,-2)</f>
        <v>0</v>
      </c>
      <c r="N102" s="14"/>
      <c r="O102" s="14">
        <f t="shared" si="11"/>
        <v>1</v>
      </c>
      <c r="P102" s="14">
        <f t="shared" si="12"/>
        <v>3</v>
      </c>
      <c r="Q102" s="14">
        <f t="shared" si="13"/>
        <v>0</v>
      </c>
      <c r="R102" s="14">
        <f t="shared" si="14"/>
        <v>5</v>
      </c>
      <c r="S102" s="14">
        <f t="shared" si="15"/>
        <v>0</v>
      </c>
      <c r="T102" s="14"/>
      <c r="U102" s="14" t="str">
        <f t="shared" si="16"/>
        <v>1;3;5;</v>
      </c>
      <c r="V102" s="23" t="str">
        <f t="shared" si="17"/>
        <v>1105400;2210800;2210800;</v>
      </c>
      <c r="X102" s="13" t="str">
        <f t="shared" si="18"/>
        <v>1;3;5</v>
      </c>
      <c r="Y102" s="13" t="str">
        <f t="shared" si="19"/>
        <v>1105400;2210800;2210800</v>
      </c>
    </row>
    <row r="103" spans="1:25" s="13" customFormat="1" ht="20.100000000000001" customHeight="1">
      <c r="A103" s="11">
        <f t="shared" si="20"/>
        <v>5</v>
      </c>
      <c r="B103" s="9" t="s">
        <v>33</v>
      </c>
      <c r="C103" s="11">
        <v>1</v>
      </c>
      <c r="D103" s="14">
        <f>LOOKUP($A103,建筑产出!$BF$16:$BF$26,建筑产出!BI$16:BI$26)</f>
        <v>0.05</v>
      </c>
      <c r="E103" s="14">
        <f>LOOKUP($A103,建筑产出!$BF$16:$BF$26,建筑产出!BJ$16:BJ$26)</f>
        <v>0</v>
      </c>
      <c r="F103" s="14">
        <f>LOOKUP($A103,建筑产出!$BF$16:$BF$26,建筑产出!BK$16:BK$26)</f>
        <v>0.2</v>
      </c>
      <c r="G103" s="14">
        <f>LOOKUP($A103,建筑产出!$BF$16:$BF$26,建筑产出!BL$16:BL$26)</f>
        <v>0</v>
      </c>
      <c r="H103" s="14">
        <f>LOOKUP($A103,建筑产出!$BF$16:$BF$26,建筑产出!BM$16:BM$26)</f>
        <v>0.2</v>
      </c>
      <c r="I103" s="14">
        <f>ROUND(LOOKUP($C103,建筑产出!$A$2:$A$26,建筑产出!D$2:D$26)*D103,-2)</f>
        <v>3700</v>
      </c>
      <c r="J103" s="14">
        <f>ROUND(LOOKUP($C103,建筑产出!$A$2:$A$26,建筑产出!E$2:E$26)*E103,-2)</f>
        <v>0</v>
      </c>
      <c r="K103" s="14">
        <f>ROUND(LOOKUP($C103,建筑产出!$A$2:$A$26,建筑产出!F$2:F$26)*F103,-2)</f>
        <v>7300</v>
      </c>
      <c r="L103" s="14">
        <f>ROUND(LOOKUP($C103,建筑产出!$A$2:$A$26,建筑产出!G$2:G$26)*G103,-2)</f>
        <v>0</v>
      </c>
      <c r="M103" s="14">
        <f>ROUND(LOOKUP($C103,建筑产出!$A$2:$A$26,建筑产出!H$2:H$26)*H103,-2)</f>
        <v>7300</v>
      </c>
      <c r="N103" s="14"/>
      <c r="O103" s="14">
        <f t="shared" si="11"/>
        <v>1</v>
      </c>
      <c r="P103" s="14">
        <f t="shared" si="12"/>
        <v>0</v>
      </c>
      <c r="Q103" s="14">
        <f t="shared" si="13"/>
        <v>4</v>
      </c>
      <c r="R103" s="14">
        <f t="shared" si="14"/>
        <v>0</v>
      </c>
      <c r="S103" s="14">
        <f t="shared" si="15"/>
        <v>6</v>
      </c>
      <c r="T103" s="14"/>
      <c r="U103" s="14" t="str">
        <f t="shared" si="16"/>
        <v>1;4;6;</v>
      </c>
      <c r="V103" s="23" t="str">
        <f t="shared" si="17"/>
        <v>3700;7300;7300;</v>
      </c>
      <c r="X103" s="13" t="str">
        <f t="shared" si="18"/>
        <v>1;4;6</v>
      </c>
      <c r="Y103" s="13" t="str">
        <f t="shared" si="19"/>
        <v>3700;7300;7300</v>
      </c>
    </row>
    <row r="104" spans="1:25" s="13" customFormat="1" ht="20.100000000000001" customHeight="1">
      <c r="A104" s="11">
        <f t="shared" si="20"/>
        <v>5</v>
      </c>
      <c r="B104" s="9" t="s">
        <v>33</v>
      </c>
      <c r="C104" s="11">
        <v>2</v>
      </c>
      <c r="D104" s="14">
        <f>LOOKUP($A104,建筑产出!$BF$16:$BF$26,建筑产出!BI$16:BI$26)</f>
        <v>0.05</v>
      </c>
      <c r="E104" s="14">
        <f>LOOKUP($A104,建筑产出!$BF$16:$BF$26,建筑产出!BJ$16:BJ$26)</f>
        <v>0</v>
      </c>
      <c r="F104" s="14">
        <f>LOOKUP($A104,建筑产出!$BF$16:$BF$26,建筑产出!BK$16:BK$26)</f>
        <v>0.2</v>
      </c>
      <c r="G104" s="14">
        <f>LOOKUP($A104,建筑产出!$BF$16:$BF$26,建筑产出!BL$16:BL$26)</f>
        <v>0</v>
      </c>
      <c r="H104" s="14">
        <f>LOOKUP($A104,建筑产出!$BF$16:$BF$26,建筑产出!BM$16:BM$26)</f>
        <v>0.2</v>
      </c>
      <c r="I104" s="14">
        <f>ROUND(LOOKUP($C104,建筑产出!$A$2:$A$26,建筑产出!D$2:D$26)*D104,-2)</f>
        <v>7100</v>
      </c>
      <c r="J104" s="14">
        <f>ROUND(LOOKUP($C104,建筑产出!$A$2:$A$26,建筑产出!E$2:E$26)*E104,-2)</f>
        <v>0</v>
      </c>
      <c r="K104" s="14">
        <f>ROUND(LOOKUP($C104,建筑产出!$A$2:$A$26,建筑产出!F$2:F$26)*F104,-2)</f>
        <v>14300</v>
      </c>
      <c r="L104" s="14">
        <f>ROUND(LOOKUP($C104,建筑产出!$A$2:$A$26,建筑产出!G$2:G$26)*G104,-2)</f>
        <v>0</v>
      </c>
      <c r="M104" s="14">
        <f>ROUND(LOOKUP($C104,建筑产出!$A$2:$A$26,建筑产出!H$2:H$26)*H104,-2)</f>
        <v>14300</v>
      </c>
      <c r="N104" s="14"/>
      <c r="O104" s="14">
        <f t="shared" si="11"/>
        <v>1</v>
      </c>
      <c r="P104" s="14">
        <f t="shared" si="12"/>
        <v>0</v>
      </c>
      <c r="Q104" s="14">
        <f t="shared" si="13"/>
        <v>4</v>
      </c>
      <c r="R104" s="14">
        <f t="shared" si="14"/>
        <v>0</v>
      </c>
      <c r="S104" s="14">
        <f t="shared" si="15"/>
        <v>6</v>
      </c>
      <c r="T104" s="14"/>
      <c r="U104" s="14" t="str">
        <f t="shared" si="16"/>
        <v>1;4;6;</v>
      </c>
      <c r="V104" s="23" t="str">
        <f t="shared" si="17"/>
        <v>7100;14300;14300;</v>
      </c>
      <c r="X104" s="13" t="str">
        <f t="shared" si="18"/>
        <v>1;4;6</v>
      </c>
      <c r="Y104" s="13" t="str">
        <f t="shared" si="19"/>
        <v>7100;14300;14300</v>
      </c>
    </row>
    <row r="105" spans="1:25" s="13" customFormat="1" ht="20.100000000000001" customHeight="1">
      <c r="A105" s="11">
        <f t="shared" si="20"/>
        <v>5</v>
      </c>
      <c r="B105" s="9" t="s">
        <v>33</v>
      </c>
      <c r="C105" s="11">
        <v>3</v>
      </c>
      <c r="D105" s="14">
        <f>LOOKUP($A105,建筑产出!$BF$16:$BF$26,建筑产出!BI$16:BI$26)</f>
        <v>0.05</v>
      </c>
      <c r="E105" s="14">
        <f>LOOKUP($A105,建筑产出!$BF$16:$BF$26,建筑产出!BJ$16:BJ$26)</f>
        <v>0</v>
      </c>
      <c r="F105" s="14">
        <f>LOOKUP($A105,建筑产出!$BF$16:$BF$26,建筑产出!BK$16:BK$26)</f>
        <v>0.2</v>
      </c>
      <c r="G105" s="14">
        <f>LOOKUP($A105,建筑产出!$BF$16:$BF$26,建筑产出!BL$16:BL$26)</f>
        <v>0</v>
      </c>
      <c r="H105" s="14">
        <f>LOOKUP($A105,建筑产出!$BF$16:$BF$26,建筑产出!BM$16:BM$26)</f>
        <v>0.2</v>
      </c>
      <c r="I105" s="14">
        <f>ROUND(LOOKUP($C105,建筑产出!$A$2:$A$26,建筑产出!D$2:D$26)*D105,-2)</f>
        <v>6200</v>
      </c>
      <c r="J105" s="14">
        <f>ROUND(LOOKUP($C105,建筑产出!$A$2:$A$26,建筑产出!E$2:E$26)*E105,-2)</f>
        <v>0</v>
      </c>
      <c r="K105" s="14">
        <f>ROUND(LOOKUP($C105,建筑产出!$A$2:$A$26,建筑产出!F$2:F$26)*F105,-2)</f>
        <v>12400</v>
      </c>
      <c r="L105" s="14">
        <f>ROUND(LOOKUP($C105,建筑产出!$A$2:$A$26,建筑产出!G$2:G$26)*G105,-2)</f>
        <v>0</v>
      </c>
      <c r="M105" s="14">
        <f>ROUND(LOOKUP($C105,建筑产出!$A$2:$A$26,建筑产出!H$2:H$26)*H105,-2)</f>
        <v>12400</v>
      </c>
      <c r="N105" s="14"/>
      <c r="O105" s="14">
        <f t="shared" si="11"/>
        <v>1</v>
      </c>
      <c r="P105" s="14">
        <f t="shared" si="12"/>
        <v>0</v>
      </c>
      <c r="Q105" s="14">
        <f t="shared" si="13"/>
        <v>4</v>
      </c>
      <c r="R105" s="14">
        <f t="shared" si="14"/>
        <v>0</v>
      </c>
      <c r="S105" s="14">
        <f t="shared" si="15"/>
        <v>6</v>
      </c>
      <c r="T105" s="14"/>
      <c r="U105" s="14" t="str">
        <f t="shared" si="16"/>
        <v>1;4;6;</v>
      </c>
      <c r="V105" s="23" t="str">
        <f t="shared" si="17"/>
        <v>6200;12400;12400;</v>
      </c>
      <c r="X105" s="13" t="str">
        <f t="shared" si="18"/>
        <v>1;4;6</v>
      </c>
      <c r="Y105" s="13" t="str">
        <f t="shared" si="19"/>
        <v>6200;12400;12400</v>
      </c>
    </row>
    <row r="106" spans="1:25" s="13" customFormat="1" ht="20.100000000000001" customHeight="1">
      <c r="A106" s="11">
        <f t="shared" si="20"/>
        <v>5</v>
      </c>
      <c r="B106" s="9" t="s">
        <v>33</v>
      </c>
      <c r="C106" s="11">
        <v>4</v>
      </c>
      <c r="D106" s="14">
        <f>LOOKUP($A106,建筑产出!$BF$16:$BF$26,建筑产出!BI$16:BI$26)</f>
        <v>0.05</v>
      </c>
      <c r="E106" s="14">
        <f>LOOKUP($A106,建筑产出!$BF$16:$BF$26,建筑产出!BJ$16:BJ$26)</f>
        <v>0</v>
      </c>
      <c r="F106" s="14">
        <f>LOOKUP($A106,建筑产出!$BF$16:$BF$26,建筑产出!BK$16:BK$26)</f>
        <v>0.2</v>
      </c>
      <c r="G106" s="14">
        <f>LOOKUP($A106,建筑产出!$BF$16:$BF$26,建筑产出!BL$16:BL$26)</f>
        <v>0</v>
      </c>
      <c r="H106" s="14">
        <f>LOOKUP($A106,建筑产出!$BF$16:$BF$26,建筑产出!BM$16:BM$26)</f>
        <v>0.2</v>
      </c>
      <c r="I106" s="14">
        <f>ROUND(LOOKUP($C106,建筑产出!$A$2:$A$26,建筑产出!D$2:D$26)*D106,-2)</f>
        <v>13800</v>
      </c>
      <c r="J106" s="14">
        <f>ROUND(LOOKUP($C106,建筑产出!$A$2:$A$26,建筑产出!E$2:E$26)*E106,-2)</f>
        <v>0</v>
      </c>
      <c r="K106" s="14">
        <f>ROUND(LOOKUP($C106,建筑产出!$A$2:$A$26,建筑产出!F$2:F$26)*F106,-2)</f>
        <v>27500</v>
      </c>
      <c r="L106" s="14">
        <f>ROUND(LOOKUP($C106,建筑产出!$A$2:$A$26,建筑产出!G$2:G$26)*G106,-2)</f>
        <v>0</v>
      </c>
      <c r="M106" s="14">
        <f>ROUND(LOOKUP($C106,建筑产出!$A$2:$A$26,建筑产出!H$2:H$26)*H106,-2)</f>
        <v>27500</v>
      </c>
      <c r="N106" s="14"/>
      <c r="O106" s="14">
        <f t="shared" si="11"/>
        <v>1</v>
      </c>
      <c r="P106" s="14">
        <f t="shared" si="12"/>
        <v>0</v>
      </c>
      <c r="Q106" s="14">
        <f t="shared" si="13"/>
        <v>4</v>
      </c>
      <c r="R106" s="14">
        <f t="shared" si="14"/>
        <v>0</v>
      </c>
      <c r="S106" s="14">
        <f t="shared" si="15"/>
        <v>6</v>
      </c>
      <c r="T106" s="14"/>
      <c r="U106" s="14" t="str">
        <f t="shared" si="16"/>
        <v>1;4;6;</v>
      </c>
      <c r="V106" s="23" t="str">
        <f t="shared" si="17"/>
        <v>13800;27500;27500;</v>
      </c>
      <c r="X106" s="13" t="str">
        <f t="shared" si="18"/>
        <v>1;4;6</v>
      </c>
      <c r="Y106" s="13" t="str">
        <f t="shared" si="19"/>
        <v>13800;27500;27500</v>
      </c>
    </row>
    <row r="107" spans="1:25" s="13" customFormat="1" ht="20.100000000000001" customHeight="1">
      <c r="A107" s="11">
        <f t="shared" si="20"/>
        <v>5</v>
      </c>
      <c r="B107" s="9" t="s">
        <v>33</v>
      </c>
      <c r="C107" s="11">
        <v>5</v>
      </c>
      <c r="D107" s="14">
        <f>LOOKUP($A107,建筑产出!$BF$16:$BF$26,建筑产出!BI$16:BI$26)</f>
        <v>0.05</v>
      </c>
      <c r="E107" s="14">
        <f>LOOKUP($A107,建筑产出!$BF$16:$BF$26,建筑产出!BJ$16:BJ$26)</f>
        <v>0</v>
      </c>
      <c r="F107" s="14">
        <f>LOOKUP($A107,建筑产出!$BF$16:$BF$26,建筑产出!BK$16:BK$26)</f>
        <v>0.2</v>
      </c>
      <c r="G107" s="14">
        <f>LOOKUP($A107,建筑产出!$BF$16:$BF$26,建筑产出!BL$16:BL$26)</f>
        <v>0</v>
      </c>
      <c r="H107" s="14">
        <f>LOOKUP($A107,建筑产出!$BF$16:$BF$26,建筑产出!BM$16:BM$26)</f>
        <v>0.2</v>
      </c>
      <c r="I107" s="14">
        <f>ROUND(LOOKUP($C107,建筑产出!$A$2:$A$26,建筑产出!D$2:D$26)*D107,-2)</f>
        <v>12700</v>
      </c>
      <c r="J107" s="14">
        <f>ROUND(LOOKUP($C107,建筑产出!$A$2:$A$26,建筑产出!E$2:E$26)*E107,-2)</f>
        <v>0</v>
      </c>
      <c r="K107" s="14">
        <f>ROUND(LOOKUP($C107,建筑产出!$A$2:$A$26,建筑产出!F$2:F$26)*F107,-2)</f>
        <v>25400</v>
      </c>
      <c r="L107" s="14">
        <f>ROUND(LOOKUP($C107,建筑产出!$A$2:$A$26,建筑产出!G$2:G$26)*G107,-2)</f>
        <v>0</v>
      </c>
      <c r="M107" s="14">
        <f>ROUND(LOOKUP($C107,建筑产出!$A$2:$A$26,建筑产出!H$2:H$26)*H107,-2)</f>
        <v>25400</v>
      </c>
      <c r="N107" s="14"/>
      <c r="O107" s="14">
        <f t="shared" si="11"/>
        <v>1</v>
      </c>
      <c r="P107" s="14">
        <f t="shared" si="12"/>
        <v>0</v>
      </c>
      <c r="Q107" s="14">
        <f t="shared" si="13"/>
        <v>4</v>
      </c>
      <c r="R107" s="14">
        <f t="shared" si="14"/>
        <v>0</v>
      </c>
      <c r="S107" s="14">
        <f t="shared" si="15"/>
        <v>6</v>
      </c>
      <c r="T107" s="14"/>
      <c r="U107" s="14" t="str">
        <f t="shared" si="16"/>
        <v>1;4;6;</v>
      </c>
      <c r="V107" s="23" t="str">
        <f t="shared" si="17"/>
        <v>12700;25400;25400;</v>
      </c>
      <c r="X107" s="13" t="str">
        <f t="shared" si="18"/>
        <v>1;4;6</v>
      </c>
      <c r="Y107" s="13" t="str">
        <f t="shared" si="19"/>
        <v>12700;25400;25400</v>
      </c>
    </row>
    <row r="108" spans="1:25" s="13" customFormat="1" ht="20.100000000000001" customHeight="1">
      <c r="A108" s="11">
        <f t="shared" si="20"/>
        <v>5</v>
      </c>
      <c r="B108" s="9" t="s">
        <v>33</v>
      </c>
      <c r="C108" s="11">
        <v>6</v>
      </c>
      <c r="D108" s="14">
        <f>LOOKUP($A108,建筑产出!$BF$16:$BF$26,建筑产出!BI$16:BI$26)</f>
        <v>0.05</v>
      </c>
      <c r="E108" s="14">
        <f>LOOKUP($A108,建筑产出!$BF$16:$BF$26,建筑产出!BJ$16:BJ$26)</f>
        <v>0</v>
      </c>
      <c r="F108" s="14">
        <f>LOOKUP($A108,建筑产出!$BF$16:$BF$26,建筑产出!BK$16:BK$26)</f>
        <v>0.2</v>
      </c>
      <c r="G108" s="14">
        <f>LOOKUP($A108,建筑产出!$BF$16:$BF$26,建筑产出!BL$16:BL$26)</f>
        <v>0</v>
      </c>
      <c r="H108" s="14">
        <f>LOOKUP($A108,建筑产出!$BF$16:$BF$26,建筑产出!BM$16:BM$26)</f>
        <v>0.2</v>
      </c>
      <c r="I108" s="14">
        <f>ROUND(LOOKUP($C108,建筑产出!$A$2:$A$26,建筑产出!D$2:D$26)*D108,-2)</f>
        <v>17400</v>
      </c>
      <c r="J108" s="14">
        <f>ROUND(LOOKUP($C108,建筑产出!$A$2:$A$26,建筑产出!E$2:E$26)*E108,-2)</f>
        <v>0</v>
      </c>
      <c r="K108" s="14">
        <f>ROUND(LOOKUP($C108,建筑产出!$A$2:$A$26,建筑产出!F$2:F$26)*F108,-2)</f>
        <v>34800</v>
      </c>
      <c r="L108" s="14">
        <f>ROUND(LOOKUP($C108,建筑产出!$A$2:$A$26,建筑产出!G$2:G$26)*G108,-2)</f>
        <v>0</v>
      </c>
      <c r="M108" s="14">
        <f>ROUND(LOOKUP($C108,建筑产出!$A$2:$A$26,建筑产出!H$2:H$26)*H108,-2)</f>
        <v>34800</v>
      </c>
      <c r="N108" s="14"/>
      <c r="O108" s="14">
        <f t="shared" si="11"/>
        <v>1</v>
      </c>
      <c r="P108" s="14">
        <f t="shared" si="12"/>
        <v>0</v>
      </c>
      <c r="Q108" s="14">
        <f t="shared" si="13"/>
        <v>4</v>
      </c>
      <c r="R108" s="14">
        <f t="shared" si="14"/>
        <v>0</v>
      </c>
      <c r="S108" s="14">
        <f t="shared" si="15"/>
        <v>6</v>
      </c>
      <c r="T108" s="14"/>
      <c r="U108" s="14" t="str">
        <f t="shared" si="16"/>
        <v>1;4;6;</v>
      </c>
      <c r="V108" s="23" t="str">
        <f t="shared" si="17"/>
        <v>17400;34800;34800;</v>
      </c>
      <c r="X108" s="13" t="str">
        <f t="shared" si="18"/>
        <v>1;4;6</v>
      </c>
      <c r="Y108" s="13" t="str">
        <f t="shared" si="19"/>
        <v>17400;34800;34800</v>
      </c>
    </row>
    <row r="109" spans="1:25" s="13" customFormat="1" ht="20.100000000000001" customHeight="1">
      <c r="A109" s="11">
        <f t="shared" si="20"/>
        <v>5</v>
      </c>
      <c r="B109" s="9" t="s">
        <v>33</v>
      </c>
      <c r="C109" s="11">
        <v>7</v>
      </c>
      <c r="D109" s="14">
        <f>LOOKUP($A109,建筑产出!$BF$16:$BF$26,建筑产出!BI$16:BI$26)</f>
        <v>0.05</v>
      </c>
      <c r="E109" s="14">
        <f>LOOKUP($A109,建筑产出!$BF$16:$BF$26,建筑产出!BJ$16:BJ$26)</f>
        <v>0</v>
      </c>
      <c r="F109" s="14">
        <f>LOOKUP($A109,建筑产出!$BF$16:$BF$26,建筑产出!BK$16:BK$26)</f>
        <v>0.2</v>
      </c>
      <c r="G109" s="14">
        <f>LOOKUP($A109,建筑产出!$BF$16:$BF$26,建筑产出!BL$16:BL$26)</f>
        <v>0</v>
      </c>
      <c r="H109" s="14">
        <f>LOOKUP($A109,建筑产出!$BF$16:$BF$26,建筑产出!BM$16:BM$26)</f>
        <v>0.2</v>
      </c>
      <c r="I109" s="14">
        <f>ROUND(LOOKUP($C109,建筑产出!$A$2:$A$26,建筑产出!D$2:D$26)*D109,-2)</f>
        <v>22700</v>
      </c>
      <c r="J109" s="14">
        <f>ROUND(LOOKUP($C109,建筑产出!$A$2:$A$26,建筑产出!E$2:E$26)*E109,-2)</f>
        <v>0</v>
      </c>
      <c r="K109" s="14">
        <f>ROUND(LOOKUP($C109,建筑产出!$A$2:$A$26,建筑产出!F$2:F$26)*F109,-2)</f>
        <v>45500</v>
      </c>
      <c r="L109" s="14">
        <f>ROUND(LOOKUP($C109,建筑产出!$A$2:$A$26,建筑产出!G$2:G$26)*G109,-2)</f>
        <v>0</v>
      </c>
      <c r="M109" s="14">
        <f>ROUND(LOOKUP($C109,建筑产出!$A$2:$A$26,建筑产出!H$2:H$26)*H109,-2)</f>
        <v>45500</v>
      </c>
      <c r="N109" s="14"/>
      <c r="O109" s="14">
        <f t="shared" si="11"/>
        <v>1</v>
      </c>
      <c r="P109" s="14">
        <f t="shared" si="12"/>
        <v>0</v>
      </c>
      <c r="Q109" s="14">
        <f t="shared" si="13"/>
        <v>4</v>
      </c>
      <c r="R109" s="14">
        <f t="shared" si="14"/>
        <v>0</v>
      </c>
      <c r="S109" s="14">
        <f t="shared" si="15"/>
        <v>6</v>
      </c>
      <c r="T109" s="14"/>
      <c r="U109" s="14" t="str">
        <f t="shared" si="16"/>
        <v>1;4;6;</v>
      </c>
      <c r="V109" s="23" t="str">
        <f t="shared" si="17"/>
        <v>22700;45500;45500;</v>
      </c>
      <c r="X109" s="13" t="str">
        <f t="shared" si="18"/>
        <v>1;4;6</v>
      </c>
      <c r="Y109" s="13" t="str">
        <f t="shared" si="19"/>
        <v>22700;45500;45500</v>
      </c>
    </row>
    <row r="110" spans="1:25" s="13" customFormat="1" ht="20.100000000000001" customHeight="1">
      <c r="A110" s="11">
        <f t="shared" si="20"/>
        <v>5</v>
      </c>
      <c r="B110" s="9" t="s">
        <v>33</v>
      </c>
      <c r="C110" s="11">
        <v>8</v>
      </c>
      <c r="D110" s="14">
        <f>LOOKUP($A110,建筑产出!$BF$16:$BF$26,建筑产出!BI$16:BI$26)</f>
        <v>0.05</v>
      </c>
      <c r="E110" s="14">
        <f>LOOKUP($A110,建筑产出!$BF$16:$BF$26,建筑产出!BJ$16:BJ$26)</f>
        <v>0</v>
      </c>
      <c r="F110" s="14">
        <f>LOOKUP($A110,建筑产出!$BF$16:$BF$26,建筑产出!BK$16:BK$26)</f>
        <v>0.2</v>
      </c>
      <c r="G110" s="14">
        <f>LOOKUP($A110,建筑产出!$BF$16:$BF$26,建筑产出!BL$16:BL$26)</f>
        <v>0</v>
      </c>
      <c r="H110" s="14">
        <f>LOOKUP($A110,建筑产出!$BF$16:$BF$26,建筑产出!BM$16:BM$26)</f>
        <v>0.2</v>
      </c>
      <c r="I110" s="14">
        <f>ROUND(LOOKUP($C110,建筑产出!$A$2:$A$26,建筑产出!D$2:D$26)*D110,-2)</f>
        <v>28800</v>
      </c>
      <c r="J110" s="14">
        <f>ROUND(LOOKUP($C110,建筑产出!$A$2:$A$26,建筑产出!E$2:E$26)*E110,-2)</f>
        <v>0</v>
      </c>
      <c r="K110" s="14">
        <f>ROUND(LOOKUP($C110,建筑产出!$A$2:$A$26,建筑产出!F$2:F$26)*F110,-2)</f>
        <v>57600</v>
      </c>
      <c r="L110" s="14">
        <f>ROUND(LOOKUP($C110,建筑产出!$A$2:$A$26,建筑产出!G$2:G$26)*G110,-2)</f>
        <v>0</v>
      </c>
      <c r="M110" s="14">
        <f>ROUND(LOOKUP($C110,建筑产出!$A$2:$A$26,建筑产出!H$2:H$26)*H110,-2)</f>
        <v>57600</v>
      </c>
      <c r="N110" s="14"/>
      <c r="O110" s="14">
        <f t="shared" si="11"/>
        <v>1</v>
      </c>
      <c r="P110" s="14">
        <f t="shared" si="12"/>
        <v>0</v>
      </c>
      <c r="Q110" s="14">
        <f t="shared" si="13"/>
        <v>4</v>
      </c>
      <c r="R110" s="14">
        <f t="shared" si="14"/>
        <v>0</v>
      </c>
      <c r="S110" s="14">
        <f t="shared" si="15"/>
        <v>6</v>
      </c>
      <c r="T110" s="14"/>
      <c r="U110" s="14" t="str">
        <f t="shared" si="16"/>
        <v>1;4;6;</v>
      </c>
      <c r="V110" s="23" t="str">
        <f t="shared" si="17"/>
        <v>28800;57600;57600;</v>
      </c>
      <c r="X110" s="13" t="str">
        <f t="shared" si="18"/>
        <v>1;4;6</v>
      </c>
      <c r="Y110" s="13" t="str">
        <f t="shared" si="19"/>
        <v>28800;57600;57600</v>
      </c>
    </row>
    <row r="111" spans="1:25" s="13" customFormat="1" ht="20.100000000000001" customHeight="1">
      <c r="A111" s="11">
        <f t="shared" si="20"/>
        <v>5</v>
      </c>
      <c r="B111" s="9" t="s">
        <v>33</v>
      </c>
      <c r="C111" s="11">
        <v>9</v>
      </c>
      <c r="D111" s="14">
        <f>LOOKUP($A111,建筑产出!$BF$16:$BF$26,建筑产出!BI$16:BI$26)</f>
        <v>0.05</v>
      </c>
      <c r="E111" s="14">
        <f>LOOKUP($A111,建筑产出!$BF$16:$BF$26,建筑产出!BJ$16:BJ$26)</f>
        <v>0</v>
      </c>
      <c r="F111" s="14">
        <f>LOOKUP($A111,建筑产出!$BF$16:$BF$26,建筑产出!BK$16:BK$26)</f>
        <v>0.2</v>
      </c>
      <c r="G111" s="14">
        <f>LOOKUP($A111,建筑产出!$BF$16:$BF$26,建筑产出!BL$16:BL$26)</f>
        <v>0</v>
      </c>
      <c r="H111" s="14">
        <f>LOOKUP($A111,建筑产出!$BF$16:$BF$26,建筑产出!BM$16:BM$26)</f>
        <v>0.2</v>
      </c>
      <c r="I111" s="14">
        <f>ROUND(LOOKUP($C111,建筑产出!$A$2:$A$26,建筑产出!D$2:D$26)*D111,-2)</f>
        <v>35500</v>
      </c>
      <c r="J111" s="14">
        <f>ROUND(LOOKUP($C111,建筑产出!$A$2:$A$26,建筑产出!E$2:E$26)*E111,-2)</f>
        <v>0</v>
      </c>
      <c r="K111" s="14">
        <f>ROUND(LOOKUP($C111,建筑产出!$A$2:$A$26,建筑产出!F$2:F$26)*F111,-2)</f>
        <v>71100</v>
      </c>
      <c r="L111" s="14">
        <f>ROUND(LOOKUP($C111,建筑产出!$A$2:$A$26,建筑产出!G$2:G$26)*G111,-2)</f>
        <v>0</v>
      </c>
      <c r="M111" s="14">
        <f>ROUND(LOOKUP($C111,建筑产出!$A$2:$A$26,建筑产出!H$2:H$26)*H111,-2)</f>
        <v>71100</v>
      </c>
      <c r="N111" s="14"/>
      <c r="O111" s="14">
        <f t="shared" si="11"/>
        <v>1</v>
      </c>
      <c r="P111" s="14">
        <f t="shared" si="12"/>
        <v>0</v>
      </c>
      <c r="Q111" s="14">
        <f t="shared" si="13"/>
        <v>4</v>
      </c>
      <c r="R111" s="14">
        <f t="shared" si="14"/>
        <v>0</v>
      </c>
      <c r="S111" s="14">
        <f t="shared" si="15"/>
        <v>6</v>
      </c>
      <c r="T111" s="14"/>
      <c r="U111" s="14" t="str">
        <f t="shared" si="16"/>
        <v>1;4;6;</v>
      </c>
      <c r="V111" s="23" t="str">
        <f t="shared" si="17"/>
        <v>35500;71100;71100;</v>
      </c>
      <c r="X111" s="13" t="str">
        <f t="shared" si="18"/>
        <v>1;4;6</v>
      </c>
      <c r="Y111" s="13" t="str">
        <f t="shared" si="19"/>
        <v>35500;71100;71100</v>
      </c>
    </row>
    <row r="112" spans="1:25" s="13" customFormat="1" ht="20.100000000000001" customHeight="1">
      <c r="A112" s="11">
        <f t="shared" si="20"/>
        <v>5</v>
      </c>
      <c r="B112" s="9" t="s">
        <v>33</v>
      </c>
      <c r="C112" s="11">
        <v>10</v>
      </c>
      <c r="D112" s="14">
        <f>LOOKUP($A112,建筑产出!$BF$16:$BF$26,建筑产出!BI$16:BI$26)</f>
        <v>0.05</v>
      </c>
      <c r="E112" s="14">
        <f>LOOKUP($A112,建筑产出!$BF$16:$BF$26,建筑产出!BJ$16:BJ$26)</f>
        <v>0</v>
      </c>
      <c r="F112" s="14">
        <f>LOOKUP($A112,建筑产出!$BF$16:$BF$26,建筑产出!BK$16:BK$26)</f>
        <v>0.2</v>
      </c>
      <c r="G112" s="14">
        <f>LOOKUP($A112,建筑产出!$BF$16:$BF$26,建筑产出!BL$16:BL$26)</f>
        <v>0</v>
      </c>
      <c r="H112" s="14">
        <f>LOOKUP($A112,建筑产出!$BF$16:$BF$26,建筑产出!BM$16:BM$26)</f>
        <v>0.2</v>
      </c>
      <c r="I112" s="14">
        <f>ROUND(LOOKUP($C112,建筑产出!$A$2:$A$26,建筑产出!D$2:D$26)*D112,-2)</f>
        <v>44400</v>
      </c>
      <c r="J112" s="14">
        <f>ROUND(LOOKUP($C112,建筑产出!$A$2:$A$26,建筑产出!E$2:E$26)*E112,-2)</f>
        <v>0</v>
      </c>
      <c r="K112" s="14">
        <f>ROUND(LOOKUP($C112,建筑产出!$A$2:$A$26,建筑产出!F$2:F$26)*F112,-2)</f>
        <v>88900</v>
      </c>
      <c r="L112" s="14">
        <f>ROUND(LOOKUP($C112,建筑产出!$A$2:$A$26,建筑产出!G$2:G$26)*G112,-2)</f>
        <v>0</v>
      </c>
      <c r="M112" s="14">
        <f>ROUND(LOOKUP($C112,建筑产出!$A$2:$A$26,建筑产出!H$2:H$26)*H112,-2)</f>
        <v>88900</v>
      </c>
      <c r="N112" s="14"/>
      <c r="O112" s="14">
        <f t="shared" si="11"/>
        <v>1</v>
      </c>
      <c r="P112" s="14">
        <f t="shared" si="12"/>
        <v>0</v>
      </c>
      <c r="Q112" s="14">
        <f t="shared" si="13"/>
        <v>4</v>
      </c>
      <c r="R112" s="14">
        <f t="shared" si="14"/>
        <v>0</v>
      </c>
      <c r="S112" s="14">
        <f t="shared" si="15"/>
        <v>6</v>
      </c>
      <c r="T112" s="14"/>
      <c r="U112" s="14" t="str">
        <f t="shared" si="16"/>
        <v>1;4;6;</v>
      </c>
      <c r="V112" s="23" t="str">
        <f t="shared" si="17"/>
        <v>44400;88900;88900;</v>
      </c>
      <c r="X112" s="13" t="str">
        <f t="shared" si="18"/>
        <v>1;4;6</v>
      </c>
      <c r="Y112" s="13" t="str">
        <f t="shared" si="19"/>
        <v>44400;88900;88900</v>
      </c>
    </row>
    <row r="113" spans="1:25" s="13" customFormat="1" ht="20.100000000000001" customHeight="1">
      <c r="A113" s="11">
        <f t="shared" si="20"/>
        <v>5</v>
      </c>
      <c r="B113" s="9" t="s">
        <v>33</v>
      </c>
      <c r="C113" s="11">
        <v>11</v>
      </c>
      <c r="D113" s="14">
        <f>LOOKUP($A113,建筑产出!$BF$16:$BF$26,建筑产出!BI$16:BI$26)</f>
        <v>0.05</v>
      </c>
      <c r="E113" s="14">
        <f>LOOKUP($A113,建筑产出!$BF$16:$BF$26,建筑产出!BJ$16:BJ$26)</f>
        <v>0</v>
      </c>
      <c r="F113" s="14">
        <f>LOOKUP($A113,建筑产出!$BF$16:$BF$26,建筑产出!BK$16:BK$26)</f>
        <v>0.2</v>
      </c>
      <c r="G113" s="14">
        <f>LOOKUP($A113,建筑产出!$BF$16:$BF$26,建筑产出!BL$16:BL$26)</f>
        <v>0</v>
      </c>
      <c r="H113" s="14">
        <f>LOOKUP($A113,建筑产出!$BF$16:$BF$26,建筑产出!BM$16:BM$26)</f>
        <v>0.2</v>
      </c>
      <c r="I113" s="14">
        <f>ROUND(LOOKUP($C113,建筑产出!$A$2:$A$26,建筑产出!D$2:D$26)*D113,-2)</f>
        <v>54300</v>
      </c>
      <c r="J113" s="14">
        <f>ROUND(LOOKUP($C113,建筑产出!$A$2:$A$26,建筑产出!E$2:E$26)*E113,-2)</f>
        <v>0</v>
      </c>
      <c r="K113" s="14">
        <f>ROUND(LOOKUP($C113,建筑产出!$A$2:$A$26,建筑产出!F$2:F$26)*F113,-2)</f>
        <v>108500</v>
      </c>
      <c r="L113" s="14">
        <f>ROUND(LOOKUP($C113,建筑产出!$A$2:$A$26,建筑产出!G$2:G$26)*G113,-2)</f>
        <v>0</v>
      </c>
      <c r="M113" s="14">
        <f>ROUND(LOOKUP($C113,建筑产出!$A$2:$A$26,建筑产出!H$2:H$26)*H113,-2)</f>
        <v>108500</v>
      </c>
      <c r="N113" s="14"/>
      <c r="O113" s="14">
        <f t="shared" si="11"/>
        <v>1</v>
      </c>
      <c r="P113" s="14">
        <f t="shared" si="12"/>
        <v>0</v>
      </c>
      <c r="Q113" s="14">
        <f t="shared" si="13"/>
        <v>4</v>
      </c>
      <c r="R113" s="14">
        <f t="shared" si="14"/>
        <v>0</v>
      </c>
      <c r="S113" s="14">
        <f t="shared" si="15"/>
        <v>6</v>
      </c>
      <c r="T113" s="14"/>
      <c r="U113" s="14" t="str">
        <f t="shared" si="16"/>
        <v>1;4;6;</v>
      </c>
      <c r="V113" s="23" t="str">
        <f t="shared" si="17"/>
        <v>54300;108500;108500;</v>
      </c>
      <c r="X113" s="13" t="str">
        <f t="shared" si="18"/>
        <v>1;4;6</v>
      </c>
      <c r="Y113" s="13" t="str">
        <f t="shared" si="19"/>
        <v>54300;108500;108500</v>
      </c>
    </row>
    <row r="114" spans="1:25" s="13" customFormat="1" ht="20.100000000000001" customHeight="1">
      <c r="A114" s="11">
        <f t="shared" si="20"/>
        <v>5</v>
      </c>
      <c r="B114" s="9" t="s">
        <v>33</v>
      </c>
      <c r="C114" s="11">
        <v>12</v>
      </c>
      <c r="D114" s="14">
        <f>LOOKUP($A114,建筑产出!$BF$16:$BF$26,建筑产出!BI$16:BI$26)</f>
        <v>0.05</v>
      </c>
      <c r="E114" s="14">
        <f>LOOKUP($A114,建筑产出!$BF$16:$BF$26,建筑产出!BJ$16:BJ$26)</f>
        <v>0</v>
      </c>
      <c r="F114" s="14">
        <f>LOOKUP($A114,建筑产出!$BF$16:$BF$26,建筑产出!BK$16:BK$26)</f>
        <v>0.2</v>
      </c>
      <c r="G114" s="14">
        <f>LOOKUP($A114,建筑产出!$BF$16:$BF$26,建筑产出!BL$16:BL$26)</f>
        <v>0</v>
      </c>
      <c r="H114" s="14">
        <f>LOOKUP($A114,建筑产出!$BF$16:$BF$26,建筑产出!BM$16:BM$26)</f>
        <v>0.2</v>
      </c>
      <c r="I114" s="14">
        <f>ROUND(LOOKUP($C114,建筑产出!$A$2:$A$26,建筑产出!D$2:D$26)*D114,-2)</f>
        <v>65000</v>
      </c>
      <c r="J114" s="14">
        <f>ROUND(LOOKUP($C114,建筑产出!$A$2:$A$26,建筑产出!E$2:E$26)*E114,-2)</f>
        <v>0</v>
      </c>
      <c r="K114" s="14">
        <f>ROUND(LOOKUP($C114,建筑产出!$A$2:$A$26,建筑产出!F$2:F$26)*F114,-2)</f>
        <v>130000</v>
      </c>
      <c r="L114" s="14">
        <f>ROUND(LOOKUP($C114,建筑产出!$A$2:$A$26,建筑产出!G$2:G$26)*G114,-2)</f>
        <v>0</v>
      </c>
      <c r="M114" s="14">
        <f>ROUND(LOOKUP($C114,建筑产出!$A$2:$A$26,建筑产出!H$2:H$26)*H114,-2)</f>
        <v>130000</v>
      </c>
      <c r="N114" s="14"/>
      <c r="O114" s="14">
        <f t="shared" si="11"/>
        <v>1</v>
      </c>
      <c r="P114" s="14">
        <f t="shared" si="12"/>
        <v>0</v>
      </c>
      <c r="Q114" s="14">
        <f t="shared" si="13"/>
        <v>4</v>
      </c>
      <c r="R114" s="14">
        <f t="shared" si="14"/>
        <v>0</v>
      </c>
      <c r="S114" s="14">
        <f t="shared" si="15"/>
        <v>6</v>
      </c>
      <c r="T114" s="14"/>
      <c r="U114" s="14" t="str">
        <f t="shared" si="16"/>
        <v>1;4;6;</v>
      </c>
      <c r="V114" s="23" t="str">
        <f t="shared" si="17"/>
        <v>65000;130000;130000;</v>
      </c>
      <c r="X114" s="13" t="str">
        <f t="shared" si="18"/>
        <v>1;4;6</v>
      </c>
      <c r="Y114" s="13" t="str">
        <f t="shared" si="19"/>
        <v>65000;130000;130000</v>
      </c>
    </row>
    <row r="115" spans="1:25" s="13" customFormat="1" ht="20.100000000000001" customHeight="1">
      <c r="A115" s="11">
        <f t="shared" si="20"/>
        <v>5</v>
      </c>
      <c r="B115" s="9" t="s">
        <v>33</v>
      </c>
      <c r="C115" s="11">
        <v>13</v>
      </c>
      <c r="D115" s="14">
        <f>LOOKUP($A115,建筑产出!$BF$16:$BF$26,建筑产出!BI$16:BI$26)</f>
        <v>0.05</v>
      </c>
      <c r="E115" s="14">
        <f>LOOKUP($A115,建筑产出!$BF$16:$BF$26,建筑产出!BJ$16:BJ$26)</f>
        <v>0</v>
      </c>
      <c r="F115" s="14">
        <f>LOOKUP($A115,建筑产出!$BF$16:$BF$26,建筑产出!BK$16:BK$26)</f>
        <v>0.2</v>
      </c>
      <c r="G115" s="14">
        <f>LOOKUP($A115,建筑产出!$BF$16:$BF$26,建筑产出!BL$16:BL$26)</f>
        <v>0</v>
      </c>
      <c r="H115" s="14">
        <f>LOOKUP($A115,建筑产出!$BF$16:$BF$26,建筑产出!BM$16:BM$26)</f>
        <v>0.2</v>
      </c>
      <c r="I115" s="14">
        <f>ROUND(LOOKUP($C115,建筑产出!$A$2:$A$26,建筑产出!D$2:D$26)*D115,-2)</f>
        <v>76700</v>
      </c>
      <c r="J115" s="14">
        <f>ROUND(LOOKUP($C115,建筑产出!$A$2:$A$26,建筑产出!E$2:E$26)*E115,-2)</f>
        <v>0</v>
      </c>
      <c r="K115" s="14">
        <f>ROUND(LOOKUP($C115,建筑产出!$A$2:$A$26,建筑产出!F$2:F$26)*F115,-2)</f>
        <v>153300</v>
      </c>
      <c r="L115" s="14">
        <f>ROUND(LOOKUP($C115,建筑产出!$A$2:$A$26,建筑产出!G$2:G$26)*G115,-2)</f>
        <v>0</v>
      </c>
      <c r="M115" s="14">
        <f>ROUND(LOOKUP($C115,建筑产出!$A$2:$A$26,建筑产出!H$2:H$26)*H115,-2)</f>
        <v>153300</v>
      </c>
      <c r="N115" s="14"/>
      <c r="O115" s="14">
        <f t="shared" si="11"/>
        <v>1</v>
      </c>
      <c r="P115" s="14">
        <f t="shared" si="12"/>
        <v>0</v>
      </c>
      <c r="Q115" s="14">
        <f t="shared" si="13"/>
        <v>4</v>
      </c>
      <c r="R115" s="14">
        <f t="shared" si="14"/>
        <v>0</v>
      </c>
      <c r="S115" s="14">
        <f t="shared" si="15"/>
        <v>6</v>
      </c>
      <c r="T115" s="14"/>
      <c r="U115" s="14" t="str">
        <f t="shared" si="16"/>
        <v>1;4;6;</v>
      </c>
      <c r="V115" s="23" t="str">
        <f t="shared" si="17"/>
        <v>76700;153300;153300;</v>
      </c>
      <c r="X115" s="13" t="str">
        <f t="shared" si="18"/>
        <v>1;4;6</v>
      </c>
      <c r="Y115" s="13" t="str">
        <f t="shared" si="19"/>
        <v>76700;153300;153300</v>
      </c>
    </row>
    <row r="116" spans="1:25" s="13" customFormat="1" ht="20.100000000000001" customHeight="1">
      <c r="A116" s="11">
        <f t="shared" si="20"/>
        <v>5</v>
      </c>
      <c r="B116" s="9" t="s">
        <v>33</v>
      </c>
      <c r="C116" s="11">
        <v>14</v>
      </c>
      <c r="D116" s="14">
        <f>LOOKUP($A116,建筑产出!$BF$16:$BF$26,建筑产出!BI$16:BI$26)</f>
        <v>0.05</v>
      </c>
      <c r="E116" s="14">
        <f>LOOKUP($A116,建筑产出!$BF$16:$BF$26,建筑产出!BJ$16:BJ$26)</f>
        <v>0</v>
      </c>
      <c r="F116" s="14">
        <f>LOOKUP($A116,建筑产出!$BF$16:$BF$26,建筑产出!BK$16:BK$26)</f>
        <v>0.2</v>
      </c>
      <c r="G116" s="14">
        <f>LOOKUP($A116,建筑产出!$BF$16:$BF$26,建筑产出!BL$16:BL$26)</f>
        <v>0</v>
      </c>
      <c r="H116" s="14">
        <f>LOOKUP($A116,建筑产出!$BF$16:$BF$26,建筑产出!BM$16:BM$26)</f>
        <v>0.2</v>
      </c>
      <c r="I116" s="14">
        <f>ROUND(LOOKUP($C116,建筑产出!$A$2:$A$26,建筑产出!D$2:D$26)*D116,-2)</f>
        <v>89200</v>
      </c>
      <c r="J116" s="14">
        <f>ROUND(LOOKUP($C116,建筑产出!$A$2:$A$26,建筑产出!E$2:E$26)*E116,-2)</f>
        <v>0</v>
      </c>
      <c r="K116" s="14">
        <f>ROUND(LOOKUP($C116,建筑产出!$A$2:$A$26,建筑产出!F$2:F$26)*F116,-2)</f>
        <v>178500</v>
      </c>
      <c r="L116" s="14">
        <f>ROUND(LOOKUP($C116,建筑产出!$A$2:$A$26,建筑产出!G$2:G$26)*G116,-2)</f>
        <v>0</v>
      </c>
      <c r="M116" s="14">
        <f>ROUND(LOOKUP($C116,建筑产出!$A$2:$A$26,建筑产出!H$2:H$26)*H116,-2)</f>
        <v>178500</v>
      </c>
      <c r="N116" s="14"/>
      <c r="O116" s="14">
        <f t="shared" si="11"/>
        <v>1</v>
      </c>
      <c r="P116" s="14">
        <f t="shared" si="12"/>
        <v>0</v>
      </c>
      <c r="Q116" s="14">
        <f t="shared" si="13"/>
        <v>4</v>
      </c>
      <c r="R116" s="14">
        <f t="shared" si="14"/>
        <v>0</v>
      </c>
      <c r="S116" s="14">
        <f t="shared" si="15"/>
        <v>6</v>
      </c>
      <c r="T116" s="14"/>
      <c r="U116" s="14" t="str">
        <f t="shared" si="16"/>
        <v>1;4;6;</v>
      </c>
      <c r="V116" s="23" t="str">
        <f t="shared" si="17"/>
        <v>89200;178500;178500;</v>
      </c>
      <c r="X116" s="13" t="str">
        <f t="shared" si="18"/>
        <v>1;4;6</v>
      </c>
      <c r="Y116" s="13" t="str">
        <f t="shared" si="19"/>
        <v>89200;178500;178500</v>
      </c>
    </row>
    <row r="117" spans="1:25" s="13" customFormat="1" ht="20.100000000000001" customHeight="1">
      <c r="A117" s="11">
        <f t="shared" si="20"/>
        <v>5</v>
      </c>
      <c r="B117" s="9" t="s">
        <v>33</v>
      </c>
      <c r="C117" s="11">
        <v>15</v>
      </c>
      <c r="D117" s="14">
        <f>LOOKUP($A117,建筑产出!$BF$16:$BF$26,建筑产出!BI$16:BI$26)</f>
        <v>0.05</v>
      </c>
      <c r="E117" s="14">
        <f>LOOKUP($A117,建筑产出!$BF$16:$BF$26,建筑产出!BJ$16:BJ$26)</f>
        <v>0</v>
      </c>
      <c r="F117" s="14">
        <f>LOOKUP($A117,建筑产出!$BF$16:$BF$26,建筑产出!BK$16:BK$26)</f>
        <v>0.2</v>
      </c>
      <c r="G117" s="14">
        <f>LOOKUP($A117,建筑产出!$BF$16:$BF$26,建筑产出!BL$16:BL$26)</f>
        <v>0</v>
      </c>
      <c r="H117" s="14">
        <f>LOOKUP($A117,建筑产出!$BF$16:$BF$26,建筑产出!BM$16:BM$26)</f>
        <v>0.2</v>
      </c>
      <c r="I117" s="14">
        <f>ROUND(LOOKUP($C117,建筑产出!$A$2:$A$26,建筑产出!D$2:D$26)*D117,-2)</f>
        <v>104800</v>
      </c>
      <c r="J117" s="14">
        <f>ROUND(LOOKUP($C117,建筑产出!$A$2:$A$26,建筑产出!E$2:E$26)*E117,-2)</f>
        <v>0</v>
      </c>
      <c r="K117" s="14">
        <f>ROUND(LOOKUP($C117,建筑产出!$A$2:$A$26,建筑产出!F$2:F$26)*F117,-2)</f>
        <v>209600</v>
      </c>
      <c r="L117" s="14">
        <f>ROUND(LOOKUP($C117,建筑产出!$A$2:$A$26,建筑产出!G$2:G$26)*G117,-2)</f>
        <v>0</v>
      </c>
      <c r="M117" s="14">
        <f>ROUND(LOOKUP($C117,建筑产出!$A$2:$A$26,建筑产出!H$2:H$26)*H117,-2)</f>
        <v>209600</v>
      </c>
      <c r="N117" s="14"/>
      <c r="O117" s="14">
        <f t="shared" si="11"/>
        <v>1</v>
      </c>
      <c r="P117" s="14">
        <f t="shared" si="12"/>
        <v>0</v>
      </c>
      <c r="Q117" s="14">
        <f t="shared" si="13"/>
        <v>4</v>
      </c>
      <c r="R117" s="14">
        <f t="shared" si="14"/>
        <v>0</v>
      </c>
      <c r="S117" s="14">
        <f t="shared" si="15"/>
        <v>6</v>
      </c>
      <c r="T117" s="14"/>
      <c r="U117" s="14" t="str">
        <f t="shared" si="16"/>
        <v>1;4;6;</v>
      </c>
      <c r="V117" s="23" t="str">
        <f t="shared" si="17"/>
        <v>104800;209600;209600;</v>
      </c>
      <c r="X117" s="13" t="str">
        <f t="shared" si="18"/>
        <v>1;4;6</v>
      </c>
      <c r="Y117" s="13" t="str">
        <f t="shared" si="19"/>
        <v>104800;209600;209600</v>
      </c>
    </row>
    <row r="118" spans="1:25" s="13" customFormat="1" ht="20.100000000000001" customHeight="1">
      <c r="A118" s="11">
        <f t="shared" si="20"/>
        <v>5</v>
      </c>
      <c r="B118" s="9" t="s">
        <v>33</v>
      </c>
      <c r="C118" s="11">
        <v>16</v>
      </c>
      <c r="D118" s="14">
        <f>LOOKUP($A118,建筑产出!$BF$16:$BF$26,建筑产出!BI$16:BI$26)</f>
        <v>0.05</v>
      </c>
      <c r="E118" s="14">
        <f>LOOKUP($A118,建筑产出!$BF$16:$BF$26,建筑产出!BJ$16:BJ$26)</f>
        <v>0</v>
      </c>
      <c r="F118" s="14">
        <f>LOOKUP($A118,建筑产出!$BF$16:$BF$26,建筑产出!BK$16:BK$26)</f>
        <v>0.2</v>
      </c>
      <c r="G118" s="14">
        <f>LOOKUP($A118,建筑产出!$BF$16:$BF$26,建筑产出!BL$16:BL$26)</f>
        <v>0</v>
      </c>
      <c r="H118" s="14">
        <f>LOOKUP($A118,建筑产出!$BF$16:$BF$26,建筑产出!BM$16:BM$26)</f>
        <v>0.2</v>
      </c>
      <c r="I118" s="14">
        <f>ROUND(LOOKUP($C118,建筑产出!$A$2:$A$26,建筑产出!D$2:D$26)*D118,-2)</f>
        <v>121500</v>
      </c>
      <c r="J118" s="14">
        <f>ROUND(LOOKUP($C118,建筑产出!$A$2:$A$26,建筑产出!E$2:E$26)*E118,-2)</f>
        <v>0</v>
      </c>
      <c r="K118" s="14">
        <f>ROUND(LOOKUP($C118,建筑产出!$A$2:$A$26,建筑产出!F$2:F$26)*F118,-2)</f>
        <v>243000</v>
      </c>
      <c r="L118" s="14">
        <f>ROUND(LOOKUP($C118,建筑产出!$A$2:$A$26,建筑产出!G$2:G$26)*G118,-2)</f>
        <v>0</v>
      </c>
      <c r="M118" s="14">
        <f>ROUND(LOOKUP($C118,建筑产出!$A$2:$A$26,建筑产出!H$2:H$26)*H118,-2)</f>
        <v>243000</v>
      </c>
      <c r="N118" s="14"/>
      <c r="O118" s="14">
        <f t="shared" si="11"/>
        <v>1</v>
      </c>
      <c r="P118" s="14">
        <f t="shared" si="12"/>
        <v>0</v>
      </c>
      <c r="Q118" s="14">
        <f t="shared" si="13"/>
        <v>4</v>
      </c>
      <c r="R118" s="14">
        <f t="shared" si="14"/>
        <v>0</v>
      </c>
      <c r="S118" s="14">
        <f t="shared" si="15"/>
        <v>6</v>
      </c>
      <c r="T118" s="14"/>
      <c r="U118" s="14" t="str">
        <f t="shared" si="16"/>
        <v>1;4;6;</v>
      </c>
      <c r="V118" s="23" t="str">
        <f t="shared" si="17"/>
        <v>121500;243000;243000;</v>
      </c>
      <c r="X118" s="13" t="str">
        <f t="shared" si="18"/>
        <v>1;4;6</v>
      </c>
      <c r="Y118" s="13" t="str">
        <f t="shared" si="19"/>
        <v>121500;243000;243000</v>
      </c>
    </row>
    <row r="119" spans="1:25" s="13" customFormat="1" ht="20.100000000000001" customHeight="1">
      <c r="A119" s="11">
        <f t="shared" si="20"/>
        <v>5</v>
      </c>
      <c r="B119" s="9" t="s">
        <v>33</v>
      </c>
      <c r="C119" s="11">
        <v>17</v>
      </c>
      <c r="D119" s="14">
        <f>LOOKUP($A119,建筑产出!$BF$16:$BF$26,建筑产出!BI$16:BI$26)</f>
        <v>0.05</v>
      </c>
      <c r="E119" s="14">
        <f>LOOKUP($A119,建筑产出!$BF$16:$BF$26,建筑产出!BJ$16:BJ$26)</f>
        <v>0</v>
      </c>
      <c r="F119" s="14">
        <f>LOOKUP($A119,建筑产出!$BF$16:$BF$26,建筑产出!BK$16:BK$26)</f>
        <v>0.2</v>
      </c>
      <c r="G119" s="14">
        <f>LOOKUP($A119,建筑产出!$BF$16:$BF$26,建筑产出!BL$16:BL$26)</f>
        <v>0</v>
      </c>
      <c r="H119" s="14">
        <f>LOOKUP($A119,建筑产出!$BF$16:$BF$26,建筑产出!BM$16:BM$26)</f>
        <v>0.2</v>
      </c>
      <c r="I119" s="14">
        <f>ROUND(LOOKUP($C119,建筑产出!$A$2:$A$26,建筑产出!D$2:D$26)*D119,-2)</f>
        <v>139400</v>
      </c>
      <c r="J119" s="14">
        <f>ROUND(LOOKUP($C119,建筑产出!$A$2:$A$26,建筑产出!E$2:E$26)*E119,-2)</f>
        <v>0</v>
      </c>
      <c r="K119" s="14">
        <f>ROUND(LOOKUP($C119,建筑产出!$A$2:$A$26,建筑产出!F$2:F$26)*F119,-2)</f>
        <v>278700</v>
      </c>
      <c r="L119" s="14">
        <f>ROUND(LOOKUP($C119,建筑产出!$A$2:$A$26,建筑产出!G$2:G$26)*G119,-2)</f>
        <v>0</v>
      </c>
      <c r="M119" s="14">
        <f>ROUND(LOOKUP($C119,建筑产出!$A$2:$A$26,建筑产出!H$2:H$26)*H119,-2)</f>
        <v>278700</v>
      </c>
      <c r="N119" s="14"/>
      <c r="O119" s="14">
        <f t="shared" si="11"/>
        <v>1</v>
      </c>
      <c r="P119" s="14">
        <f t="shared" si="12"/>
        <v>0</v>
      </c>
      <c r="Q119" s="14">
        <f t="shared" si="13"/>
        <v>4</v>
      </c>
      <c r="R119" s="14">
        <f t="shared" si="14"/>
        <v>0</v>
      </c>
      <c r="S119" s="14">
        <f t="shared" si="15"/>
        <v>6</v>
      </c>
      <c r="T119" s="14"/>
      <c r="U119" s="14" t="str">
        <f t="shared" si="16"/>
        <v>1;4;6;</v>
      </c>
      <c r="V119" s="23" t="str">
        <f t="shared" si="17"/>
        <v>139400;278700;278700;</v>
      </c>
      <c r="X119" s="13" t="str">
        <f t="shared" si="18"/>
        <v>1;4;6</v>
      </c>
      <c r="Y119" s="13" t="str">
        <f t="shared" si="19"/>
        <v>139400;278700;278700</v>
      </c>
    </row>
    <row r="120" spans="1:25" s="13" customFormat="1" ht="20.100000000000001" customHeight="1">
      <c r="A120" s="11">
        <f t="shared" si="20"/>
        <v>5</v>
      </c>
      <c r="B120" s="9" t="s">
        <v>33</v>
      </c>
      <c r="C120" s="11">
        <v>18</v>
      </c>
      <c r="D120" s="14">
        <f>LOOKUP($A120,建筑产出!$BF$16:$BF$26,建筑产出!BI$16:BI$26)</f>
        <v>0.05</v>
      </c>
      <c r="E120" s="14">
        <f>LOOKUP($A120,建筑产出!$BF$16:$BF$26,建筑产出!BJ$16:BJ$26)</f>
        <v>0</v>
      </c>
      <c r="F120" s="14">
        <f>LOOKUP($A120,建筑产出!$BF$16:$BF$26,建筑产出!BK$16:BK$26)</f>
        <v>0.2</v>
      </c>
      <c r="G120" s="14">
        <f>LOOKUP($A120,建筑产出!$BF$16:$BF$26,建筑产出!BL$16:BL$26)</f>
        <v>0</v>
      </c>
      <c r="H120" s="14">
        <f>LOOKUP($A120,建筑产出!$BF$16:$BF$26,建筑产出!BM$16:BM$26)</f>
        <v>0.2</v>
      </c>
      <c r="I120" s="14">
        <f>ROUND(LOOKUP($C120,建筑产出!$A$2:$A$26,建筑产出!D$2:D$26)*D120,-2)</f>
        <v>158400</v>
      </c>
      <c r="J120" s="14">
        <f>ROUND(LOOKUP($C120,建筑产出!$A$2:$A$26,建筑产出!E$2:E$26)*E120,-2)</f>
        <v>0</v>
      </c>
      <c r="K120" s="14">
        <f>ROUND(LOOKUP($C120,建筑产出!$A$2:$A$26,建筑产出!F$2:F$26)*F120,-2)</f>
        <v>316700</v>
      </c>
      <c r="L120" s="14">
        <f>ROUND(LOOKUP($C120,建筑产出!$A$2:$A$26,建筑产出!G$2:G$26)*G120,-2)</f>
        <v>0</v>
      </c>
      <c r="M120" s="14">
        <f>ROUND(LOOKUP($C120,建筑产出!$A$2:$A$26,建筑产出!H$2:H$26)*H120,-2)</f>
        <v>316700</v>
      </c>
      <c r="N120" s="14"/>
      <c r="O120" s="14">
        <f t="shared" si="11"/>
        <v>1</v>
      </c>
      <c r="P120" s="14">
        <f t="shared" si="12"/>
        <v>0</v>
      </c>
      <c r="Q120" s="14">
        <f t="shared" si="13"/>
        <v>4</v>
      </c>
      <c r="R120" s="14">
        <f t="shared" si="14"/>
        <v>0</v>
      </c>
      <c r="S120" s="14">
        <f t="shared" si="15"/>
        <v>6</v>
      </c>
      <c r="T120" s="14"/>
      <c r="U120" s="14" t="str">
        <f t="shared" si="16"/>
        <v>1;4;6;</v>
      </c>
      <c r="V120" s="23" t="str">
        <f t="shared" si="17"/>
        <v>158400;316700;316700;</v>
      </c>
      <c r="X120" s="13" t="str">
        <f t="shared" si="18"/>
        <v>1;4;6</v>
      </c>
      <c r="Y120" s="13" t="str">
        <f t="shared" si="19"/>
        <v>158400;316700;316700</v>
      </c>
    </row>
    <row r="121" spans="1:25" s="13" customFormat="1" ht="20.100000000000001" customHeight="1">
      <c r="A121" s="11">
        <f t="shared" si="20"/>
        <v>5</v>
      </c>
      <c r="B121" s="9" t="s">
        <v>33</v>
      </c>
      <c r="C121" s="11">
        <v>19</v>
      </c>
      <c r="D121" s="14">
        <f>LOOKUP($A121,建筑产出!$BF$16:$BF$26,建筑产出!BI$16:BI$26)</f>
        <v>0.05</v>
      </c>
      <c r="E121" s="14">
        <f>LOOKUP($A121,建筑产出!$BF$16:$BF$26,建筑产出!BJ$16:BJ$26)</f>
        <v>0</v>
      </c>
      <c r="F121" s="14">
        <f>LOOKUP($A121,建筑产出!$BF$16:$BF$26,建筑产出!BK$16:BK$26)</f>
        <v>0.2</v>
      </c>
      <c r="G121" s="14">
        <f>LOOKUP($A121,建筑产出!$BF$16:$BF$26,建筑产出!BL$16:BL$26)</f>
        <v>0</v>
      </c>
      <c r="H121" s="14">
        <f>LOOKUP($A121,建筑产出!$BF$16:$BF$26,建筑产出!BM$16:BM$26)</f>
        <v>0.2</v>
      </c>
      <c r="I121" s="14">
        <f>ROUND(LOOKUP($C121,建筑产出!$A$2:$A$26,建筑产出!D$2:D$26)*D121,-2)</f>
        <v>178500</v>
      </c>
      <c r="J121" s="14">
        <f>ROUND(LOOKUP($C121,建筑产出!$A$2:$A$26,建筑产出!E$2:E$26)*E121,-2)</f>
        <v>0</v>
      </c>
      <c r="K121" s="14">
        <f>ROUND(LOOKUP($C121,建筑产出!$A$2:$A$26,建筑产出!F$2:F$26)*F121,-2)</f>
        <v>357000</v>
      </c>
      <c r="L121" s="14">
        <f>ROUND(LOOKUP($C121,建筑产出!$A$2:$A$26,建筑产出!G$2:G$26)*G121,-2)</f>
        <v>0</v>
      </c>
      <c r="M121" s="14">
        <f>ROUND(LOOKUP($C121,建筑产出!$A$2:$A$26,建筑产出!H$2:H$26)*H121,-2)</f>
        <v>357000</v>
      </c>
      <c r="N121" s="14"/>
      <c r="O121" s="14">
        <f t="shared" si="11"/>
        <v>1</v>
      </c>
      <c r="P121" s="14">
        <f t="shared" si="12"/>
        <v>0</v>
      </c>
      <c r="Q121" s="14">
        <f t="shared" si="13"/>
        <v>4</v>
      </c>
      <c r="R121" s="14">
        <f t="shared" si="14"/>
        <v>0</v>
      </c>
      <c r="S121" s="14">
        <f t="shared" si="15"/>
        <v>6</v>
      </c>
      <c r="T121" s="14"/>
      <c r="U121" s="14" t="str">
        <f t="shared" si="16"/>
        <v>1;4;6;</v>
      </c>
      <c r="V121" s="23" t="str">
        <f t="shared" si="17"/>
        <v>178500;357000;357000;</v>
      </c>
      <c r="X121" s="13" t="str">
        <f t="shared" si="18"/>
        <v>1;4;6</v>
      </c>
      <c r="Y121" s="13" t="str">
        <f t="shared" si="19"/>
        <v>178500;357000;357000</v>
      </c>
    </row>
    <row r="122" spans="1:25" s="13" customFormat="1" ht="20.100000000000001" customHeight="1">
      <c r="A122" s="11">
        <f t="shared" si="20"/>
        <v>5</v>
      </c>
      <c r="B122" s="9" t="s">
        <v>33</v>
      </c>
      <c r="C122" s="11">
        <v>20</v>
      </c>
      <c r="D122" s="14">
        <f>LOOKUP($A122,建筑产出!$BF$16:$BF$26,建筑产出!BI$16:BI$26)</f>
        <v>0.05</v>
      </c>
      <c r="E122" s="14">
        <f>LOOKUP($A122,建筑产出!$BF$16:$BF$26,建筑产出!BJ$16:BJ$26)</f>
        <v>0</v>
      </c>
      <c r="F122" s="14">
        <f>LOOKUP($A122,建筑产出!$BF$16:$BF$26,建筑产出!BK$16:BK$26)</f>
        <v>0.2</v>
      </c>
      <c r="G122" s="14">
        <f>LOOKUP($A122,建筑产出!$BF$16:$BF$26,建筑产出!BL$16:BL$26)</f>
        <v>0</v>
      </c>
      <c r="H122" s="14">
        <f>LOOKUP($A122,建筑产出!$BF$16:$BF$26,建筑产出!BM$16:BM$26)</f>
        <v>0.2</v>
      </c>
      <c r="I122" s="14">
        <f>ROUND(LOOKUP($C122,建筑产出!$A$2:$A$26,建筑产出!D$2:D$26)*D122,-2)</f>
        <v>202500</v>
      </c>
      <c r="J122" s="14">
        <f>ROUND(LOOKUP($C122,建筑产出!$A$2:$A$26,建筑产出!E$2:E$26)*E122,-2)</f>
        <v>0</v>
      </c>
      <c r="K122" s="14">
        <f>ROUND(LOOKUP($C122,建筑产出!$A$2:$A$26,建筑产出!F$2:F$26)*F122,-2)</f>
        <v>404900</v>
      </c>
      <c r="L122" s="14">
        <f>ROUND(LOOKUP($C122,建筑产出!$A$2:$A$26,建筑产出!G$2:G$26)*G122,-2)</f>
        <v>0</v>
      </c>
      <c r="M122" s="14">
        <f>ROUND(LOOKUP($C122,建筑产出!$A$2:$A$26,建筑产出!H$2:H$26)*H122,-2)</f>
        <v>404900</v>
      </c>
      <c r="N122" s="14"/>
      <c r="O122" s="14">
        <f t="shared" si="11"/>
        <v>1</v>
      </c>
      <c r="P122" s="14">
        <f t="shared" si="12"/>
        <v>0</v>
      </c>
      <c r="Q122" s="14">
        <f t="shared" si="13"/>
        <v>4</v>
      </c>
      <c r="R122" s="14">
        <f t="shared" si="14"/>
        <v>0</v>
      </c>
      <c r="S122" s="14">
        <f t="shared" si="15"/>
        <v>6</v>
      </c>
      <c r="T122" s="14"/>
      <c r="U122" s="14" t="str">
        <f t="shared" si="16"/>
        <v>1;4;6;</v>
      </c>
      <c r="V122" s="23" t="str">
        <f t="shared" si="17"/>
        <v>202500;404900;404900;</v>
      </c>
      <c r="X122" s="13" t="str">
        <f t="shared" si="18"/>
        <v>1;4;6</v>
      </c>
      <c r="Y122" s="13" t="str">
        <f t="shared" si="19"/>
        <v>202500;404900;404900</v>
      </c>
    </row>
    <row r="123" spans="1:25" s="13" customFormat="1" ht="20.100000000000001" customHeight="1">
      <c r="A123" s="11">
        <f t="shared" si="20"/>
        <v>5</v>
      </c>
      <c r="B123" s="9" t="s">
        <v>33</v>
      </c>
      <c r="C123" s="11">
        <v>21</v>
      </c>
      <c r="D123" s="14">
        <f>LOOKUP($A123,建筑产出!$BF$16:$BF$26,建筑产出!BI$16:BI$26)</f>
        <v>0.05</v>
      </c>
      <c r="E123" s="14">
        <f>LOOKUP($A123,建筑产出!$BF$16:$BF$26,建筑产出!BJ$16:BJ$26)</f>
        <v>0</v>
      </c>
      <c r="F123" s="14">
        <f>LOOKUP($A123,建筑产出!$BF$16:$BF$26,建筑产出!BK$16:BK$26)</f>
        <v>0.2</v>
      </c>
      <c r="G123" s="14">
        <f>LOOKUP($A123,建筑产出!$BF$16:$BF$26,建筑产出!BL$16:BL$26)</f>
        <v>0</v>
      </c>
      <c r="H123" s="14">
        <f>LOOKUP($A123,建筑产出!$BF$16:$BF$26,建筑产出!BM$16:BM$26)</f>
        <v>0.2</v>
      </c>
      <c r="I123" s="14">
        <f>ROUND(LOOKUP($C123,建筑产出!$A$2:$A$26,建筑产出!D$2:D$26)*D123,-2)</f>
        <v>227800</v>
      </c>
      <c r="J123" s="14">
        <f>ROUND(LOOKUP($C123,建筑产出!$A$2:$A$26,建筑产出!E$2:E$26)*E123,-2)</f>
        <v>0</v>
      </c>
      <c r="K123" s="14">
        <f>ROUND(LOOKUP($C123,建筑产出!$A$2:$A$26,建筑产出!F$2:F$26)*F123,-2)</f>
        <v>455500</v>
      </c>
      <c r="L123" s="14">
        <f>ROUND(LOOKUP($C123,建筑产出!$A$2:$A$26,建筑产出!G$2:G$26)*G123,-2)</f>
        <v>0</v>
      </c>
      <c r="M123" s="14">
        <f>ROUND(LOOKUP($C123,建筑产出!$A$2:$A$26,建筑产出!H$2:H$26)*H123,-2)</f>
        <v>455500</v>
      </c>
      <c r="N123" s="14"/>
      <c r="O123" s="14">
        <f t="shared" si="11"/>
        <v>1</v>
      </c>
      <c r="P123" s="14">
        <f t="shared" si="12"/>
        <v>0</v>
      </c>
      <c r="Q123" s="14">
        <f t="shared" si="13"/>
        <v>4</v>
      </c>
      <c r="R123" s="14">
        <f t="shared" si="14"/>
        <v>0</v>
      </c>
      <c r="S123" s="14">
        <f t="shared" si="15"/>
        <v>6</v>
      </c>
      <c r="T123" s="14"/>
      <c r="U123" s="14" t="str">
        <f t="shared" si="16"/>
        <v>1;4;6;</v>
      </c>
      <c r="V123" s="23" t="str">
        <f t="shared" si="17"/>
        <v>227800;455500;455500;</v>
      </c>
      <c r="X123" s="13" t="str">
        <f t="shared" si="18"/>
        <v>1;4;6</v>
      </c>
      <c r="Y123" s="13" t="str">
        <f t="shared" si="19"/>
        <v>227800;455500;455500</v>
      </c>
    </row>
    <row r="124" spans="1:25" s="13" customFormat="1" ht="20.100000000000001" customHeight="1">
      <c r="A124" s="11">
        <f t="shared" si="20"/>
        <v>5</v>
      </c>
      <c r="B124" s="9" t="s">
        <v>33</v>
      </c>
      <c r="C124" s="11">
        <v>22</v>
      </c>
      <c r="D124" s="14">
        <f>LOOKUP($A124,建筑产出!$BF$16:$BF$26,建筑产出!BI$16:BI$26)</f>
        <v>0.05</v>
      </c>
      <c r="E124" s="14">
        <f>LOOKUP($A124,建筑产出!$BF$16:$BF$26,建筑产出!BJ$16:BJ$26)</f>
        <v>0</v>
      </c>
      <c r="F124" s="14">
        <f>LOOKUP($A124,建筑产出!$BF$16:$BF$26,建筑产出!BK$16:BK$26)</f>
        <v>0.2</v>
      </c>
      <c r="G124" s="14">
        <f>LOOKUP($A124,建筑产出!$BF$16:$BF$26,建筑产出!BL$16:BL$26)</f>
        <v>0</v>
      </c>
      <c r="H124" s="14">
        <f>LOOKUP($A124,建筑产出!$BF$16:$BF$26,建筑产出!BM$16:BM$26)</f>
        <v>0.2</v>
      </c>
      <c r="I124" s="14">
        <f>ROUND(LOOKUP($C124,建筑产出!$A$2:$A$26,建筑产出!D$2:D$26)*D124,-2)</f>
        <v>254500</v>
      </c>
      <c r="J124" s="14">
        <f>ROUND(LOOKUP($C124,建筑产出!$A$2:$A$26,建筑产出!E$2:E$26)*E124,-2)</f>
        <v>0</v>
      </c>
      <c r="K124" s="14">
        <f>ROUND(LOOKUP($C124,建筑产出!$A$2:$A$26,建筑产出!F$2:F$26)*F124,-2)</f>
        <v>508900</v>
      </c>
      <c r="L124" s="14">
        <f>ROUND(LOOKUP($C124,建筑产出!$A$2:$A$26,建筑产出!G$2:G$26)*G124,-2)</f>
        <v>0</v>
      </c>
      <c r="M124" s="14">
        <f>ROUND(LOOKUP($C124,建筑产出!$A$2:$A$26,建筑产出!H$2:H$26)*H124,-2)</f>
        <v>508900</v>
      </c>
      <c r="N124" s="14"/>
      <c r="O124" s="14">
        <f t="shared" si="11"/>
        <v>1</v>
      </c>
      <c r="P124" s="14">
        <f t="shared" si="12"/>
        <v>0</v>
      </c>
      <c r="Q124" s="14">
        <f t="shared" si="13"/>
        <v>4</v>
      </c>
      <c r="R124" s="14">
        <f t="shared" si="14"/>
        <v>0</v>
      </c>
      <c r="S124" s="14">
        <f t="shared" si="15"/>
        <v>6</v>
      </c>
      <c r="T124" s="14"/>
      <c r="U124" s="14" t="str">
        <f t="shared" si="16"/>
        <v>1;4;6;</v>
      </c>
      <c r="V124" s="23" t="str">
        <f t="shared" si="17"/>
        <v>254500;508900;508900;</v>
      </c>
      <c r="X124" s="13" t="str">
        <f t="shared" si="18"/>
        <v>1;4;6</v>
      </c>
      <c r="Y124" s="13" t="str">
        <f t="shared" si="19"/>
        <v>254500;508900;508900</v>
      </c>
    </row>
    <row r="125" spans="1:25" s="13" customFormat="1" ht="20.100000000000001" customHeight="1">
      <c r="A125" s="11">
        <f t="shared" si="20"/>
        <v>5</v>
      </c>
      <c r="B125" s="9" t="s">
        <v>33</v>
      </c>
      <c r="C125" s="11">
        <v>23</v>
      </c>
      <c r="D125" s="14">
        <f>LOOKUP($A125,建筑产出!$BF$16:$BF$26,建筑产出!BI$16:BI$26)</f>
        <v>0.05</v>
      </c>
      <c r="E125" s="14">
        <f>LOOKUP($A125,建筑产出!$BF$16:$BF$26,建筑产出!BJ$16:BJ$26)</f>
        <v>0</v>
      </c>
      <c r="F125" s="14">
        <f>LOOKUP($A125,建筑产出!$BF$16:$BF$26,建筑产出!BK$16:BK$26)</f>
        <v>0.2</v>
      </c>
      <c r="G125" s="14">
        <f>LOOKUP($A125,建筑产出!$BF$16:$BF$26,建筑产出!BL$16:BL$26)</f>
        <v>0</v>
      </c>
      <c r="H125" s="14">
        <f>LOOKUP($A125,建筑产出!$BF$16:$BF$26,建筑产出!BM$16:BM$26)</f>
        <v>0.2</v>
      </c>
      <c r="I125" s="14">
        <f>ROUND(LOOKUP($C125,建筑产出!$A$2:$A$26,建筑产出!D$2:D$26)*D125,-2)</f>
        <v>282500</v>
      </c>
      <c r="J125" s="14">
        <f>ROUND(LOOKUP($C125,建筑产出!$A$2:$A$26,建筑产出!E$2:E$26)*E125,-2)</f>
        <v>0</v>
      </c>
      <c r="K125" s="14">
        <f>ROUND(LOOKUP($C125,建筑产出!$A$2:$A$26,建筑产出!F$2:F$26)*F125,-2)</f>
        <v>565100</v>
      </c>
      <c r="L125" s="14">
        <f>ROUND(LOOKUP($C125,建筑产出!$A$2:$A$26,建筑产出!G$2:G$26)*G125,-2)</f>
        <v>0</v>
      </c>
      <c r="M125" s="14">
        <f>ROUND(LOOKUP($C125,建筑产出!$A$2:$A$26,建筑产出!H$2:H$26)*H125,-2)</f>
        <v>565100</v>
      </c>
      <c r="N125" s="14"/>
      <c r="O125" s="14">
        <f t="shared" si="11"/>
        <v>1</v>
      </c>
      <c r="P125" s="14">
        <f t="shared" si="12"/>
        <v>0</v>
      </c>
      <c r="Q125" s="14">
        <f t="shared" si="13"/>
        <v>4</v>
      </c>
      <c r="R125" s="14">
        <f t="shared" si="14"/>
        <v>0</v>
      </c>
      <c r="S125" s="14">
        <f t="shared" si="15"/>
        <v>6</v>
      </c>
      <c r="T125" s="14"/>
      <c r="U125" s="14" t="str">
        <f t="shared" si="16"/>
        <v>1;4;6;</v>
      </c>
      <c r="V125" s="23" t="str">
        <f t="shared" si="17"/>
        <v>282500;565100;565100;</v>
      </c>
      <c r="X125" s="13" t="str">
        <f t="shared" si="18"/>
        <v>1;4;6</v>
      </c>
      <c r="Y125" s="13" t="str">
        <f t="shared" si="19"/>
        <v>282500;565100;565100</v>
      </c>
    </row>
    <row r="126" spans="1:25" s="13" customFormat="1" ht="20.100000000000001" customHeight="1">
      <c r="A126" s="11">
        <f t="shared" si="20"/>
        <v>5</v>
      </c>
      <c r="B126" s="9" t="s">
        <v>33</v>
      </c>
      <c r="C126" s="11">
        <v>24</v>
      </c>
      <c r="D126" s="14">
        <f>LOOKUP($A126,建筑产出!$BF$16:$BF$26,建筑产出!BI$16:BI$26)</f>
        <v>0.05</v>
      </c>
      <c r="E126" s="14">
        <f>LOOKUP($A126,建筑产出!$BF$16:$BF$26,建筑产出!BJ$16:BJ$26)</f>
        <v>0</v>
      </c>
      <c r="F126" s="14">
        <f>LOOKUP($A126,建筑产出!$BF$16:$BF$26,建筑产出!BK$16:BK$26)</f>
        <v>0.2</v>
      </c>
      <c r="G126" s="14">
        <f>LOOKUP($A126,建筑产出!$BF$16:$BF$26,建筑产出!BL$16:BL$26)</f>
        <v>0</v>
      </c>
      <c r="H126" s="14">
        <f>LOOKUP($A126,建筑产出!$BF$16:$BF$26,建筑产出!BM$16:BM$26)</f>
        <v>0.2</v>
      </c>
      <c r="I126" s="14">
        <f>ROUND(LOOKUP($C126,建筑产出!$A$2:$A$26,建筑产出!D$2:D$26)*D126,-2)</f>
        <v>312000</v>
      </c>
      <c r="J126" s="14">
        <f>ROUND(LOOKUP($C126,建筑产出!$A$2:$A$26,建筑产出!E$2:E$26)*E126,-2)</f>
        <v>0</v>
      </c>
      <c r="K126" s="14">
        <f>ROUND(LOOKUP($C126,建筑产出!$A$2:$A$26,建筑产出!F$2:F$26)*F126,-2)</f>
        <v>624000</v>
      </c>
      <c r="L126" s="14">
        <f>ROUND(LOOKUP($C126,建筑产出!$A$2:$A$26,建筑产出!G$2:G$26)*G126,-2)</f>
        <v>0</v>
      </c>
      <c r="M126" s="14">
        <f>ROUND(LOOKUP($C126,建筑产出!$A$2:$A$26,建筑产出!H$2:H$26)*H126,-2)</f>
        <v>624000</v>
      </c>
      <c r="N126" s="14"/>
      <c r="O126" s="14">
        <f t="shared" si="11"/>
        <v>1</v>
      </c>
      <c r="P126" s="14">
        <f t="shared" si="12"/>
        <v>0</v>
      </c>
      <c r="Q126" s="14">
        <f t="shared" si="13"/>
        <v>4</v>
      </c>
      <c r="R126" s="14">
        <f t="shared" si="14"/>
        <v>0</v>
      </c>
      <c r="S126" s="14">
        <f t="shared" si="15"/>
        <v>6</v>
      </c>
      <c r="T126" s="14"/>
      <c r="U126" s="14" t="str">
        <f t="shared" si="16"/>
        <v>1;4;6;</v>
      </c>
      <c r="V126" s="23" t="str">
        <f t="shared" si="17"/>
        <v>312000;624000;624000;</v>
      </c>
      <c r="X126" s="13" t="str">
        <f t="shared" si="18"/>
        <v>1;4;6</v>
      </c>
      <c r="Y126" s="13" t="str">
        <f t="shared" si="19"/>
        <v>312000;624000;624000</v>
      </c>
    </row>
    <row r="127" spans="1:25" s="13" customFormat="1" ht="20.100000000000001" customHeight="1">
      <c r="A127" s="11">
        <f t="shared" si="20"/>
        <v>5</v>
      </c>
      <c r="B127" s="9" t="s">
        <v>33</v>
      </c>
      <c r="C127" s="11">
        <v>25</v>
      </c>
      <c r="D127" s="14">
        <f>LOOKUP($A127,建筑产出!$BF$16:$BF$26,建筑产出!BI$16:BI$26)</f>
        <v>0.05</v>
      </c>
      <c r="E127" s="14">
        <f>LOOKUP($A127,建筑产出!$BF$16:$BF$26,建筑产出!BJ$16:BJ$26)</f>
        <v>0</v>
      </c>
      <c r="F127" s="14">
        <f>LOOKUP($A127,建筑产出!$BF$16:$BF$26,建筑产出!BK$16:BK$26)</f>
        <v>0.2</v>
      </c>
      <c r="G127" s="14">
        <f>LOOKUP($A127,建筑产出!$BF$16:$BF$26,建筑产出!BL$16:BL$26)</f>
        <v>0</v>
      </c>
      <c r="H127" s="14">
        <f>LOOKUP($A127,建筑产出!$BF$16:$BF$26,建筑产出!BM$16:BM$26)</f>
        <v>0.2</v>
      </c>
      <c r="I127" s="14">
        <f>ROUND(LOOKUP($C127,建筑产出!$A$2:$A$26,建筑产出!D$2:D$26)*D127,-2)</f>
        <v>1105400</v>
      </c>
      <c r="J127" s="14">
        <f>ROUND(LOOKUP($C127,建筑产出!$A$2:$A$26,建筑产出!E$2:E$26)*E127,-2)</f>
        <v>0</v>
      </c>
      <c r="K127" s="14">
        <f>ROUND(LOOKUP($C127,建筑产出!$A$2:$A$26,建筑产出!F$2:F$26)*F127,-2)</f>
        <v>2210800</v>
      </c>
      <c r="L127" s="14">
        <f>ROUND(LOOKUP($C127,建筑产出!$A$2:$A$26,建筑产出!G$2:G$26)*G127,-2)</f>
        <v>0</v>
      </c>
      <c r="M127" s="14">
        <f>ROUND(LOOKUP($C127,建筑产出!$A$2:$A$26,建筑产出!H$2:H$26)*H127,-2)</f>
        <v>2210800</v>
      </c>
      <c r="N127" s="14"/>
      <c r="O127" s="14">
        <f t="shared" si="11"/>
        <v>1</v>
      </c>
      <c r="P127" s="14">
        <f t="shared" si="12"/>
        <v>0</v>
      </c>
      <c r="Q127" s="14">
        <f t="shared" si="13"/>
        <v>4</v>
      </c>
      <c r="R127" s="14">
        <f t="shared" si="14"/>
        <v>0</v>
      </c>
      <c r="S127" s="14">
        <f t="shared" si="15"/>
        <v>6</v>
      </c>
      <c r="T127" s="14"/>
      <c r="U127" s="14" t="str">
        <f t="shared" si="16"/>
        <v>1;4;6;</v>
      </c>
      <c r="V127" s="23" t="str">
        <f t="shared" si="17"/>
        <v>1105400;2210800;2210800;</v>
      </c>
      <c r="X127" s="13" t="str">
        <f t="shared" si="18"/>
        <v>1;4;6</v>
      </c>
      <c r="Y127" s="13" t="str">
        <f t="shared" si="19"/>
        <v>1105400;2210800;2210800</v>
      </c>
    </row>
    <row r="128" spans="1:25" s="13" customFormat="1" ht="20.100000000000001" customHeight="1">
      <c r="A128" s="11">
        <f t="shared" si="20"/>
        <v>6</v>
      </c>
      <c r="B128" s="9" t="s">
        <v>34</v>
      </c>
      <c r="C128" s="11">
        <v>1</v>
      </c>
      <c r="D128" s="14">
        <f>LOOKUP($A128,建筑产出!$BF$16:$BF$26,建筑产出!BI$16:BI$26)</f>
        <v>0.05</v>
      </c>
      <c r="E128" s="14">
        <f>LOOKUP($A128,建筑产出!$BF$16:$BF$26,建筑产出!BJ$16:BJ$26)</f>
        <v>0.2</v>
      </c>
      <c r="F128" s="14">
        <f>LOOKUP($A128,建筑产出!$BF$16:$BF$26,建筑产出!BK$16:BK$26)</f>
        <v>0</v>
      </c>
      <c r="G128" s="14">
        <f>LOOKUP($A128,建筑产出!$BF$16:$BF$26,建筑产出!BL$16:BL$26)</f>
        <v>0</v>
      </c>
      <c r="H128" s="14">
        <f>LOOKUP($A128,建筑产出!$BF$16:$BF$26,建筑产出!BM$16:BM$26)</f>
        <v>0.2</v>
      </c>
      <c r="I128" s="14">
        <f>ROUND(LOOKUP($C128,建筑产出!$A$2:$A$26,建筑产出!D$2:D$26)*D128,-2)</f>
        <v>3700</v>
      </c>
      <c r="J128" s="14">
        <f>ROUND(LOOKUP($C128,建筑产出!$A$2:$A$26,建筑产出!E$2:E$26)*E128,-2)</f>
        <v>7300</v>
      </c>
      <c r="K128" s="14">
        <f>ROUND(LOOKUP($C128,建筑产出!$A$2:$A$26,建筑产出!F$2:F$26)*F128,-2)</f>
        <v>0</v>
      </c>
      <c r="L128" s="14">
        <f>ROUND(LOOKUP($C128,建筑产出!$A$2:$A$26,建筑产出!G$2:G$26)*G128,-2)</f>
        <v>0</v>
      </c>
      <c r="M128" s="14">
        <f>ROUND(LOOKUP($C128,建筑产出!$A$2:$A$26,建筑产出!H$2:H$26)*H128,-2)</f>
        <v>7300</v>
      </c>
      <c r="N128" s="14"/>
      <c r="O128" s="14">
        <f t="shared" si="11"/>
        <v>1</v>
      </c>
      <c r="P128" s="14">
        <f t="shared" si="12"/>
        <v>3</v>
      </c>
      <c r="Q128" s="14">
        <f t="shared" si="13"/>
        <v>0</v>
      </c>
      <c r="R128" s="14">
        <f t="shared" si="14"/>
        <v>0</v>
      </c>
      <c r="S128" s="14">
        <f t="shared" si="15"/>
        <v>6</v>
      </c>
      <c r="T128" s="14"/>
      <c r="U128" s="14" t="str">
        <f t="shared" si="16"/>
        <v>1;3;6;</v>
      </c>
      <c r="V128" s="23" t="str">
        <f t="shared" si="17"/>
        <v>3700;7300;7300;</v>
      </c>
      <c r="X128" s="13" t="str">
        <f t="shared" si="18"/>
        <v>1;3;6</v>
      </c>
      <c r="Y128" s="13" t="str">
        <f t="shared" si="19"/>
        <v>3700;7300;7300</v>
      </c>
    </row>
    <row r="129" spans="1:25" s="13" customFormat="1" ht="20.100000000000001" customHeight="1">
      <c r="A129" s="11">
        <f t="shared" si="20"/>
        <v>6</v>
      </c>
      <c r="B129" s="9" t="s">
        <v>34</v>
      </c>
      <c r="C129" s="11">
        <v>2</v>
      </c>
      <c r="D129" s="14">
        <f>LOOKUP($A129,建筑产出!$BF$16:$BF$26,建筑产出!BI$16:BI$26)</f>
        <v>0.05</v>
      </c>
      <c r="E129" s="14">
        <f>LOOKUP($A129,建筑产出!$BF$16:$BF$26,建筑产出!BJ$16:BJ$26)</f>
        <v>0.2</v>
      </c>
      <c r="F129" s="14">
        <f>LOOKUP($A129,建筑产出!$BF$16:$BF$26,建筑产出!BK$16:BK$26)</f>
        <v>0</v>
      </c>
      <c r="G129" s="14">
        <f>LOOKUP($A129,建筑产出!$BF$16:$BF$26,建筑产出!BL$16:BL$26)</f>
        <v>0</v>
      </c>
      <c r="H129" s="14">
        <f>LOOKUP($A129,建筑产出!$BF$16:$BF$26,建筑产出!BM$16:BM$26)</f>
        <v>0.2</v>
      </c>
      <c r="I129" s="14">
        <f>ROUND(LOOKUP($C129,建筑产出!$A$2:$A$26,建筑产出!D$2:D$26)*D129,-2)</f>
        <v>7100</v>
      </c>
      <c r="J129" s="14">
        <f>ROUND(LOOKUP($C129,建筑产出!$A$2:$A$26,建筑产出!E$2:E$26)*E129,-2)</f>
        <v>14300</v>
      </c>
      <c r="K129" s="14">
        <f>ROUND(LOOKUP($C129,建筑产出!$A$2:$A$26,建筑产出!F$2:F$26)*F129,-2)</f>
        <v>0</v>
      </c>
      <c r="L129" s="14">
        <f>ROUND(LOOKUP($C129,建筑产出!$A$2:$A$26,建筑产出!G$2:G$26)*G129,-2)</f>
        <v>0</v>
      </c>
      <c r="M129" s="14">
        <f>ROUND(LOOKUP($C129,建筑产出!$A$2:$A$26,建筑产出!H$2:H$26)*H129,-2)</f>
        <v>14300</v>
      </c>
      <c r="N129" s="14"/>
      <c r="O129" s="14">
        <f t="shared" si="11"/>
        <v>1</v>
      </c>
      <c r="P129" s="14">
        <f t="shared" si="12"/>
        <v>3</v>
      </c>
      <c r="Q129" s="14">
        <f t="shared" si="13"/>
        <v>0</v>
      </c>
      <c r="R129" s="14">
        <f t="shared" si="14"/>
        <v>0</v>
      </c>
      <c r="S129" s="14">
        <f t="shared" si="15"/>
        <v>6</v>
      </c>
      <c r="T129" s="14"/>
      <c r="U129" s="14" t="str">
        <f t="shared" si="16"/>
        <v>1;3;6;</v>
      </c>
      <c r="V129" s="23" t="str">
        <f t="shared" si="17"/>
        <v>7100;14300;14300;</v>
      </c>
      <c r="X129" s="13" t="str">
        <f t="shared" si="18"/>
        <v>1;3;6</v>
      </c>
      <c r="Y129" s="13" t="str">
        <f t="shared" si="19"/>
        <v>7100;14300;14300</v>
      </c>
    </row>
    <row r="130" spans="1:25" s="13" customFormat="1" ht="20.100000000000001" customHeight="1">
      <c r="A130" s="11">
        <f t="shared" si="20"/>
        <v>6</v>
      </c>
      <c r="B130" s="9" t="s">
        <v>34</v>
      </c>
      <c r="C130" s="11">
        <v>3</v>
      </c>
      <c r="D130" s="14">
        <f>LOOKUP($A130,建筑产出!$BF$16:$BF$26,建筑产出!BI$16:BI$26)</f>
        <v>0.05</v>
      </c>
      <c r="E130" s="14">
        <f>LOOKUP($A130,建筑产出!$BF$16:$BF$26,建筑产出!BJ$16:BJ$26)</f>
        <v>0.2</v>
      </c>
      <c r="F130" s="14">
        <f>LOOKUP($A130,建筑产出!$BF$16:$BF$26,建筑产出!BK$16:BK$26)</f>
        <v>0</v>
      </c>
      <c r="G130" s="14">
        <f>LOOKUP($A130,建筑产出!$BF$16:$BF$26,建筑产出!BL$16:BL$26)</f>
        <v>0</v>
      </c>
      <c r="H130" s="14">
        <f>LOOKUP($A130,建筑产出!$BF$16:$BF$26,建筑产出!BM$16:BM$26)</f>
        <v>0.2</v>
      </c>
      <c r="I130" s="14">
        <f>ROUND(LOOKUP($C130,建筑产出!$A$2:$A$26,建筑产出!D$2:D$26)*D130,-2)</f>
        <v>6200</v>
      </c>
      <c r="J130" s="14">
        <f>ROUND(LOOKUP($C130,建筑产出!$A$2:$A$26,建筑产出!E$2:E$26)*E130,-2)</f>
        <v>12400</v>
      </c>
      <c r="K130" s="14">
        <f>ROUND(LOOKUP($C130,建筑产出!$A$2:$A$26,建筑产出!F$2:F$26)*F130,-2)</f>
        <v>0</v>
      </c>
      <c r="L130" s="14">
        <f>ROUND(LOOKUP($C130,建筑产出!$A$2:$A$26,建筑产出!G$2:G$26)*G130,-2)</f>
        <v>0</v>
      </c>
      <c r="M130" s="14">
        <f>ROUND(LOOKUP($C130,建筑产出!$A$2:$A$26,建筑产出!H$2:H$26)*H130,-2)</f>
        <v>12400</v>
      </c>
      <c r="N130" s="14"/>
      <c r="O130" s="14">
        <f t="shared" si="11"/>
        <v>1</v>
      </c>
      <c r="P130" s="14">
        <f t="shared" si="12"/>
        <v>3</v>
      </c>
      <c r="Q130" s="14">
        <f t="shared" si="13"/>
        <v>0</v>
      </c>
      <c r="R130" s="14">
        <f t="shared" si="14"/>
        <v>0</v>
      </c>
      <c r="S130" s="14">
        <f t="shared" si="15"/>
        <v>6</v>
      </c>
      <c r="T130" s="14"/>
      <c r="U130" s="14" t="str">
        <f t="shared" si="16"/>
        <v>1;3;6;</v>
      </c>
      <c r="V130" s="23" t="str">
        <f t="shared" si="17"/>
        <v>6200;12400;12400;</v>
      </c>
      <c r="X130" s="13" t="str">
        <f t="shared" si="18"/>
        <v>1;3;6</v>
      </c>
      <c r="Y130" s="13" t="str">
        <f t="shared" si="19"/>
        <v>6200;12400;12400</v>
      </c>
    </row>
    <row r="131" spans="1:25" s="13" customFormat="1" ht="20.100000000000001" customHeight="1">
      <c r="A131" s="11">
        <f t="shared" si="20"/>
        <v>6</v>
      </c>
      <c r="B131" s="9" t="s">
        <v>34</v>
      </c>
      <c r="C131" s="11">
        <v>4</v>
      </c>
      <c r="D131" s="14">
        <f>LOOKUP($A131,建筑产出!$BF$16:$BF$26,建筑产出!BI$16:BI$26)</f>
        <v>0.05</v>
      </c>
      <c r="E131" s="14">
        <f>LOOKUP($A131,建筑产出!$BF$16:$BF$26,建筑产出!BJ$16:BJ$26)</f>
        <v>0.2</v>
      </c>
      <c r="F131" s="14">
        <f>LOOKUP($A131,建筑产出!$BF$16:$BF$26,建筑产出!BK$16:BK$26)</f>
        <v>0</v>
      </c>
      <c r="G131" s="14">
        <f>LOOKUP($A131,建筑产出!$BF$16:$BF$26,建筑产出!BL$16:BL$26)</f>
        <v>0</v>
      </c>
      <c r="H131" s="14">
        <f>LOOKUP($A131,建筑产出!$BF$16:$BF$26,建筑产出!BM$16:BM$26)</f>
        <v>0.2</v>
      </c>
      <c r="I131" s="14">
        <f>ROUND(LOOKUP($C131,建筑产出!$A$2:$A$26,建筑产出!D$2:D$26)*D131,-2)</f>
        <v>13800</v>
      </c>
      <c r="J131" s="14">
        <f>ROUND(LOOKUP($C131,建筑产出!$A$2:$A$26,建筑产出!E$2:E$26)*E131,-2)</f>
        <v>27500</v>
      </c>
      <c r="K131" s="14">
        <f>ROUND(LOOKUP($C131,建筑产出!$A$2:$A$26,建筑产出!F$2:F$26)*F131,-2)</f>
        <v>0</v>
      </c>
      <c r="L131" s="14">
        <f>ROUND(LOOKUP($C131,建筑产出!$A$2:$A$26,建筑产出!G$2:G$26)*G131,-2)</f>
        <v>0</v>
      </c>
      <c r="M131" s="14">
        <f>ROUND(LOOKUP($C131,建筑产出!$A$2:$A$26,建筑产出!H$2:H$26)*H131,-2)</f>
        <v>27500</v>
      </c>
      <c r="N131" s="14"/>
      <c r="O131" s="14">
        <f t="shared" si="11"/>
        <v>1</v>
      </c>
      <c r="P131" s="14">
        <f t="shared" si="12"/>
        <v>3</v>
      </c>
      <c r="Q131" s="14">
        <f t="shared" si="13"/>
        <v>0</v>
      </c>
      <c r="R131" s="14">
        <f t="shared" si="14"/>
        <v>0</v>
      </c>
      <c r="S131" s="14">
        <f t="shared" si="15"/>
        <v>6</v>
      </c>
      <c r="T131" s="14"/>
      <c r="U131" s="14" t="str">
        <f t="shared" si="16"/>
        <v>1;3;6;</v>
      </c>
      <c r="V131" s="23" t="str">
        <f t="shared" si="17"/>
        <v>13800;27500;27500;</v>
      </c>
      <c r="X131" s="13" t="str">
        <f t="shared" si="18"/>
        <v>1;3;6</v>
      </c>
      <c r="Y131" s="13" t="str">
        <f t="shared" si="19"/>
        <v>13800;27500;27500</v>
      </c>
    </row>
    <row r="132" spans="1:25" s="13" customFormat="1" ht="20.100000000000001" customHeight="1">
      <c r="A132" s="11">
        <f t="shared" si="20"/>
        <v>6</v>
      </c>
      <c r="B132" s="9" t="s">
        <v>34</v>
      </c>
      <c r="C132" s="11">
        <v>5</v>
      </c>
      <c r="D132" s="14">
        <f>LOOKUP($A132,建筑产出!$BF$16:$BF$26,建筑产出!BI$16:BI$26)</f>
        <v>0.05</v>
      </c>
      <c r="E132" s="14">
        <f>LOOKUP($A132,建筑产出!$BF$16:$BF$26,建筑产出!BJ$16:BJ$26)</f>
        <v>0.2</v>
      </c>
      <c r="F132" s="14">
        <f>LOOKUP($A132,建筑产出!$BF$16:$BF$26,建筑产出!BK$16:BK$26)</f>
        <v>0</v>
      </c>
      <c r="G132" s="14">
        <f>LOOKUP($A132,建筑产出!$BF$16:$BF$26,建筑产出!BL$16:BL$26)</f>
        <v>0</v>
      </c>
      <c r="H132" s="14">
        <f>LOOKUP($A132,建筑产出!$BF$16:$BF$26,建筑产出!BM$16:BM$26)</f>
        <v>0.2</v>
      </c>
      <c r="I132" s="14">
        <f>ROUND(LOOKUP($C132,建筑产出!$A$2:$A$26,建筑产出!D$2:D$26)*D132,-2)</f>
        <v>12700</v>
      </c>
      <c r="J132" s="14">
        <f>ROUND(LOOKUP($C132,建筑产出!$A$2:$A$26,建筑产出!E$2:E$26)*E132,-2)</f>
        <v>25400</v>
      </c>
      <c r="K132" s="14">
        <f>ROUND(LOOKUP($C132,建筑产出!$A$2:$A$26,建筑产出!F$2:F$26)*F132,-2)</f>
        <v>0</v>
      </c>
      <c r="L132" s="14">
        <f>ROUND(LOOKUP($C132,建筑产出!$A$2:$A$26,建筑产出!G$2:G$26)*G132,-2)</f>
        <v>0</v>
      </c>
      <c r="M132" s="14">
        <f>ROUND(LOOKUP($C132,建筑产出!$A$2:$A$26,建筑产出!H$2:H$26)*H132,-2)</f>
        <v>25400</v>
      </c>
      <c r="N132" s="14"/>
      <c r="O132" s="14">
        <f t="shared" ref="O132:O195" si="21">IF(I132=0,0,I$2)</f>
        <v>1</v>
      </c>
      <c r="P132" s="14">
        <f t="shared" ref="P132:P195" si="22">IF(J132=0,0,J$2)</f>
        <v>3</v>
      </c>
      <c r="Q132" s="14">
        <f t="shared" ref="Q132:Q195" si="23">IF(K132=0,0,K$2)</f>
        <v>0</v>
      </c>
      <c r="R132" s="14">
        <f t="shared" ref="R132:R195" si="24">IF(L132=0,0,L$2)</f>
        <v>0</v>
      </c>
      <c r="S132" s="14">
        <f t="shared" ref="S132:S195" si="25">IF(M132=0,0,M$2)</f>
        <v>6</v>
      </c>
      <c r="T132" s="14"/>
      <c r="U132" s="14" t="str">
        <f t="shared" ref="U132:U195" si="26">IF(O132&gt;0,O132&amp;";","")&amp;IF(P132&gt;0,P132&amp;";","")&amp;IF(Q132&gt;0,Q132&amp;";","")&amp;IF(R132&gt;0,R132&amp;";","")&amp;IF(S132&gt;0,S132&amp;";","")</f>
        <v>1;3;6;</v>
      </c>
      <c r="V132" s="23" t="str">
        <f t="shared" ref="V132:V195" si="27">IF(O132&gt;0,I132&amp;";","")&amp;IF(P132&gt;0,J132&amp;";","")&amp;IF(Q132&gt;0,K132&amp;";","")&amp;IF(R132&gt;0,L132&amp;";","")&amp;IF(S132&gt;0,M132&amp;";","")</f>
        <v>12700;25400;25400;</v>
      </c>
      <c r="X132" s="13" t="str">
        <f t="shared" ref="X132:X195" si="28">LEFT(U132,LEN(U132)-1)</f>
        <v>1;3;6</v>
      </c>
      <c r="Y132" s="13" t="str">
        <f t="shared" ref="Y132:Y195" si="29">LEFT(V132,LEN(V132)-1)</f>
        <v>12700;25400;25400</v>
      </c>
    </row>
    <row r="133" spans="1:25" s="13" customFormat="1" ht="20.100000000000001" customHeight="1">
      <c r="A133" s="11">
        <f t="shared" si="20"/>
        <v>6</v>
      </c>
      <c r="B133" s="9" t="s">
        <v>34</v>
      </c>
      <c r="C133" s="11">
        <v>6</v>
      </c>
      <c r="D133" s="14">
        <f>LOOKUP($A133,建筑产出!$BF$16:$BF$26,建筑产出!BI$16:BI$26)</f>
        <v>0.05</v>
      </c>
      <c r="E133" s="14">
        <f>LOOKUP($A133,建筑产出!$BF$16:$BF$26,建筑产出!BJ$16:BJ$26)</f>
        <v>0.2</v>
      </c>
      <c r="F133" s="14">
        <f>LOOKUP($A133,建筑产出!$BF$16:$BF$26,建筑产出!BK$16:BK$26)</f>
        <v>0</v>
      </c>
      <c r="G133" s="14">
        <f>LOOKUP($A133,建筑产出!$BF$16:$BF$26,建筑产出!BL$16:BL$26)</f>
        <v>0</v>
      </c>
      <c r="H133" s="14">
        <f>LOOKUP($A133,建筑产出!$BF$16:$BF$26,建筑产出!BM$16:BM$26)</f>
        <v>0.2</v>
      </c>
      <c r="I133" s="14">
        <f>ROUND(LOOKUP($C133,建筑产出!$A$2:$A$26,建筑产出!D$2:D$26)*D133,-2)</f>
        <v>17400</v>
      </c>
      <c r="J133" s="14">
        <f>ROUND(LOOKUP($C133,建筑产出!$A$2:$A$26,建筑产出!E$2:E$26)*E133,-2)</f>
        <v>34800</v>
      </c>
      <c r="K133" s="14">
        <f>ROUND(LOOKUP($C133,建筑产出!$A$2:$A$26,建筑产出!F$2:F$26)*F133,-2)</f>
        <v>0</v>
      </c>
      <c r="L133" s="14">
        <f>ROUND(LOOKUP($C133,建筑产出!$A$2:$A$26,建筑产出!G$2:G$26)*G133,-2)</f>
        <v>0</v>
      </c>
      <c r="M133" s="14">
        <f>ROUND(LOOKUP($C133,建筑产出!$A$2:$A$26,建筑产出!H$2:H$26)*H133,-2)</f>
        <v>34800</v>
      </c>
      <c r="N133" s="14"/>
      <c r="O133" s="14">
        <f t="shared" si="21"/>
        <v>1</v>
      </c>
      <c r="P133" s="14">
        <f t="shared" si="22"/>
        <v>3</v>
      </c>
      <c r="Q133" s="14">
        <f t="shared" si="23"/>
        <v>0</v>
      </c>
      <c r="R133" s="14">
        <f t="shared" si="24"/>
        <v>0</v>
      </c>
      <c r="S133" s="14">
        <f t="shared" si="25"/>
        <v>6</v>
      </c>
      <c r="T133" s="14"/>
      <c r="U133" s="14" t="str">
        <f t="shared" si="26"/>
        <v>1;3;6;</v>
      </c>
      <c r="V133" s="23" t="str">
        <f t="shared" si="27"/>
        <v>17400;34800;34800;</v>
      </c>
      <c r="X133" s="13" t="str">
        <f t="shared" si="28"/>
        <v>1;3;6</v>
      </c>
      <c r="Y133" s="13" t="str">
        <f t="shared" si="29"/>
        <v>17400;34800;34800</v>
      </c>
    </row>
    <row r="134" spans="1:25" s="13" customFormat="1" ht="20.100000000000001" customHeight="1">
      <c r="A134" s="11">
        <f t="shared" si="20"/>
        <v>6</v>
      </c>
      <c r="B134" s="9" t="s">
        <v>34</v>
      </c>
      <c r="C134" s="11">
        <v>7</v>
      </c>
      <c r="D134" s="14">
        <f>LOOKUP($A134,建筑产出!$BF$16:$BF$26,建筑产出!BI$16:BI$26)</f>
        <v>0.05</v>
      </c>
      <c r="E134" s="14">
        <f>LOOKUP($A134,建筑产出!$BF$16:$BF$26,建筑产出!BJ$16:BJ$26)</f>
        <v>0.2</v>
      </c>
      <c r="F134" s="14">
        <f>LOOKUP($A134,建筑产出!$BF$16:$BF$26,建筑产出!BK$16:BK$26)</f>
        <v>0</v>
      </c>
      <c r="G134" s="14">
        <f>LOOKUP($A134,建筑产出!$BF$16:$BF$26,建筑产出!BL$16:BL$26)</f>
        <v>0</v>
      </c>
      <c r="H134" s="14">
        <f>LOOKUP($A134,建筑产出!$BF$16:$BF$26,建筑产出!BM$16:BM$26)</f>
        <v>0.2</v>
      </c>
      <c r="I134" s="14">
        <f>ROUND(LOOKUP($C134,建筑产出!$A$2:$A$26,建筑产出!D$2:D$26)*D134,-2)</f>
        <v>22700</v>
      </c>
      <c r="J134" s="14">
        <f>ROUND(LOOKUP($C134,建筑产出!$A$2:$A$26,建筑产出!E$2:E$26)*E134,-2)</f>
        <v>45500</v>
      </c>
      <c r="K134" s="14">
        <f>ROUND(LOOKUP($C134,建筑产出!$A$2:$A$26,建筑产出!F$2:F$26)*F134,-2)</f>
        <v>0</v>
      </c>
      <c r="L134" s="14">
        <f>ROUND(LOOKUP($C134,建筑产出!$A$2:$A$26,建筑产出!G$2:G$26)*G134,-2)</f>
        <v>0</v>
      </c>
      <c r="M134" s="14">
        <f>ROUND(LOOKUP($C134,建筑产出!$A$2:$A$26,建筑产出!H$2:H$26)*H134,-2)</f>
        <v>45500</v>
      </c>
      <c r="N134" s="14"/>
      <c r="O134" s="14">
        <f t="shared" si="21"/>
        <v>1</v>
      </c>
      <c r="P134" s="14">
        <f t="shared" si="22"/>
        <v>3</v>
      </c>
      <c r="Q134" s="14">
        <f t="shared" si="23"/>
        <v>0</v>
      </c>
      <c r="R134" s="14">
        <f t="shared" si="24"/>
        <v>0</v>
      </c>
      <c r="S134" s="14">
        <f t="shared" si="25"/>
        <v>6</v>
      </c>
      <c r="T134" s="14"/>
      <c r="U134" s="14" t="str">
        <f t="shared" si="26"/>
        <v>1;3;6;</v>
      </c>
      <c r="V134" s="23" t="str">
        <f t="shared" si="27"/>
        <v>22700;45500;45500;</v>
      </c>
      <c r="X134" s="13" t="str">
        <f t="shared" si="28"/>
        <v>1;3;6</v>
      </c>
      <c r="Y134" s="13" t="str">
        <f t="shared" si="29"/>
        <v>22700;45500;45500</v>
      </c>
    </row>
    <row r="135" spans="1:25" s="13" customFormat="1" ht="20.100000000000001" customHeight="1">
      <c r="A135" s="11">
        <f t="shared" si="20"/>
        <v>6</v>
      </c>
      <c r="B135" s="9" t="s">
        <v>34</v>
      </c>
      <c r="C135" s="11">
        <v>8</v>
      </c>
      <c r="D135" s="14">
        <f>LOOKUP($A135,建筑产出!$BF$16:$BF$26,建筑产出!BI$16:BI$26)</f>
        <v>0.05</v>
      </c>
      <c r="E135" s="14">
        <f>LOOKUP($A135,建筑产出!$BF$16:$BF$26,建筑产出!BJ$16:BJ$26)</f>
        <v>0.2</v>
      </c>
      <c r="F135" s="14">
        <f>LOOKUP($A135,建筑产出!$BF$16:$BF$26,建筑产出!BK$16:BK$26)</f>
        <v>0</v>
      </c>
      <c r="G135" s="14">
        <f>LOOKUP($A135,建筑产出!$BF$16:$BF$26,建筑产出!BL$16:BL$26)</f>
        <v>0</v>
      </c>
      <c r="H135" s="14">
        <f>LOOKUP($A135,建筑产出!$BF$16:$BF$26,建筑产出!BM$16:BM$26)</f>
        <v>0.2</v>
      </c>
      <c r="I135" s="14">
        <f>ROUND(LOOKUP($C135,建筑产出!$A$2:$A$26,建筑产出!D$2:D$26)*D135,-2)</f>
        <v>28800</v>
      </c>
      <c r="J135" s="14">
        <f>ROUND(LOOKUP($C135,建筑产出!$A$2:$A$26,建筑产出!E$2:E$26)*E135,-2)</f>
        <v>57600</v>
      </c>
      <c r="K135" s="14">
        <f>ROUND(LOOKUP($C135,建筑产出!$A$2:$A$26,建筑产出!F$2:F$26)*F135,-2)</f>
        <v>0</v>
      </c>
      <c r="L135" s="14">
        <f>ROUND(LOOKUP($C135,建筑产出!$A$2:$A$26,建筑产出!G$2:G$26)*G135,-2)</f>
        <v>0</v>
      </c>
      <c r="M135" s="14">
        <f>ROUND(LOOKUP($C135,建筑产出!$A$2:$A$26,建筑产出!H$2:H$26)*H135,-2)</f>
        <v>57600</v>
      </c>
      <c r="N135" s="14"/>
      <c r="O135" s="14">
        <f t="shared" si="21"/>
        <v>1</v>
      </c>
      <c r="P135" s="14">
        <f t="shared" si="22"/>
        <v>3</v>
      </c>
      <c r="Q135" s="14">
        <f t="shared" si="23"/>
        <v>0</v>
      </c>
      <c r="R135" s="14">
        <f t="shared" si="24"/>
        <v>0</v>
      </c>
      <c r="S135" s="14">
        <f t="shared" si="25"/>
        <v>6</v>
      </c>
      <c r="T135" s="14"/>
      <c r="U135" s="14" t="str">
        <f t="shared" si="26"/>
        <v>1;3;6;</v>
      </c>
      <c r="V135" s="23" t="str">
        <f t="shared" si="27"/>
        <v>28800;57600;57600;</v>
      </c>
      <c r="X135" s="13" t="str">
        <f t="shared" si="28"/>
        <v>1;3;6</v>
      </c>
      <c r="Y135" s="13" t="str">
        <f t="shared" si="29"/>
        <v>28800;57600;57600</v>
      </c>
    </row>
    <row r="136" spans="1:25" s="13" customFormat="1" ht="20.100000000000001" customHeight="1">
      <c r="A136" s="11">
        <f t="shared" si="20"/>
        <v>6</v>
      </c>
      <c r="B136" s="9" t="s">
        <v>34</v>
      </c>
      <c r="C136" s="11">
        <v>9</v>
      </c>
      <c r="D136" s="14">
        <f>LOOKUP($A136,建筑产出!$BF$16:$BF$26,建筑产出!BI$16:BI$26)</f>
        <v>0.05</v>
      </c>
      <c r="E136" s="14">
        <f>LOOKUP($A136,建筑产出!$BF$16:$BF$26,建筑产出!BJ$16:BJ$26)</f>
        <v>0.2</v>
      </c>
      <c r="F136" s="14">
        <f>LOOKUP($A136,建筑产出!$BF$16:$BF$26,建筑产出!BK$16:BK$26)</f>
        <v>0</v>
      </c>
      <c r="G136" s="14">
        <f>LOOKUP($A136,建筑产出!$BF$16:$BF$26,建筑产出!BL$16:BL$26)</f>
        <v>0</v>
      </c>
      <c r="H136" s="14">
        <f>LOOKUP($A136,建筑产出!$BF$16:$BF$26,建筑产出!BM$16:BM$26)</f>
        <v>0.2</v>
      </c>
      <c r="I136" s="14">
        <f>ROUND(LOOKUP($C136,建筑产出!$A$2:$A$26,建筑产出!D$2:D$26)*D136,-2)</f>
        <v>35500</v>
      </c>
      <c r="J136" s="14">
        <f>ROUND(LOOKUP($C136,建筑产出!$A$2:$A$26,建筑产出!E$2:E$26)*E136,-2)</f>
        <v>71100</v>
      </c>
      <c r="K136" s="14">
        <f>ROUND(LOOKUP($C136,建筑产出!$A$2:$A$26,建筑产出!F$2:F$26)*F136,-2)</f>
        <v>0</v>
      </c>
      <c r="L136" s="14">
        <f>ROUND(LOOKUP($C136,建筑产出!$A$2:$A$26,建筑产出!G$2:G$26)*G136,-2)</f>
        <v>0</v>
      </c>
      <c r="M136" s="14">
        <f>ROUND(LOOKUP($C136,建筑产出!$A$2:$A$26,建筑产出!H$2:H$26)*H136,-2)</f>
        <v>71100</v>
      </c>
      <c r="N136" s="14"/>
      <c r="O136" s="14">
        <f t="shared" si="21"/>
        <v>1</v>
      </c>
      <c r="P136" s="14">
        <f t="shared" si="22"/>
        <v>3</v>
      </c>
      <c r="Q136" s="14">
        <f t="shared" si="23"/>
        <v>0</v>
      </c>
      <c r="R136" s="14">
        <f t="shared" si="24"/>
        <v>0</v>
      </c>
      <c r="S136" s="14">
        <f t="shared" si="25"/>
        <v>6</v>
      </c>
      <c r="T136" s="14"/>
      <c r="U136" s="14" t="str">
        <f t="shared" si="26"/>
        <v>1;3;6;</v>
      </c>
      <c r="V136" s="23" t="str">
        <f t="shared" si="27"/>
        <v>35500;71100;71100;</v>
      </c>
      <c r="X136" s="13" t="str">
        <f t="shared" si="28"/>
        <v>1;3;6</v>
      </c>
      <c r="Y136" s="13" t="str">
        <f t="shared" si="29"/>
        <v>35500;71100;71100</v>
      </c>
    </row>
    <row r="137" spans="1:25" s="13" customFormat="1" ht="20.100000000000001" customHeight="1">
      <c r="A137" s="11">
        <f t="shared" si="20"/>
        <v>6</v>
      </c>
      <c r="B137" s="9" t="s">
        <v>34</v>
      </c>
      <c r="C137" s="11">
        <v>10</v>
      </c>
      <c r="D137" s="14">
        <f>LOOKUP($A137,建筑产出!$BF$16:$BF$26,建筑产出!BI$16:BI$26)</f>
        <v>0.05</v>
      </c>
      <c r="E137" s="14">
        <f>LOOKUP($A137,建筑产出!$BF$16:$BF$26,建筑产出!BJ$16:BJ$26)</f>
        <v>0.2</v>
      </c>
      <c r="F137" s="14">
        <f>LOOKUP($A137,建筑产出!$BF$16:$BF$26,建筑产出!BK$16:BK$26)</f>
        <v>0</v>
      </c>
      <c r="G137" s="14">
        <f>LOOKUP($A137,建筑产出!$BF$16:$BF$26,建筑产出!BL$16:BL$26)</f>
        <v>0</v>
      </c>
      <c r="H137" s="14">
        <f>LOOKUP($A137,建筑产出!$BF$16:$BF$26,建筑产出!BM$16:BM$26)</f>
        <v>0.2</v>
      </c>
      <c r="I137" s="14">
        <f>ROUND(LOOKUP($C137,建筑产出!$A$2:$A$26,建筑产出!D$2:D$26)*D137,-2)</f>
        <v>44400</v>
      </c>
      <c r="J137" s="14">
        <f>ROUND(LOOKUP($C137,建筑产出!$A$2:$A$26,建筑产出!E$2:E$26)*E137,-2)</f>
        <v>88900</v>
      </c>
      <c r="K137" s="14">
        <f>ROUND(LOOKUP($C137,建筑产出!$A$2:$A$26,建筑产出!F$2:F$26)*F137,-2)</f>
        <v>0</v>
      </c>
      <c r="L137" s="14">
        <f>ROUND(LOOKUP($C137,建筑产出!$A$2:$A$26,建筑产出!G$2:G$26)*G137,-2)</f>
        <v>0</v>
      </c>
      <c r="M137" s="14">
        <f>ROUND(LOOKUP($C137,建筑产出!$A$2:$A$26,建筑产出!H$2:H$26)*H137,-2)</f>
        <v>88900</v>
      </c>
      <c r="N137" s="14"/>
      <c r="O137" s="14">
        <f t="shared" si="21"/>
        <v>1</v>
      </c>
      <c r="P137" s="14">
        <f t="shared" si="22"/>
        <v>3</v>
      </c>
      <c r="Q137" s="14">
        <f t="shared" si="23"/>
        <v>0</v>
      </c>
      <c r="R137" s="14">
        <f t="shared" si="24"/>
        <v>0</v>
      </c>
      <c r="S137" s="14">
        <f t="shared" si="25"/>
        <v>6</v>
      </c>
      <c r="T137" s="14"/>
      <c r="U137" s="14" t="str">
        <f t="shared" si="26"/>
        <v>1;3;6;</v>
      </c>
      <c r="V137" s="23" t="str">
        <f t="shared" si="27"/>
        <v>44400;88900;88900;</v>
      </c>
      <c r="X137" s="13" t="str">
        <f t="shared" si="28"/>
        <v>1;3;6</v>
      </c>
      <c r="Y137" s="13" t="str">
        <f t="shared" si="29"/>
        <v>44400;88900;88900</v>
      </c>
    </row>
    <row r="138" spans="1:25" s="13" customFormat="1" ht="20.100000000000001" customHeight="1">
      <c r="A138" s="11">
        <f t="shared" si="20"/>
        <v>6</v>
      </c>
      <c r="B138" s="9" t="s">
        <v>34</v>
      </c>
      <c r="C138" s="11">
        <v>11</v>
      </c>
      <c r="D138" s="14">
        <f>LOOKUP($A138,建筑产出!$BF$16:$BF$26,建筑产出!BI$16:BI$26)</f>
        <v>0.05</v>
      </c>
      <c r="E138" s="14">
        <f>LOOKUP($A138,建筑产出!$BF$16:$BF$26,建筑产出!BJ$16:BJ$26)</f>
        <v>0.2</v>
      </c>
      <c r="F138" s="14">
        <f>LOOKUP($A138,建筑产出!$BF$16:$BF$26,建筑产出!BK$16:BK$26)</f>
        <v>0</v>
      </c>
      <c r="G138" s="14">
        <f>LOOKUP($A138,建筑产出!$BF$16:$BF$26,建筑产出!BL$16:BL$26)</f>
        <v>0</v>
      </c>
      <c r="H138" s="14">
        <f>LOOKUP($A138,建筑产出!$BF$16:$BF$26,建筑产出!BM$16:BM$26)</f>
        <v>0.2</v>
      </c>
      <c r="I138" s="14">
        <f>ROUND(LOOKUP($C138,建筑产出!$A$2:$A$26,建筑产出!D$2:D$26)*D138,-2)</f>
        <v>54300</v>
      </c>
      <c r="J138" s="14">
        <f>ROUND(LOOKUP($C138,建筑产出!$A$2:$A$26,建筑产出!E$2:E$26)*E138,-2)</f>
        <v>108500</v>
      </c>
      <c r="K138" s="14">
        <f>ROUND(LOOKUP($C138,建筑产出!$A$2:$A$26,建筑产出!F$2:F$26)*F138,-2)</f>
        <v>0</v>
      </c>
      <c r="L138" s="14">
        <f>ROUND(LOOKUP($C138,建筑产出!$A$2:$A$26,建筑产出!G$2:G$26)*G138,-2)</f>
        <v>0</v>
      </c>
      <c r="M138" s="14">
        <f>ROUND(LOOKUP($C138,建筑产出!$A$2:$A$26,建筑产出!H$2:H$26)*H138,-2)</f>
        <v>108500</v>
      </c>
      <c r="N138" s="14"/>
      <c r="O138" s="14">
        <f t="shared" si="21"/>
        <v>1</v>
      </c>
      <c r="P138" s="14">
        <f t="shared" si="22"/>
        <v>3</v>
      </c>
      <c r="Q138" s="14">
        <f t="shared" si="23"/>
        <v>0</v>
      </c>
      <c r="R138" s="14">
        <f t="shared" si="24"/>
        <v>0</v>
      </c>
      <c r="S138" s="14">
        <f t="shared" si="25"/>
        <v>6</v>
      </c>
      <c r="T138" s="14"/>
      <c r="U138" s="14" t="str">
        <f t="shared" si="26"/>
        <v>1;3;6;</v>
      </c>
      <c r="V138" s="23" t="str">
        <f t="shared" si="27"/>
        <v>54300;108500;108500;</v>
      </c>
      <c r="X138" s="13" t="str">
        <f t="shared" si="28"/>
        <v>1;3;6</v>
      </c>
      <c r="Y138" s="13" t="str">
        <f t="shared" si="29"/>
        <v>54300;108500;108500</v>
      </c>
    </row>
    <row r="139" spans="1:25" s="13" customFormat="1" ht="20.100000000000001" customHeight="1">
      <c r="A139" s="11">
        <f t="shared" si="20"/>
        <v>6</v>
      </c>
      <c r="B139" s="9" t="s">
        <v>34</v>
      </c>
      <c r="C139" s="11">
        <v>12</v>
      </c>
      <c r="D139" s="14">
        <f>LOOKUP($A139,建筑产出!$BF$16:$BF$26,建筑产出!BI$16:BI$26)</f>
        <v>0.05</v>
      </c>
      <c r="E139" s="14">
        <f>LOOKUP($A139,建筑产出!$BF$16:$BF$26,建筑产出!BJ$16:BJ$26)</f>
        <v>0.2</v>
      </c>
      <c r="F139" s="14">
        <f>LOOKUP($A139,建筑产出!$BF$16:$BF$26,建筑产出!BK$16:BK$26)</f>
        <v>0</v>
      </c>
      <c r="G139" s="14">
        <f>LOOKUP($A139,建筑产出!$BF$16:$BF$26,建筑产出!BL$16:BL$26)</f>
        <v>0</v>
      </c>
      <c r="H139" s="14">
        <f>LOOKUP($A139,建筑产出!$BF$16:$BF$26,建筑产出!BM$16:BM$26)</f>
        <v>0.2</v>
      </c>
      <c r="I139" s="14">
        <f>ROUND(LOOKUP($C139,建筑产出!$A$2:$A$26,建筑产出!D$2:D$26)*D139,-2)</f>
        <v>65000</v>
      </c>
      <c r="J139" s="14">
        <f>ROUND(LOOKUP($C139,建筑产出!$A$2:$A$26,建筑产出!E$2:E$26)*E139,-2)</f>
        <v>130000</v>
      </c>
      <c r="K139" s="14">
        <f>ROUND(LOOKUP($C139,建筑产出!$A$2:$A$26,建筑产出!F$2:F$26)*F139,-2)</f>
        <v>0</v>
      </c>
      <c r="L139" s="14">
        <f>ROUND(LOOKUP($C139,建筑产出!$A$2:$A$26,建筑产出!G$2:G$26)*G139,-2)</f>
        <v>0</v>
      </c>
      <c r="M139" s="14">
        <f>ROUND(LOOKUP($C139,建筑产出!$A$2:$A$26,建筑产出!H$2:H$26)*H139,-2)</f>
        <v>130000</v>
      </c>
      <c r="N139" s="14"/>
      <c r="O139" s="14">
        <f t="shared" si="21"/>
        <v>1</v>
      </c>
      <c r="P139" s="14">
        <f t="shared" si="22"/>
        <v>3</v>
      </c>
      <c r="Q139" s="14">
        <f t="shared" si="23"/>
        <v>0</v>
      </c>
      <c r="R139" s="14">
        <f t="shared" si="24"/>
        <v>0</v>
      </c>
      <c r="S139" s="14">
        <f t="shared" si="25"/>
        <v>6</v>
      </c>
      <c r="T139" s="14"/>
      <c r="U139" s="14" t="str">
        <f t="shared" si="26"/>
        <v>1;3;6;</v>
      </c>
      <c r="V139" s="23" t="str">
        <f t="shared" si="27"/>
        <v>65000;130000;130000;</v>
      </c>
      <c r="X139" s="13" t="str">
        <f t="shared" si="28"/>
        <v>1;3;6</v>
      </c>
      <c r="Y139" s="13" t="str">
        <f t="shared" si="29"/>
        <v>65000;130000;130000</v>
      </c>
    </row>
    <row r="140" spans="1:25" s="13" customFormat="1" ht="20.100000000000001" customHeight="1">
      <c r="A140" s="11">
        <f t="shared" si="20"/>
        <v>6</v>
      </c>
      <c r="B140" s="9" t="s">
        <v>34</v>
      </c>
      <c r="C140" s="11">
        <v>13</v>
      </c>
      <c r="D140" s="14">
        <f>LOOKUP($A140,建筑产出!$BF$16:$BF$26,建筑产出!BI$16:BI$26)</f>
        <v>0.05</v>
      </c>
      <c r="E140" s="14">
        <f>LOOKUP($A140,建筑产出!$BF$16:$BF$26,建筑产出!BJ$16:BJ$26)</f>
        <v>0.2</v>
      </c>
      <c r="F140" s="14">
        <f>LOOKUP($A140,建筑产出!$BF$16:$BF$26,建筑产出!BK$16:BK$26)</f>
        <v>0</v>
      </c>
      <c r="G140" s="14">
        <f>LOOKUP($A140,建筑产出!$BF$16:$BF$26,建筑产出!BL$16:BL$26)</f>
        <v>0</v>
      </c>
      <c r="H140" s="14">
        <f>LOOKUP($A140,建筑产出!$BF$16:$BF$26,建筑产出!BM$16:BM$26)</f>
        <v>0.2</v>
      </c>
      <c r="I140" s="14">
        <f>ROUND(LOOKUP($C140,建筑产出!$A$2:$A$26,建筑产出!D$2:D$26)*D140,-2)</f>
        <v>76700</v>
      </c>
      <c r="J140" s="14">
        <f>ROUND(LOOKUP($C140,建筑产出!$A$2:$A$26,建筑产出!E$2:E$26)*E140,-2)</f>
        <v>153300</v>
      </c>
      <c r="K140" s="14">
        <f>ROUND(LOOKUP($C140,建筑产出!$A$2:$A$26,建筑产出!F$2:F$26)*F140,-2)</f>
        <v>0</v>
      </c>
      <c r="L140" s="14">
        <f>ROUND(LOOKUP($C140,建筑产出!$A$2:$A$26,建筑产出!G$2:G$26)*G140,-2)</f>
        <v>0</v>
      </c>
      <c r="M140" s="14">
        <f>ROUND(LOOKUP($C140,建筑产出!$A$2:$A$26,建筑产出!H$2:H$26)*H140,-2)</f>
        <v>153300</v>
      </c>
      <c r="N140" s="14"/>
      <c r="O140" s="14">
        <f t="shared" si="21"/>
        <v>1</v>
      </c>
      <c r="P140" s="14">
        <f t="shared" si="22"/>
        <v>3</v>
      </c>
      <c r="Q140" s="14">
        <f t="shared" si="23"/>
        <v>0</v>
      </c>
      <c r="R140" s="14">
        <f t="shared" si="24"/>
        <v>0</v>
      </c>
      <c r="S140" s="14">
        <f t="shared" si="25"/>
        <v>6</v>
      </c>
      <c r="T140" s="14"/>
      <c r="U140" s="14" t="str">
        <f t="shared" si="26"/>
        <v>1;3;6;</v>
      </c>
      <c r="V140" s="23" t="str">
        <f t="shared" si="27"/>
        <v>76700;153300;153300;</v>
      </c>
      <c r="X140" s="13" t="str">
        <f t="shared" si="28"/>
        <v>1;3;6</v>
      </c>
      <c r="Y140" s="13" t="str">
        <f t="shared" si="29"/>
        <v>76700;153300;153300</v>
      </c>
    </row>
    <row r="141" spans="1:25" s="13" customFormat="1" ht="20.100000000000001" customHeight="1">
      <c r="A141" s="11">
        <f t="shared" si="20"/>
        <v>6</v>
      </c>
      <c r="B141" s="9" t="s">
        <v>34</v>
      </c>
      <c r="C141" s="11">
        <v>14</v>
      </c>
      <c r="D141" s="14">
        <f>LOOKUP($A141,建筑产出!$BF$16:$BF$26,建筑产出!BI$16:BI$26)</f>
        <v>0.05</v>
      </c>
      <c r="E141" s="14">
        <f>LOOKUP($A141,建筑产出!$BF$16:$BF$26,建筑产出!BJ$16:BJ$26)</f>
        <v>0.2</v>
      </c>
      <c r="F141" s="14">
        <f>LOOKUP($A141,建筑产出!$BF$16:$BF$26,建筑产出!BK$16:BK$26)</f>
        <v>0</v>
      </c>
      <c r="G141" s="14">
        <f>LOOKUP($A141,建筑产出!$BF$16:$BF$26,建筑产出!BL$16:BL$26)</f>
        <v>0</v>
      </c>
      <c r="H141" s="14">
        <f>LOOKUP($A141,建筑产出!$BF$16:$BF$26,建筑产出!BM$16:BM$26)</f>
        <v>0.2</v>
      </c>
      <c r="I141" s="14">
        <f>ROUND(LOOKUP($C141,建筑产出!$A$2:$A$26,建筑产出!D$2:D$26)*D141,-2)</f>
        <v>89200</v>
      </c>
      <c r="J141" s="14">
        <f>ROUND(LOOKUP($C141,建筑产出!$A$2:$A$26,建筑产出!E$2:E$26)*E141,-2)</f>
        <v>178500</v>
      </c>
      <c r="K141" s="14">
        <f>ROUND(LOOKUP($C141,建筑产出!$A$2:$A$26,建筑产出!F$2:F$26)*F141,-2)</f>
        <v>0</v>
      </c>
      <c r="L141" s="14">
        <f>ROUND(LOOKUP($C141,建筑产出!$A$2:$A$26,建筑产出!G$2:G$26)*G141,-2)</f>
        <v>0</v>
      </c>
      <c r="M141" s="14">
        <f>ROUND(LOOKUP($C141,建筑产出!$A$2:$A$26,建筑产出!H$2:H$26)*H141,-2)</f>
        <v>178500</v>
      </c>
      <c r="N141" s="14"/>
      <c r="O141" s="14">
        <f t="shared" si="21"/>
        <v>1</v>
      </c>
      <c r="P141" s="14">
        <f t="shared" si="22"/>
        <v>3</v>
      </c>
      <c r="Q141" s="14">
        <f t="shared" si="23"/>
        <v>0</v>
      </c>
      <c r="R141" s="14">
        <f t="shared" si="24"/>
        <v>0</v>
      </c>
      <c r="S141" s="14">
        <f t="shared" si="25"/>
        <v>6</v>
      </c>
      <c r="T141" s="14"/>
      <c r="U141" s="14" t="str">
        <f t="shared" si="26"/>
        <v>1;3;6;</v>
      </c>
      <c r="V141" s="23" t="str">
        <f t="shared" si="27"/>
        <v>89200;178500;178500;</v>
      </c>
      <c r="X141" s="13" t="str">
        <f t="shared" si="28"/>
        <v>1;3;6</v>
      </c>
      <c r="Y141" s="13" t="str">
        <f t="shared" si="29"/>
        <v>89200;178500;178500</v>
      </c>
    </row>
    <row r="142" spans="1:25" s="13" customFormat="1" ht="20.100000000000001" customHeight="1">
      <c r="A142" s="11">
        <f t="shared" si="20"/>
        <v>6</v>
      </c>
      <c r="B142" s="9" t="s">
        <v>34</v>
      </c>
      <c r="C142" s="11">
        <v>15</v>
      </c>
      <c r="D142" s="14">
        <f>LOOKUP($A142,建筑产出!$BF$16:$BF$26,建筑产出!BI$16:BI$26)</f>
        <v>0.05</v>
      </c>
      <c r="E142" s="14">
        <f>LOOKUP($A142,建筑产出!$BF$16:$BF$26,建筑产出!BJ$16:BJ$26)</f>
        <v>0.2</v>
      </c>
      <c r="F142" s="14">
        <f>LOOKUP($A142,建筑产出!$BF$16:$BF$26,建筑产出!BK$16:BK$26)</f>
        <v>0</v>
      </c>
      <c r="G142" s="14">
        <f>LOOKUP($A142,建筑产出!$BF$16:$BF$26,建筑产出!BL$16:BL$26)</f>
        <v>0</v>
      </c>
      <c r="H142" s="14">
        <f>LOOKUP($A142,建筑产出!$BF$16:$BF$26,建筑产出!BM$16:BM$26)</f>
        <v>0.2</v>
      </c>
      <c r="I142" s="14">
        <f>ROUND(LOOKUP($C142,建筑产出!$A$2:$A$26,建筑产出!D$2:D$26)*D142,-2)</f>
        <v>104800</v>
      </c>
      <c r="J142" s="14">
        <f>ROUND(LOOKUP($C142,建筑产出!$A$2:$A$26,建筑产出!E$2:E$26)*E142,-2)</f>
        <v>209600</v>
      </c>
      <c r="K142" s="14">
        <f>ROUND(LOOKUP($C142,建筑产出!$A$2:$A$26,建筑产出!F$2:F$26)*F142,-2)</f>
        <v>0</v>
      </c>
      <c r="L142" s="14">
        <f>ROUND(LOOKUP($C142,建筑产出!$A$2:$A$26,建筑产出!G$2:G$26)*G142,-2)</f>
        <v>0</v>
      </c>
      <c r="M142" s="14">
        <f>ROUND(LOOKUP($C142,建筑产出!$A$2:$A$26,建筑产出!H$2:H$26)*H142,-2)</f>
        <v>209600</v>
      </c>
      <c r="N142" s="14"/>
      <c r="O142" s="14">
        <f t="shared" si="21"/>
        <v>1</v>
      </c>
      <c r="P142" s="14">
        <f t="shared" si="22"/>
        <v>3</v>
      </c>
      <c r="Q142" s="14">
        <f t="shared" si="23"/>
        <v>0</v>
      </c>
      <c r="R142" s="14">
        <f t="shared" si="24"/>
        <v>0</v>
      </c>
      <c r="S142" s="14">
        <f t="shared" si="25"/>
        <v>6</v>
      </c>
      <c r="T142" s="14"/>
      <c r="U142" s="14" t="str">
        <f t="shared" si="26"/>
        <v>1;3;6;</v>
      </c>
      <c r="V142" s="23" t="str">
        <f t="shared" si="27"/>
        <v>104800;209600;209600;</v>
      </c>
      <c r="X142" s="13" t="str">
        <f t="shared" si="28"/>
        <v>1;3;6</v>
      </c>
      <c r="Y142" s="13" t="str">
        <f t="shared" si="29"/>
        <v>104800;209600;209600</v>
      </c>
    </row>
    <row r="143" spans="1:25" s="13" customFormat="1" ht="20.100000000000001" customHeight="1">
      <c r="A143" s="11">
        <f t="shared" si="20"/>
        <v>6</v>
      </c>
      <c r="B143" s="9" t="s">
        <v>34</v>
      </c>
      <c r="C143" s="11">
        <v>16</v>
      </c>
      <c r="D143" s="14">
        <f>LOOKUP($A143,建筑产出!$BF$16:$BF$26,建筑产出!BI$16:BI$26)</f>
        <v>0.05</v>
      </c>
      <c r="E143" s="14">
        <f>LOOKUP($A143,建筑产出!$BF$16:$BF$26,建筑产出!BJ$16:BJ$26)</f>
        <v>0.2</v>
      </c>
      <c r="F143" s="14">
        <f>LOOKUP($A143,建筑产出!$BF$16:$BF$26,建筑产出!BK$16:BK$26)</f>
        <v>0</v>
      </c>
      <c r="G143" s="14">
        <f>LOOKUP($A143,建筑产出!$BF$16:$BF$26,建筑产出!BL$16:BL$26)</f>
        <v>0</v>
      </c>
      <c r="H143" s="14">
        <f>LOOKUP($A143,建筑产出!$BF$16:$BF$26,建筑产出!BM$16:BM$26)</f>
        <v>0.2</v>
      </c>
      <c r="I143" s="14">
        <f>ROUND(LOOKUP($C143,建筑产出!$A$2:$A$26,建筑产出!D$2:D$26)*D143,-2)</f>
        <v>121500</v>
      </c>
      <c r="J143" s="14">
        <f>ROUND(LOOKUP($C143,建筑产出!$A$2:$A$26,建筑产出!E$2:E$26)*E143,-2)</f>
        <v>243000</v>
      </c>
      <c r="K143" s="14">
        <f>ROUND(LOOKUP($C143,建筑产出!$A$2:$A$26,建筑产出!F$2:F$26)*F143,-2)</f>
        <v>0</v>
      </c>
      <c r="L143" s="14">
        <f>ROUND(LOOKUP($C143,建筑产出!$A$2:$A$26,建筑产出!G$2:G$26)*G143,-2)</f>
        <v>0</v>
      </c>
      <c r="M143" s="14">
        <f>ROUND(LOOKUP($C143,建筑产出!$A$2:$A$26,建筑产出!H$2:H$26)*H143,-2)</f>
        <v>243000</v>
      </c>
      <c r="N143" s="14"/>
      <c r="O143" s="14">
        <f t="shared" si="21"/>
        <v>1</v>
      </c>
      <c r="P143" s="14">
        <f t="shared" si="22"/>
        <v>3</v>
      </c>
      <c r="Q143" s="14">
        <f t="shared" si="23"/>
        <v>0</v>
      </c>
      <c r="R143" s="14">
        <f t="shared" si="24"/>
        <v>0</v>
      </c>
      <c r="S143" s="14">
        <f t="shared" si="25"/>
        <v>6</v>
      </c>
      <c r="T143" s="14"/>
      <c r="U143" s="14" t="str">
        <f t="shared" si="26"/>
        <v>1;3;6;</v>
      </c>
      <c r="V143" s="23" t="str">
        <f t="shared" si="27"/>
        <v>121500;243000;243000;</v>
      </c>
      <c r="X143" s="13" t="str">
        <f t="shared" si="28"/>
        <v>1;3;6</v>
      </c>
      <c r="Y143" s="13" t="str">
        <f t="shared" si="29"/>
        <v>121500;243000;243000</v>
      </c>
    </row>
    <row r="144" spans="1:25" s="13" customFormat="1" ht="20.100000000000001" customHeight="1">
      <c r="A144" s="11">
        <f t="shared" si="20"/>
        <v>6</v>
      </c>
      <c r="B144" s="9" t="s">
        <v>34</v>
      </c>
      <c r="C144" s="11">
        <v>17</v>
      </c>
      <c r="D144" s="14">
        <f>LOOKUP($A144,建筑产出!$BF$16:$BF$26,建筑产出!BI$16:BI$26)</f>
        <v>0.05</v>
      </c>
      <c r="E144" s="14">
        <f>LOOKUP($A144,建筑产出!$BF$16:$BF$26,建筑产出!BJ$16:BJ$26)</f>
        <v>0.2</v>
      </c>
      <c r="F144" s="14">
        <f>LOOKUP($A144,建筑产出!$BF$16:$BF$26,建筑产出!BK$16:BK$26)</f>
        <v>0</v>
      </c>
      <c r="G144" s="14">
        <f>LOOKUP($A144,建筑产出!$BF$16:$BF$26,建筑产出!BL$16:BL$26)</f>
        <v>0</v>
      </c>
      <c r="H144" s="14">
        <f>LOOKUP($A144,建筑产出!$BF$16:$BF$26,建筑产出!BM$16:BM$26)</f>
        <v>0.2</v>
      </c>
      <c r="I144" s="14">
        <f>ROUND(LOOKUP($C144,建筑产出!$A$2:$A$26,建筑产出!D$2:D$26)*D144,-2)</f>
        <v>139400</v>
      </c>
      <c r="J144" s="14">
        <f>ROUND(LOOKUP($C144,建筑产出!$A$2:$A$26,建筑产出!E$2:E$26)*E144,-2)</f>
        <v>278700</v>
      </c>
      <c r="K144" s="14">
        <f>ROUND(LOOKUP($C144,建筑产出!$A$2:$A$26,建筑产出!F$2:F$26)*F144,-2)</f>
        <v>0</v>
      </c>
      <c r="L144" s="14">
        <f>ROUND(LOOKUP($C144,建筑产出!$A$2:$A$26,建筑产出!G$2:G$26)*G144,-2)</f>
        <v>0</v>
      </c>
      <c r="M144" s="14">
        <f>ROUND(LOOKUP($C144,建筑产出!$A$2:$A$26,建筑产出!H$2:H$26)*H144,-2)</f>
        <v>278700</v>
      </c>
      <c r="N144" s="14"/>
      <c r="O144" s="14">
        <f t="shared" si="21"/>
        <v>1</v>
      </c>
      <c r="P144" s="14">
        <f t="shared" si="22"/>
        <v>3</v>
      </c>
      <c r="Q144" s="14">
        <f t="shared" si="23"/>
        <v>0</v>
      </c>
      <c r="R144" s="14">
        <f t="shared" si="24"/>
        <v>0</v>
      </c>
      <c r="S144" s="14">
        <f t="shared" si="25"/>
        <v>6</v>
      </c>
      <c r="T144" s="14"/>
      <c r="U144" s="14" t="str">
        <f t="shared" si="26"/>
        <v>1;3;6;</v>
      </c>
      <c r="V144" s="23" t="str">
        <f t="shared" si="27"/>
        <v>139400;278700;278700;</v>
      </c>
      <c r="X144" s="13" t="str">
        <f t="shared" si="28"/>
        <v>1;3;6</v>
      </c>
      <c r="Y144" s="13" t="str">
        <f t="shared" si="29"/>
        <v>139400;278700;278700</v>
      </c>
    </row>
    <row r="145" spans="1:25" s="13" customFormat="1" ht="20.100000000000001" customHeight="1">
      <c r="A145" s="11">
        <f t="shared" si="20"/>
        <v>6</v>
      </c>
      <c r="B145" s="9" t="s">
        <v>34</v>
      </c>
      <c r="C145" s="11">
        <v>18</v>
      </c>
      <c r="D145" s="14">
        <f>LOOKUP($A145,建筑产出!$BF$16:$BF$26,建筑产出!BI$16:BI$26)</f>
        <v>0.05</v>
      </c>
      <c r="E145" s="14">
        <f>LOOKUP($A145,建筑产出!$BF$16:$BF$26,建筑产出!BJ$16:BJ$26)</f>
        <v>0.2</v>
      </c>
      <c r="F145" s="14">
        <f>LOOKUP($A145,建筑产出!$BF$16:$BF$26,建筑产出!BK$16:BK$26)</f>
        <v>0</v>
      </c>
      <c r="G145" s="14">
        <f>LOOKUP($A145,建筑产出!$BF$16:$BF$26,建筑产出!BL$16:BL$26)</f>
        <v>0</v>
      </c>
      <c r="H145" s="14">
        <f>LOOKUP($A145,建筑产出!$BF$16:$BF$26,建筑产出!BM$16:BM$26)</f>
        <v>0.2</v>
      </c>
      <c r="I145" s="14">
        <f>ROUND(LOOKUP($C145,建筑产出!$A$2:$A$26,建筑产出!D$2:D$26)*D145,-2)</f>
        <v>158400</v>
      </c>
      <c r="J145" s="14">
        <f>ROUND(LOOKUP($C145,建筑产出!$A$2:$A$26,建筑产出!E$2:E$26)*E145,-2)</f>
        <v>316700</v>
      </c>
      <c r="K145" s="14">
        <f>ROUND(LOOKUP($C145,建筑产出!$A$2:$A$26,建筑产出!F$2:F$26)*F145,-2)</f>
        <v>0</v>
      </c>
      <c r="L145" s="14">
        <f>ROUND(LOOKUP($C145,建筑产出!$A$2:$A$26,建筑产出!G$2:G$26)*G145,-2)</f>
        <v>0</v>
      </c>
      <c r="M145" s="14">
        <f>ROUND(LOOKUP($C145,建筑产出!$A$2:$A$26,建筑产出!H$2:H$26)*H145,-2)</f>
        <v>316700</v>
      </c>
      <c r="N145" s="14"/>
      <c r="O145" s="14">
        <f t="shared" si="21"/>
        <v>1</v>
      </c>
      <c r="P145" s="14">
        <f t="shared" si="22"/>
        <v>3</v>
      </c>
      <c r="Q145" s="14">
        <f t="shared" si="23"/>
        <v>0</v>
      </c>
      <c r="R145" s="14">
        <f t="shared" si="24"/>
        <v>0</v>
      </c>
      <c r="S145" s="14">
        <f t="shared" si="25"/>
        <v>6</v>
      </c>
      <c r="T145" s="14"/>
      <c r="U145" s="14" t="str">
        <f t="shared" si="26"/>
        <v>1;3;6;</v>
      </c>
      <c r="V145" s="23" t="str">
        <f t="shared" si="27"/>
        <v>158400;316700;316700;</v>
      </c>
      <c r="X145" s="13" t="str">
        <f t="shared" si="28"/>
        <v>1;3;6</v>
      </c>
      <c r="Y145" s="13" t="str">
        <f t="shared" si="29"/>
        <v>158400;316700;316700</v>
      </c>
    </row>
    <row r="146" spans="1:25" s="13" customFormat="1" ht="20.100000000000001" customHeight="1">
      <c r="A146" s="11">
        <f t="shared" si="20"/>
        <v>6</v>
      </c>
      <c r="B146" s="9" t="s">
        <v>34</v>
      </c>
      <c r="C146" s="11">
        <v>19</v>
      </c>
      <c r="D146" s="14">
        <f>LOOKUP($A146,建筑产出!$BF$16:$BF$26,建筑产出!BI$16:BI$26)</f>
        <v>0.05</v>
      </c>
      <c r="E146" s="14">
        <f>LOOKUP($A146,建筑产出!$BF$16:$BF$26,建筑产出!BJ$16:BJ$26)</f>
        <v>0.2</v>
      </c>
      <c r="F146" s="14">
        <f>LOOKUP($A146,建筑产出!$BF$16:$BF$26,建筑产出!BK$16:BK$26)</f>
        <v>0</v>
      </c>
      <c r="G146" s="14">
        <f>LOOKUP($A146,建筑产出!$BF$16:$BF$26,建筑产出!BL$16:BL$26)</f>
        <v>0</v>
      </c>
      <c r="H146" s="14">
        <f>LOOKUP($A146,建筑产出!$BF$16:$BF$26,建筑产出!BM$16:BM$26)</f>
        <v>0.2</v>
      </c>
      <c r="I146" s="14">
        <f>ROUND(LOOKUP($C146,建筑产出!$A$2:$A$26,建筑产出!D$2:D$26)*D146,-2)</f>
        <v>178500</v>
      </c>
      <c r="J146" s="14">
        <f>ROUND(LOOKUP($C146,建筑产出!$A$2:$A$26,建筑产出!E$2:E$26)*E146,-2)</f>
        <v>357000</v>
      </c>
      <c r="K146" s="14">
        <f>ROUND(LOOKUP($C146,建筑产出!$A$2:$A$26,建筑产出!F$2:F$26)*F146,-2)</f>
        <v>0</v>
      </c>
      <c r="L146" s="14">
        <f>ROUND(LOOKUP($C146,建筑产出!$A$2:$A$26,建筑产出!G$2:G$26)*G146,-2)</f>
        <v>0</v>
      </c>
      <c r="M146" s="14">
        <f>ROUND(LOOKUP($C146,建筑产出!$A$2:$A$26,建筑产出!H$2:H$26)*H146,-2)</f>
        <v>357000</v>
      </c>
      <c r="N146" s="14"/>
      <c r="O146" s="14">
        <f t="shared" si="21"/>
        <v>1</v>
      </c>
      <c r="P146" s="14">
        <f t="shared" si="22"/>
        <v>3</v>
      </c>
      <c r="Q146" s="14">
        <f t="shared" si="23"/>
        <v>0</v>
      </c>
      <c r="R146" s="14">
        <f t="shared" si="24"/>
        <v>0</v>
      </c>
      <c r="S146" s="14">
        <f t="shared" si="25"/>
        <v>6</v>
      </c>
      <c r="T146" s="14"/>
      <c r="U146" s="14" t="str">
        <f t="shared" si="26"/>
        <v>1;3;6;</v>
      </c>
      <c r="V146" s="23" t="str">
        <f t="shared" si="27"/>
        <v>178500;357000;357000;</v>
      </c>
      <c r="X146" s="13" t="str">
        <f t="shared" si="28"/>
        <v>1;3;6</v>
      </c>
      <c r="Y146" s="13" t="str">
        <f t="shared" si="29"/>
        <v>178500;357000;357000</v>
      </c>
    </row>
    <row r="147" spans="1:25" s="13" customFormat="1" ht="20.100000000000001" customHeight="1">
      <c r="A147" s="11">
        <f t="shared" si="20"/>
        <v>6</v>
      </c>
      <c r="B147" s="9" t="s">
        <v>34</v>
      </c>
      <c r="C147" s="11">
        <v>20</v>
      </c>
      <c r="D147" s="14">
        <f>LOOKUP($A147,建筑产出!$BF$16:$BF$26,建筑产出!BI$16:BI$26)</f>
        <v>0.05</v>
      </c>
      <c r="E147" s="14">
        <f>LOOKUP($A147,建筑产出!$BF$16:$BF$26,建筑产出!BJ$16:BJ$26)</f>
        <v>0.2</v>
      </c>
      <c r="F147" s="14">
        <f>LOOKUP($A147,建筑产出!$BF$16:$BF$26,建筑产出!BK$16:BK$26)</f>
        <v>0</v>
      </c>
      <c r="G147" s="14">
        <f>LOOKUP($A147,建筑产出!$BF$16:$BF$26,建筑产出!BL$16:BL$26)</f>
        <v>0</v>
      </c>
      <c r="H147" s="14">
        <f>LOOKUP($A147,建筑产出!$BF$16:$BF$26,建筑产出!BM$16:BM$26)</f>
        <v>0.2</v>
      </c>
      <c r="I147" s="14">
        <f>ROUND(LOOKUP($C147,建筑产出!$A$2:$A$26,建筑产出!D$2:D$26)*D147,-2)</f>
        <v>202500</v>
      </c>
      <c r="J147" s="14">
        <f>ROUND(LOOKUP($C147,建筑产出!$A$2:$A$26,建筑产出!E$2:E$26)*E147,-2)</f>
        <v>404900</v>
      </c>
      <c r="K147" s="14">
        <f>ROUND(LOOKUP($C147,建筑产出!$A$2:$A$26,建筑产出!F$2:F$26)*F147,-2)</f>
        <v>0</v>
      </c>
      <c r="L147" s="14">
        <f>ROUND(LOOKUP($C147,建筑产出!$A$2:$A$26,建筑产出!G$2:G$26)*G147,-2)</f>
        <v>0</v>
      </c>
      <c r="M147" s="14">
        <f>ROUND(LOOKUP($C147,建筑产出!$A$2:$A$26,建筑产出!H$2:H$26)*H147,-2)</f>
        <v>404900</v>
      </c>
      <c r="N147" s="14"/>
      <c r="O147" s="14">
        <f t="shared" si="21"/>
        <v>1</v>
      </c>
      <c r="P147" s="14">
        <f t="shared" si="22"/>
        <v>3</v>
      </c>
      <c r="Q147" s="14">
        <f t="shared" si="23"/>
        <v>0</v>
      </c>
      <c r="R147" s="14">
        <f t="shared" si="24"/>
        <v>0</v>
      </c>
      <c r="S147" s="14">
        <f t="shared" si="25"/>
        <v>6</v>
      </c>
      <c r="T147" s="14"/>
      <c r="U147" s="14" t="str">
        <f t="shared" si="26"/>
        <v>1;3;6;</v>
      </c>
      <c r="V147" s="23" t="str">
        <f t="shared" si="27"/>
        <v>202500;404900;404900;</v>
      </c>
      <c r="X147" s="13" t="str">
        <f t="shared" si="28"/>
        <v>1;3;6</v>
      </c>
      <c r="Y147" s="13" t="str">
        <f t="shared" si="29"/>
        <v>202500;404900;404900</v>
      </c>
    </row>
    <row r="148" spans="1:25" s="13" customFormat="1" ht="20.100000000000001" customHeight="1">
      <c r="A148" s="11">
        <f t="shared" si="20"/>
        <v>6</v>
      </c>
      <c r="B148" s="9" t="s">
        <v>34</v>
      </c>
      <c r="C148" s="11">
        <v>21</v>
      </c>
      <c r="D148" s="14">
        <f>LOOKUP($A148,建筑产出!$BF$16:$BF$26,建筑产出!BI$16:BI$26)</f>
        <v>0.05</v>
      </c>
      <c r="E148" s="14">
        <f>LOOKUP($A148,建筑产出!$BF$16:$BF$26,建筑产出!BJ$16:BJ$26)</f>
        <v>0.2</v>
      </c>
      <c r="F148" s="14">
        <f>LOOKUP($A148,建筑产出!$BF$16:$BF$26,建筑产出!BK$16:BK$26)</f>
        <v>0</v>
      </c>
      <c r="G148" s="14">
        <f>LOOKUP($A148,建筑产出!$BF$16:$BF$26,建筑产出!BL$16:BL$26)</f>
        <v>0</v>
      </c>
      <c r="H148" s="14">
        <f>LOOKUP($A148,建筑产出!$BF$16:$BF$26,建筑产出!BM$16:BM$26)</f>
        <v>0.2</v>
      </c>
      <c r="I148" s="14">
        <f>ROUND(LOOKUP($C148,建筑产出!$A$2:$A$26,建筑产出!D$2:D$26)*D148,-2)</f>
        <v>227800</v>
      </c>
      <c r="J148" s="14">
        <f>ROUND(LOOKUP($C148,建筑产出!$A$2:$A$26,建筑产出!E$2:E$26)*E148,-2)</f>
        <v>455500</v>
      </c>
      <c r="K148" s="14">
        <f>ROUND(LOOKUP($C148,建筑产出!$A$2:$A$26,建筑产出!F$2:F$26)*F148,-2)</f>
        <v>0</v>
      </c>
      <c r="L148" s="14">
        <f>ROUND(LOOKUP($C148,建筑产出!$A$2:$A$26,建筑产出!G$2:G$26)*G148,-2)</f>
        <v>0</v>
      </c>
      <c r="M148" s="14">
        <f>ROUND(LOOKUP($C148,建筑产出!$A$2:$A$26,建筑产出!H$2:H$26)*H148,-2)</f>
        <v>455500</v>
      </c>
      <c r="N148" s="14"/>
      <c r="O148" s="14">
        <f t="shared" si="21"/>
        <v>1</v>
      </c>
      <c r="P148" s="14">
        <f t="shared" si="22"/>
        <v>3</v>
      </c>
      <c r="Q148" s="14">
        <f t="shared" si="23"/>
        <v>0</v>
      </c>
      <c r="R148" s="14">
        <f t="shared" si="24"/>
        <v>0</v>
      </c>
      <c r="S148" s="14">
        <f t="shared" si="25"/>
        <v>6</v>
      </c>
      <c r="T148" s="14"/>
      <c r="U148" s="14" t="str">
        <f t="shared" si="26"/>
        <v>1;3;6;</v>
      </c>
      <c r="V148" s="23" t="str">
        <f t="shared" si="27"/>
        <v>227800;455500;455500;</v>
      </c>
      <c r="X148" s="13" t="str">
        <f t="shared" si="28"/>
        <v>1;3;6</v>
      </c>
      <c r="Y148" s="13" t="str">
        <f t="shared" si="29"/>
        <v>227800;455500;455500</v>
      </c>
    </row>
    <row r="149" spans="1:25" s="13" customFormat="1" ht="20.100000000000001" customHeight="1">
      <c r="A149" s="11">
        <f t="shared" si="20"/>
        <v>6</v>
      </c>
      <c r="B149" s="9" t="s">
        <v>34</v>
      </c>
      <c r="C149" s="11">
        <v>22</v>
      </c>
      <c r="D149" s="14">
        <f>LOOKUP($A149,建筑产出!$BF$16:$BF$26,建筑产出!BI$16:BI$26)</f>
        <v>0.05</v>
      </c>
      <c r="E149" s="14">
        <f>LOOKUP($A149,建筑产出!$BF$16:$BF$26,建筑产出!BJ$16:BJ$26)</f>
        <v>0.2</v>
      </c>
      <c r="F149" s="14">
        <f>LOOKUP($A149,建筑产出!$BF$16:$BF$26,建筑产出!BK$16:BK$26)</f>
        <v>0</v>
      </c>
      <c r="G149" s="14">
        <f>LOOKUP($A149,建筑产出!$BF$16:$BF$26,建筑产出!BL$16:BL$26)</f>
        <v>0</v>
      </c>
      <c r="H149" s="14">
        <f>LOOKUP($A149,建筑产出!$BF$16:$BF$26,建筑产出!BM$16:BM$26)</f>
        <v>0.2</v>
      </c>
      <c r="I149" s="14">
        <f>ROUND(LOOKUP($C149,建筑产出!$A$2:$A$26,建筑产出!D$2:D$26)*D149,-2)</f>
        <v>254500</v>
      </c>
      <c r="J149" s="14">
        <f>ROUND(LOOKUP($C149,建筑产出!$A$2:$A$26,建筑产出!E$2:E$26)*E149,-2)</f>
        <v>508900</v>
      </c>
      <c r="K149" s="14">
        <f>ROUND(LOOKUP($C149,建筑产出!$A$2:$A$26,建筑产出!F$2:F$26)*F149,-2)</f>
        <v>0</v>
      </c>
      <c r="L149" s="14">
        <f>ROUND(LOOKUP($C149,建筑产出!$A$2:$A$26,建筑产出!G$2:G$26)*G149,-2)</f>
        <v>0</v>
      </c>
      <c r="M149" s="14">
        <f>ROUND(LOOKUP($C149,建筑产出!$A$2:$A$26,建筑产出!H$2:H$26)*H149,-2)</f>
        <v>508900</v>
      </c>
      <c r="N149" s="14"/>
      <c r="O149" s="14">
        <f t="shared" si="21"/>
        <v>1</v>
      </c>
      <c r="P149" s="14">
        <f t="shared" si="22"/>
        <v>3</v>
      </c>
      <c r="Q149" s="14">
        <f t="shared" si="23"/>
        <v>0</v>
      </c>
      <c r="R149" s="14">
        <f t="shared" si="24"/>
        <v>0</v>
      </c>
      <c r="S149" s="14">
        <f t="shared" si="25"/>
        <v>6</v>
      </c>
      <c r="T149" s="14"/>
      <c r="U149" s="14" t="str">
        <f t="shared" si="26"/>
        <v>1;3;6;</v>
      </c>
      <c r="V149" s="23" t="str">
        <f t="shared" si="27"/>
        <v>254500;508900;508900;</v>
      </c>
      <c r="X149" s="13" t="str">
        <f t="shared" si="28"/>
        <v>1;3;6</v>
      </c>
      <c r="Y149" s="13" t="str">
        <f t="shared" si="29"/>
        <v>254500;508900;508900</v>
      </c>
    </row>
    <row r="150" spans="1:25" s="13" customFormat="1" ht="20.100000000000001" customHeight="1">
      <c r="A150" s="11">
        <f t="shared" si="20"/>
        <v>6</v>
      </c>
      <c r="B150" s="9" t="s">
        <v>34</v>
      </c>
      <c r="C150" s="11">
        <v>23</v>
      </c>
      <c r="D150" s="14">
        <f>LOOKUP($A150,建筑产出!$BF$16:$BF$26,建筑产出!BI$16:BI$26)</f>
        <v>0.05</v>
      </c>
      <c r="E150" s="14">
        <f>LOOKUP($A150,建筑产出!$BF$16:$BF$26,建筑产出!BJ$16:BJ$26)</f>
        <v>0.2</v>
      </c>
      <c r="F150" s="14">
        <f>LOOKUP($A150,建筑产出!$BF$16:$BF$26,建筑产出!BK$16:BK$26)</f>
        <v>0</v>
      </c>
      <c r="G150" s="14">
        <f>LOOKUP($A150,建筑产出!$BF$16:$BF$26,建筑产出!BL$16:BL$26)</f>
        <v>0</v>
      </c>
      <c r="H150" s="14">
        <f>LOOKUP($A150,建筑产出!$BF$16:$BF$26,建筑产出!BM$16:BM$26)</f>
        <v>0.2</v>
      </c>
      <c r="I150" s="14">
        <f>ROUND(LOOKUP($C150,建筑产出!$A$2:$A$26,建筑产出!D$2:D$26)*D150,-2)</f>
        <v>282500</v>
      </c>
      <c r="J150" s="14">
        <f>ROUND(LOOKUP($C150,建筑产出!$A$2:$A$26,建筑产出!E$2:E$26)*E150,-2)</f>
        <v>565100</v>
      </c>
      <c r="K150" s="14">
        <f>ROUND(LOOKUP($C150,建筑产出!$A$2:$A$26,建筑产出!F$2:F$26)*F150,-2)</f>
        <v>0</v>
      </c>
      <c r="L150" s="14">
        <f>ROUND(LOOKUP($C150,建筑产出!$A$2:$A$26,建筑产出!G$2:G$26)*G150,-2)</f>
        <v>0</v>
      </c>
      <c r="M150" s="14">
        <f>ROUND(LOOKUP($C150,建筑产出!$A$2:$A$26,建筑产出!H$2:H$26)*H150,-2)</f>
        <v>565100</v>
      </c>
      <c r="N150" s="14"/>
      <c r="O150" s="14">
        <f t="shared" si="21"/>
        <v>1</v>
      </c>
      <c r="P150" s="14">
        <f t="shared" si="22"/>
        <v>3</v>
      </c>
      <c r="Q150" s="14">
        <f t="shared" si="23"/>
        <v>0</v>
      </c>
      <c r="R150" s="14">
        <f t="shared" si="24"/>
        <v>0</v>
      </c>
      <c r="S150" s="14">
        <f t="shared" si="25"/>
        <v>6</v>
      </c>
      <c r="T150" s="14"/>
      <c r="U150" s="14" t="str">
        <f t="shared" si="26"/>
        <v>1;3;6;</v>
      </c>
      <c r="V150" s="23" t="str">
        <f t="shared" si="27"/>
        <v>282500;565100;565100;</v>
      </c>
      <c r="X150" s="13" t="str">
        <f t="shared" si="28"/>
        <v>1;3;6</v>
      </c>
      <c r="Y150" s="13" t="str">
        <f t="shared" si="29"/>
        <v>282500;565100;565100</v>
      </c>
    </row>
    <row r="151" spans="1:25" s="13" customFormat="1" ht="20.100000000000001" customHeight="1">
      <c r="A151" s="11">
        <f t="shared" si="20"/>
        <v>6</v>
      </c>
      <c r="B151" s="9" t="s">
        <v>34</v>
      </c>
      <c r="C151" s="11">
        <v>24</v>
      </c>
      <c r="D151" s="14">
        <f>LOOKUP($A151,建筑产出!$BF$16:$BF$26,建筑产出!BI$16:BI$26)</f>
        <v>0.05</v>
      </c>
      <c r="E151" s="14">
        <f>LOOKUP($A151,建筑产出!$BF$16:$BF$26,建筑产出!BJ$16:BJ$26)</f>
        <v>0.2</v>
      </c>
      <c r="F151" s="14">
        <f>LOOKUP($A151,建筑产出!$BF$16:$BF$26,建筑产出!BK$16:BK$26)</f>
        <v>0</v>
      </c>
      <c r="G151" s="14">
        <f>LOOKUP($A151,建筑产出!$BF$16:$BF$26,建筑产出!BL$16:BL$26)</f>
        <v>0</v>
      </c>
      <c r="H151" s="14">
        <f>LOOKUP($A151,建筑产出!$BF$16:$BF$26,建筑产出!BM$16:BM$26)</f>
        <v>0.2</v>
      </c>
      <c r="I151" s="14">
        <f>ROUND(LOOKUP($C151,建筑产出!$A$2:$A$26,建筑产出!D$2:D$26)*D151,-2)</f>
        <v>312000</v>
      </c>
      <c r="J151" s="14">
        <f>ROUND(LOOKUP($C151,建筑产出!$A$2:$A$26,建筑产出!E$2:E$26)*E151,-2)</f>
        <v>624000</v>
      </c>
      <c r="K151" s="14">
        <f>ROUND(LOOKUP($C151,建筑产出!$A$2:$A$26,建筑产出!F$2:F$26)*F151,-2)</f>
        <v>0</v>
      </c>
      <c r="L151" s="14">
        <f>ROUND(LOOKUP($C151,建筑产出!$A$2:$A$26,建筑产出!G$2:G$26)*G151,-2)</f>
        <v>0</v>
      </c>
      <c r="M151" s="14">
        <f>ROUND(LOOKUP($C151,建筑产出!$A$2:$A$26,建筑产出!H$2:H$26)*H151,-2)</f>
        <v>624000</v>
      </c>
      <c r="N151" s="14"/>
      <c r="O151" s="14">
        <f t="shared" si="21"/>
        <v>1</v>
      </c>
      <c r="P151" s="14">
        <f t="shared" si="22"/>
        <v>3</v>
      </c>
      <c r="Q151" s="14">
        <f t="shared" si="23"/>
        <v>0</v>
      </c>
      <c r="R151" s="14">
        <f t="shared" si="24"/>
        <v>0</v>
      </c>
      <c r="S151" s="14">
        <f t="shared" si="25"/>
        <v>6</v>
      </c>
      <c r="T151" s="14"/>
      <c r="U151" s="14" t="str">
        <f t="shared" si="26"/>
        <v>1;3;6;</v>
      </c>
      <c r="V151" s="23" t="str">
        <f t="shared" si="27"/>
        <v>312000;624000;624000;</v>
      </c>
      <c r="X151" s="13" t="str">
        <f t="shared" si="28"/>
        <v>1;3;6</v>
      </c>
      <c r="Y151" s="13" t="str">
        <f t="shared" si="29"/>
        <v>312000;624000;624000</v>
      </c>
    </row>
    <row r="152" spans="1:25" s="13" customFormat="1" ht="20.100000000000001" customHeight="1">
      <c r="A152" s="11">
        <f t="shared" si="20"/>
        <v>6</v>
      </c>
      <c r="B152" s="9" t="s">
        <v>34</v>
      </c>
      <c r="C152" s="11">
        <v>25</v>
      </c>
      <c r="D152" s="14">
        <f>LOOKUP($A152,建筑产出!$BF$16:$BF$26,建筑产出!BI$16:BI$26)</f>
        <v>0.05</v>
      </c>
      <c r="E152" s="14">
        <f>LOOKUP($A152,建筑产出!$BF$16:$BF$26,建筑产出!BJ$16:BJ$26)</f>
        <v>0.2</v>
      </c>
      <c r="F152" s="14">
        <f>LOOKUP($A152,建筑产出!$BF$16:$BF$26,建筑产出!BK$16:BK$26)</f>
        <v>0</v>
      </c>
      <c r="G152" s="14">
        <f>LOOKUP($A152,建筑产出!$BF$16:$BF$26,建筑产出!BL$16:BL$26)</f>
        <v>0</v>
      </c>
      <c r="H152" s="14">
        <f>LOOKUP($A152,建筑产出!$BF$16:$BF$26,建筑产出!BM$16:BM$26)</f>
        <v>0.2</v>
      </c>
      <c r="I152" s="14">
        <f>ROUND(LOOKUP($C152,建筑产出!$A$2:$A$26,建筑产出!D$2:D$26)*D152,-2)</f>
        <v>1105400</v>
      </c>
      <c r="J152" s="14">
        <f>ROUND(LOOKUP($C152,建筑产出!$A$2:$A$26,建筑产出!E$2:E$26)*E152,-2)</f>
        <v>2210800</v>
      </c>
      <c r="K152" s="14">
        <f>ROUND(LOOKUP($C152,建筑产出!$A$2:$A$26,建筑产出!F$2:F$26)*F152,-2)</f>
        <v>0</v>
      </c>
      <c r="L152" s="14">
        <f>ROUND(LOOKUP($C152,建筑产出!$A$2:$A$26,建筑产出!G$2:G$26)*G152,-2)</f>
        <v>0</v>
      </c>
      <c r="M152" s="14">
        <f>ROUND(LOOKUP($C152,建筑产出!$A$2:$A$26,建筑产出!H$2:H$26)*H152,-2)</f>
        <v>2210800</v>
      </c>
      <c r="N152" s="14"/>
      <c r="O152" s="14">
        <f t="shared" si="21"/>
        <v>1</v>
      </c>
      <c r="P152" s="14">
        <f t="shared" si="22"/>
        <v>3</v>
      </c>
      <c r="Q152" s="14">
        <f t="shared" si="23"/>
        <v>0</v>
      </c>
      <c r="R152" s="14">
        <f t="shared" si="24"/>
        <v>0</v>
      </c>
      <c r="S152" s="14">
        <f t="shared" si="25"/>
        <v>6</v>
      </c>
      <c r="T152" s="14"/>
      <c r="U152" s="14" t="str">
        <f t="shared" si="26"/>
        <v>1;3;6;</v>
      </c>
      <c r="V152" s="23" t="str">
        <f t="shared" si="27"/>
        <v>1105400;2210800;2210800;</v>
      </c>
      <c r="X152" s="13" t="str">
        <f t="shared" si="28"/>
        <v>1;3;6</v>
      </c>
      <c r="Y152" s="13" t="str">
        <f t="shared" si="29"/>
        <v>1105400;2210800;2210800</v>
      </c>
    </row>
    <row r="153" spans="1:25" s="13" customFormat="1" ht="20.100000000000001" customHeight="1">
      <c r="A153" s="11">
        <f t="shared" si="20"/>
        <v>7</v>
      </c>
      <c r="B153" s="9" t="s">
        <v>35</v>
      </c>
      <c r="C153" s="11">
        <v>1</v>
      </c>
      <c r="D153" s="14">
        <f>LOOKUP($A153,建筑产出!$BF$16:$BF$26,建筑产出!BI$16:BI$26)</f>
        <v>0.15</v>
      </c>
      <c r="E153" s="14">
        <f>LOOKUP($A153,建筑产出!$BF$16:$BF$26,建筑产出!BJ$16:BJ$26)</f>
        <v>0</v>
      </c>
      <c r="F153" s="14">
        <f>LOOKUP($A153,建筑产出!$BF$16:$BF$26,建筑产出!BK$16:BK$26)</f>
        <v>0.2</v>
      </c>
      <c r="G153" s="14">
        <f>LOOKUP($A153,建筑产出!$BF$16:$BF$26,建筑产出!BL$16:BL$26)</f>
        <v>0.2</v>
      </c>
      <c r="H153" s="14">
        <f>LOOKUP($A153,建筑产出!$BF$16:$BF$26,建筑产出!BM$16:BM$26)</f>
        <v>0</v>
      </c>
      <c r="I153" s="14">
        <f>ROUND(LOOKUP($C153,建筑产出!$A$2:$A$26,建筑产出!D$2:D$26)*D153,-2)</f>
        <v>11000</v>
      </c>
      <c r="J153" s="14">
        <f>ROUND(LOOKUP($C153,建筑产出!$A$2:$A$26,建筑产出!E$2:E$26)*E153,-2)</f>
        <v>0</v>
      </c>
      <c r="K153" s="14">
        <f>ROUND(LOOKUP($C153,建筑产出!$A$2:$A$26,建筑产出!F$2:F$26)*F153,-2)</f>
        <v>7300</v>
      </c>
      <c r="L153" s="14">
        <f>ROUND(LOOKUP($C153,建筑产出!$A$2:$A$26,建筑产出!G$2:G$26)*G153,-2)</f>
        <v>7300</v>
      </c>
      <c r="M153" s="14">
        <f>ROUND(LOOKUP($C153,建筑产出!$A$2:$A$26,建筑产出!H$2:H$26)*H153,-2)</f>
        <v>0</v>
      </c>
      <c r="N153" s="14"/>
      <c r="O153" s="14">
        <f t="shared" si="21"/>
        <v>1</v>
      </c>
      <c r="P153" s="14">
        <f t="shared" si="22"/>
        <v>0</v>
      </c>
      <c r="Q153" s="14">
        <f t="shared" si="23"/>
        <v>4</v>
      </c>
      <c r="R153" s="14">
        <f t="shared" si="24"/>
        <v>5</v>
      </c>
      <c r="S153" s="14">
        <f t="shared" si="25"/>
        <v>0</v>
      </c>
      <c r="T153" s="14"/>
      <c r="U153" s="14" t="str">
        <f t="shared" si="26"/>
        <v>1;4;5;</v>
      </c>
      <c r="V153" s="23" t="str">
        <f t="shared" si="27"/>
        <v>11000;7300;7300;</v>
      </c>
      <c r="X153" s="13" t="str">
        <f t="shared" si="28"/>
        <v>1;4;5</v>
      </c>
      <c r="Y153" s="13" t="str">
        <f t="shared" si="29"/>
        <v>11000;7300;7300</v>
      </c>
    </row>
    <row r="154" spans="1:25" s="13" customFormat="1" ht="20.100000000000001" customHeight="1">
      <c r="A154" s="11">
        <f t="shared" si="20"/>
        <v>7</v>
      </c>
      <c r="B154" s="9" t="s">
        <v>35</v>
      </c>
      <c r="C154" s="11">
        <v>2</v>
      </c>
      <c r="D154" s="14">
        <f>LOOKUP($A154,建筑产出!$BF$16:$BF$26,建筑产出!BI$16:BI$26)</f>
        <v>0.15</v>
      </c>
      <c r="E154" s="14">
        <f>LOOKUP($A154,建筑产出!$BF$16:$BF$26,建筑产出!BJ$16:BJ$26)</f>
        <v>0</v>
      </c>
      <c r="F154" s="14">
        <f>LOOKUP($A154,建筑产出!$BF$16:$BF$26,建筑产出!BK$16:BK$26)</f>
        <v>0.2</v>
      </c>
      <c r="G154" s="14">
        <f>LOOKUP($A154,建筑产出!$BF$16:$BF$26,建筑产出!BL$16:BL$26)</f>
        <v>0.2</v>
      </c>
      <c r="H154" s="14">
        <f>LOOKUP($A154,建筑产出!$BF$16:$BF$26,建筑产出!BM$16:BM$26)</f>
        <v>0</v>
      </c>
      <c r="I154" s="14">
        <f>ROUND(LOOKUP($C154,建筑产出!$A$2:$A$26,建筑产出!D$2:D$26)*D154,-2)</f>
        <v>21400</v>
      </c>
      <c r="J154" s="14">
        <f>ROUND(LOOKUP($C154,建筑产出!$A$2:$A$26,建筑产出!E$2:E$26)*E154,-2)</f>
        <v>0</v>
      </c>
      <c r="K154" s="14">
        <f>ROUND(LOOKUP($C154,建筑产出!$A$2:$A$26,建筑产出!F$2:F$26)*F154,-2)</f>
        <v>14300</v>
      </c>
      <c r="L154" s="14">
        <f>ROUND(LOOKUP($C154,建筑产出!$A$2:$A$26,建筑产出!G$2:G$26)*G154,-2)</f>
        <v>14300</v>
      </c>
      <c r="M154" s="14">
        <f>ROUND(LOOKUP($C154,建筑产出!$A$2:$A$26,建筑产出!H$2:H$26)*H154,-2)</f>
        <v>0</v>
      </c>
      <c r="N154" s="14"/>
      <c r="O154" s="14">
        <f t="shared" si="21"/>
        <v>1</v>
      </c>
      <c r="P154" s="14">
        <f t="shared" si="22"/>
        <v>0</v>
      </c>
      <c r="Q154" s="14">
        <f t="shared" si="23"/>
        <v>4</v>
      </c>
      <c r="R154" s="14">
        <f t="shared" si="24"/>
        <v>5</v>
      </c>
      <c r="S154" s="14">
        <f t="shared" si="25"/>
        <v>0</v>
      </c>
      <c r="T154" s="14"/>
      <c r="U154" s="14" t="str">
        <f t="shared" si="26"/>
        <v>1;4;5;</v>
      </c>
      <c r="V154" s="23" t="str">
        <f t="shared" si="27"/>
        <v>21400;14300;14300;</v>
      </c>
      <c r="X154" s="13" t="str">
        <f t="shared" si="28"/>
        <v>1;4;5</v>
      </c>
      <c r="Y154" s="13" t="str">
        <f t="shared" si="29"/>
        <v>21400;14300;14300</v>
      </c>
    </row>
    <row r="155" spans="1:25" s="13" customFormat="1" ht="20.100000000000001" customHeight="1">
      <c r="A155" s="11">
        <f t="shared" si="20"/>
        <v>7</v>
      </c>
      <c r="B155" s="9" t="s">
        <v>35</v>
      </c>
      <c r="C155" s="11">
        <v>3</v>
      </c>
      <c r="D155" s="14">
        <f>LOOKUP($A155,建筑产出!$BF$16:$BF$26,建筑产出!BI$16:BI$26)</f>
        <v>0.15</v>
      </c>
      <c r="E155" s="14">
        <f>LOOKUP($A155,建筑产出!$BF$16:$BF$26,建筑产出!BJ$16:BJ$26)</f>
        <v>0</v>
      </c>
      <c r="F155" s="14">
        <f>LOOKUP($A155,建筑产出!$BF$16:$BF$26,建筑产出!BK$16:BK$26)</f>
        <v>0.2</v>
      </c>
      <c r="G155" s="14">
        <f>LOOKUP($A155,建筑产出!$BF$16:$BF$26,建筑产出!BL$16:BL$26)</f>
        <v>0.2</v>
      </c>
      <c r="H155" s="14">
        <f>LOOKUP($A155,建筑产出!$BF$16:$BF$26,建筑产出!BM$16:BM$26)</f>
        <v>0</v>
      </c>
      <c r="I155" s="14">
        <f>ROUND(LOOKUP($C155,建筑产出!$A$2:$A$26,建筑产出!D$2:D$26)*D155,-2)</f>
        <v>18600</v>
      </c>
      <c r="J155" s="14">
        <f>ROUND(LOOKUP($C155,建筑产出!$A$2:$A$26,建筑产出!E$2:E$26)*E155,-2)</f>
        <v>0</v>
      </c>
      <c r="K155" s="14">
        <f>ROUND(LOOKUP($C155,建筑产出!$A$2:$A$26,建筑产出!F$2:F$26)*F155,-2)</f>
        <v>12400</v>
      </c>
      <c r="L155" s="14">
        <f>ROUND(LOOKUP($C155,建筑产出!$A$2:$A$26,建筑产出!G$2:G$26)*G155,-2)</f>
        <v>12400</v>
      </c>
      <c r="M155" s="14">
        <f>ROUND(LOOKUP($C155,建筑产出!$A$2:$A$26,建筑产出!H$2:H$26)*H155,-2)</f>
        <v>0</v>
      </c>
      <c r="N155" s="14"/>
      <c r="O155" s="14">
        <f t="shared" si="21"/>
        <v>1</v>
      </c>
      <c r="P155" s="14">
        <f t="shared" si="22"/>
        <v>0</v>
      </c>
      <c r="Q155" s="14">
        <f t="shared" si="23"/>
        <v>4</v>
      </c>
      <c r="R155" s="14">
        <f t="shared" si="24"/>
        <v>5</v>
      </c>
      <c r="S155" s="14">
        <f t="shared" si="25"/>
        <v>0</v>
      </c>
      <c r="T155" s="14"/>
      <c r="U155" s="14" t="str">
        <f t="shared" si="26"/>
        <v>1;4;5;</v>
      </c>
      <c r="V155" s="23" t="str">
        <f t="shared" si="27"/>
        <v>18600;12400;12400;</v>
      </c>
      <c r="X155" s="13" t="str">
        <f t="shared" si="28"/>
        <v>1;4;5</v>
      </c>
      <c r="Y155" s="13" t="str">
        <f t="shared" si="29"/>
        <v>18600;12400;12400</v>
      </c>
    </row>
    <row r="156" spans="1:25" s="13" customFormat="1" ht="20.100000000000001" customHeight="1">
      <c r="A156" s="11">
        <f t="shared" si="20"/>
        <v>7</v>
      </c>
      <c r="B156" s="9" t="s">
        <v>35</v>
      </c>
      <c r="C156" s="11">
        <v>4</v>
      </c>
      <c r="D156" s="14">
        <f>LOOKUP($A156,建筑产出!$BF$16:$BF$26,建筑产出!BI$16:BI$26)</f>
        <v>0.15</v>
      </c>
      <c r="E156" s="14">
        <f>LOOKUP($A156,建筑产出!$BF$16:$BF$26,建筑产出!BJ$16:BJ$26)</f>
        <v>0</v>
      </c>
      <c r="F156" s="14">
        <f>LOOKUP($A156,建筑产出!$BF$16:$BF$26,建筑产出!BK$16:BK$26)</f>
        <v>0.2</v>
      </c>
      <c r="G156" s="14">
        <f>LOOKUP($A156,建筑产出!$BF$16:$BF$26,建筑产出!BL$16:BL$26)</f>
        <v>0.2</v>
      </c>
      <c r="H156" s="14">
        <f>LOOKUP($A156,建筑产出!$BF$16:$BF$26,建筑产出!BM$16:BM$26)</f>
        <v>0</v>
      </c>
      <c r="I156" s="14">
        <f>ROUND(LOOKUP($C156,建筑产出!$A$2:$A$26,建筑产出!D$2:D$26)*D156,-2)</f>
        <v>41300</v>
      </c>
      <c r="J156" s="14">
        <f>ROUND(LOOKUP($C156,建筑产出!$A$2:$A$26,建筑产出!E$2:E$26)*E156,-2)</f>
        <v>0</v>
      </c>
      <c r="K156" s="14">
        <f>ROUND(LOOKUP($C156,建筑产出!$A$2:$A$26,建筑产出!F$2:F$26)*F156,-2)</f>
        <v>27500</v>
      </c>
      <c r="L156" s="14">
        <f>ROUND(LOOKUP($C156,建筑产出!$A$2:$A$26,建筑产出!G$2:G$26)*G156,-2)</f>
        <v>27500</v>
      </c>
      <c r="M156" s="14">
        <f>ROUND(LOOKUP($C156,建筑产出!$A$2:$A$26,建筑产出!H$2:H$26)*H156,-2)</f>
        <v>0</v>
      </c>
      <c r="N156" s="14"/>
      <c r="O156" s="14">
        <f t="shared" si="21"/>
        <v>1</v>
      </c>
      <c r="P156" s="14">
        <f t="shared" si="22"/>
        <v>0</v>
      </c>
      <c r="Q156" s="14">
        <f t="shared" si="23"/>
        <v>4</v>
      </c>
      <c r="R156" s="14">
        <f t="shared" si="24"/>
        <v>5</v>
      </c>
      <c r="S156" s="14">
        <f t="shared" si="25"/>
        <v>0</v>
      </c>
      <c r="T156" s="14"/>
      <c r="U156" s="14" t="str">
        <f t="shared" si="26"/>
        <v>1;4;5;</v>
      </c>
      <c r="V156" s="23" t="str">
        <f t="shared" si="27"/>
        <v>41300;27500;27500;</v>
      </c>
      <c r="X156" s="13" t="str">
        <f t="shared" si="28"/>
        <v>1;4;5</v>
      </c>
      <c r="Y156" s="13" t="str">
        <f t="shared" si="29"/>
        <v>41300;27500;27500</v>
      </c>
    </row>
    <row r="157" spans="1:25" s="13" customFormat="1" ht="20.100000000000001" customHeight="1">
      <c r="A157" s="11">
        <f t="shared" ref="A157:A220" si="30">A132+1</f>
        <v>7</v>
      </c>
      <c r="B157" s="9" t="s">
        <v>35</v>
      </c>
      <c r="C157" s="11">
        <v>5</v>
      </c>
      <c r="D157" s="14">
        <f>LOOKUP($A157,建筑产出!$BF$16:$BF$26,建筑产出!BI$16:BI$26)</f>
        <v>0.15</v>
      </c>
      <c r="E157" s="14">
        <f>LOOKUP($A157,建筑产出!$BF$16:$BF$26,建筑产出!BJ$16:BJ$26)</f>
        <v>0</v>
      </c>
      <c r="F157" s="14">
        <f>LOOKUP($A157,建筑产出!$BF$16:$BF$26,建筑产出!BK$16:BK$26)</f>
        <v>0.2</v>
      </c>
      <c r="G157" s="14">
        <f>LOOKUP($A157,建筑产出!$BF$16:$BF$26,建筑产出!BL$16:BL$26)</f>
        <v>0.2</v>
      </c>
      <c r="H157" s="14">
        <f>LOOKUP($A157,建筑产出!$BF$16:$BF$26,建筑产出!BM$16:BM$26)</f>
        <v>0</v>
      </c>
      <c r="I157" s="14">
        <f>ROUND(LOOKUP($C157,建筑产出!$A$2:$A$26,建筑产出!D$2:D$26)*D157,-2)</f>
        <v>38200</v>
      </c>
      <c r="J157" s="14">
        <f>ROUND(LOOKUP($C157,建筑产出!$A$2:$A$26,建筑产出!E$2:E$26)*E157,-2)</f>
        <v>0</v>
      </c>
      <c r="K157" s="14">
        <f>ROUND(LOOKUP($C157,建筑产出!$A$2:$A$26,建筑产出!F$2:F$26)*F157,-2)</f>
        <v>25400</v>
      </c>
      <c r="L157" s="14">
        <f>ROUND(LOOKUP($C157,建筑产出!$A$2:$A$26,建筑产出!G$2:G$26)*G157,-2)</f>
        <v>25400</v>
      </c>
      <c r="M157" s="14">
        <f>ROUND(LOOKUP($C157,建筑产出!$A$2:$A$26,建筑产出!H$2:H$26)*H157,-2)</f>
        <v>0</v>
      </c>
      <c r="N157" s="14"/>
      <c r="O157" s="14">
        <f t="shared" si="21"/>
        <v>1</v>
      </c>
      <c r="P157" s="14">
        <f t="shared" si="22"/>
        <v>0</v>
      </c>
      <c r="Q157" s="14">
        <f t="shared" si="23"/>
        <v>4</v>
      </c>
      <c r="R157" s="14">
        <f t="shared" si="24"/>
        <v>5</v>
      </c>
      <c r="S157" s="14">
        <f t="shared" si="25"/>
        <v>0</v>
      </c>
      <c r="T157" s="14"/>
      <c r="U157" s="14" t="str">
        <f t="shared" si="26"/>
        <v>1;4;5;</v>
      </c>
      <c r="V157" s="23" t="str">
        <f t="shared" si="27"/>
        <v>38200;25400;25400;</v>
      </c>
      <c r="X157" s="13" t="str">
        <f t="shared" si="28"/>
        <v>1;4;5</v>
      </c>
      <c r="Y157" s="13" t="str">
        <f t="shared" si="29"/>
        <v>38200;25400;25400</v>
      </c>
    </row>
    <row r="158" spans="1:25" s="13" customFormat="1" ht="20.100000000000001" customHeight="1">
      <c r="A158" s="11">
        <f t="shared" si="30"/>
        <v>7</v>
      </c>
      <c r="B158" s="9" t="s">
        <v>35</v>
      </c>
      <c r="C158" s="11">
        <v>6</v>
      </c>
      <c r="D158" s="14">
        <f>LOOKUP($A158,建筑产出!$BF$16:$BF$26,建筑产出!BI$16:BI$26)</f>
        <v>0.15</v>
      </c>
      <c r="E158" s="14">
        <f>LOOKUP($A158,建筑产出!$BF$16:$BF$26,建筑产出!BJ$16:BJ$26)</f>
        <v>0</v>
      </c>
      <c r="F158" s="14">
        <f>LOOKUP($A158,建筑产出!$BF$16:$BF$26,建筑产出!BK$16:BK$26)</f>
        <v>0.2</v>
      </c>
      <c r="G158" s="14">
        <f>LOOKUP($A158,建筑产出!$BF$16:$BF$26,建筑产出!BL$16:BL$26)</f>
        <v>0.2</v>
      </c>
      <c r="H158" s="14">
        <f>LOOKUP($A158,建筑产出!$BF$16:$BF$26,建筑产出!BM$16:BM$26)</f>
        <v>0</v>
      </c>
      <c r="I158" s="14">
        <f>ROUND(LOOKUP($C158,建筑产出!$A$2:$A$26,建筑产出!D$2:D$26)*D158,-2)</f>
        <v>52200</v>
      </c>
      <c r="J158" s="14">
        <f>ROUND(LOOKUP($C158,建筑产出!$A$2:$A$26,建筑产出!E$2:E$26)*E158,-2)</f>
        <v>0</v>
      </c>
      <c r="K158" s="14">
        <f>ROUND(LOOKUP($C158,建筑产出!$A$2:$A$26,建筑产出!F$2:F$26)*F158,-2)</f>
        <v>34800</v>
      </c>
      <c r="L158" s="14">
        <f>ROUND(LOOKUP($C158,建筑产出!$A$2:$A$26,建筑产出!G$2:G$26)*G158,-2)</f>
        <v>34800</v>
      </c>
      <c r="M158" s="14">
        <f>ROUND(LOOKUP($C158,建筑产出!$A$2:$A$26,建筑产出!H$2:H$26)*H158,-2)</f>
        <v>0</v>
      </c>
      <c r="N158" s="14"/>
      <c r="O158" s="14">
        <f t="shared" si="21"/>
        <v>1</v>
      </c>
      <c r="P158" s="14">
        <f t="shared" si="22"/>
        <v>0</v>
      </c>
      <c r="Q158" s="14">
        <f t="shared" si="23"/>
        <v>4</v>
      </c>
      <c r="R158" s="14">
        <f t="shared" si="24"/>
        <v>5</v>
      </c>
      <c r="S158" s="14">
        <f t="shared" si="25"/>
        <v>0</v>
      </c>
      <c r="T158" s="14"/>
      <c r="U158" s="14" t="str">
        <f t="shared" si="26"/>
        <v>1;4;5;</v>
      </c>
      <c r="V158" s="23" t="str">
        <f t="shared" si="27"/>
        <v>52200;34800;34800;</v>
      </c>
      <c r="X158" s="13" t="str">
        <f t="shared" si="28"/>
        <v>1;4;5</v>
      </c>
      <c r="Y158" s="13" t="str">
        <f t="shared" si="29"/>
        <v>52200;34800;34800</v>
      </c>
    </row>
    <row r="159" spans="1:25" s="13" customFormat="1" ht="20.100000000000001" customHeight="1">
      <c r="A159" s="11">
        <f t="shared" si="30"/>
        <v>7</v>
      </c>
      <c r="B159" s="9" t="s">
        <v>35</v>
      </c>
      <c r="C159" s="11">
        <v>7</v>
      </c>
      <c r="D159" s="14">
        <f>LOOKUP($A159,建筑产出!$BF$16:$BF$26,建筑产出!BI$16:BI$26)</f>
        <v>0.15</v>
      </c>
      <c r="E159" s="14">
        <f>LOOKUP($A159,建筑产出!$BF$16:$BF$26,建筑产出!BJ$16:BJ$26)</f>
        <v>0</v>
      </c>
      <c r="F159" s="14">
        <f>LOOKUP($A159,建筑产出!$BF$16:$BF$26,建筑产出!BK$16:BK$26)</f>
        <v>0.2</v>
      </c>
      <c r="G159" s="14">
        <f>LOOKUP($A159,建筑产出!$BF$16:$BF$26,建筑产出!BL$16:BL$26)</f>
        <v>0.2</v>
      </c>
      <c r="H159" s="14">
        <f>LOOKUP($A159,建筑产出!$BF$16:$BF$26,建筑产出!BM$16:BM$26)</f>
        <v>0</v>
      </c>
      <c r="I159" s="14">
        <f>ROUND(LOOKUP($C159,建筑产出!$A$2:$A$26,建筑产出!D$2:D$26)*D159,-2)</f>
        <v>68200</v>
      </c>
      <c r="J159" s="14">
        <f>ROUND(LOOKUP($C159,建筑产出!$A$2:$A$26,建筑产出!E$2:E$26)*E159,-2)</f>
        <v>0</v>
      </c>
      <c r="K159" s="14">
        <f>ROUND(LOOKUP($C159,建筑产出!$A$2:$A$26,建筑产出!F$2:F$26)*F159,-2)</f>
        <v>45500</v>
      </c>
      <c r="L159" s="14">
        <f>ROUND(LOOKUP($C159,建筑产出!$A$2:$A$26,建筑产出!G$2:G$26)*G159,-2)</f>
        <v>45500</v>
      </c>
      <c r="M159" s="14">
        <f>ROUND(LOOKUP($C159,建筑产出!$A$2:$A$26,建筑产出!H$2:H$26)*H159,-2)</f>
        <v>0</v>
      </c>
      <c r="N159" s="14"/>
      <c r="O159" s="14">
        <f t="shared" si="21"/>
        <v>1</v>
      </c>
      <c r="P159" s="14">
        <f t="shared" si="22"/>
        <v>0</v>
      </c>
      <c r="Q159" s="14">
        <f t="shared" si="23"/>
        <v>4</v>
      </c>
      <c r="R159" s="14">
        <f t="shared" si="24"/>
        <v>5</v>
      </c>
      <c r="S159" s="14">
        <f t="shared" si="25"/>
        <v>0</v>
      </c>
      <c r="T159" s="14"/>
      <c r="U159" s="14" t="str">
        <f t="shared" si="26"/>
        <v>1;4;5;</v>
      </c>
      <c r="V159" s="23" t="str">
        <f t="shared" si="27"/>
        <v>68200;45500;45500;</v>
      </c>
      <c r="X159" s="13" t="str">
        <f t="shared" si="28"/>
        <v>1;4;5</v>
      </c>
      <c r="Y159" s="13" t="str">
        <f t="shared" si="29"/>
        <v>68200;45500;45500</v>
      </c>
    </row>
    <row r="160" spans="1:25" s="13" customFormat="1" ht="20.100000000000001" customHeight="1">
      <c r="A160" s="11">
        <f t="shared" si="30"/>
        <v>7</v>
      </c>
      <c r="B160" s="9" t="s">
        <v>35</v>
      </c>
      <c r="C160" s="11">
        <v>8</v>
      </c>
      <c r="D160" s="14">
        <f>LOOKUP($A160,建筑产出!$BF$16:$BF$26,建筑产出!BI$16:BI$26)</f>
        <v>0.15</v>
      </c>
      <c r="E160" s="14">
        <f>LOOKUP($A160,建筑产出!$BF$16:$BF$26,建筑产出!BJ$16:BJ$26)</f>
        <v>0</v>
      </c>
      <c r="F160" s="14">
        <f>LOOKUP($A160,建筑产出!$BF$16:$BF$26,建筑产出!BK$16:BK$26)</f>
        <v>0.2</v>
      </c>
      <c r="G160" s="14">
        <f>LOOKUP($A160,建筑产出!$BF$16:$BF$26,建筑产出!BL$16:BL$26)</f>
        <v>0.2</v>
      </c>
      <c r="H160" s="14">
        <f>LOOKUP($A160,建筑产出!$BF$16:$BF$26,建筑产出!BM$16:BM$26)</f>
        <v>0</v>
      </c>
      <c r="I160" s="14">
        <f>ROUND(LOOKUP($C160,建筑产出!$A$2:$A$26,建筑产出!D$2:D$26)*D160,-2)</f>
        <v>86400</v>
      </c>
      <c r="J160" s="14">
        <f>ROUND(LOOKUP($C160,建筑产出!$A$2:$A$26,建筑产出!E$2:E$26)*E160,-2)</f>
        <v>0</v>
      </c>
      <c r="K160" s="14">
        <f>ROUND(LOOKUP($C160,建筑产出!$A$2:$A$26,建筑产出!F$2:F$26)*F160,-2)</f>
        <v>57600</v>
      </c>
      <c r="L160" s="14">
        <f>ROUND(LOOKUP($C160,建筑产出!$A$2:$A$26,建筑产出!G$2:G$26)*G160,-2)</f>
        <v>57600</v>
      </c>
      <c r="M160" s="14">
        <f>ROUND(LOOKUP($C160,建筑产出!$A$2:$A$26,建筑产出!H$2:H$26)*H160,-2)</f>
        <v>0</v>
      </c>
      <c r="N160" s="14"/>
      <c r="O160" s="14">
        <f t="shared" si="21"/>
        <v>1</v>
      </c>
      <c r="P160" s="14">
        <f t="shared" si="22"/>
        <v>0</v>
      </c>
      <c r="Q160" s="14">
        <f t="shared" si="23"/>
        <v>4</v>
      </c>
      <c r="R160" s="14">
        <f t="shared" si="24"/>
        <v>5</v>
      </c>
      <c r="S160" s="14">
        <f t="shared" si="25"/>
        <v>0</v>
      </c>
      <c r="T160" s="14"/>
      <c r="U160" s="14" t="str">
        <f t="shared" si="26"/>
        <v>1;4;5;</v>
      </c>
      <c r="V160" s="23" t="str">
        <f t="shared" si="27"/>
        <v>86400;57600;57600;</v>
      </c>
      <c r="X160" s="13" t="str">
        <f t="shared" si="28"/>
        <v>1;4;5</v>
      </c>
      <c r="Y160" s="13" t="str">
        <f t="shared" si="29"/>
        <v>86400;57600;57600</v>
      </c>
    </row>
    <row r="161" spans="1:25" s="13" customFormat="1" ht="20.100000000000001" customHeight="1">
      <c r="A161" s="11">
        <f t="shared" si="30"/>
        <v>7</v>
      </c>
      <c r="B161" s="9" t="s">
        <v>35</v>
      </c>
      <c r="C161" s="11">
        <v>9</v>
      </c>
      <c r="D161" s="14">
        <f>LOOKUP($A161,建筑产出!$BF$16:$BF$26,建筑产出!BI$16:BI$26)</f>
        <v>0.15</v>
      </c>
      <c r="E161" s="14">
        <f>LOOKUP($A161,建筑产出!$BF$16:$BF$26,建筑产出!BJ$16:BJ$26)</f>
        <v>0</v>
      </c>
      <c r="F161" s="14">
        <f>LOOKUP($A161,建筑产出!$BF$16:$BF$26,建筑产出!BK$16:BK$26)</f>
        <v>0.2</v>
      </c>
      <c r="G161" s="14">
        <f>LOOKUP($A161,建筑产出!$BF$16:$BF$26,建筑产出!BL$16:BL$26)</f>
        <v>0.2</v>
      </c>
      <c r="H161" s="14">
        <f>LOOKUP($A161,建筑产出!$BF$16:$BF$26,建筑产出!BM$16:BM$26)</f>
        <v>0</v>
      </c>
      <c r="I161" s="14">
        <f>ROUND(LOOKUP($C161,建筑产出!$A$2:$A$26,建筑产出!D$2:D$26)*D161,-2)</f>
        <v>106600</v>
      </c>
      <c r="J161" s="14">
        <f>ROUND(LOOKUP($C161,建筑产出!$A$2:$A$26,建筑产出!E$2:E$26)*E161,-2)</f>
        <v>0</v>
      </c>
      <c r="K161" s="14">
        <f>ROUND(LOOKUP($C161,建筑产出!$A$2:$A$26,建筑产出!F$2:F$26)*F161,-2)</f>
        <v>71100</v>
      </c>
      <c r="L161" s="14">
        <f>ROUND(LOOKUP($C161,建筑产出!$A$2:$A$26,建筑产出!G$2:G$26)*G161,-2)</f>
        <v>71100</v>
      </c>
      <c r="M161" s="14">
        <f>ROUND(LOOKUP($C161,建筑产出!$A$2:$A$26,建筑产出!H$2:H$26)*H161,-2)</f>
        <v>0</v>
      </c>
      <c r="N161" s="14"/>
      <c r="O161" s="14">
        <f t="shared" si="21"/>
        <v>1</v>
      </c>
      <c r="P161" s="14">
        <f t="shared" si="22"/>
        <v>0</v>
      </c>
      <c r="Q161" s="14">
        <f t="shared" si="23"/>
        <v>4</v>
      </c>
      <c r="R161" s="14">
        <f t="shared" si="24"/>
        <v>5</v>
      </c>
      <c r="S161" s="14">
        <f t="shared" si="25"/>
        <v>0</v>
      </c>
      <c r="T161" s="14"/>
      <c r="U161" s="14" t="str">
        <f t="shared" si="26"/>
        <v>1;4;5;</v>
      </c>
      <c r="V161" s="23" t="str">
        <f t="shared" si="27"/>
        <v>106600;71100;71100;</v>
      </c>
      <c r="X161" s="13" t="str">
        <f t="shared" si="28"/>
        <v>1;4;5</v>
      </c>
      <c r="Y161" s="13" t="str">
        <f t="shared" si="29"/>
        <v>106600;71100;71100</v>
      </c>
    </row>
    <row r="162" spans="1:25" s="13" customFormat="1" ht="20.100000000000001" customHeight="1">
      <c r="A162" s="11">
        <f t="shared" si="30"/>
        <v>7</v>
      </c>
      <c r="B162" s="9" t="s">
        <v>35</v>
      </c>
      <c r="C162" s="11">
        <v>10</v>
      </c>
      <c r="D162" s="14">
        <f>LOOKUP($A162,建筑产出!$BF$16:$BF$26,建筑产出!BI$16:BI$26)</f>
        <v>0.15</v>
      </c>
      <c r="E162" s="14">
        <f>LOOKUP($A162,建筑产出!$BF$16:$BF$26,建筑产出!BJ$16:BJ$26)</f>
        <v>0</v>
      </c>
      <c r="F162" s="14">
        <f>LOOKUP($A162,建筑产出!$BF$16:$BF$26,建筑产出!BK$16:BK$26)</f>
        <v>0.2</v>
      </c>
      <c r="G162" s="14">
        <f>LOOKUP($A162,建筑产出!$BF$16:$BF$26,建筑产出!BL$16:BL$26)</f>
        <v>0.2</v>
      </c>
      <c r="H162" s="14">
        <f>LOOKUP($A162,建筑产出!$BF$16:$BF$26,建筑产出!BM$16:BM$26)</f>
        <v>0</v>
      </c>
      <c r="I162" s="14">
        <f>ROUND(LOOKUP($C162,建筑产出!$A$2:$A$26,建筑产出!D$2:D$26)*D162,-2)</f>
        <v>133300</v>
      </c>
      <c r="J162" s="14">
        <f>ROUND(LOOKUP($C162,建筑产出!$A$2:$A$26,建筑产出!E$2:E$26)*E162,-2)</f>
        <v>0</v>
      </c>
      <c r="K162" s="14">
        <f>ROUND(LOOKUP($C162,建筑产出!$A$2:$A$26,建筑产出!F$2:F$26)*F162,-2)</f>
        <v>88900</v>
      </c>
      <c r="L162" s="14">
        <f>ROUND(LOOKUP($C162,建筑产出!$A$2:$A$26,建筑产出!G$2:G$26)*G162,-2)</f>
        <v>88900</v>
      </c>
      <c r="M162" s="14">
        <f>ROUND(LOOKUP($C162,建筑产出!$A$2:$A$26,建筑产出!H$2:H$26)*H162,-2)</f>
        <v>0</v>
      </c>
      <c r="N162" s="14"/>
      <c r="O162" s="14">
        <f t="shared" si="21"/>
        <v>1</v>
      </c>
      <c r="P162" s="14">
        <f t="shared" si="22"/>
        <v>0</v>
      </c>
      <c r="Q162" s="14">
        <f t="shared" si="23"/>
        <v>4</v>
      </c>
      <c r="R162" s="14">
        <f t="shared" si="24"/>
        <v>5</v>
      </c>
      <c r="S162" s="14">
        <f t="shared" si="25"/>
        <v>0</v>
      </c>
      <c r="T162" s="14"/>
      <c r="U162" s="14" t="str">
        <f t="shared" si="26"/>
        <v>1;4;5;</v>
      </c>
      <c r="V162" s="23" t="str">
        <f t="shared" si="27"/>
        <v>133300;88900;88900;</v>
      </c>
      <c r="X162" s="13" t="str">
        <f t="shared" si="28"/>
        <v>1;4;5</v>
      </c>
      <c r="Y162" s="13" t="str">
        <f t="shared" si="29"/>
        <v>133300;88900;88900</v>
      </c>
    </row>
    <row r="163" spans="1:25" s="13" customFormat="1" ht="20.100000000000001" customHeight="1">
      <c r="A163" s="11">
        <f t="shared" si="30"/>
        <v>7</v>
      </c>
      <c r="B163" s="9" t="s">
        <v>35</v>
      </c>
      <c r="C163" s="11">
        <v>11</v>
      </c>
      <c r="D163" s="14">
        <f>LOOKUP($A163,建筑产出!$BF$16:$BF$26,建筑产出!BI$16:BI$26)</f>
        <v>0.15</v>
      </c>
      <c r="E163" s="14">
        <f>LOOKUP($A163,建筑产出!$BF$16:$BF$26,建筑产出!BJ$16:BJ$26)</f>
        <v>0</v>
      </c>
      <c r="F163" s="14">
        <f>LOOKUP($A163,建筑产出!$BF$16:$BF$26,建筑产出!BK$16:BK$26)</f>
        <v>0.2</v>
      </c>
      <c r="G163" s="14">
        <f>LOOKUP($A163,建筑产出!$BF$16:$BF$26,建筑产出!BL$16:BL$26)</f>
        <v>0.2</v>
      </c>
      <c r="H163" s="14">
        <f>LOOKUP($A163,建筑产出!$BF$16:$BF$26,建筑产出!BM$16:BM$26)</f>
        <v>0</v>
      </c>
      <c r="I163" s="14">
        <f>ROUND(LOOKUP($C163,建筑产出!$A$2:$A$26,建筑产出!D$2:D$26)*D163,-2)</f>
        <v>162800</v>
      </c>
      <c r="J163" s="14">
        <f>ROUND(LOOKUP($C163,建筑产出!$A$2:$A$26,建筑产出!E$2:E$26)*E163,-2)</f>
        <v>0</v>
      </c>
      <c r="K163" s="14">
        <f>ROUND(LOOKUP($C163,建筑产出!$A$2:$A$26,建筑产出!F$2:F$26)*F163,-2)</f>
        <v>108500</v>
      </c>
      <c r="L163" s="14">
        <f>ROUND(LOOKUP($C163,建筑产出!$A$2:$A$26,建筑产出!G$2:G$26)*G163,-2)</f>
        <v>108500</v>
      </c>
      <c r="M163" s="14">
        <f>ROUND(LOOKUP($C163,建筑产出!$A$2:$A$26,建筑产出!H$2:H$26)*H163,-2)</f>
        <v>0</v>
      </c>
      <c r="N163" s="14"/>
      <c r="O163" s="14">
        <f t="shared" si="21"/>
        <v>1</v>
      </c>
      <c r="P163" s="14">
        <f t="shared" si="22"/>
        <v>0</v>
      </c>
      <c r="Q163" s="14">
        <f t="shared" si="23"/>
        <v>4</v>
      </c>
      <c r="R163" s="14">
        <f t="shared" si="24"/>
        <v>5</v>
      </c>
      <c r="S163" s="14">
        <f t="shared" si="25"/>
        <v>0</v>
      </c>
      <c r="T163" s="14"/>
      <c r="U163" s="14" t="str">
        <f t="shared" si="26"/>
        <v>1;4;5;</v>
      </c>
      <c r="V163" s="23" t="str">
        <f t="shared" si="27"/>
        <v>162800;108500;108500;</v>
      </c>
      <c r="X163" s="13" t="str">
        <f t="shared" si="28"/>
        <v>1;4;5</v>
      </c>
      <c r="Y163" s="13" t="str">
        <f t="shared" si="29"/>
        <v>162800;108500;108500</v>
      </c>
    </row>
    <row r="164" spans="1:25" s="13" customFormat="1" ht="20.100000000000001" customHeight="1">
      <c r="A164" s="11">
        <f t="shared" si="30"/>
        <v>7</v>
      </c>
      <c r="B164" s="9" t="s">
        <v>35</v>
      </c>
      <c r="C164" s="11">
        <v>12</v>
      </c>
      <c r="D164" s="14">
        <f>LOOKUP($A164,建筑产出!$BF$16:$BF$26,建筑产出!BI$16:BI$26)</f>
        <v>0.15</v>
      </c>
      <c r="E164" s="14">
        <f>LOOKUP($A164,建筑产出!$BF$16:$BF$26,建筑产出!BJ$16:BJ$26)</f>
        <v>0</v>
      </c>
      <c r="F164" s="14">
        <f>LOOKUP($A164,建筑产出!$BF$16:$BF$26,建筑产出!BK$16:BK$26)</f>
        <v>0.2</v>
      </c>
      <c r="G164" s="14">
        <f>LOOKUP($A164,建筑产出!$BF$16:$BF$26,建筑产出!BL$16:BL$26)</f>
        <v>0.2</v>
      </c>
      <c r="H164" s="14">
        <f>LOOKUP($A164,建筑产出!$BF$16:$BF$26,建筑产出!BM$16:BM$26)</f>
        <v>0</v>
      </c>
      <c r="I164" s="14">
        <f>ROUND(LOOKUP($C164,建筑产出!$A$2:$A$26,建筑产出!D$2:D$26)*D164,-2)</f>
        <v>195000</v>
      </c>
      <c r="J164" s="14">
        <f>ROUND(LOOKUP($C164,建筑产出!$A$2:$A$26,建筑产出!E$2:E$26)*E164,-2)</f>
        <v>0</v>
      </c>
      <c r="K164" s="14">
        <f>ROUND(LOOKUP($C164,建筑产出!$A$2:$A$26,建筑产出!F$2:F$26)*F164,-2)</f>
        <v>130000</v>
      </c>
      <c r="L164" s="14">
        <f>ROUND(LOOKUP($C164,建筑产出!$A$2:$A$26,建筑产出!G$2:G$26)*G164,-2)</f>
        <v>130000</v>
      </c>
      <c r="M164" s="14">
        <f>ROUND(LOOKUP($C164,建筑产出!$A$2:$A$26,建筑产出!H$2:H$26)*H164,-2)</f>
        <v>0</v>
      </c>
      <c r="N164" s="14"/>
      <c r="O164" s="14">
        <f t="shared" si="21"/>
        <v>1</v>
      </c>
      <c r="P164" s="14">
        <f t="shared" si="22"/>
        <v>0</v>
      </c>
      <c r="Q164" s="14">
        <f t="shared" si="23"/>
        <v>4</v>
      </c>
      <c r="R164" s="14">
        <f t="shared" si="24"/>
        <v>5</v>
      </c>
      <c r="S164" s="14">
        <f t="shared" si="25"/>
        <v>0</v>
      </c>
      <c r="T164" s="14"/>
      <c r="U164" s="14" t="str">
        <f t="shared" si="26"/>
        <v>1;4;5;</v>
      </c>
      <c r="V164" s="23" t="str">
        <f t="shared" si="27"/>
        <v>195000;130000;130000;</v>
      </c>
      <c r="X164" s="13" t="str">
        <f t="shared" si="28"/>
        <v>1;4;5</v>
      </c>
      <c r="Y164" s="13" t="str">
        <f t="shared" si="29"/>
        <v>195000;130000;130000</v>
      </c>
    </row>
    <row r="165" spans="1:25" s="13" customFormat="1" ht="20.100000000000001" customHeight="1">
      <c r="A165" s="11">
        <f t="shared" si="30"/>
        <v>7</v>
      </c>
      <c r="B165" s="9" t="s">
        <v>35</v>
      </c>
      <c r="C165" s="11">
        <v>13</v>
      </c>
      <c r="D165" s="14">
        <f>LOOKUP($A165,建筑产出!$BF$16:$BF$26,建筑产出!BI$16:BI$26)</f>
        <v>0.15</v>
      </c>
      <c r="E165" s="14">
        <f>LOOKUP($A165,建筑产出!$BF$16:$BF$26,建筑产出!BJ$16:BJ$26)</f>
        <v>0</v>
      </c>
      <c r="F165" s="14">
        <f>LOOKUP($A165,建筑产出!$BF$16:$BF$26,建筑产出!BK$16:BK$26)</f>
        <v>0.2</v>
      </c>
      <c r="G165" s="14">
        <f>LOOKUP($A165,建筑产出!$BF$16:$BF$26,建筑产出!BL$16:BL$26)</f>
        <v>0.2</v>
      </c>
      <c r="H165" s="14">
        <f>LOOKUP($A165,建筑产出!$BF$16:$BF$26,建筑产出!BM$16:BM$26)</f>
        <v>0</v>
      </c>
      <c r="I165" s="14">
        <f>ROUND(LOOKUP($C165,建筑产出!$A$2:$A$26,建筑产出!D$2:D$26)*D165,-2)</f>
        <v>230000</v>
      </c>
      <c r="J165" s="14">
        <f>ROUND(LOOKUP($C165,建筑产出!$A$2:$A$26,建筑产出!E$2:E$26)*E165,-2)</f>
        <v>0</v>
      </c>
      <c r="K165" s="14">
        <f>ROUND(LOOKUP($C165,建筑产出!$A$2:$A$26,建筑产出!F$2:F$26)*F165,-2)</f>
        <v>153300</v>
      </c>
      <c r="L165" s="14">
        <f>ROUND(LOOKUP($C165,建筑产出!$A$2:$A$26,建筑产出!G$2:G$26)*G165,-2)</f>
        <v>153300</v>
      </c>
      <c r="M165" s="14">
        <f>ROUND(LOOKUP($C165,建筑产出!$A$2:$A$26,建筑产出!H$2:H$26)*H165,-2)</f>
        <v>0</v>
      </c>
      <c r="N165" s="14"/>
      <c r="O165" s="14">
        <f t="shared" si="21"/>
        <v>1</v>
      </c>
      <c r="P165" s="14">
        <f t="shared" si="22"/>
        <v>0</v>
      </c>
      <c r="Q165" s="14">
        <f t="shared" si="23"/>
        <v>4</v>
      </c>
      <c r="R165" s="14">
        <f t="shared" si="24"/>
        <v>5</v>
      </c>
      <c r="S165" s="14">
        <f t="shared" si="25"/>
        <v>0</v>
      </c>
      <c r="T165" s="14"/>
      <c r="U165" s="14" t="str">
        <f t="shared" si="26"/>
        <v>1;4;5;</v>
      </c>
      <c r="V165" s="23" t="str">
        <f t="shared" si="27"/>
        <v>230000;153300;153300;</v>
      </c>
      <c r="X165" s="13" t="str">
        <f t="shared" si="28"/>
        <v>1;4;5</v>
      </c>
      <c r="Y165" s="13" t="str">
        <f t="shared" si="29"/>
        <v>230000;153300;153300</v>
      </c>
    </row>
    <row r="166" spans="1:25" s="13" customFormat="1" ht="20.100000000000001" customHeight="1">
      <c r="A166" s="11">
        <f t="shared" si="30"/>
        <v>7</v>
      </c>
      <c r="B166" s="9" t="s">
        <v>35</v>
      </c>
      <c r="C166" s="11">
        <v>14</v>
      </c>
      <c r="D166" s="14">
        <f>LOOKUP($A166,建筑产出!$BF$16:$BF$26,建筑产出!BI$16:BI$26)</f>
        <v>0.15</v>
      </c>
      <c r="E166" s="14">
        <f>LOOKUP($A166,建筑产出!$BF$16:$BF$26,建筑产出!BJ$16:BJ$26)</f>
        <v>0</v>
      </c>
      <c r="F166" s="14">
        <f>LOOKUP($A166,建筑产出!$BF$16:$BF$26,建筑产出!BK$16:BK$26)</f>
        <v>0.2</v>
      </c>
      <c r="G166" s="14">
        <f>LOOKUP($A166,建筑产出!$BF$16:$BF$26,建筑产出!BL$16:BL$26)</f>
        <v>0.2</v>
      </c>
      <c r="H166" s="14">
        <f>LOOKUP($A166,建筑产出!$BF$16:$BF$26,建筑产出!BM$16:BM$26)</f>
        <v>0</v>
      </c>
      <c r="I166" s="14">
        <f>ROUND(LOOKUP($C166,建筑产出!$A$2:$A$26,建筑产出!D$2:D$26)*D166,-2)</f>
        <v>267700</v>
      </c>
      <c r="J166" s="14">
        <f>ROUND(LOOKUP($C166,建筑产出!$A$2:$A$26,建筑产出!E$2:E$26)*E166,-2)</f>
        <v>0</v>
      </c>
      <c r="K166" s="14">
        <f>ROUND(LOOKUP($C166,建筑产出!$A$2:$A$26,建筑产出!F$2:F$26)*F166,-2)</f>
        <v>178500</v>
      </c>
      <c r="L166" s="14">
        <f>ROUND(LOOKUP($C166,建筑产出!$A$2:$A$26,建筑产出!G$2:G$26)*G166,-2)</f>
        <v>178500</v>
      </c>
      <c r="M166" s="14">
        <f>ROUND(LOOKUP($C166,建筑产出!$A$2:$A$26,建筑产出!H$2:H$26)*H166,-2)</f>
        <v>0</v>
      </c>
      <c r="N166" s="14"/>
      <c r="O166" s="14">
        <f t="shared" si="21"/>
        <v>1</v>
      </c>
      <c r="P166" s="14">
        <f t="shared" si="22"/>
        <v>0</v>
      </c>
      <c r="Q166" s="14">
        <f t="shared" si="23"/>
        <v>4</v>
      </c>
      <c r="R166" s="14">
        <f t="shared" si="24"/>
        <v>5</v>
      </c>
      <c r="S166" s="14">
        <f t="shared" si="25"/>
        <v>0</v>
      </c>
      <c r="T166" s="14"/>
      <c r="U166" s="14" t="str">
        <f t="shared" si="26"/>
        <v>1;4;5;</v>
      </c>
      <c r="V166" s="23" t="str">
        <f t="shared" si="27"/>
        <v>267700;178500;178500;</v>
      </c>
      <c r="X166" s="13" t="str">
        <f t="shared" si="28"/>
        <v>1;4;5</v>
      </c>
      <c r="Y166" s="13" t="str">
        <f t="shared" si="29"/>
        <v>267700;178500;178500</v>
      </c>
    </row>
    <row r="167" spans="1:25" s="13" customFormat="1" ht="20.100000000000001" customHeight="1">
      <c r="A167" s="11">
        <f t="shared" si="30"/>
        <v>7</v>
      </c>
      <c r="B167" s="9" t="s">
        <v>35</v>
      </c>
      <c r="C167" s="11">
        <v>15</v>
      </c>
      <c r="D167" s="14">
        <f>LOOKUP($A167,建筑产出!$BF$16:$BF$26,建筑产出!BI$16:BI$26)</f>
        <v>0.15</v>
      </c>
      <c r="E167" s="14">
        <f>LOOKUP($A167,建筑产出!$BF$16:$BF$26,建筑产出!BJ$16:BJ$26)</f>
        <v>0</v>
      </c>
      <c r="F167" s="14">
        <f>LOOKUP($A167,建筑产出!$BF$16:$BF$26,建筑产出!BK$16:BK$26)</f>
        <v>0.2</v>
      </c>
      <c r="G167" s="14">
        <f>LOOKUP($A167,建筑产出!$BF$16:$BF$26,建筑产出!BL$16:BL$26)</f>
        <v>0.2</v>
      </c>
      <c r="H167" s="14">
        <f>LOOKUP($A167,建筑产出!$BF$16:$BF$26,建筑产出!BM$16:BM$26)</f>
        <v>0</v>
      </c>
      <c r="I167" s="14">
        <f>ROUND(LOOKUP($C167,建筑产出!$A$2:$A$26,建筑产出!D$2:D$26)*D167,-2)</f>
        <v>314400</v>
      </c>
      <c r="J167" s="14">
        <f>ROUND(LOOKUP($C167,建筑产出!$A$2:$A$26,建筑产出!E$2:E$26)*E167,-2)</f>
        <v>0</v>
      </c>
      <c r="K167" s="14">
        <f>ROUND(LOOKUP($C167,建筑产出!$A$2:$A$26,建筑产出!F$2:F$26)*F167,-2)</f>
        <v>209600</v>
      </c>
      <c r="L167" s="14">
        <f>ROUND(LOOKUP($C167,建筑产出!$A$2:$A$26,建筑产出!G$2:G$26)*G167,-2)</f>
        <v>209600</v>
      </c>
      <c r="M167" s="14">
        <f>ROUND(LOOKUP($C167,建筑产出!$A$2:$A$26,建筑产出!H$2:H$26)*H167,-2)</f>
        <v>0</v>
      </c>
      <c r="N167" s="14"/>
      <c r="O167" s="14">
        <f t="shared" si="21"/>
        <v>1</v>
      </c>
      <c r="P167" s="14">
        <f t="shared" si="22"/>
        <v>0</v>
      </c>
      <c r="Q167" s="14">
        <f t="shared" si="23"/>
        <v>4</v>
      </c>
      <c r="R167" s="14">
        <f t="shared" si="24"/>
        <v>5</v>
      </c>
      <c r="S167" s="14">
        <f t="shared" si="25"/>
        <v>0</v>
      </c>
      <c r="T167" s="14"/>
      <c r="U167" s="14" t="str">
        <f t="shared" si="26"/>
        <v>1;4;5;</v>
      </c>
      <c r="V167" s="23" t="str">
        <f t="shared" si="27"/>
        <v>314400;209600;209600;</v>
      </c>
      <c r="X167" s="13" t="str">
        <f t="shared" si="28"/>
        <v>1;4;5</v>
      </c>
      <c r="Y167" s="13" t="str">
        <f t="shared" si="29"/>
        <v>314400;209600;209600</v>
      </c>
    </row>
    <row r="168" spans="1:25" s="13" customFormat="1" ht="20.100000000000001" customHeight="1">
      <c r="A168" s="11">
        <f t="shared" si="30"/>
        <v>7</v>
      </c>
      <c r="B168" s="9" t="s">
        <v>35</v>
      </c>
      <c r="C168" s="11">
        <v>16</v>
      </c>
      <c r="D168" s="14">
        <f>LOOKUP($A168,建筑产出!$BF$16:$BF$26,建筑产出!BI$16:BI$26)</f>
        <v>0.15</v>
      </c>
      <c r="E168" s="14">
        <f>LOOKUP($A168,建筑产出!$BF$16:$BF$26,建筑产出!BJ$16:BJ$26)</f>
        <v>0</v>
      </c>
      <c r="F168" s="14">
        <f>LOOKUP($A168,建筑产出!$BF$16:$BF$26,建筑产出!BK$16:BK$26)</f>
        <v>0.2</v>
      </c>
      <c r="G168" s="14">
        <f>LOOKUP($A168,建筑产出!$BF$16:$BF$26,建筑产出!BL$16:BL$26)</f>
        <v>0.2</v>
      </c>
      <c r="H168" s="14">
        <f>LOOKUP($A168,建筑产出!$BF$16:$BF$26,建筑产出!BM$16:BM$26)</f>
        <v>0</v>
      </c>
      <c r="I168" s="14">
        <f>ROUND(LOOKUP($C168,建筑产出!$A$2:$A$26,建筑产出!D$2:D$26)*D168,-2)</f>
        <v>364500</v>
      </c>
      <c r="J168" s="14">
        <f>ROUND(LOOKUP($C168,建筑产出!$A$2:$A$26,建筑产出!E$2:E$26)*E168,-2)</f>
        <v>0</v>
      </c>
      <c r="K168" s="14">
        <f>ROUND(LOOKUP($C168,建筑产出!$A$2:$A$26,建筑产出!F$2:F$26)*F168,-2)</f>
        <v>243000</v>
      </c>
      <c r="L168" s="14">
        <f>ROUND(LOOKUP($C168,建筑产出!$A$2:$A$26,建筑产出!G$2:G$26)*G168,-2)</f>
        <v>243000</v>
      </c>
      <c r="M168" s="14">
        <f>ROUND(LOOKUP($C168,建筑产出!$A$2:$A$26,建筑产出!H$2:H$26)*H168,-2)</f>
        <v>0</v>
      </c>
      <c r="N168" s="14"/>
      <c r="O168" s="14">
        <f t="shared" si="21"/>
        <v>1</v>
      </c>
      <c r="P168" s="14">
        <f t="shared" si="22"/>
        <v>0</v>
      </c>
      <c r="Q168" s="14">
        <f t="shared" si="23"/>
        <v>4</v>
      </c>
      <c r="R168" s="14">
        <f t="shared" si="24"/>
        <v>5</v>
      </c>
      <c r="S168" s="14">
        <f t="shared" si="25"/>
        <v>0</v>
      </c>
      <c r="T168" s="14"/>
      <c r="U168" s="14" t="str">
        <f t="shared" si="26"/>
        <v>1;4;5;</v>
      </c>
      <c r="V168" s="23" t="str">
        <f t="shared" si="27"/>
        <v>364500;243000;243000;</v>
      </c>
      <c r="X168" s="13" t="str">
        <f t="shared" si="28"/>
        <v>1;4;5</v>
      </c>
      <c r="Y168" s="13" t="str">
        <f t="shared" si="29"/>
        <v>364500;243000;243000</v>
      </c>
    </row>
    <row r="169" spans="1:25" s="13" customFormat="1" ht="20.100000000000001" customHeight="1">
      <c r="A169" s="11">
        <f t="shared" si="30"/>
        <v>7</v>
      </c>
      <c r="B169" s="9" t="s">
        <v>35</v>
      </c>
      <c r="C169" s="11">
        <v>17</v>
      </c>
      <c r="D169" s="14">
        <f>LOOKUP($A169,建筑产出!$BF$16:$BF$26,建筑产出!BI$16:BI$26)</f>
        <v>0.15</v>
      </c>
      <c r="E169" s="14">
        <f>LOOKUP($A169,建筑产出!$BF$16:$BF$26,建筑产出!BJ$16:BJ$26)</f>
        <v>0</v>
      </c>
      <c r="F169" s="14">
        <f>LOOKUP($A169,建筑产出!$BF$16:$BF$26,建筑产出!BK$16:BK$26)</f>
        <v>0.2</v>
      </c>
      <c r="G169" s="14">
        <f>LOOKUP($A169,建筑产出!$BF$16:$BF$26,建筑产出!BL$16:BL$26)</f>
        <v>0.2</v>
      </c>
      <c r="H169" s="14">
        <f>LOOKUP($A169,建筑产出!$BF$16:$BF$26,建筑产出!BM$16:BM$26)</f>
        <v>0</v>
      </c>
      <c r="I169" s="14">
        <f>ROUND(LOOKUP($C169,建筑产出!$A$2:$A$26,建筑产出!D$2:D$26)*D169,-2)</f>
        <v>418100</v>
      </c>
      <c r="J169" s="14">
        <f>ROUND(LOOKUP($C169,建筑产出!$A$2:$A$26,建筑产出!E$2:E$26)*E169,-2)</f>
        <v>0</v>
      </c>
      <c r="K169" s="14">
        <f>ROUND(LOOKUP($C169,建筑产出!$A$2:$A$26,建筑产出!F$2:F$26)*F169,-2)</f>
        <v>278700</v>
      </c>
      <c r="L169" s="14">
        <f>ROUND(LOOKUP($C169,建筑产出!$A$2:$A$26,建筑产出!G$2:G$26)*G169,-2)</f>
        <v>278700</v>
      </c>
      <c r="M169" s="14">
        <f>ROUND(LOOKUP($C169,建筑产出!$A$2:$A$26,建筑产出!H$2:H$26)*H169,-2)</f>
        <v>0</v>
      </c>
      <c r="N169" s="14"/>
      <c r="O169" s="14">
        <f t="shared" si="21"/>
        <v>1</v>
      </c>
      <c r="P169" s="14">
        <f t="shared" si="22"/>
        <v>0</v>
      </c>
      <c r="Q169" s="14">
        <f t="shared" si="23"/>
        <v>4</v>
      </c>
      <c r="R169" s="14">
        <f t="shared" si="24"/>
        <v>5</v>
      </c>
      <c r="S169" s="14">
        <f t="shared" si="25"/>
        <v>0</v>
      </c>
      <c r="T169" s="14"/>
      <c r="U169" s="14" t="str">
        <f t="shared" si="26"/>
        <v>1;4;5;</v>
      </c>
      <c r="V169" s="23" t="str">
        <f t="shared" si="27"/>
        <v>418100;278700;278700;</v>
      </c>
      <c r="X169" s="13" t="str">
        <f t="shared" si="28"/>
        <v>1;4;5</v>
      </c>
      <c r="Y169" s="13" t="str">
        <f t="shared" si="29"/>
        <v>418100;278700;278700</v>
      </c>
    </row>
    <row r="170" spans="1:25" s="13" customFormat="1" ht="20.100000000000001" customHeight="1">
      <c r="A170" s="11">
        <f t="shared" si="30"/>
        <v>7</v>
      </c>
      <c r="B170" s="9" t="s">
        <v>35</v>
      </c>
      <c r="C170" s="11">
        <v>18</v>
      </c>
      <c r="D170" s="14">
        <f>LOOKUP($A170,建筑产出!$BF$16:$BF$26,建筑产出!BI$16:BI$26)</f>
        <v>0.15</v>
      </c>
      <c r="E170" s="14">
        <f>LOOKUP($A170,建筑产出!$BF$16:$BF$26,建筑产出!BJ$16:BJ$26)</f>
        <v>0</v>
      </c>
      <c r="F170" s="14">
        <f>LOOKUP($A170,建筑产出!$BF$16:$BF$26,建筑产出!BK$16:BK$26)</f>
        <v>0.2</v>
      </c>
      <c r="G170" s="14">
        <f>LOOKUP($A170,建筑产出!$BF$16:$BF$26,建筑产出!BL$16:BL$26)</f>
        <v>0.2</v>
      </c>
      <c r="H170" s="14">
        <f>LOOKUP($A170,建筑产出!$BF$16:$BF$26,建筑产出!BM$16:BM$26)</f>
        <v>0</v>
      </c>
      <c r="I170" s="14">
        <f>ROUND(LOOKUP($C170,建筑产出!$A$2:$A$26,建筑产出!D$2:D$26)*D170,-2)</f>
        <v>475100</v>
      </c>
      <c r="J170" s="14">
        <f>ROUND(LOOKUP($C170,建筑产出!$A$2:$A$26,建筑产出!E$2:E$26)*E170,-2)</f>
        <v>0</v>
      </c>
      <c r="K170" s="14">
        <f>ROUND(LOOKUP($C170,建筑产出!$A$2:$A$26,建筑产出!F$2:F$26)*F170,-2)</f>
        <v>316700</v>
      </c>
      <c r="L170" s="14">
        <f>ROUND(LOOKUP($C170,建筑产出!$A$2:$A$26,建筑产出!G$2:G$26)*G170,-2)</f>
        <v>316700</v>
      </c>
      <c r="M170" s="14">
        <f>ROUND(LOOKUP($C170,建筑产出!$A$2:$A$26,建筑产出!H$2:H$26)*H170,-2)</f>
        <v>0</v>
      </c>
      <c r="N170" s="14"/>
      <c r="O170" s="14">
        <f t="shared" si="21"/>
        <v>1</v>
      </c>
      <c r="P170" s="14">
        <f t="shared" si="22"/>
        <v>0</v>
      </c>
      <c r="Q170" s="14">
        <f t="shared" si="23"/>
        <v>4</v>
      </c>
      <c r="R170" s="14">
        <f t="shared" si="24"/>
        <v>5</v>
      </c>
      <c r="S170" s="14">
        <f t="shared" si="25"/>
        <v>0</v>
      </c>
      <c r="T170" s="14"/>
      <c r="U170" s="14" t="str">
        <f t="shared" si="26"/>
        <v>1;4;5;</v>
      </c>
      <c r="V170" s="23" t="str">
        <f t="shared" si="27"/>
        <v>475100;316700;316700;</v>
      </c>
      <c r="X170" s="13" t="str">
        <f t="shared" si="28"/>
        <v>1;4;5</v>
      </c>
      <c r="Y170" s="13" t="str">
        <f t="shared" si="29"/>
        <v>475100;316700;316700</v>
      </c>
    </row>
    <row r="171" spans="1:25" s="13" customFormat="1" ht="20.100000000000001" customHeight="1">
      <c r="A171" s="11">
        <f t="shared" si="30"/>
        <v>7</v>
      </c>
      <c r="B171" s="9" t="s">
        <v>35</v>
      </c>
      <c r="C171" s="11">
        <v>19</v>
      </c>
      <c r="D171" s="14">
        <f>LOOKUP($A171,建筑产出!$BF$16:$BF$26,建筑产出!BI$16:BI$26)</f>
        <v>0.15</v>
      </c>
      <c r="E171" s="14">
        <f>LOOKUP($A171,建筑产出!$BF$16:$BF$26,建筑产出!BJ$16:BJ$26)</f>
        <v>0</v>
      </c>
      <c r="F171" s="14">
        <f>LOOKUP($A171,建筑产出!$BF$16:$BF$26,建筑产出!BK$16:BK$26)</f>
        <v>0.2</v>
      </c>
      <c r="G171" s="14">
        <f>LOOKUP($A171,建筑产出!$BF$16:$BF$26,建筑产出!BL$16:BL$26)</f>
        <v>0.2</v>
      </c>
      <c r="H171" s="14">
        <f>LOOKUP($A171,建筑产出!$BF$16:$BF$26,建筑产出!BM$16:BM$26)</f>
        <v>0</v>
      </c>
      <c r="I171" s="14">
        <f>ROUND(LOOKUP($C171,建筑产出!$A$2:$A$26,建筑产出!D$2:D$26)*D171,-2)</f>
        <v>535600</v>
      </c>
      <c r="J171" s="14">
        <f>ROUND(LOOKUP($C171,建筑产出!$A$2:$A$26,建筑产出!E$2:E$26)*E171,-2)</f>
        <v>0</v>
      </c>
      <c r="K171" s="14">
        <f>ROUND(LOOKUP($C171,建筑产出!$A$2:$A$26,建筑产出!F$2:F$26)*F171,-2)</f>
        <v>357000</v>
      </c>
      <c r="L171" s="14">
        <f>ROUND(LOOKUP($C171,建筑产出!$A$2:$A$26,建筑产出!G$2:G$26)*G171,-2)</f>
        <v>357000</v>
      </c>
      <c r="M171" s="14">
        <f>ROUND(LOOKUP($C171,建筑产出!$A$2:$A$26,建筑产出!H$2:H$26)*H171,-2)</f>
        <v>0</v>
      </c>
      <c r="N171" s="14"/>
      <c r="O171" s="14">
        <f t="shared" si="21"/>
        <v>1</v>
      </c>
      <c r="P171" s="14">
        <f t="shared" si="22"/>
        <v>0</v>
      </c>
      <c r="Q171" s="14">
        <f t="shared" si="23"/>
        <v>4</v>
      </c>
      <c r="R171" s="14">
        <f t="shared" si="24"/>
        <v>5</v>
      </c>
      <c r="S171" s="14">
        <f t="shared" si="25"/>
        <v>0</v>
      </c>
      <c r="T171" s="14"/>
      <c r="U171" s="14" t="str">
        <f t="shared" si="26"/>
        <v>1;4;5;</v>
      </c>
      <c r="V171" s="23" t="str">
        <f t="shared" si="27"/>
        <v>535600;357000;357000;</v>
      </c>
      <c r="X171" s="13" t="str">
        <f t="shared" si="28"/>
        <v>1;4;5</v>
      </c>
      <c r="Y171" s="13" t="str">
        <f t="shared" si="29"/>
        <v>535600;357000;357000</v>
      </c>
    </row>
    <row r="172" spans="1:25" s="13" customFormat="1" ht="20.100000000000001" customHeight="1">
      <c r="A172" s="11">
        <f t="shared" si="30"/>
        <v>7</v>
      </c>
      <c r="B172" s="9" t="s">
        <v>35</v>
      </c>
      <c r="C172" s="11">
        <v>20</v>
      </c>
      <c r="D172" s="14">
        <f>LOOKUP($A172,建筑产出!$BF$16:$BF$26,建筑产出!BI$16:BI$26)</f>
        <v>0.15</v>
      </c>
      <c r="E172" s="14">
        <f>LOOKUP($A172,建筑产出!$BF$16:$BF$26,建筑产出!BJ$16:BJ$26)</f>
        <v>0</v>
      </c>
      <c r="F172" s="14">
        <f>LOOKUP($A172,建筑产出!$BF$16:$BF$26,建筑产出!BK$16:BK$26)</f>
        <v>0.2</v>
      </c>
      <c r="G172" s="14">
        <f>LOOKUP($A172,建筑产出!$BF$16:$BF$26,建筑产出!BL$16:BL$26)</f>
        <v>0.2</v>
      </c>
      <c r="H172" s="14">
        <f>LOOKUP($A172,建筑产出!$BF$16:$BF$26,建筑产出!BM$16:BM$26)</f>
        <v>0</v>
      </c>
      <c r="I172" s="14">
        <f>ROUND(LOOKUP($C172,建筑产出!$A$2:$A$26,建筑产出!D$2:D$26)*D172,-2)</f>
        <v>607400</v>
      </c>
      <c r="J172" s="14">
        <f>ROUND(LOOKUP($C172,建筑产出!$A$2:$A$26,建筑产出!E$2:E$26)*E172,-2)</f>
        <v>0</v>
      </c>
      <c r="K172" s="14">
        <f>ROUND(LOOKUP($C172,建筑产出!$A$2:$A$26,建筑产出!F$2:F$26)*F172,-2)</f>
        <v>404900</v>
      </c>
      <c r="L172" s="14">
        <f>ROUND(LOOKUP($C172,建筑产出!$A$2:$A$26,建筑产出!G$2:G$26)*G172,-2)</f>
        <v>404900</v>
      </c>
      <c r="M172" s="14">
        <f>ROUND(LOOKUP($C172,建筑产出!$A$2:$A$26,建筑产出!H$2:H$26)*H172,-2)</f>
        <v>0</v>
      </c>
      <c r="N172" s="14"/>
      <c r="O172" s="14">
        <f t="shared" si="21"/>
        <v>1</v>
      </c>
      <c r="P172" s="14">
        <f t="shared" si="22"/>
        <v>0</v>
      </c>
      <c r="Q172" s="14">
        <f t="shared" si="23"/>
        <v>4</v>
      </c>
      <c r="R172" s="14">
        <f t="shared" si="24"/>
        <v>5</v>
      </c>
      <c r="S172" s="14">
        <f t="shared" si="25"/>
        <v>0</v>
      </c>
      <c r="T172" s="14"/>
      <c r="U172" s="14" t="str">
        <f t="shared" si="26"/>
        <v>1;4;5;</v>
      </c>
      <c r="V172" s="23" t="str">
        <f t="shared" si="27"/>
        <v>607400;404900;404900;</v>
      </c>
      <c r="X172" s="13" t="str">
        <f t="shared" si="28"/>
        <v>1;4;5</v>
      </c>
      <c r="Y172" s="13" t="str">
        <f t="shared" si="29"/>
        <v>607400;404900;404900</v>
      </c>
    </row>
    <row r="173" spans="1:25" s="13" customFormat="1" ht="20.100000000000001" customHeight="1">
      <c r="A173" s="11">
        <f t="shared" si="30"/>
        <v>7</v>
      </c>
      <c r="B173" s="9" t="s">
        <v>35</v>
      </c>
      <c r="C173" s="11">
        <v>21</v>
      </c>
      <c r="D173" s="14">
        <f>LOOKUP($A173,建筑产出!$BF$16:$BF$26,建筑产出!BI$16:BI$26)</f>
        <v>0.15</v>
      </c>
      <c r="E173" s="14">
        <f>LOOKUP($A173,建筑产出!$BF$16:$BF$26,建筑产出!BJ$16:BJ$26)</f>
        <v>0</v>
      </c>
      <c r="F173" s="14">
        <f>LOOKUP($A173,建筑产出!$BF$16:$BF$26,建筑产出!BK$16:BK$26)</f>
        <v>0.2</v>
      </c>
      <c r="G173" s="14">
        <f>LOOKUP($A173,建筑产出!$BF$16:$BF$26,建筑产出!BL$16:BL$26)</f>
        <v>0.2</v>
      </c>
      <c r="H173" s="14">
        <f>LOOKUP($A173,建筑产出!$BF$16:$BF$26,建筑产出!BM$16:BM$26)</f>
        <v>0</v>
      </c>
      <c r="I173" s="14">
        <f>ROUND(LOOKUP($C173,建筑产出!$A$2:$A$26,建筑产出!D$2:D$26)*D173,-2)</f>
        <v>683300</v>
      </c>
      <c r="J173" s="14">
        <f>ROUND(LOOKUP($C173,建筑产出!$A$2:$A$26,建筑产出!E$2:E$26)*E173,-2)</f>
        <v>0</v>
      </c>
      <c r="K173" s="14">
        <f>ROUND(LOOKUP($C173,建筑产出!$A$2:$A$26,建筑产出!F$2:F$26)*F173,-2)</f>
        <v>455500</v>
      </c>
      <c r="L173" s="14">
        <f>ROUND(LOOKUP($C173,建筑产出!$A$2:$A$26,建筑产出!G$2:G$26)*G173,-2)</f>
        <v>455500</v>
      </c>
      <c r="M173" s="14">
        <f>ROUND(LOOKUP($C173,建筑产出!$A$2:$A$26,建筑产出!H$2:H$26)*H173,-2)</f>
        <v>0</v>
      </c>
      <c r="N173" s="14"/>
      <c r="O173" s="14">
        <f t="shared" si="21"/>
        <v>1</v>
      </c>
      <c r="P173" s="14">
        <f t="shared" si="22"/>
        <v>0</v>
      </c>
      <c r="Q173" s="14">
        <f t="shared" si="23"/>
        <v>4</v>
      </c>
      <c r="R173" s="14">
        <f t="shared" si="24"/>
        <v>5</v>
      </c>
      <c r="S173" s="14">
        <f t="shared" si="25"/>
        <v>0</v>
      </c>
      <c r="T173" s="14"/>
      <c r="U173" s="14" t="str">
        <f t="shared" si="26"/>
        <v>1;4;5;</v>
      </c>
      <c r="V173" s="23" t="str">
        <f t="shared" si="27"/>
        <v>683300;455500;455500;</v>
      </c>
      <c r="X173" s="13" t="str">
        <f t="shared" si="28"/>
        <v>1;4;5</v>
      </c>
      <c r="Y173" s="13" t="str">
        <f t="shared" si="29"/>
        <v>683300;455500;455500</v>
      </c>
    </row>
    <row r="174" spans="1:25" s="13" customFormat="1" ht="20.100000000000001" customHeight="1">
      <c r="A174" s="11">
        <f t="shared" si="30"/>
        <v>7</v>
      </c>
      <c r="B174" s="9" t="s">
        <v>35</v>
      </c>
      <c r="C174" s="11">
        <v>22</v>
      </c>
      <c r="D174" s="14">
        <f>LOOKUP($A174,建筑产出!$BF$16:$BF$26,建筑产出!BI$16:BI$26)</f>
        <v>0.15</v>
      </c>
      <c r="E174" s="14">
        <f>LOOKUP($A174,建筑产出!$BF$16:$BF$26,建筑产出!BJ$16:BJ$26)</f>
        <v>0</v>
      </c>
      <c r="F174" s="14">
        <f>LOOKUP($A174,建筑产出!$BF$16:$BF$26,建筑产出!BK$16:BK$26)</f>
        <v>0.2</v>
      </c>
      <c r="G174" s="14">
        <f>LOOKUP($A174,建筑产出!$BF$16:$BF$26,建筑产出!BL$16:BL$26)</f>
        <v>0.2</v>
      </c>
      <c r="H174" s="14">
        <f>LOOKUP($A174,建筑产出!$BF$16:$BF$26,建筑产出!BM$16:BM$26)</f>
        <v>0</v>
      </c>
      <c r="I174" s="14">
        <f>ROUND(LOOKUP($C174,建筑产出!$A$2:$A$26,建筑产出!D$2:D$26)*D174,-2)</f>
        <v>763400</v>
      </c>
      <c r="J174" s="14">
        <f>ROUND(LOOKUP($C174,建筑产出!$A$2:$A$26,建筑产出!E$2:E$26)*E174,-2)</f>
        <v>0</v>
      </c>
      <c r="K174" s="14">
        <f>ROUND(LOOKUP($C174,建筑产出!$A$2:$A$26,建筑产出!F$2:F$26)*F174,-2)</f>
        <v>508900</v>
      </c>
      <c r="L174" s="14">
        <f>ROUND(LOOKUP($C174,建筑产出!$A$2:$A$26,建筑产出!G$2:G$26)*G174,-2)</f>
        <v>508900</v>
      </c>
      <c r="M174" s="14">
        <f>ROUND(LOOKUP($C174,建筑产出!$A$2:$A$26,建筑产出!H$2:H$26)*H174,-2)</f>
        <v>0</v>
      </c>
      <c r="N174" s="14"/>
      <c r="O174" s="14">
        <f t="shared" si="21"/>
        <v>1</v>
      </c>
      <c r="P174" s="14">
        <f t="shared" si="22"/>
        <v>0</v>
      </c>
      <c r="Q174" s="14">
        <f t="shared" si="23"/>
        <v>4</v>
      </c>
      <c r="R174" s="14">
        <f t="shared" si="24"/>
        <v>5</v>
      </c>
      <c r="S174" s="14">
        <f t="shared" si="25"/>
        <v>0</v>
      </c>
      <c r="T174" s="14"/>
      <c r="U174" s="14" t="str">
        <f t="shared" si="26"/>
        <v>1;4;5;</v>
      </c>
      <c r="V174" s="23" t="str">
        <f t="shared" si="27"/>
        <v>763400;508900;508900;</v>
      </c>
      <c r="X174" s="13" t="str">
        <f t="shared" si="28"/>
        <v>1;4;5</v>
      </c>
      <c r="Y174" s="13" t="str">
        <f t="shared" si="29"/>
        <v>763400;508900;508900</v>
      </c>
    </row>
    <row r="175" spans="1:25" s="13" customFormat="1" ht="20.100000000000001" customHeight="1">
      <c r="A175" s="11">
        <f t="shared" si="30"/>
        <v>7</v>
      </c>
      <c r="B175" s="9" t="s">
        <v>35</v>
      </c>
      <c r="C175" s="11">
        <v>23</v>
      </c>
      <c r="D175" s="14">
        <f>LOOKUP($A175,建筑产出!$BF$16:$BF$26,建筑产出!BI$16:BI$26)</f>
        <v>0.15</v>
      </c>
      <c r="E175" s="14">
        <f>LOOKUP($A175,建筑产出!$BF$16:$BF$26,建筑产出!BJ$16:BJ$26)</f>
        <v>0</v>
      </c>
      <c r="F175" s="14">
        <f>LOOKUP($A175,建筑产出!$BF$16:$BF$26,建筑产出!BK$16:BK$26)</f>
        <v>0.2</v>
      </c>
      <c r="G175" s="14">
        <f>LOOKUP($A175,建筑产出!$BF$16:$BF$26,建筑产出!BL$16:BL$26)</f>
        <v>0.2</v>
      </c>
      <c r="H175" s="14">
        <f>LOOKUP($A175,建筑产出!$BF$16:$BF$26,建筑产出!BM$16:BM$26)</f>
        <v>0</v>
      </c>
      <c r="I175" s="14">
        <f>ROUND(LOOKUP($C175,建筑产出!$A$2:$A$26,建筑产出!D$2:D$26)*D175,-2)</f>
        <v>847600</v>
      </c>
      <c r="J175" s="14">
        <f>ROUND(LOOKUP($C175,建筑产出!$A$2:$A$26,建筑产出!E$2:E$26)*E175,-2)</f>
        <v>0</v>
      </c>
      <c r="K175" s="14">
        <f>ROUND(LOOKUP($C175,建筑产出!$A$2:$A$26,建筑产出!F$2:F$26)*F175,-2)</f>
        <v>565100</v>
      </c>
      <c r="L175" s="14">
        <f>ROUND(LOOKUP($C175,建筑产出!$A$2:$A$26,建筑产出!G$2:G$26)*G175,-2)</f>
        <v>565100</v>
      </c>
      <c r="M175" s="14">
        <f>ROUND(LOOKUP($C175,建筑产出!$A$2:$A$26,建筑产出!H$2:H$26)*H175,-2)</f>
        <v>0</v>
      </c>
      <c r="N175" s="14"/>
      <c r="O175" s="14">
        <f t="shared" si="21"/>
        <v>1</v>
      </c>
      <c r="P175" s="14">
        <f t="shared" si="22"/>
        <v>0</v>
      </c>
      <c r="Q175" s="14">
        <f t="shared" si="23"/>
        <v>4</v>
      </c>
      <c r="R175" s="14">
        <f t="shared" si="24"/>
        <v>5</v>
      </c>
      <c r="S175" s="14">
        <f t="shared" si="25"/>
        <v>0</v>
      </c>
      <c r="T175" s="14"/>
      <c r="U175" s="14" t="str">
        <f t="shared" si="26"/>
        <v>1;4;5;</v>
      </c>
      <c r="V175" s="23" t="str">
        <f t="shared" si="27"/>
        <v>847600;565100;565100;</v>
      </c>
      <c r="X175" s="13" t="str">
        <f t="shared" si="28"/>
        <v>1;4;5</v>
      </c>
      <c r="Y175" s="13" t="str">
        <f t="shared" si="29"/>
        <v>847600;565100;565100</v>
      </c>
    </row>
    <row r="176" spans="1:25" s="13" customFormat="1" ht="20.100000000000001" customHeight="1">
      <c r="A176" s="11">
        <f t="shared" si="30"/>
        <v>7</v>
      </c>
      <c r="B176" s="9" t="s">
        <v>35</v>
      </c>
      <c r="C176" s="11">
        <v>24</v>
      </c>
      <c r="D176" s="14">
        <f>LOOKUP($A176,建筑产出!$BF$16:$BF$26,建筑产出!BI$16:BI$26)</f>
        <v>0.15</v>
      </c>
      <c r="E176" s="14">
        <f>LOOKUP($A176,建筑产出!$BF$16:$BF$26,建筑产出!BJ$16:BJ$26)</f>
        <v>0</v>
      </c>
      <c r="F176" s="14">
        <f>LOOKUP($A176,建筑产出!$BF$16:$BF$26,建筑产出!BK$16:BK$26)</f>
        <v>0.2</v>
      </c>
      <c r="G176" s="14">
        <f>LOOKUP($A176,建筑产出!$BF$16:$BF$26,建筑产出!BL$16:BL$26)</f>
        <v>0.2</v>
      </c>
      <c r="H176" s="14">
        <f>LOOKUP($A176,建筑产出!$BF$16:$BF$26,建筑产出!BM$16:BM$26)</f>
        <v>0</v>
      </c>
      <c r="I176" s="14">
        <f>ROUND(LOOKUP($C176,建筑产出!$A$2:$A$26,建筑产出!D$2:D$26)*D176,-2)</f>
        <v>936000</v>
      </c>
      <c r="J176" s="14">
        <f>ROUND(LOOKUP($C176,建筑产出!$A$2:$A$26,建筑产出!E$2:E$26)*E176,-2)</f>
        <v>0</v>
      </c>
      <c r="K176" s="14">
        <f>ROUND(LOOKUP($C176,建筑产出!$A$2:$A$26,建筑产出!F$2:F$26)*F176,-2)</f>
        <v>624000</v>
      </c>
      <c r="L176" s="14">
        <f>ROUND(LOOKUP($C176,建筑产出!$A$2:$A$26,建筑产出!G$2:G$26)*G176,-2)</f>
        <v>624000</v>
      </c>
      <c r="M176" s="14">
        <f>ROUND(LOOKUP($C176,建筑产出!$A$2:$A$26,建筑产出!H$2:H$26)*H176,-2)</f>
        <v>0</v>
      </c>
      <c r="N176" s="14"/>
      <c r="O176" s="14">
        <f t="shared" si="21"/>
        <v>1</v>
      </c>
      <c r="P176" s="14">
        <f t="shared" si="22"/>
        <v>0</v>
      </c>
      <c r="Q176" s="14">
        <f t="shared" si="23"/>
        <v>4</v>
      </c>
      <c r="R176" s="14">
        <f t="shared" si="24"/>
        <v>5</v>
      </c>
      <c r="S176" s="14">
        <f t="shared" si="25"/>
        <v>0</v>
      </c>
      <c r="T176" s="14"/>
      <c r="U176" s="14" t="str">
        <f t="shared" si="26"/>
        <v>1;4;5;</v>
      </c>
      <c r="V176" s="23" t="str">
        <f t="shared" si="27"/>
        <v>936000;624000;624000;</v>
      </c>
      <c r="X176" s="13" t="str">
        <f t="shared" si="28"/>
        <v>1;4;5</v>
      </c>
      <c r="Y176" s="13" t="str">
        <f t="shared" si="29"/>
        <v>936000;624000;624000</v>
      </c>
    </row>
    <row r="177" spans="1:25" s="13" customFormat="1" ht="20.100000000000001" customHeight="1">
      <c r="A177" s="11">
        <f t="shared" si="30"/>
        <v>7</v>
      </c>
      <c r="B177" s="9" t="s">
        <v>35</v>
      </c>
      <c r="C177" s="11">
        <v>25</v>
      </c>
      <c r="D177" s="14">
        <f>LOOKUP($A177,建筑产出!$BF$16:$BF$26,建筑产出!BI$16:BI$26)</f>
        <v>0.15</v>
      </c>
      <c r="E177" s="14">
        <f>LOOKUP($A177,建筑产出!$BF$16:$BF$26,建筑产出!BJ$16:BJ$26)</f>
        <v>0</v>
      </c>
      <c r="F177" s="14">
        <f>LOOKUP($A177,建筑产出!$BF$16:$BF$26,建筑产出!BK$16:BK$26)</f>
        <v>0.2</v>
      </c>
      <c r="G177" s="14">
        <f>LOOKUP($A177,建筑产出!$BF$16:$BF$26,建筑产出!BL$16:BL$26)</f>
        <v>0.2</v>
      </c>
      <c r="H177" s="14">
        <f>LOOKUP($A177,建筑产出!$BF$16:$BF$26,建筑产出!BM$16:BM$26)</f>
        <v>0</v>
      </c>
      <c r="I177" s="14">
        <f>ROUND(LOOKUP($C177,建筑产出!$A$2:$A$26,建筑产出!D$2:D$26)*D177,-2)</f>
        <v>3316100</v>
      </c>
      <c r="J177" s="14">
        <f>ROUND(LOOKUP($C177,建筑产出!$A$2:$A$26,建筑产出!E$2:E$26)*E177,-2)</f>
        <v>0</v>
      </c>
      <c r="K177" s="14">
        <f>ROUND(LOOKUP($C177,建筑产出!$A$2:$A$26,建筑产出!F$2:F$26)*F177,-2)</f>
        <v>2210800</v>
      </c>
      <c r="L177" s="14">
        <f>ROUND(LOOKUP($C177,建筑产出!$A$2:$A$26,建筑产出!G$2:G$26)*G177,-2)</f>
        <v>2210800</v>
      </c>
      <c r="M177" s="14">
        <f>ROUND(LOOKUP($C177,建筑产出!$A$2:$A$26,建筑产出!H$2:H$26)*H177,-2)</f>
        <v>0</v>
      </c>
      <c r="N177" s="14"/>
      <c r="O177" s="14">
        <f t="shared" si="21"/>
        <v>1</v>
      </c>
      <c r="P177" s="14">
        <f t="shared" si="22"/>
        <v>0</v>
      </c>
      <c r="Q177" s="14">
        <f t="shared" si="23"/>
        <v>4</v>
      </c>
      <c r="R177" s="14">
        <f t="shared" si="24"/>
        <v>5</v>
      </c>
      <c r="S177" s="14">
        <f t="shared" si="25"/>
        <v>0</v>
      </c>
      <c r="T177" s="14"/>
      <c r="U177" s="14" t="str">
        <f t="shared" si="26"/>
        <v>1;4;5;</v>
      </c>
      <c r="V177" s="23" t="str">
        <f t="shared" si="27"/>
        <v>3316100;2210800;2210800;</v>
      </c>
      <c r="X177" s="13" t="str">
        <f t="shared" si="28"/>
        <v>1;4;5</v>
      </c>
      <c r="Y177" s="13" t="str">
        <f t="shared" si="29"/>
        <v>3316100;2210800;2210800</v>
      </c>
    </row>
    <row r="178" spans="1:25" s="13" customFormat="1" ht="20.100000000000001" customHeight="1">
      <c r="A178" s="11">
        <f t="shared" si="30"/>
        <v>8</v>
      </c>
      <c r="B178" s="14" t="s">
        <v>70</v>
      </c>
      <c r="C178" s="14">
        <v>1</v>
      </c>
      <c r="D178" s="14">
        <f>LOOKUP($A178,建筑产出!$BF$16:$BF$26,建筑产出!BI$16:BI$26)</f>
        <v>0.125</v>
      </c>
      <c r="E178" s="14">
        <f>LOOKUP($A178,建筑产出!$BF$16:$BF$26,建筑产出!BJ$16:BJ$26)</f>
        <v>0.3</v>
      </c>
      <c r="F178" s="14">
        <f>LOOKUP($A178,建筑产出!$BF$16:$BF$26,建筑产出!BK$16:BK$26)</f>
        <v>0.3</v>
      </c>
      <c r="G178" s="14">
        <f>LOOKUP($A178,建筑产出!$BF$16:$BF$26,建筑产出!BL$16:BL$26)</f>
        <v>0</v>
      </c>
      <c r="H178" s="14">
        <f>LOOKUP($A178,建筑产出!$BF$16:$BF$26,建筑产出!BM$16:BM$26)</f>
        <v>0</v>
      </c>
      <c r="I178" s="14">
        <f>ROUND(LOOKUP($C178,建筑产出!$A$2:$A$26,建筑产出!D$2:D$26)*D178,-2)</f>
        <v>9100</v>
      </c>
      <c r="J178" s="14">
        <f>ROUND(LOOKUP($C178,建筑产出!$A$2:$A$26,建筑产出!E$2:E$26)*E178,-2)</f>
        <v>11000</v>
      </c>
      <c r="K178" s="14">
        <f>ROUND(LOOKUP($C178,建筑产出!$A$2:$A$26,建筑产出!F$2:F$26)*F178,-2)</f>
        <v>11000</v>
      </c>
      <c r="L178" s="14">
        <f>ROUND(LOOKUP($C178,建筑产出!$A$2:$A$26,建筑产出!G$2:G$26)*G178,-2)</f>
        <v>0</v>
      </c>
      <c r="M178" s="14">
        <f>ROUND(LOOKUP($C178,建筑产出!$A$2:$A$26,建筑产出!H$2:H$26)*H178,-2)</f>
        <v>0</v>
      </c>
      <c r="N178" s="14"/>
      <c r="O178" s="14">
        <f t="shared" si="21"/>
        <v>1</v>
      </c>
      <c r="P178" s="14">
        <f t="shared" si="22"/>
        <v>3</v>
      </c>
      <c r="Q178" s="14">
        <f t="shared" si="23"/>
        <v>4</v>
      </c>
      <c r="R178" s="14">
        <f t="shared" si="24"/>
        <v>0</v>
      </c>
      <c r="S178" s="14">
        <f t="shared" si="25"/>
        <v>0</v>
      </c>
      <c r="T178" s="14"/>
      <c r="U178" s="14" t="str">
        <f t="shared" si="26"/>
        <v>1;3;4;</v>
      </c>
      <c r="V178" s="23" t="str">
        <f t="shared" si="27"/>
        <v>9100;11000;11000;</v>
      </c>
      <c r="X178" s="13" t="str">
        <f t="shared" si="28"/>
        <v>1;3;4</v>
      </c>
      <c r="Y178" s="13" t="str">
        <f t="shared" si="29"/>
        <v>9100;11000;11000</v>
      </c>
    </row>
    <row r="179" spans="1:25" s="13" customFormat="1" ht="20.100000000000001" customHeight="1">
      <c r="A179" s="11">
        <f t="shared" si="30"/>
        <v>8</v>
      </c>
      <c r="B179" s="14" t="s">
        <v>70</v>
      </c>
      <c r="C179" s="14">
        <v>2</v>
      </c>
      <c r="D179" s="14">
        <f>LOOKUP($A179,建筑产出!$BF$16:$BF$26,建筑产出!BI$16:BI$26)</f>
        <v>0.125</v>
      </c>
      <c r="E179" s="14">
        <f>LOOKUP($A179,建筑产出!$BF$16:$BF$26,建筑产出!BJ$16:BJ$26)</f>
        <v>0.3</v>
      </c>
      <c r="F179" s="14">
        <f>LOOKUP($A179,建筑产出!$BF$16:$BF$26,建筑产出!BK$16:BK$26)</f>
        <v>0.3</v>
      </c>
      <c r="G179" s="14">
        <f>LOOKUP($A179,建筑产出!$BF$16:$BF$26,建筑产出!BL$16:BL$26)</f>
        <v>0</v>
      </c>
      <c r="H179" s="14">
        <f>LOOKUP($A179,建筑产出!$BF$16:$BF$26,建筑产出!BM$16:BM$26)</f>
        <v>0</v>
      </c>
      <c r="I179" s="14">
        <f>ROUND(LOOKUP($C179,建筑产出!$A$2:$A$26,建筑产出!D$2:D$26)*D179,-2)</f>
        <v>17800</v>
      </c>
      <c r="J179" s="14">
        <f>ROUND(LOOKUP($C179,建筑产出!$A$2:$A$26,建筑产出!E$2:E$26)*E179,-2)</f>
        <v>21400</v>
      </c>
      <c r="K179" s="14">
        <f>ROUND(LOOKUP($C179,建筑产出!$A$2:$A$26,建筑产出!F$2:F$26)*F179,-2)</f>
        <v>21400</v>
      </c>
      <c r="L179" s="14">
        <f>ROUND(LOOKUP($C179,建筑产出!$A$2:$A$26,建筑产出!G$2:G$26)*G179,-2)</f>
        <v>0</v>
      </c>
      <c r="M179" s="14">
        <f>ROUND(LOOKUP($C179,建筑产出!$A$2:$A$26,建筑产出!H$2:H$26)*H179,-2)</f>
        <v>0</v>
      </c>
      <c r="N179" s="14"/>
      <c r="O179" s="14">
        <f t="shared" si="21"/>
        <v>1</v>
      </c>
      <c r="P179" s="14">
        <f t="shared" si="22"/>
        <v>3</v>
      </c>
      <c r="Q179" s="14">
        <f t="shared" si="23"/>
        <v>4</v>
      </c>
      <c r="R179" s="14">
        <f t="shared" si="24"/>
        <v>0</v>
      </c>
      <c r="S179" s="14">
        <f t="shared" si="25"/>
        <v>0</v>
      </c>
      <c r="T179" s="14"/>
      <c r="U179" s="14" t="str">
        <f t="shared" si="26"/>
        <v>1;3;4;</v>
      </c>
      <c r="V179" s="23" t="str">
        <f t="shared" si="27"/>
        <v>17800;21400;21400;</v>
      </c>
      <c r="X179" s="13" t="str">
        <f t="shared" si="28"/>
        <v>1;3;4</v>
      </c>
      <c r="Y179" s="13" t="str">
        <f t="shared" si="29"/>
        <v>17800;21400;21400</v>
      </c>
    </row>
    <row r="180" spans="1:25" s="13" customFormat="1" ht="20.100000000000001" customHeight="1">
      <c r="A180" s="11">
        <f t="shared" si="30"/>
        <v>8</v>
      </c>
      <c r="B180" s="14" t="s">
        <v>70</v>
      </c>
      <c r="C180" s="14">
        <v>3</v>
      </c>
      <c r="D180" s="14">
        <f>LOOKUP($A180,建筑产出!$BF$16:$BF$26,建筑产出!BI$16:BI$26)</f>
        <v>0.125</v>
      </c>
      <c r="E180" s="14">
        <f>LOOKUP($A180,建筑产出!$BF$16:$BF$26,建筑产出!BJ$16:BJ$26)</f>
        <v>0.3</v>
      </c>
      <c r="F180" s="14">
        <f>LOOKUP($A180,建筑产出!$BF$16:$BF$26,建筑产出!BK$16:BK$26)</f>
        <v>0.3</v>
      </c>
      <c r="G180" s="14">
        <f>LOOKUP($A180,建筑产出!$BF$16:$BF$26,建筑产出!BL$16:BL$26)</f>
        <v>0</v>
      </c>
      <c r="H180" s="14">
        <f>LOOKUP($A180,建筑产出!$BF$16:$BF$26,建筑产出!BM$16:BM$26)</f>
        <v>0</v>
      </c>
      <c r="I180" s="14">
        <f>ROUND(LOOKUP($C180,建筑产出!$A$2:$A$26,建筑产出!D$2:D$26)*D180,-2)</f>
        <v>15500</v>
      </c>
      <c r="J180" s="14">
        <f>ROUND(LOOKUP($C180,建筑产出!$A$2:$A$26,建筑产出!E$2:E$26)*E180,-2)</f>
        <v>18600</v>
      </c>
      <c r="K180" s="14">
        <f>ROUND(LOOKUP($C180,建筑产出!$A$2:$A$26,建筑产出!F$2:F$26)*F180,-2)</f>
        <v>18600</v>
      </c>
      <c r="L180" s="14">
        <f>ROUND(LOOKUP($C180,建筑产出!$A$2:$A$26,建筑产出!G$2:G$26)*G180,-2)</f>
        <v>0</v>
      </c>
      <c r="M180" s="14">
        <f>ROUND(LOOKUP($C180,建筑产出!$A$2:$A$26,建筑产出!H$2:H$26)*H180,-2)</f>
        <v>0</v>
      </c>
      <c r="N180" s="14"/>
      <c r="O180" s="14">
        <f t="shared" si="21"/>
        <v>1</v>
      </c>
      <c r="P180" s="14">
        <f t="shared" si="22"/>
        <v>3</v>
      </c>
      <c r="Q180" s="14">
        <f t="shared" si="23"/>
        <v>4</v>
      </c>
      <c r="R180" s="14">
        <f t="shared" si="24"/>
        <v>0</v>
      </c>
      <c r="S180" s="14">
        <f t="shared" si="25"/>
        <v>0</v>
      </c>
      <c r="T180" s="14"/>
      <c r="U180" s="14" t="str">
        <f t="shared" si="26"/>
        <v>1;3;4;</v>
      </c>
      <c r="V180" s="23" t="str">
        <f t="shared" si="27"/>
        <v>15500;18600;18600;</v>
      </c>
      <c r="X180" s="13" t="str">
        <f t="shared" si="28"/>
        <v>1;3;4</v>
      </c>
      <c r="Y180" s="13" t="str">
        <f t="shared" si="29"/>
        <v>15500;18600;18600</v>
      </c>
    </row>
    <row r="181" spans="1:25" s="13" customFormat="1" ht="20.100000000000001" customHeight="1">
      <c r="A181" s="11">
        <f t="shared" si="30"/>
        <v>8</v>
      </c>
      <c r="B181" s="14" t="s">
        <v>70</v>
      </c>
      <c r="C181" s="14">
        <v>4</v>
      </c>
      <c r="D181" s="14">
        <f>LOOKUP($A181,建筑产出!$BF$16:$BF$26,建筑产出!BI$16:BI$26)</f>
        <v>0.125</v>
      </c>
      <c r="E181" s="14">
        <f>LOOKUP($A181,建筑产出!$BF$16:$BF$26,建筑产出!BJ$16:BJ$26)</f>
        <v>0.3</v>
      </c>
      <c r="F181" s="14">
        <f>LOOKUP($A181,建筑产出!$BF$16:$BF$26,建筑产出!BK$16:BK$26)</f>
        <v>0.3</v>
      </c>
      <c r="G181" s="14">
        <f>LOOKUP($A181,建筑产出!$BF$16:$BF$26,建筑产出!BL$16:BL$26)</f>
        <v>0</v>
      </c>
      <c r="H181" s="14">
        <f>LOOKUP($A181,建筑产出!$BF$16:$BF$26,建筑产出!BM$16:BM$26)</f>
        <v>0</v>
      </c>
      <c r="I181" s="14">
        <f>ROUND(LOOKUP($C181,建筑产出!$A$2:$A$26,建筑产出!D$2:D$26)*D181,-2)</f>
        <v>34400</v>
      </c>
      <c r="J181" s="14">
        <f>ROUND(LOOKUP($C181,建筑产出!$A$2:$A$26,建筑产出!E$2:E$26)*E181,-2)</f>
        <v>41300</v>
      </c>
      <c r="K181" s="14">
        <f>ROUND(LOOKUP($C181,建筑产出!$A$2:$A$26,建筑产出!F$2:F$26)*F181,-2)</f>
        <v>41300</v>
      </c>
      <c r="L181" s="14">
        <f>ROUND(LOOKUP($C181,建筑产出!$A$2:$A$26,建筑产出!G$2:G$26)*G181,-2)</f>
        <v>0</v>
      </c>
      <c r="M181" s="14">
        <f>ROUND(LOOKUP($C181,建筑产出!$A$2:$A$26,建筑产出!H$2:H$26)*H181,-2)</f>
        <v>0</v>
      </c>
      <c r="N181" s="14"/>
      <c r="O181" s="14">
        <f t="shared" si="21"/>
        <v>1</v>
      </c>
      <c r="P181" s="14">
        <f t="shared" si="22"/>
        <v>3</v>
      </c>
      <c r="Q181" s="14">
        <f t="shared" si="23"/>
        <v>4</v>
      </c>
      <c r="R181" s="14">
        <f t="shared" si="24"/>
        <v>0</v>
      </c>
      <c r="S181" s="14">
        <f t="shared" si="25"/>
        <v>0</v>
      </c>
      <c r="T181" s="14"/>
      <c r="U181" s="14" t="str">
        <f t="shared" si="26"/>
        <v>1;3;4;</v>
      </c>
      <c r="V181" s="23" t="str">
        <f t="shared" si="27"/>
        <v>34400;41300;41300;</v>
      </c>
      <c r="X181" s="13" t="str">
        <f t="shared" si="28"/>
        <v>1;3;4</v>
      </c>
      <c r="Y181" s="13" t="str">
        <f t="shared" si="29"/>
        <v>34400;41300;41300</v>
      </c>
    </row>
    <row r="182" spans="1:25" s="13" customFormat="1" ht="20.100000000000001" customHeight="1">
      <c r="A182" s="11">
        <f t="shared" si="30"/>
        <v>8</v>
      </c>
      <c r="B182" s="14" t="s">
        <v>70</v>
      </c>
      <c r="C182" s="14">
        <v>5</v>
      </c>
      <c r="D182" s="14">
        <f>LOOKUP($A182,建筑产出!$BF$16:$BF$26,建筑产出!BI$16:BI$26)</f>
        <v>0.125</v>
      </c>
      <c r="E182" s="14">
        <f>LOOKUP($A182,建筑产出!$BF$16:$BF$26,建筑产出!BJ$16:BJ$26)</f>
        <v>0.3</v>
      </c>
      <c r="F182" s="14">
        <f>LOOKUP($A182,建筑产出!$BF$16:$BF$26,建筑产出!BK$16:BK$26)</f>
        <v>0.3</v>
      </c>
      <c r="G182" s="14">
        <f>LOOKUP($A182,建筑产出!$BF$16:$BF$26,建筑产出!BL$16:BL$26)</f>
        <v>0</v>
      </c>
      <c r="H182" s="14">
        <f>LOOKUP($A182,建筑产出!$BF$16:$BF$26,建筑产出!BM$16:BM$26)</f>
        <v>0</v>
      </c>
      <c r="I182" s="14">
        <f>ROUND(LOOKUP($C182,建筑产出!$A$2:$A$26,建筑产出!D$2:D$26)*D182,-2)</f>
        <v>31800</v>
      </c>
      <c r="J182" s="14">
        <f>ROUND(LOOKUP($C182,建筑产出!$A$2:$A$26,建筑产出!E$2:E$26)*E182,-2)</f>
        <v>38200</v>
      </c>
      <c r="K182" s="14">
        <f>ROUND(LOOKUP($C182,建筑产出!$A$2:$A$26,建筑产出!F$2:F$26)*F182,-2)</f>
        <v>38200</v>
      </c>
      <c r="L182" s="14">
        <f>ROUND(LOOKUP($C182,建筑产出!$A$2:$A$26,建筑产出!G$2:G$26)*G182,-2)</f>
        <v>0</v>
      </c>
      <c r="M182" s="14">
        <f>ROUND(LOOKUP($C182,建筑产出!$A$2:$A$26,建筑产出!H$2:H$26)*H182,-2)</f>
        <v>0</v>
      </c>
      <c r="N182" s="14"/>
      <c r="O182" s="14">
        <f t="shared" si="21"/>
        <v>1</v>
      </c>
      <c r="P182" s="14">
        <f t="shared" si="22"/>
        <v>3</v>
      </c>
      <c r="Q182" s="14">
        <f t="shared" si="23"/>
        <v>4</v>
      </c>
      <c r="R182" s="14">
        <f t="shared" si="24"/>
        <v>0</v>
      </c>
      <c r="S182" s="14">
        <f t="shared" si="25"/>
        <v>0</v>
      </c>
      <c r="T182" s="14"/>
      <c r="U182" s="14" t="str">
        <f t="shared" si="26"/>
        <v>1;3;4;</v>
      </c>
      <c r="V182" s="23" t="str">
        <f t="shared" si="27"/>
        <v>31800;38200;38200;</v>
      </c>
      <c r="X182" s="13" t="str">
        <f t="shared" si="28"/>
        <v>1;3;4</v>
      </c>
      <c r="Y182" s="13" t="str">
        <f t="shared" si="29"/>
        <v>31800;38200;38200</v>
      </c>
    </row>
    <row r="183" spans="1:25" s="13" customFormat="1" ht="20.100000000000001" customHeight="1">
      <c r="A183" s="11">
        <f t="shared" si="30"/>
        <v>8</v>
      </c>
      <c r="B183" s="14" t="s">
        <v>70</v>
      </c>
      <c r="C183" s="14">
        <v>6</v>
      </c>
      <c r="D183" s="14">
        <f>LOOKUP($A183,建筑产出!$BF$16:$BF$26,建筑产出!BI$16:BI$26)</f>
        <v>0.125</v>
      </c>
      <c r="E183" s="14">
        <f>LOOKUP($A183,建筑产出!$BF$16:$BF$26,建筑产出!BJ$16:BJ$26)</f>
        <v>0.3</v>
      </c>
      <c r="F183" s="14">
        <f>LOOKUP($A183,建筑产出!$BF$16:$BF$26,建筑产出!BK$16:BK$26)</f>
        <v>0.3</v>
      </c>
      <c r="G183" s="14">
        <f>LOOKUP($A183,建筑产出!$BF$16:$BF$26,建筑产出!BL$16:BL$26)</f>
        <v>0</v>
      </c>
      <c r="H183" s="14">
        <f>LOOKUP($A183,建筑产出!$BF$16:$BF$26,建筑产出!BM$16:BM$26)</f>
        <v>0</v>
      </c>
      <c r="I183" s="14">
        <f>ROUND(LOOKUP($C183,建筑产出!$A$2:$A$26,建筑产出!D$2:D$26)*D183,-2)</f>
        <v>43500</v>
      </c>
      <c r="J183" s="14">
        <f>ROUND(LOOKUP($C183,建筑产出!$A$2:$A$26,建筑产出!E$2:E$26)*E183,-2)</f>
        <v>52200</v>
      </c>
      <c r="K183" s="14">
        <f>ROUND(LOOKUP($C183,建筑产出!$A$2:$A$26,建筑产出!F$2:F$26)*F183,-2)</f>
        <v>52200</v>
      </c>
      <c r="L183" s="14">
        <f>ROUND(LOOKUP($C183,建筑产出!$A$2:$A$26,建筑产出!G$2:G$26)*G183,-2)</f>
        <v>0</v>
      </c>
      <c r="M183" s="14">
        <f>ROUND(LOOKUP($C183,建筑产出!$A$2:$A$26,建筑产出!H$2:H$26)*H183,-2)</f>
        <v>0</v>
      </c>
      <c r="N183" s="14"/>
      <c r="O183" s="14">
        <f t="shared" si="21"/>
        <v>1</v>
      </c>
      <c r="P183" s="14">
        <f t="shared" si="22"/>
        <v>3</v>
      </c>
      <c r="Q183" s="14">
        <f t="shared" si="23"/>
        <v>4</v>
      </c>
      <c r="R183" s="14">
        <f t="shared" si="24"/>
        <v>0</v>
      </c>
      <c r="S183" s="14">
        <f t="shared" si="25"/>
        <v>0</v>
      </c>
      <c r="T183" s="14"/>
      <c r="U183" s="14" t="str">
        <f t="shared" si="26"/>
        <v>1;3;4;</v>
      </c>
      <c r="V183" s="23" t="str">
        <f t="shared" si="27"/>
        <v>43500;52200;52200;</v>
      </c>
      <c r="X183" s="13" t="str">
        <f t="shared" si="28"/>
        <v>1;3;4</v>
      </c>
      <c r="Y183" s="13" t="str">
        <f t="shared" si="29"/>
        <v>43500;52200;52200</v>
      </c>
    </row>
    <row r="184" spans="1:25" s="13" customFormat="1" ht="20.100000000000001" customHeight="1">
      <c r="A184" s="11">
        <f t="shared" si="30"/>
        <v>8</v>
      </c>
      <c r="B184" s="14" t="s">
        <v>70</v>
      </c>
      <c r="C184" s="14">
        <v>7</v>
      </c>
      <c r="D184" s="14">
        <f>LOOKUP($A184,建筑产出!$BF$16:$BF$26,建筑产出!BI$16:BI$26)</f>
        <v>0.125</v>
      </c>
      <c r="E184" s="14">
        <f>LOOKUP($A184,建筑产出!$BF$16:$BF$26,建筑产出!BJ$16:BJ$26)</f>
        <v>0.3</v>
      </c>
      <c r="F184" s="14">
        <f>LOOKUP($A184,建筑产出!$BF$16:$BF$26,建筑产出!BK$16:BK$26)</f>
        <v>0.3</v>
      </c>
      <c r="G184" s="14">
        <f>LOOKUP($A184,建筑产出!$BF$16:$BF$26,建筑产出!BL$16:BL$26)</f>
        <v>0</v>
      </c>
      <c r="H184" s="14">
        <f>LOOKUP($A184,建筑产出!$BF$16:$BF$26,建筑产出!BM$16:BM$26)</f>
        <v>0</v>
      </c>
      <c r="I184" s="14">
        <f>ROUND(LOOKUP($C184,建筑产出!$A$2:$A$26,建筑产出!D$2:D$26)*D184,-2)</f>
        <v>56900</v>
      </c>
      <c r="J184" s="14">
        <f>ROUND(LOOKUP($C184,建筑产出!$A$2:$A$26,建筑产出!E$2:E$26)*E184,-2)</f>
        <v>68200</v>
      </c>
      <c r="K184" s="14">
        <f>ROUND(LOOKUP($C184,建筑产出!$A$2:$A$26,建筑产出!F$2:F$26)*F184,-2)</f>
        <v>68200</v>
      </c>
      <c r="L184" s="14">
        <f>ROUND(LOOKUP($C184,建筑产出!$A$2:$A$26,建筑产出!G$2:G$26)*G184,-2)</f>
        <v>0</v>
      </c>
      <c r="M184" s="14">
        <f>ROUND(LOOKUP($C184,建筑产出!$A$2:$A$26,建筑产出!H$2:H$26)*H184,-2)</f>
        <v>0</v>
      </c>
      <c r="N184" s="14"/>
      <c r="O184" s="14">
        <f t="shared" si="21"/>
        <v>1</v>
      </c>
      <c r="P184" s="14">
        <f t="shared" si="22"/>
        <v>3</v>
      </c>
      <c r="Q184" s="14">
        <f t="shared" si="23"/>
        <v>4</v>
      </c>
      <c r="R184" s="14">
        <f t="shared" si="24"/>
        <v>0</v>
      </c>
      <c r="S184" s="14">
        <f t="shared" si="25"/>
        <v>0</v>
      </c>
      <c r="T184" s="14"/>
      <c r="U184" s="14" t="str">
        <f t="shared" si="26"/>
        <v>1;3;4;</v>
      </c>
      <c r="V184" s="23" t="str">
        <f t="shared" si="27"/>
        <v>56900;68200;68200;</v>
      </c>
      <c r="X184" s="13" t="str">
        <f t="shared" si="28"/>
        <v>1;3;4</v>
      </c>
      <c r="Y184" s="13" t="str">
        <f t="shared" si="29"/>
        <v>56900;68200;68200</v>
      </c>
    </row>
    <row r="185" spans="1:25" s="13" customFormat="1" ht="20.100000000000001" customHeight="1">
      <c r="A185" s="11">
        <f t="shared" si="30"/>
        <v>8</v>
      </c>
      <c r="B185" s="14" t="s">
        <v>70</v>
      </c>
      <c r="C185" s="14">
        <v>8</v>
      </c>
      <c r="D185" s="14">
        <f>LOOKUP($A185,建筑产出!$BF$16:$BF$26,建筑产出!BI$16:BI$26)</f>
        <v>0.125</v>
      </c>
      <c r="E185" s="14">
        <f>LOOKUP($A185,建筑产出!$BF$16:$BF$26,建筑产出!BJ$16:BJ$26)</f>
        <v>0.3</v>
      </c>
      <c r="F185" s="14">
        <f>LOOKUP($A185,建筑产出!$BF$16:$BF$26,建筑产出!BK$16:BK$26)</f>
        <v>0.3</v>
      </c>
      <c r="G185" s="14">
        <f>LOOKUP($A185,建筑产出!$BF$16:$BF$26,建筑产出!BL$16:BL$26)</f>
        <v>0</v>
      </c>
      <c r="H185" s="14">
        <f>LOOKUP($A185,建筑产出!$BF$16:$BF$26,建筑产出!BM$16:BM$26)</f>
        <v>0</v>
      </c>
      <c r="I185" s="14">
        <f>ROUND(LOOKUP($C185,建筑产出!$A$2:$A$26,建筑产出!D$2:D$26)*D185,-2)</f>
        <v>72000</v>
      </c>
      <c r="J185" s="14">
        <f>ROUND(LOOKUP($C185,建筑产出!$A$2:$A$26,建筑产出!E$2:E$26)*E185,-2)</f>
        <v>86400</v>
      </c>
      <c r="K185" s="14">
        <f>ROUND(LOOKUP($C185,建筑产出!$A$2:$A$26,建筑产出!F$2:F$26)*F185,-2)</f>
        <v>86400</v>
      </c>
      <c r="L185" s="14">
        <f>ROUND(LOOKUP($C185,建筑产出!$A$2:$A$26,建筑产出!G$2:G$26)*G185,-2)</f>
        <v>0</v>
      </c>
      <c r="M185" s="14">
        <f>ROUND(LOOKUP($C185,建筑产出!$A$2:$A$26,建筑产出!H$2:H$26)*H185,-2)</f>
        <v>0</v>
      </c>
      <c r="N185" s="14"/>
      <c r="O185" s="14">
        <f t="shared" si="21"/>
        <v>1</v>
      </c>
      <c r="P185" s="14">
        <f t="shared" si="22"/>
        <v>3</v>
      </c>
      <c r="Q185" s="14">
        <f t="shared" si="23"/>
        <v>4</v>
      </c>
      <c r="R185" s="14">
        <f t="shared" si="24"/>
        <v>0</v>
      </c>
      <c r="S185" s="14">
        <f t="shared" si="25"/>
        <v>0</v>
      </c>
      <c r="T185" s="14"/>
      <c r="U185" s="14" t="str">
        <f t="shared" si="26"/>
        <v>1;3;4;</v>
      </c>
      <c r="V185" s="23" t="str">
        <f t="shared" si="27"/>
        <v>72000;86400;86400;</v>
      </c>
      <c r="X185" s="13" t="str">
        <f t="shared" si="28"/>
        <v>1;3;4</v>
      </c>
      <c r="Y185" s="13" t="str">
        <f t="shared" si="29"/>
        <v>72000;86400;86400</v>
      </c>
    </row>
    <row r="186" spans="1:25" s="13" customFormat="1" ht="20.100000000000001" customHeight="1">
      <c r="A186" s="11">
        <f t="shared" si="30"/>
        <v>8</v>
      </c>
      <c r="B186" s="14" t="s">
        <v>70</v>
      </c>
      <c r="C186" s="14">
        <v>9</v>
      </c>
      <c r="D186" s="14">
        <f>LOOKUP($A186,建筑产出!$BF$16:$BF$26,建筑产出!BI$16:BI$26)</f>
        <v>0.125</v>
      </c>
      <c r="E186" s="14">
        <f>LOOKUP($A186,建筑产出!$BF$16:$BF$26,建筑产出!BJ$16:BJ$26)</f>
        <v>0.3</v>
      </c>
      <c r="F186" s="14">
        <f>LOOKUP($A186,建筑产出!$BF$16:$BF$26,建筑产出!BK$16:BK$26)</f>
        <v>0.3</v>
      </c>
      <c r="G186" s="14">
        <f>LOOKUP($A186,建筑产出!$BF$16:$BF$26,建筑产出!BL$16:BL$26)</f>
        <v>0</v>
      </c>
      <c r="H186" s="14">
        <f>LOOKUP($A186,建筑产出!$BF$16:$BF$26,建筑产出!BM$16:BM$26)</f>
        <v>0</v>
      </c>
      <c r="I186" s="14">
        <f>ROUND(LOOKUP($C186,建筑产出!$A$2:$A$26,建筑产出!D$2:D$26)*D186,-2)</f>
        <v>88800</v>
      </c>
      <c r="J186" s="14">
        <f>ROUND(LOOKUP($C186,建筑产出!$A$2:$A$26,建筑产出!E$2:E$26)*E186,-2)</f>
        <v>106600</v>
      </c>
      <c r="K186" s="14">
        <f>ROUND(LOOKUP($C186,建筑产出!$A$2:$A$26,建筑产出!F$2:F$26)*F186,-2)</f>
        <v>106600</v>
      </c>
      <c r="L186" s="14">
        <f>ROUND(LOOKUP($C186,建筑产出!$A$2:$A$26,建筑产出!G$2:G$26)*G186,-2)</f>
        <v>0</v>
      </c>
      <c r="M186" s="14">
        <f>ROUND(LOOKUP($C186,建筑产出!$A$2:$A$26,建筑产出!H$2:H$26)*H186,-2)</f>
        <v>0</v>
      </c>
      <c r="N186" s="14"/>
      <c r="O186" s="14">
        <f t="shared" si="21"/>
        <v>1</v>
      </c>
      <c r="P186" s="14">
        <f t="shared" si="22"/>
        <v>3</v>
      </c>
      <c r="Q186" s="14">
        <f t="shared" si="23"/>
        <v>4</v>
      </c>
      <c r="R186" s="14">
        <f t="shared" si="24"/>
        <v>0</v>
      </c>
      <c r="S186" s="14">
        <f t="shared" si="25"/>
        <v>0</v>
      </c>
      <c r="T186" s="14"/>
      <c r="U186" s="14" t="str">
        <f t="shared" si="26"/>
        <v>1;3;4;</v>
      </c>
      <c r="V186" s="23" t="str">
        <f t="shared" si="27"/>
        <v>88800;106600;106600;</v>
      </c>
      <c r="X186" s="13" t="str">
        <f t="shared" si="28"/>
        <v>1;3;4</v>
      </c>
      <c r="Y186" s="13" t="str">
        <f t="shared" si="29"/>
        <v>88800;106600;106600</v>
      </c>
    </row>
    <row r="187" spans="1:25" s="13" customFormat="1" ht="20.100000000000001" customHeight="1">
      <c r="A187" s="11">
        <f t="shared" si="30"/>
        <v>8</v>
      </c>
      <c r="B187" s="14" t="s">
        <v>70</v>
      </c>
      <c r="C187" s="14">
        <v>10</v>
      </c>
      <c r="D187" s="14">
        <f>LOOKUP($A187,建筑产出!$BF$16:$BF$26,建筑产出!BI$16:BI$26)</f>
        <v>0.125</v>
      </c>
      <c r="E187" s="14">
        <f>LOOKUP($A187,建筑产出!$BF$16:$BF$26,建筑产出!BJ$16:BJ$26)</f>
        <v>0.3</v>
      </c>
      <c r="F187" s="14">
        <f>LOOKUP($A187,建筑产出!$BF$16:$BF$26,建筑产出!BK$16:BK$26)</f>
        <v>0.3</v>
      </c>
      <c r="G187" s="14">
        <f>LOOKUP($A187,建筑产出!$BF$16:$BF$26,建筑产出!BL$16:BL$26)</f>
        <v>0</v>
      </c>
      <c r="H187" s="14">
        <f>LOOKUP($A187,建筑产出!$BF$16:$BF$26,建筑产出!BM$16:BM$26)</f>
        <v>0</v>
      </c>
      <c r="I187" s="14">
        <f>ROUND(LOOKUP($C187,建筑产出!$A$2:$A$26,建筑产出!D$2:D$26)*D187,-2)</f>
        <v>111100</v>
      </c>
      <c r="J187" s="14">
        <f>ROUND(LOOKUP($C187,建筑产出!$A$2:$A$26,建筑产出!E$2:E$26)*E187,-2)</f>
        <v>133300</v>
      </c>
      <c r="K187" s="14">
        <f>ROUND(LOOKUP($C187,建筑产出!$A$2:$A$26,建筑产出!F$2:F$26)*F187,-2)</f>
        <v>133300</v>
      </c>
      <c r="L187" s="14">
        <f>ROUND(LOOKUP($C187,建筑产出!$A$2:$A$26,建筑产出!G$2:G$26)*G187,-2)</f>
        <v>0</v>
      </c>
      <c r="M187" s="14">
        <f>ROUND(LOOKUP($C187,建筑产出!$A$2:$A$26,建筑产出!H$2:H$26)*H187,-2)</f>
        <v>0</v>
      </c>
      <c r="N187" s="14"/>
      <c r="O187" s="14">
        <f t="shared" si="21"/>
        <v>1</v>
      </c>
      <c r="P187" s="14">
        <f t="shared" si="22"/>
        <v>3</v>
      </c>
      <c r="Q187" s="14">
        <f t="shared" si="23"/>
        <v>4</v>
      </c>
      <c r="R187" s="14">
        <f t="shared" si="24"/>
        <v>0</v>
      </c>
      <c r="S187" s="14">
        <f t="shared" si="25"/>
        <v>0</v>
      </c>
      <c r="T187" s="14"/>
      <c r="U187" s="14" t="str">
        <f t="shared" si="26"/>
        <v>1;3;4;</v>
      </c>
      <c r="V187" s="23" t="str">
        <f t="shared" si="27"/>
        <v>111100;133300;133300;</v>
      </c>
      <c r="X187" s="13" t="str">
        <f t="shared" si="28"/>
        <v>1;3;4</v>
      </c>
      <c r="Y187" s="13" t="str">
        <f t="shared" si="29"/>
        <v>111100;133300;133300</v>
      </c>
    </row>
    <row r="188" spans="1:25" s="13" customFormat="1" ht="20.100000000000001" customHeight="1">
      <c r="A188" s="11">
        <f t="shared" si="30"/>
        <v>8</v>
      </c>
      <c r="B188" s="14" t="s">
        <v>70</v>
      </c>
      <c r="C188" s="14">
        <v>11</v>
      </c>
      <c r="D188" s="14">
        <f>LOOKUP($A188,建筑产出!$BF$16:$BF$26,建筑产出!BI$16:BI$26)</f>
        <v>0.125</v>
      </c>
      <c r="E188" s="14">
        <f>LOOKUP($A188,建筑产出!$BF$16:$BF$26,建筑产出!BJ$16:BJ$26)</f>
        <v>0.3</v>
      </c>
      <c r="F188" s="14">
        <f>LOOKUP($A188,建筑产出!$BF$16:$BF$26,建筑产出!BK$16:BK$26)</f>
        <v>0.3</v>
      </c>
      <c r="G188" s="14">
        <f>LOOKUP($A188,建筑产出!$BF$16:$BF$26,建筑产出!BL$16:BL$26)</f>
        <v>0</v>
      </c>
      <c r="H188" s="14">
        <f>LOOKUP($A188,建筑产出!$BF$16:$BF$26,建筑产出!BM$16:BM$26)</f>
        <v>0</v>
      </c>
      <c r="I188" s="14">
        <f>ROUND(LOOKUP($C188,建筑产出!$A$2:$A$26,建筑产出!D$2:D$26)*D188,-2)</f>
        <v>135600</v>
      </c>
      <c r="J188" s="14">
        <f>ROUND(LOOKUP($C188,建筑产出!$A$2:$A$26,建筑产出!E$2:E$26)*E188,-2)</f>
        <v>162800</v>
      </c>
      <c r="K188" s="14">
        <f>ROUND(LOOKUP($C188,建筑产出!$A$2:$A$26,建筑产出!F$2:F$26)*F188,-2)</f>
        <v>162800</v>
      </c>
      <c r="L188" s="14">
        <f>ROUND(LOOKUP($C188,建筑产出!$A$2:$A$26,建筑产出!G$2:G$26)*G188,-2)</f>
        <v>0</v>
      </c>
      <c r="M188" s="14">
        <f>ROUND(LOOKUP($C188,建筑产出!$A$2:$A$26,建筑产出!H$2:H$26)*H188,-2)</f>
        <v>0</v>
      </c>
      <c r="N188" s="14"/>
      <c r="O188" s="14">
        <f t="shared" si="21"/>
        <v>1</v>
      </c>
      <c r="P188" s="14">
        <f t="shared" si="22"/>
        <v>3</v>
      </c>
      <c r="Q188" s="14">
        <f t="shared" si="23"/>
        <v>4</v>
      </c>
      <c r="R188" s="14">
        <f t="shared" si="24"/>
        <v>0</v>
      </c>
      <c r="S188" s="14">
        <f t="shared" si="25"/>
        <v>0</v>
      </c>
      <c r="T188" s="14"/>
      <c r="U188" s="14" t="str">
        <f t="shared" si="26"/>
        <v>1;3;4;</v>
      </c>
      <c r="V188" s="23" t="str">
        <f t="shared" si="27"/>
        <v>135600;162800;162800;</v>
      </c>
      <c r="X188" s="13" t="str">
        <f t="shared" si="28"/>
        <v>1;3;4</v>
      </c>
      <c r="Y188" s="13" t="str">
        <f t="shared" si="29"/>
        <v>135600;162800;162800</v>
      </c>
    </row>
    <row r="189" spans="1:25" s="13" customFormat="1" ht="20.100000000000001" customHeight="1">
      <c r="A189" s="11">
        <f t="shared" si="30"/>
        <v>8</v>
      </c>
      <c r="B189" s="14" t="s">
        <v>70</v>
      </c>
      <c r="C189" s="14">
        <v>12</v>
      </c>
      <c r="D189" s="14">
        <f>LOOKUP($A189,建筑产出!$BF$16:$BF$26,建筑产出!BI$16:BI$26)</f>
        <v>0.125</v>
      </c>
      <c r="E189" s="14">
        <f>LOOKUP($A189,建筑产出!$BF$16:$BF$26,建筑产出!BJ$16:BJ$26)</f>
        <v>0.3</v>
      </c>
      <c r="F189" s="14">
        <f>LOOKUP($A189,建筑产出!$BF$16:$BF$26,建筑产出!BK$16:BK$26)</f>
        <v>0.3</v>
      </c>
      <c r="G189" s="14">
        <f>LOOKUP($A189,建筑产出!$BF$16:$BF$26,建筑产出!BL$16:BL$26)</f>
        <v>0</v>
      </c>
      <c r="H189" s="14">
        <f>LOOKUP($A189,建筑产出!$BF$16:$BF$26,建筑产出!BM$16:BM$26)</f>
        <v>0</v>
      </c>
      <c r="I189" s="14">
        <f>ROUND(LOOKUP($C189,建筑产出!$A$2:$A$26,建筑产出!D$2:D$26)*D189,-2)</f>
        <v>162500</v>
      </c>
      <c r="J189" s="14">
        <f>ROUND(LOOKUP($C189,建筑产出!$A$2:$A$26,建筑产出!E$2:E$26)*E189,-2)</f>
        <v>195000</v>
      </c>
      <c r="K189" s="14">
        <f>ROUND(LOOKUP($C189,建筑产出!$A$2:$A$26,建筑产出!F$2:F$26)*F189,-2)</f>
        <v>195000</v>
      </c>
      <c r="L189" s="14">
        <f>ROUND(LOOKUP($C189,建筑产出!$A$2:$A$26,建筑产出!G$2:G$26)*G189,-2)</f>
        <v>0</v>
      </c>
      <c r="M189" s="14">
        <f>ROUND(LOOKUP($C189,建筑产出!$A$2:$A$26,建筑产出!H$2:H$26)*H189,-2)</f>
        <v>0</v>
      </c>
      <c r="N189" s="14"/>
      <c r="O189" s="14">
        <f t="shared" si="21"/>
        <v>1</v>
      </c>
      <c r="P189" s="14">
        <f t="shared" si="22"/>
        <v>3</v>
      </c>
      <c r="Q189" s="14">
        <f t="shared" si="23"/>
        <v>4</v>
      </c>
      <c r="R189" s="14">
        <f t="shared" si="24"/>
        <v>0</v>
      </c>
      <c r="S189" s="14">
        <f t="shared" si="25"/>
        <v>0</v>
      </c>
      <c r="T189" s="14"/>
      <c r="U189" s="14" t="str">
        <f t="shared" si="26"/>
        <v>1;3;4;</v>
      </c>
      <c r="V189" s="23" t="str">
        <f t="shared" si="27"/>
        <v>162500;195000;195000;</v>
      </c>
      <c r="X189" s="13" t="str">
        <f t="shared" si="28"/>
        <v>1;3;4</v>
      </c>
      <c r="Y189" s="13" t="str">
        <f t="shared" si="29"/>
        <v>162500;195000;195000</v>
      </c>
    </row>
    <row r="190" spans="1:25" s="13" customFormat="1" ht="20.100000000000001" customHeight="1">
      <c r="A190" s="11">
        <f t="shared" si="30"/>
        <v>8</v>
      </c>
      <c r="B190" s="14" t="s">
        <v>70</v>
      </c>
      <c r="C190" s="14">
        <v>13</v>
      </c>
      <c r="D190" s="14">
        <f>LOOKUP($A190,建筑产出!$BF$16:$BF$26,建筑产出!BI$16:BI$26)</f>
        <v>0.125</v>
      </c>
      <c r="E190" s="14">
        <f>LOOKUP($A190,建筑产出!$BF$16:$BF$26,建筑产出!BJ$16:BJ$26)</f>
        <v>0.3</v>
      </c>
      <c r="F190" s="14">
        <f>LOOKUP($A190,建筑产出!$BF$16:$BF$26,建筑产出!BK$16:BK$26)</f>
        <v>0.3</v>
      </c>
      <c r="G190" s="14">
        <f>LOOKUP($A190,建筑产出!$BF$16:$BF$26,建筑产出!BL$16:BL$26)</f>
        <v>0</v>
      </c>
      <c r="H190" s="14">
        <f>LOOKUP($A190,建筑产出!$BF$16:$BF$26,建筑产出!BM$16:BM$26)</f>
        <v>0</v>
      </c>
      <c r="I190" s="14">
        <f>ROUND(LOOKUP($C190,建筑产出!$A$2:$A$26,建筑产出!D$2:D$26)*D190,-2)</f>
        <v>191600</v>
      </c>
      <c r="J190" s="14">
        <f>ROUND(LOOKUP($C190,建筑产出!$A$2:$A$26,建筑产出!E$2:E$26)*E190,-2)</f>
        <v>230000</v>
      </c>
      <c r="K190" s="14">
        <f>ROUND(LOOKUP($C190,建筑产出!$A$2:$A$26,建筑产出!F$2:F$26)*F190,-2)</f>
        <v>230000</v>
      </c>
      <c r="L190" s="14">
        <f>ROUND(LOOKUP($C190,建筑产出!$A$2:$A$26,建筑产出!G$2:G$26)*G190,-2)</f>
        <v>0</v>
      </c>
      <c r="M190" s="14">
        <f>ROUND(LOOKUP($C190,建筑产出!$A$2:$A$26,建筑产出!H$2:H$26)*H190,-2)</f>
        <v>0</v>
      </c>
      <c r="N190" s="14"/>
      <c r="O190" s="14">
        <f t="shared" si="21"/>
        <v>1</v>
      </c>
      <c r="P190" s="14">
        <f t="shared" si="22"/>
        <v>3</v>
      </c>
      <c r="Q190" s="14">
        <f t="shared" si="23"/>
        <v>4</v>
      </c>
      <c r="R190" s="14">
        <f t="shared" si="24"/>
        <v>0</v>
      </c>
      <c r="S190" s="14">
        <f t="shared" si="25"/>
        <v>0</v>
      </c>
      <c r="T190" s="14"/>
      <c r="U190" s="14" t="str">
        <f t="shared" si="26"/>
        <v>1;3;4;</v>
      </c>
      <c r="V190" s="23" t="str">
        <f t="shared" si="27"/>
        <v>191600;230000;230000;</v>
      </c>
      <c r="X190" s="13" t="str">
        <f t="shared" si="28"/>
        <v>1;3;4</v>
      </c>
      <c r="Y190" s="13" t="str">
        <f t="shared" si="29"/>
        <v>191600;230000;230000</v>
      </c>
    </row>
    <row r="191" spans="1:25" s="13" customFormat="1" ht="20.100000000000001" customHeight="1">
      <c r="A191" s="11">
        <f t="shared" si="30"/>
        <v>8</v>
      </c>
      <c r="B191" s="14" t="s">
        <v>70</v>
      </c>
      <c r="C191" s="14">
        <v>14</v>
      </c>
      <c r="D191" s="14">
        <f>LOOKUP($A191,建筑产出!$BF$16:$BF$26,建筑产出!BI$16:BI$26)</f>
        <v>0.125</v>
      </c>
      <c r="E191" s="14">
        <f>LOOKUP($A191,建筑产出!$BF$16:$BF$26,建筑产出!BJ$16:BJ$26)</f>
        <v>0.3</v>
      </c>
      <c r="F191" s="14">
        <f>LOOKUP($A191,建筑产出!$BF$16:$BF$26,建筑产出!BK$16:BK$26)</f>
        <v>0.3</v>
      </c>
      <c r="G191" s="14">
        <f>LOOKUP($A191,建筑产出!$BF$16:$BF$26,建筑产出!BL$16:BL$26)</f>
        <v>0</v>
      </c>
      <c r="H191" s="14">
        <f>LOOKUP($A191,建筑产出!$BF$16:$BF$26,建筑产出!BM$16:BM$26)</f>
        <v>0</v>
      </c>
      <c r="I191" s="14">
        <f>ROUND(LOOKUP($C191,建筑产出!$A$2:$A$26,建筑产出!D$2:D$26)*D191,-2)</f>
        <v>223100</v>
      </c>
      <c r="J191" s="14">
        <f>ROUND(LOOKUP($C191,建筑产出!$A$2:$A$26,建筑产出!E$2:E$26)*E191,-2)</f>
        <v>267700</v>
      </c>
      <c r="K191" s="14">
        <f>ROUND(LOOKUP($C191,建筑产出!$A$2:$A$26,建筑产出!F$2:F$26)*F191,-2)</f>
        <v>267700</v>
      </c>
      <c r="L191" s="14">
        <f>ROUND(LOOKUP($C191,建筑产出!$A$2:$A$26,建筑产出!G$2:G$26)*G191,-2)</f>
        <v>0</v>
      </c>
      <c r="M191" s="14">
        <f>ROUND(LOOKUP($C191,建筑产出!$A$2:$A$26,建筑产出!H$2:H$26)*H191,-2)</f>
        <v>0</v>
      </c>
      <c r="N191" s="14"/>
      <c r="O191" s="14">
        <f t="shared" si="21"/>
        <v>1</v>
      </c>
      <c r="P191" s="14">
        <f t="shared" si="22"/>
        <v>3</v>
      </c>
      <c r="Q191" s="14">
        <f t="shared" si="23"/>
        <v>4</v>
      </c>
      <c r="R191" s="14">
        <f t="shared" si="24"/>
        <v>0</v>
      </c>
      <c r="S191" s="14">
        <f t="shared" si="25"/>
        <v>0</v>
      </c>
      <c r="T191" s="14"/>
      <c r="U191" s="14" t="str">
        <f t="shared" si="26"/>
        <v>1;3;4;</v>
      </c>
      <c r="V191" s="23" t="str">
        <f t="shared" si="27"/>
        <v>223100;267700;267700;</v>
      </c>
      <c r="X191" s="13" t="str">
        <f t="shared" si="28"/>
        <v>1;3;4</v>
      </c>
      <c r="Y191" s="13" t="str">
        <f t="shared" si="29"/>
        <v>223100;267700;267700</v>
      </c>
    </row>
    <row r="192" spans="1:25" s="13" customFormat="1" ht="20.100000000000001" customHeight="1">
      <c r="A192" s="11">
        <f t="shared" si="30"/>
        <v>8</v>
      </c>
      <c r="B192" s="14" t="s">
        <v>70</v>
      </c>
      <c r="C192" s="14">
        <v>15</v>
      </c>
      <c r="D192" s="14">
        <f>LOOKUP($A192,建筑产出!$BF$16:$BF$26,建筑产出!BI$16:BI$26)</f>
        <v>0.125</v>
      </c>
      <c r="E192" s="14">
        <f>LOOKUP($A192,建筑产出!$BF$16:$BF$26,建筑产出!BJ$16:BJ$26)</f>
        <v>0.3</v>
      </c>
      <c r="F192" s="14">
        <f>LOOKUP($A192,建筑产出!$BF$16:$BF$26,建筑产出!BK$16:BK$26)</f>
        <v>0.3</v>
      </c>
      <c r="G192" s="14">
        <f>LOOKUP($A192,建筑产出!$BF$16:$BF$26,建筑产出!BL$16:BL$26)</f>
        <v>0</v>
      </c>
      <c r="H192" s="14">
        <f>LOOKUP($A192,建筑产出!$BF$16:$BF$26,建筑产出!BM$16:BM$26)</f>
        <v>0</v>
      </c>
      <c r="I192" s="14">
        <f>ROUND(LOOKUP($C192,建筑产出!$A$2:$A$26,建筑产出!D$2:D$26)*D192,-2)</f>
        <v>262000</v>
      </c>
      <c r="J192" s="14">
        <f>ROUND(LOOKUP($C192,建筑产出!$A$2:$A$26,建筑产出!E$2:E$26)*E192,-2)</f>
        <v>314400</v>
      </c>
      <c r="K192" s="14">
        <f>ROUND(LOOKUP($C192,建筑产出!$A$2:$A$26,建筑产出!F$2:F$26)*F192,-2)</f>
        <v>314400</v>
      </c>
      <c r="L192" s="14">
        <f>ROUND(LOOKUP($C192,建筑产出!$A$2:$A$26,建筑产出!G$2:G$26)*G192,-2)</f>
        <v>0</v>
      </c>
      <c r="M192" s="14">
        <f>ROUND(LOOKUP($C192,建筑产出!$A$2:$A$26,建筑产出!H$2:H$26)*H192,-2)</f>
        <v>0</v>
      </c>
      <c r="N192" s="14"/>
      <c r="O192" s="14">
        <f t="shared" si="21"/>
        <v>1</v>
      </c>
      <c r="P192" s="14">
        <f t="shared" si="22"/>
        <v>3</v>
      </c>
      <c r="Q192" s="14">
        <f t="shared" si="23"/>
        <v>4</v>
      </c>
      <c r="R192" s="14">
        <f t="shared" si="24"/>
        <v>0</v>
      </c>
      <c r="S192" s="14">
        <f t="shared" si="25"/>
        <v>0</v>
      </c>
      <c r="T192" s="14"/>
      <c r="U192" s="14" t="str">
        <f t="shared" si="26"/>
        <v>1;3;4;</v>
      </c>
      <c r="V192" s="23" t="str">
        <f t="shared" si="27"/>
        <v>262000;314400;314400;</v>
      </c>
      <c r="X192" s="13" t="str">
        <f t="shared" si="28"/>
        <v>1;3;4</v>
      </c>
      <c r="Y192" s="13" t="str">
        <f t="shared" si="29"/>
        <v>262000;314400;314400</v>
      </c>
    </row>
    <row r="193" spans="1:25" s="13" customFormat="1" ht="20.100000000000001" customHeight="1">
      <c r="A193" s="11">
        <f t="shared" si="30"/>
        <v>8</v>
      </c>
      <c r="B193" s="14" t="s">
        <v>70</v>
      </c>
      <c r="C193" s="14">
        <v>16</v>
      </c>
      <c r="D193" s="14">
        <f>LOOKUP($A193,建筑产出!$BF$16:$BF$26,建筑产出!BI$16:BI$26)</f>
        <v>0.125</v>
      </c>
      <c r="E193" s="14">
        <f>LOOKUP($A193,建筑产出!$BF$16:$BF$26,建筑产出!BJ$16:BJ$26)</f>
        <v>0.3</v>
      </c>
      <c r="F193" s="14">
        <f>LOOKUP($A193,建筑产出!$BF$16:$BF$26,建筑产出!BK$16:BK$26)</f>
        <v>0.3</v>
      </c>
      <c r="G193" s="14">
        <f>LOOKUP($A193,建筑产出!$BF$16:$BF$26,建筑产出!BL$16:BL$26)</f>
        <v>0</v>
      </c>
      <c r="H193" s="14">
        <f>LOOKUP($A193,建筑产出!$BF$16:$BF$26,建筑产出!BM$16:BM$26)</f>
        <v>0</v>
      </c>
      <c r="I193" s="14">
        <f>ROUND(LOOKUP($C193,建筑产出!$A$2:$A$26,建筑产出!D$2:D$26)*D193,-2)</f>
        <v>303800</v>
      </c>
      <c r="J193" s="14">
        <f>ROUND(LOOKUP($C193,建筑产出!$A$2:$A$26,建筑产出!E$2:E$26)*E193,-2)</f>
        <v>364500</v>
      </c>
      <c r="K193" s="14">
        <f>ROUND(LOOKUP($C193,建筑产出!$A$2:$A$26,建筑产出!F$2:F$26)*F193,-2)</f>
        <v>364500</v>
      </c>
      <c r="L193" s="14">
        <f>ROUND(LOOKUP($C193,建筑产出!$A$2:$A$26,建筑产出!G$2:G$26)*G193,-2)</f>
        <v>0</v>
      </c>
      <c r="M193" s="14">
        <f>ROUND(LOOKUP($C193,建筑产出!$A$2:$A$26,建筑产出!H$2:H$26)*H193,-2)</f>
        <v>0</v>
      </c>
      <c r="N193" s="14"/>
      <c r="O193" s="14">
        <f t="shared" si="21"/>
        <v>1</v>
      </c>
      <c r="P193" s="14">
        <f t="shared" si="22"/>
        <v>3</v>
      </c>
      <c r="Q193" s="14">
        <f t="shared" si="23"/>
        <v>4</v>
      </c>
      <c r="R193" s="14">
        <f t="shared" si="24"/>
        <v>0</v>
      </c>
      <c r="S193" s="14">
        <f t="shared" si="25"/>
        <v>0</v>
      </c>
      <c r="T193" s="14"/>
      <c r="U193" s="14" t="str">
        <f t="shared" si="26"/>
        <v>1;3;4;</v>
      </c>
      <c r="V193" s="23" t="str">
        <f t="shared" si="27"/>
        <v>303800;364500;364500;</v>
      </c>
      <c r="X193" s="13" t="str">
        <f t="shared" si="28"/>
        <v>1;3;4</v>
      </c>
      <c r="Y193" s="13" t="str">
        <f t="shared" si="29"/>
        <v>303800;364500;364500</v>
      </c>
    </row>
    <row r="194" spans="1:25" s="13" customFormat="1" ht="20.100000000000001" customHeight="1">
      <c r="A194" s="11">
        <f t="shared" si="30"/>
        <v>8</v>
      </c>
      <c r="B194" s="14" t="s">
        <v>70</v>
      </c>
      <c r="C194" s="14">
        <v>17</v>
      </c>
      <c r="D194" s="14">
        <f>LOOKUP($A194,建筑产出!$BF$16:$BF$26,建筑产出!BI$16:BI$26)</f>
        <v>0.125</v>
      </c>
      <c r="E194" s="14">
        <f>LOOKUP($A194,建筑产出!$BF$16:$BF$26,建筑产出!BJ$16:BJ$26)</f>
        <v>0.3</v>
      </c>
      <c r="F194" s="14">
        <f>LOOKUP($A194,建筑产出!$BF$16:$BF$26,建筑产出!BK$16:BK$26)</f>
        <v>0.3</v>
      </c>
      <c r="G194" s="14">
        <f>LOOKUP($A194,建筑产出!$BF$16:$BF$26,建筑产出!BL$16:BL$26)</f>
        <v>0</v>
      </c>
      <c r="H194" s="14">
        <f>LOOKUP($A194,建筑产出!$BF$16:$BF$26,建筑产出!BM$16:BM$26)</f>
        <v>0</v>
      </c>
      <c r="I194" s="14">
        <f>ROUND(LOOKUP($C194,建筑产出!$A$2:$A$26,建筑产出!D$2:D$26)*D194,-2)</f>
        <v>348400</v>
      </c>
      <c r="J194" s="14">
        <f>ROUND(LOOKUP($C194,建筑产出!$A$2:$A$26,建筑产出!E$2:E$26)*E194,-2)</f>
        <v>418100</v>
      </c>
      <c r="K194" s="14">
        <f>ROUND(LOOKUP($C194,建筑产出!$A$2:$A$26,建筑产出!F$2:F$26)*F194,-2)</f>
        <v>418100</v>
      </c>
      <c r="L194" s="14">
        <f>ROUND(LOOKUP($C194,建筑产出!$A$2:$A$26,建筑产出!G$2:G$26)*G194,-2)</f>
        <v>0</v>
      </c>
      <c r="M194" s="14">
        <f>ROUND(LOOKUP($C194,建筑产出!$A$2:$A$26,建筑产出!H$2:H$26)*H194,-2)</f>
        <v>0</v>
      </c>
      <c r="N194" s="14"/>
      <c r="O194" s="14">
        <f t="shared" si="21"/>
        <v>1</v>
      </c>
      <c r="P194" s="14">
        <f t="shared" si="22"/>
        <v>3</v>
      </c>
      <c r="Q194" s="14">
        <f t="shared" si="23"/>
        <v>4</v>
      </c>
      <c r="R194" s="14">
        <f t="shared" si="24"/>
        <v>0</v>
      </c>
      <c r="S194" s="14">
        <f t="shared" si="25"/>
        <v>0</v>
      </c>
      <c r="T194" s="14"/>
      <c r="U194" s="14" t="str">
        <f t="shared" si="26"/>
        <v>1;3;4;</v>
      </c>
      <c r="V194" s="23" t="str">
        <f t="shared" si="27"/>
        <v>348400;418100;418100;</v>
      </c>
      <c r="X194" s="13" t="str">
        <f t="shared" si="28"/>
        <v>1;3;4</v>
      </c>
      <c r="Y194" s="13" t="str">
        <f t="shared" si="29"/>
        <v>348400;418100;418100</v>
      </c>
    </row>
    <row r="195" spans="1:25" s="13" customFormat="1" ht="20.100000000000001" customHeight="1">
      <c r="A195" s="11">
        <f t="shared" si="30"/>
        <v>8</v>
      </c>
      <c r="B195" s="14" t="s">
        <v>70</v>
      </c>
      <c r="C195" s="14">
        <v>18</v>
      </c>
      <c r="D195" s="14">
        <f>LOOKUP($A195,建筑产出!$BF$16:$BF$26,建筑产出!BI$16:BI$26)</f>
        <v>0.125</v>
      </c>
      <c r="E195" s="14">
        <f>LOOKUP($A195,建筑产出!$BF$16:$BF$26,建筑产出!BJ$16:BJ$26)</f>
        <v>0.3</v>
      </c>
      <c r="F195" s="14">
        <f>LOOKUP($A195,建筑产出!$BF$16:$BF$26,建筑产出!BK$16:BK$26)</f>
        <v>0.3</v>
      </c>
      <c r="G195" s="14">
        <f>LOOKUP($A195,建筑产出!$BF$16:$BF$26,建筑产出!BL$16:BL$26)</f>
        <v>0</v>
      </c>
      <c r="H195" s="14">
        <f>LOOKUP($A195,建筑产出!$BF$16:$BF$26,建筑产出!BM$16:BM$26)</f>
        <v>0</v>
      </c>
      <c r="I195" s="14">
        <f>ROUND(LOOKUP($C195,建筑产出!$A$2:$A$26,建筑产出!D$2:D$26)*D195,-2)</f>
        <v>395900</v>
      </c>
      <c r="J195" s="14">
        <f>ROUND(LOOKUP($C195,建筑产出!$A$2:$A$26,建筑产出!E$2:E$26)*E195,-2)</f>
        <v>475100</v>
      </c>
      <c r="K195" s="14">
        <f>ROUND(LOOKUP($C195,建筑产出!$A$2:$A$26,建筑产出!F$2:F$26)*F195,-2)</f>
        <v>475100</v>
      </c>
      <c r="L195" s="14">
        <f>ROUND(LOOKUP($C195,建筑产出!$A$2:$A$26,建筑产出!G$2:G$26)*G195,-2)</f>
        <v>0</v>
      </c>
      <c r="M195" s="14">
        <f>ROUND(LOOKUP($C195,建筑产出!$A$2:$A$26,建筑产出!H$2:H$26)*H195,-2)</f>
        <v>0</v>
      </c>
      <c r="N195" s="14"/>
      <c r="O195" s="14">
        <f t="shared" si="21"/>
        <v>1</v>
      </c>
      <c r="P195" s="14">
        <f t="shared" si="22"/>
        <v>3</v>
      </c>
      <c r="Q195" s="14">
        <f t="shared" si="23"/>
        <v>4</v>
      </c>
      <c r="R195" s="14">
        <f t="shared" si="24"/>
        <v>0</v>
      </c>
      <c r="S195" s="14">
        <f t="shared" si="25"/>
        <v>0</v>
      </c>
      <c r="T195" s="14"/>
      <c r="U195" s="14" t="str">
        <f t="shared" si="26"/>
        <v>1;3;4;</v>
      </c>
      <c r="V195" s="23" t="str">
        <f t="shared" si="27"/>
        <v>395900;475100;475100;</v>
      </c>
      <c r="X195" s="13" t="str">
        <f t="shared" si="28"/>
        <v>1;3;4</v>
      </c>
      <c r="Y195" s="13" t="str">
        <f t="shared" si="29"/>
        <v>395900;475100;475100</v>
      </c>
    </row>
    <row r="196" spans="1:25" s="13" customFormat="1" ht="20.100000000000001" customHeight="1">
      <c r="A196" s="11">
        <f t="shared" si="30"/>
        <v>8</v>
      </c>
      <c r="B196" s="14" t="s">
        <v>70</v>
      </c>
      <c r="C196" s="14">
        <v>19</v>
      </c>
      <c r="D196" s="14">
        <f>LOOKUP($A196,建筑产出!$BF$16:$BF$26,建筑产出!BI$16:BI$26)</f>
        <v>0.125</v>
      </c>
      <c r="E196" s="14">
        <f>LOOKUP($A196,建筑产出!$BF$16:$BF$26,建筑产出!BJ$16:BJ$26)</f>
        <v>0.3</v>
      </c>
      <c r="F196" s="14">
        <f>LOOKUP($A196,建筑产出!$BF$16:$BF$26,建筑产出!BK$16:BK$26)</f>
        <v>0.3</v>
      </c>
      <c r="G196" s="14">
        <f>LOOKUP($A196,建筑产出!$BF$16:$BF$26,建筑产出!BL$16:BL$26)</f>
        <v>0</v>
      </c>
      <c r="H196" s="14">
        <f>LOOKUP($A196,建筑产出!$BF$16:$BF$26,建筑产出!BM$16:BM$26)</f>
        <v>0</v>
      </c>
      <c r="I196" s="14">
        <f>ROUND(LOOKUP($C196,建筑产出!$A$2:$A$26,建筑产出!D$2:D$26)*D196,-2)</f>
        <v>446300</v>
      </c>
      <c r="J196" s="14">
        <f>ROUND(LOOKUP($C196,建筑产出!$A$2:$A$26,建筑产出!E$2:E$26)*E196,-2)</f>
        <v>535600</v>
      </c>
      <c r="K196" s="14">
        <f>ROUND(LOOKUP($C196,建筑产出!$A$2:$A$26,建筑产出!F$2:F$26)*F196,-2)</f>
        <v>535600</v>
      </c>
      <c r="L196" s="14">
        <f>ROUND(LOOKUP($C196,建筑产出!$A$2:$A$26,建筑产出!G$2:G$26)*G196,-2)</f>
        <v>0</v>
      </c>
      <c r="M196" s="14">
        <f>ROUND(LOOKUP($C196,建筑产出!$A$2:$A$26,建筑产出!H$2:H$26)*H196,-2)</f>
        <v>0</v>
      </c>
      <c r="N196" s="14"/>
      <c r="O196" s="14">
        <f t="shared" ref="O196:O227" si="31">IF(I196=0,0,I$2)</f>
        <v>1</v>
      </c>
      <c r="P196" s="14">
        <f t="shared" ref="P196:P227" si="32">IF(J196=0,0,J$2)</f>
        <v>3</v>
      </c>
      <c r="Q196" s="14">
        <f t="shared" ref="Q196:Q227" si="33">IF(K196=0,0,K$2)</f>
        <v>4</v>
      </c>
      <c r="R196" s="14">
        <f t="shared" ref="R196:R227" si="34">IF(L196=0,0,L$2)</f>
        <v>0</v>
      </c>
      <c r="S196" s="14">
        <f t="shared" ref="S196:S227" si="35">IF(M196=0,0,M$2)</f>
        <v>0</v>
      </c>
      <c r="T196" s="14"/>
      <c r="U196" s="14" t="str">
        <f t="shared" ref="U196:U227" si="36">IF(O196&gt;0,O196&amp;";","")&amp;IF(P196&gt;0,P196&amp;";","")&amp;IF(Q196&gt;0,Q196&amp;";","")&amp;IF(R196&gt;0,R196&amp;";","")&amp;IF(S196&gt;0,S196&amp;";","")</f>
        <v>1;3;4;</v>
      </c>
      <c r="V196" s="23" t="str">
        <f t="shared" ref="V196:V227" si="37">IF(O196&gt;0,I196&amp;";","")&amp;IF(P196&gt;0,J196&amp;";","")&amp;IF(Q196&gt;0,K196&amp;";","")&amp;IF(R196&gt;0,L196&amp;";","")&amp;IF(S196&gt;0,M196&amp;";","")</f>
        <v>446300;535600;535600;</v>
      </c>
      <c r="X196" s="13" t="str">
        <f t="shared" ref="X196:X227" si="38">LEFT(U196,LEN(U196)-1)</f>
        <v>1;3;4</v>
      </c>
      <c r="Y196" s="13" t="str">
        <f t="shared" ref="Y196:Y227" si="39">LEFT(V196,LEN(V196)-1)</f>
        <v>446300;535600;535600</v>
      </c>
    </row>
    <row r="197" spans="1:25" s="13" customFormat="1" ht="20.100000000000001" customHeight="1">
      <c r="A197" s="11">
        <f t="shared" si="30"/>
        <v>8</v>
      </c>
      <c r="B197" s="14" t="s">
        <v>70</v>
      </c>
      <c r="C197" s="14">
        <v>20</v>
      </c>
      <c r="D197" s="14">
        <f>LOOKUP($A197,建筑产出!$BF$16:$BF$26,建筑产出!BI$16:BI$26)</f>
        <v>0.125</v>
      </c>
      <c r="E197" s="14">
        <f>LOOKUP($A197,建筑产出!$BF$16:$BF$26,建筑产出!BJ$16:BJ$26)</f>
        <v>0.3</v>
      </c>
      <c r="F197" s="14">
        <f>LOOKUP($A197,建筑产出!$BF$16:$BF$26,建筑产出!BK$16:BK$26)</f>
        <v>0.3</v>
      </c>
      <c r="G197" s="14">
        <f>LOOKUP($A197,建筑产出!$BF$16:$BF$26,建筑产出!BL$16:BL$26)</f>
        <v>0</v>
      </c>
      <c r="H197" s="14">
        <f>LOOKUP($A197,建筑产出!$BF$16:$BF$26,建筑产出!BM$16:BM$26)</f>
        <v>0</v>
      </c>
      <c r="I197" s="14">
        <f>ROUND(LOOKUP($C197,建筑产出!$A$2:$A$26,建筑产出!D$2:D$26)*D197,-2)</f>
        <v>506100</v>
      </c>
      <c r="J197" s="14">
        <f>ROUND(LOOKUP($C197,建筑产出!$A$2:$A$26,建筑产出!E$2:E$26)*E197,-2)</f>
        <v>607400</v>
      </c>
      <c r="K197" s="14">
        <f>ROUND(LOOKUP($C197,建筑产出!$A$2:$A$26,建筑产出!F$2:F$26)*F197,-2)</f>
        <v>607400</v>
      </c>
      <c r="L197" s="14">
        <f>ROUND(LOOKUP($C197,建筑产出!$A$2:$A$26,建筑产出!G$2:G$26)*G197,-2)</f>
        <v>0</v>
      </c>
      <c r="M197" s="14">
        <f>ROUND(LOOKUP($C197,建筑产出!$A$2:$A$26,建筑产出!H$2:H$26)*H197,-2)</f>
        <v>0</v>
      </c>
      <c r="N197" s="14"/>
      <c r="O197" s="14">
        <f t="shared" si="31"/>
        <v>1</v>
      </c>
      <c r="P197" s="14">
        <f t="shared" si="32"/>
        <v>3</v>
      </c>
      <c r="Q197" s="14">
        <f t="shared" si="33"/>
        <v>4</v>
      </c>
      <c r="R197" s="14">
        <f t="shared" si="34"/>
        <v>0</v>
      </c>
      <c r="S197" s="14">
        <f t="shared" si="35"/>
        <v>0</v>
      </c>
      <c r="T197" s="14"/>
      <c r="U197" s="14" t="str">
        <f t="shared" si="36"/>
        <v>1;3;4;</v>
      </c>
      <c r="V197" s="23" t="str">
        <f t="shared" si="37"/>
        <v>506100;607400;607400;</v>
      </c>
      <c r="X197" s="13" t="str">
        <f t="shared" si="38"/>
        <v>1;3;4</v>
      </c>
      <c r="Y197" s="13" t="str">
        <f t="shared" si="39"/>
        <v>506100;607400;607400</v>
      </c>
    </row>
    <row r="198" spans="1:25" s="13" customFormat="1" ht="20.100000000000001" customHeight="1">
      <c r="A198" s="11">
        <f t="shared" si="30"/>
        <v>8</v>
      </c>
      <c r="B198" s="14" t="s">
        <v>70</v>
      </c>
      <c r="C198" s="14">
        <v>21</v>
      </c>
      <c r="D198" s="14">
        <f>LOOKUP($A198,建筑产出!$BF$16:$BF$26,建筑产出!BI$16:BI$26)</f>
        <v>0.125</v>
      </c>
      <c r="E198" s="14">
        <f>LOOKUP($A198,建筑产出!$BF$16:$BF$26,建筑产出!BJ$16:BJ$26)</f>
        <v>0.3</v>
      </c>
      <c r="F198" s="14">
        <f>LOOKUP($A198,建筑产出!$BF$16:$BF$26,建筑产出!BK$16:BK$26)</f>
        <v>0.3</v>
      </c>
      <c r="G198" s="14">
        <f>LOOKUP($A198,建筑产出!$BF$16:$BF$26,建筑产出!BL$16:BL$26)</f>
        <v>0</v>
      </c>
      <c r="H198" s="14">
        <f>LOOKUP($A198,建筑产出!$BF$16:$BF$26,建筑产出!BM$16:BM$26)</f>
        <v>0</v>
      </c>
      <c r="I198" s="14">
        <f>ROUND(LOOKUP($C198,建筑产出!$A$2:$A$26,建筑产出!D$2:D$26)*D198,-2)</f>
        <v>569400</v>
      </c>
      <c r="J198" s="14">
        <f>ROUND(LOOKUP($C198,建筑产出!$A$2:$A$26,建筑产出!E$2:E$26)*E198,-2)</f>
        <v>683300</v>
      </c>
      <c r="K198" s="14">
        <f>ROUND(LOOKUP($C198,建筑产出!$A$2:$A$26,建筑产出!F$2:F$26)*F198,-2)</f>
        <v>683300</v>
      </c>
      <c r="L198" s="14">
        <f>ROUND(LOOKUP($C198,建筑产出!$A$2:$A$26,建筑产出!G$2:G$26)*G198,-2)</f>
        <v>0</v>
      </c>
      <c r="M198" s="14">
        <f>ROUND(LOOKUP($C198,建筑产出!$A$2:$A$26,建筑产出!H$2:H$26)*H198,-2)</f>
        <v>0</v>
      </c>
      <c r="N198" s="14"/>
      <c r="O198" s="14">
        <f t="shared" si="31"/>
        <v>1</v>
      </c>
      <c r="P198" s="14">
        <f t="shared" si="32"/>
        <v>3</v>
      </c>
      <c r="Q198" s="14">
        <f t="shared" si="33"/>
        <v>4</v>
      </c>
      <c r="R198" s="14">
        <f t="shared" si="34"/>
        <v>0</v>
      </c>
      <c r="S198" s="14">
        <f t="shared" si="35"/>
        <v>0</v>
      </c>
      <c r="T198" s="14"/>
      <c r="U198" s="14" t="str">
        <f t="shared" si="36"/>
        <v>1;3;4;</v>
      </c>
      <c r="V198" s="23" t="str">
        <f t="shared" si="37"/>
        <v>569400;683300;683300;</v>
      </c>
      <c r="X198" s="13" t="str">
        <f t="shared" si="38"/>
        <v>1;3;4</v>
      </c>
      <c r="Y198" s="13" t="str">
        <f t="shared" si="39"/>
        <v>569400;683300;683300</v>
      </c>
    </row>
    <row r="199" spans="1:25" s="13" customFormat="1" ht="20.100000000000001" customHeight="1">
      <c r="A199" s="11">
        <f t="shared" si="30"/>
        <v>8</v>
      </c>
      <c r="B199" s="14" t="s">
        <v>70</v>
      </c>
      <c r="C199" s="14">
        <v>22</v>
      </c>
      <c r="D199" s="14">
        <f>LOOKUP($A199,建筑产出!$BF$16:$BF$26,建筑产出!BI$16:BI$26)</f>
        <v>0.125</v>
      </c>
      <c r="E199" s="14">
        <f>LOOKUP($A199,建筑产出!$BF$16:$BF$26,建筑产出!BJ$16:BJ$26)</f>
        <v>0.3</v>
      </c>
      <c r="F199" s="14">
        <f>LOOKUP($A199,建筑产出!$BF$16:$BF$26,建筑产出!BK$16:BK$26)</f>
        <v>0.3</v>
      </c>
      <c r="G199" s="14">
        <f>LOOKUP($A199,建筑产出!$BF$16:$BF$26,建筑产出!BL$16:BL$26)</f>
        <v>0</v>
      </c>
      <c r="H199" s="14">
        <f>LOOKUP($A199,建筑产出!$BF$16:$BF$26,建筑产出!BM$16:BM$26)</f>
        <v>0</v>
      </c>
      <c r="I199" s="14">
        <f>ROUND(LOOKUP($C199,建筑产出!$A$2:$A$26,建筑产出!D$2:D$26)*D199,-2)</f>
        <v>636200</v>
      </c>
      <c r="J199" s="14">
        <f>ROUND(LOOKUP($C199,建筑产出!$A$2:$A$26,建筑产出!E$2:E$26)*E199,-2)</f>
        <v>763400</v>
      </c>
      <c r="K199" s="14">
        <f>ROUND(LOOKUP($C199,建筑产出!$A$2:$A$26,建筑产出!F$2:F$26)*F199,-2)</f>
        <v>763400</v>
      </c>
      <c r="L199" s="14">
        <f>ROUND(LOOKUP($C199,建筑产出!$A$2:$A$26,建筑产出!G$2:G$26)*G199,-2)</f>
        <v>0</v>
      </c>
      <c r="M199" s="14">
        <f>ROUND(LOOKUP($C199,建筑产出!$A$2:$A$26,建筑产出!H$2:H$26)*H199,-2)</f>
        <v>0</v>
      </c>
      <c r="N199" s="14"/>
      <c r="O199" s="14">
        <f t="shared" si="31"/>
        <v>1</v>
      </c>
      <c r="P199" s="14">
        <f t="shared" si="32"/>
        <v>3</v>
      </c>
      <c r="Q199" s="14">
        <f t="shared" si="33"/>
        <v>4</v>
      </c>
      <c r="R199" s="14">
        <f t="shared" si="34"/>
        <v>0</v>
      </c>
      <c r="S199" s="14">
        <f t="shared" si="35"/>
        <v>0</v>
      </c>
      <c r="T199" s="14"/>
      <c r="U199" s="14" t="str">
        <f t="shared" si="36"/>
        <v>1;3;4;</v>
      </c>
      <c r="V199" s="23" t="str">
        <f t="shared" si="37"/>
        <v>636200;763400;763400;</v>
      </c>
      <c r="X199" s="13" t="str">
        <f t="shared" si="38"/>
        <v>1;3;4</v>
      </c>
      <c r="Y199" s="13" t="str">
        <f t="shared" si="39"/>
        <v>636200;763400;763400</v>
      </c>
    </row>
    <row r="200" spans="1:25" s="13" customFormat="1" ht="20.100000000000001" customHeight="1">
      <c r="A200" s="11">
        <f t="shared" si="30"/>
        <v>8</v>
      </c>
      <c r="B200" s="14" t="s">
        <v>70</v>
      </c>
      <c r="C200" s="14">
        <v>23</v>
      </c>
      <c r="D200" s="14">
        <f>LOOKUP($A200,建筑产出!$BF$16:$BF$26,建筑产出!BI$16:BI$26)</f>
        <v>0.125</v>
      </c>
      <c r="E200" s="14">
        <f>LOOKUP($A200,建筑产出!$BF$16:$BF$26,建筑产出!BJ$16:BJ$26)</f>
        <v>0.3</v>
      </c>
      <c r="F200" s="14">
        <f>LOOKUP($A200,建筑产出!$BF$16:$BF$26,建筑产出!BK$16:BK$26)</f>
        <v>0.3</v>
      </c>
      <c r="G200" s="14">
        <f>LOOKUP($A200,建筑产出!$BF$16:$BF$26,建筑产出!BL$16:BL$26)</f>
        <v>0</v>
      </c>
      <c r="H200" s="14">
        <f>LOOKUP($A200,建筑产出!$BF$16:$BF$26,建筑产出!BM$16:BM$26)</f>
        <v>0</v>
      </c>
      <c r="I200" s="14">
        <f>ROUND(LOOKUP($C200,建筑产出!$A$2:$A$26,建筑产出!D$2:D$26)*D200,-2)</f>
        <v>706400</v>
      </c>
      <c r="J200" s="14">
        <f>ROUND(LOOKUP($C200,建筑产出!$A$2:$A$26,建筑产出!E$2:E$26)*E200,-2)</f>
        <v>847600</v>
      </c>
      <c r="K200" s="14">
        <f>ROUND(LOOKUP($C200,建筑产出!$A$2:$A$26,建筑产出!F$2:F$26)*F200,-2)</f>
        <v>847600</v>
      </c>
      <c r="L200" s="14">
        <f>ROUND(LOOKUP($C200,建筑产出!$A$2:$A$26,建筑产出!G$2:G$26)*G200,-2)</f>
        <v>0</v>
      </c>
      <c r="M200" s="14">
        <f>ROUND(LOOKUP($C200,建筑产出!$A$2:$A$26,建筑产出!H$2:H$26)*H200,-2)</f>
        <v>0</v>
      </c>
      <c r="N200" s="14"/>
      <c r="O200" s="14">
        <f t="shared" si="31"/>
        <v>1</v>
      </c>
      <c r="P200" s="14">
        <f t="shared" si="32"/>
        <v>3</v>
      </c>
      <c r="Q200" s="14">
        <f t="shared" si="33"/>
        <v>4</v>
      </c>
      <c r="R200" s="14">
        <f t="shared" si="34"/>
        <v>0</v>
      </c>
      <c r="S200" s="14">
        <f t="shared" si="35"/>
        <v>0</v>
      </c>
      <c r="T200" s="14"/>
      <c r="U200" s="14" t="str">
        <f t="shared" si="36"/>
        <v>1;3;4;</v>
      </c>
      <c r="V200" s="23" t="str">
        <f t="shared" si="37"/>
        <v>706400;847600;847600;</v>
      </c>
      <c r="X200" s="13" t="str">
        <f t="shared" si="38"/>
        <v>1;3;4</v>
      </c>
      <c r="Y200" s="13" t="str">
        <f t="shared" si="39"/>
        <v>706400;847600;847600</v>
      </c>
    </row>
    <row r="201" spans="1:25" s="13" customFormat="1" ht="20.100000000000001" customHeight="1">
      <c r="A201" s="11">
        <f t="shared" si="30"/>
        <v>8</v>
      </c>
      <c r="B201" s="14" t="s">
        <v>70</v>
      </c>
      <c r="C201" s="14">
        <v>24</v>
      </c>
      <c r="D201" s="14">
        <f>LOOKUP($A201,建筑产出!$BF$16:$BF$26,建筑产出!BI$16:BI$26)</f>
        <v>0.125</v>
      </c>
      <c r="E201" s="14">
        <f>LOOKUP($A201,建筑产出!$BF$16:$BF$26,建筑产出!BJ$16:BJ$26)</f>
        <v>0.3</v>
      </c>
      <c r="F201" s="14">
        <f>LOOKUP($A201,建筑产出!$BF$16:$BF$26,建筑产出!BK$16:BK$26)</f>
        <v>0.3</v>
      </c>
      <c r="G201" s="14">
        <f>LOOKUP($A201,建筑产出!$BF$16:$BF$26,建筑产出!BL$16:BL$26)</f>
        <v>0</v>
      </c>
      <c r="H201" s="14">
        <f>LOOKUP($A201,建筑产出!$BF$16:$BF$26,建筑产出!BM$16:BM$26)</f>
        <v>0</v>
      </c>
      <c r="I201" s="14">
        <f>ROUND(LOOKUP($C201,建筑产出!$A$2:$A$26,建筑产出!D$2:D$26)*D201,-2)</f>
        <v>780000</v>
      </c>
      <c r="J201" s="14">
        <f>ROUND(LOOKUP($C201,建筑产出!$A$2:$A$26,建筑产出!E$2:E$26)*E201,-2)</f>
        <v>936000</v>
      </c>
      <c r="K201" s="14">
        <f>ROUND(LOOKUP($C201,建筑产出!$A$2:$A$26,建筑产出!F$2:F$26)*F201,-2)</f>
        <v>936000</v>
      </c>
      <c r="L201" s="14">
        <f>ROUND(LOOKUP($C201,建筑产出!$A$2:$A$26,建筑产出!G$2:G$26)*G201,-2)</f>
        <v>0</v>
      </c>
      <c r="M201" s="14">
        <f>ROUND(LOOKUP($C201,建筑产出!$A$2:$A$26,建筑产出!H$2:H$26)*H201,-2)</f>
        <v>0</v>
      </c>
      <c r="N201" s="14"/>
      <c r="O201" s="14">
        <f t="shared" si="31"/>
        <v>1</v>
      </c>
      <c r="P201" s="14">
        <f t="shared" si="32"/>
        <v>3</v>
      </c>
      <c r="Q201" s="14">
        <f t="shared" si="33"/>
        <v>4</v>
      </c>
      <c r="R201" s="14">
        <f t="shared" si="34"/>
        <v>0</v>
      </c>
      <c r="S201" s="14">
        <f t="shared" si="35"/>
        <v>0</v>
      </c>
      <c r="T201" s="14"/>
      <c r="U201" s="14" t="str">
        <f t="shared" si="36"/>
        <v>1;3;4;</v>
      </c>
      <c r="V201" s="23" t="str">
        <f t="shared" si="37"/>
        <v>780000;936000;936000;</v>
      </c>
      <c r="X201" s="13" t="str">
        <f t="shared" si="38"/>
        <v>1;3;4</v>
      </c>
      <c r="Y201" s="13" t="str">
        <f t="shared" si="39"/>
        <v>780000;936000;936000</v>
      </c>
    </row>
    <row r="202" spans="1:25" s="13" customFormat="1" ht="20.100000000000001" customHeight="1">
      <c r="A202" s="11">
        <f t="shared" si="30"/>
        <v>8</v>
      </c>
      <c r="B202" s="14" t="s">
        <v>70</v>
      </c>
      <c r="C202" s="14">
        <v>25</v>
      </c>
      <c r="D202" s="14">
        <f>LOOKUP($A202,建筑产出!$BF$16:$BF$26,建筑产出!BI$16:BI$26)</f>
        <v>0.125</v>
      </c>
      <c r="E202" s="14">
        <f>LOOKUP($A202,建筑产出!$BF$16:$BF$26,建筑产出!BJ$16:BJ$26)</f>
        <v>0.3</v>
      </c>
      <c r="F202" s="14">
        <f>LOOKUP($A202,建筑产出!$BF$16:$BF$26,建筑产出!BK$16:BK$26)</f>
        <v>0.3</v>
      </c>
      <c r="G202" s="14">
        <f>LOOKUP($A202,建筑产出!$BF$16:$BF$26,建筑产出!BL$16:BL$26)</f>
        <v>0</v>
      </c>
      <c r="H202" s="14">
        <f>LOOKUP($A202,建筑产出!$BF$16:$BF$26,建筑产出!BM$16:BM$26)</f>
        <v>0</v>
      </c>
      <c r="I202" s="14">
        <f>ROUND(LOOKUP($C202,建筑产出!$A$2:$A$26,建筑产出!D$2:D$26)*D202,-2)</f>
        <v>2763500</v>
      </c>
      <c r="J202" s="14">
        <f>ROUND(LOOKUP($C202,建筑产出!$A$2:$A$26,建筑产出!E$2:E$26)*E202,-2)</f>
        <v>3316100</v>
      </c>
      <c r="K202" s="14">
        <f>ROUND(LOOKUP($C202,建筑产出!$A$2:$A$26,建筑产出!F$2:F$26)*F202,-2)</f>
        <v>3316100</v>
      </c>
      <c r="L202" s="14">
        <f>ROUND(LOOKUP($C202,建筑产出!$A$2:$A$26,建筑产出!G$2:G$26)*G202,-2)</f>
        <v>0</v>
      </c>
      <c r="M202" s="14">
        <f>ROUND(LOOKUP($C202,建筑产出!$A$2:$A$26,建筑产出!H$2:H$26)*H202,-2)</f>
        <v>0</v>
      </c>
      <c r="N202" s="14"/>
      <c r="O202" s="14">
        <f t="shared" si="31"/>
        <v>1</v>
      </c>
      <c r="P202" s="14">
        <f t="shared" si="32"/>
        <v>3</v>
      </c>
      <c r="Q202" s="14">
        <f t="shared" si="33"/>
        <v>4</v>
      </c>
      <c r="R202" s="14">
        <f t="shared" si="34"/>
        <v>0</v>
      </c>
      <c r="S202" s="14">
        <f t="shared" si="35"/>
        <v>0</v>
      </c>
      <c r="T202" s="14"/>
      <c r="U202" s="14" t="str">
        <f t="shared" si="36"/>
        <v>1;3;4;</v>
      </c>
      <c r="V202" s="23" t="str">
        <f t="shared" si="37"/>
        <v>2763500;3316100;3316100;</v>
      </c>
      <c r="X202" s="13" t="str">
        <f t="shared" si="38"/>
        <v>1;3;4</v>
      </c>
      <c r="Y202" s="13" t="str">
        <f t="shared" si="39"/>
        <v>2763500;3316100;3316100</v>
      </c>
    </row>
    <row r="203" spans="1:25" s="13" customFormat="1" ht="20.100000000000001" customHeight="1">
      <c r="A203" s="11">
        <f t="shared" si="30"/>
        <v>9</v>
      </c>
      <c r="B203" s="14" t="s">
        <v>71</v>
      </c>
      <c r="C203" s="14">
        <v>1</v>
      </c>
      <c r="D203" s="14">
        <f>LOOKUP($A203,建筑产出!$BF$16:$BF$26,建筑产出!BI$16:BI$26)</f>
        <v>0.125</v>
      </c>
      <c r="E203" s="14">
        <f>LOOKUP($A203,建筑产出!$BF$16:$BF$26,建筑产出!BJ$16:BJ$26)</f>
        <v>0</v>
      </c>
      <c r="F203" s="14">
        <f>LOOKUP($A203,建筑产出!$BF$16:$BF$26,建筑产出!BK$16:BK$26)</f>
        <v>0</v>
      </c>
      <c r="G203" s="14">
        <f>LOOKUP($A203,建筑产出!$BF$16:$BF$26,建筑产出!BL$16:BL$26)</f>
        <v>0.3</v>
      </c>
      <c r="H203" s="14">
        <f>LOOKUP($A203,建筑产出!$BF$16:$BF$26,建筑产出!BM$16:BM$26)</f>
        <v>0.3</v>
      </c>
      <c r="I203" s="14">
        <f>ROUND(LOOKUP($C203,建筑产出!$A$2:$A$26,建筑产出!D$2:D$26)*D203,-2)</f>
        <v>9100</v>
      </c>
      <c r="J203" s="14">
        <f>ROUND(LOOKUP($C203,建筑产出!$A$2:$A$26,建筑产出!E$2:E$26)*E203,-2)</f>
        <v>0</v>
      </c>
      <c r="K203" s="14">
        <f>ROUND(LOOKUP($C203,建筑产出!$A$2:$A$26,建筑产出!F$2:F$26)*F203,-2)</f>
        <v>0</v>
      </c>
      <c r="L203" s="14">
        <f>ROUND(LOOKUP($C203,建筑产出!$A$2:$A$26,建筑产出!G$2:G$26)*G203,-2)</f>
        <v>11000</v>
      </c>
      <c r="M203" s="14">
        <f>ROUND(LOOKUP($C203,建筑产出!$A$2:$A$26,建筑产出!H$2:H$26)*H203,-2)</f>
        <v>11000</v>
      </c>
      <c r="N203" s="14"/>
      <c r="O203" s="14">
        <f t="shared" si="31"/>
        <v>1</v>
      </c>
      <c r="P203" s="14">
        <f t="shared" si="32"/>
        <v>0</v>
      </c>
      <c r="Q203" s="14">
        <f t="shared" si="33"/>
        <v>0</v>
      </c>
      <c r="R203" s="14">
        <f t="shared" si="34"/>
        <v>5</v>
      </c>
      <c r="S203" s="14">
        <f t="shared" si="35"/>
        <v>6</v>
      </c>
      <c r="T203" s="14"/>
      <c r="U203" s="14" t="str">
        <f t="shared" si="36"/>
        <v>1;5;6;</v>
      </c>
      <c r="V203" s="23" t="str">
        <f t="shared" si="37"/>
        <v>9100;11000;11000;</v>
      </c>
      <c r="X203" s="13" t="str">
        <f t="shared" si="38"/>
        <v>1;5;6</v>
      </c>
      <c r="Y203" s="13" t="str">
        <f t="shared" si="39"/>
        <v>9100;11000;11000</v>
      </c>
    </row>
    <row r="204" spans="1:25" s="13" customFormat="1" ht="20.100000000000001" customHeight="1">
      <c r="A204" s="11">
        <f t="shared" si="30"/>
        <v>9</v>
      </c>
      <c r="B204" s="14" t="s">
        <v>71</v>
      </c>
      <c r="C204" s="14">
        <v>2</v>
      </c>
      <c r="D204" s="14">
        <f>LOOKUP($A204,建筑产出!$BF$16:$BF$26,建筑产出!BI$16:BI$26)</f>
        <v>0.125</v>
      </c>
      <c r="E204" s="14">
        <f>LOOKUP($A204,建筑产出!$BF$16:$BF$26,建筑产出!BJ$16:BJ$26)</f>
        <v>0</v>
      </c>
      <c r="F204" s="14">
        <f>LOOKUP($A204,建筑产出!$BF$16:$BF$26,建筑产出!BK$16:BK$26)</f>
        <v>0</v>
      </c>
      <c r="G204" s="14">
        <f>LOOKUP($A204,建筑产出!$BF$16:$BF$26,建筑产出!BL$16:BL$26)</f>
        <v>0.3</v>
      </c>
      <c r="H204" s="14">
        <f>LOOKUP($A204,建筑产出!$BF$16:$BF$26,建筑产出!BM$16:BM$26)</f>
        <v>0.3</v>
      </c>
      <c r="I204" s="14">
        <f>ROUND(LOOKUP($C204,建筑产出!$A$2:$A$26,建筑产出!D$2:D$26)*D204,-2)</f>
        <v>17800</v>
      </c>
      <c r="J204" s="14">
        <f>ROUND(LOOKUP($C204,建筑产出!$A$2:$A$26,建筑产出!E$2:E$26)*E204,-2)</f>
        <v>0</v>
      </c>
      <c r="K204" s="14">
        <f>ROUND(LOOKUP($C204,建筑产出!$A$2:$A$26,建筑产出!F$2:F$26)*F204,-2)</f>
        <v>0</v>
      </c>
      <c r="L204" s="14">
        <f>ROUND(LOOKUP($C204,建筑产出!$A$2:$A$26,建筑产出!G$2:G$26)*G204,-2)</f>
        <v>21400</v>
      </c>
      <c r="M204" s="14">
        <f>ROUND(LOOKUP($C204,建筑产出!$A$2:$A$26,建筑产出!H$2:H$26)*H204,-2)</f>
        <v>21400</v>
      </c>
      <c r="N204" s="14"/>
      <c r="O204" s="14">
        <f t="shared" si="31"/>
        <v>1</v>
      </c>
      <c r="P204" s="14">
        <f t="shared" si="32"/>
        <v>0</v>
      </c>
      <c r="Q204" s="14">
        <f t="shared" si="33"/>
        <v>0</v>
      </c>
      <c r="R204" s="14">
        <f t="shared" si="34"/>
        <v>5</v>
      </c>
      <c r="S204" s="14">
        <f t="shared" si="35"/>
        <v>6</v>
      </c>
      <c r="T204" s="14"/>
      <c r="U204" s="14" t="str">
        <f t="shared" si="36"/>
        <v>1;5;6;</v>
      </c>
      <c r="V204" s="23" t="str">
        <f t="shared" si="37"/>
        <v>17800;21400;21400;</v>
      </c>
      <c r="X204" s="13" t="str">
        <f t="shared" si="38"/>
        <v>1;5;6</v>
      </c>
      <c r="Y204" s="13" t="str">
        <f t="shared" si="39"/>
        <v>17800;21400;21400</v>
      </c>
    </row>
    <row r="205" spans="1:25" s="13" customFormat="1" ht="20.100000000000001" customHeight="1">
      <c r="A205" s="11">
        <f t="shared" si="30"/>
        <v>9</v>
      </c>
      <c r="B205" s="14" t="s">
        <v>71</v>
      </c>
      <c r="C205" s="14">
        <v>3</v>
      </c>
      <c r="D205" s="14">
        <f>LOOKUP($A205,建筑产出!$BF$16:$BF$26,建筑产出!BI$16:BI$26)</f>
        <v>0.125</v>
      </c>
      <c r="E205" s="14">
        <f>LOOKUP($A205,建筑产出!$BF$16:$BF$26,建筑产出!BJ$16:BJ$26)</f>
        <v>0</v>
      </c>
      <c r="F205" s="14">
        <f>LOOKUP($A205,建筑产出!$BF$16:$BF$26,建筑产出!BK$16:BK$26)</f>
        <v>0</v>
      </c>
      <c r="G205" s="14">
        <f>LOOKUP($A205,建筑产出!$BF$16:$BF$26,建筑产出!BL$16:BL$26)</f>
        <v>0.3</v>
      </c>
      <c r="H205" s="14">
        <f>LOOKUP($A205,建筑产出!$BF$16:$BF$26,建筑产出!BM$16:BM$26)</f>
        <v>0.3</v>
      </c>
      <c r="I205" s="14">
        <f>ROUND(LOOKUP($C205,建筑产出!$A$2:$A$26,建筑产出!D$2:D$26)*D205,-2)</f>
        <v>15500</v>
      </c>
      <c r="J205" s="14">
        <f>ROUND(LOOKUP($C205,建筑产出!$A$2:$A$26,建筑产出!E$2:E$26)*E205,-2)</f>
        <v>0</v>
      </c>
      <c r="K205" s="14">
        <f>ROUND(LOOKUP($C205,建筑产出!$A$2:$A$26,建筑产出!F$2:F$26)*F205,-2)</f>
        <v>0</v>
      </c>
      <c r="L205" s="14">
        <f>ROUND(LOOKUP($C205,建筑产出!$A$2:$A$26,建筑产出!G$2:G$26)*G205,-2)</f>
        <v>18600</v>
      </c>
      <c r="M205" s="14">
        <f>ROUND(LOOKUP($C205,建筑产出!$A$2:$A$26,建筑产出!H$2:H$26)*H205,-2)</f>
        <v>18600</v>
      </c>
      <c r="N205" s="14"/>
      <c r="O205" s="14">
        <f t="shared" si="31"/>
        <v>1</v>
      </c>
      <c r="P205" s="14">
        <f t="shared" si="32"/>
        <v>0</v>
      </c>
      <c r="Q205" s="14">
        <f t="shared" si="33"/>
        <v>0</v>
      </c>
      <c r="R205" s="14">
        <f t="shared" si="34"/>
        <v>5</v>
      </c>
      <c r="S205" s="14">
        <f t="shared" si="35"/>
        <v>6</v>
      </c>
      <c r="T205" s="14"/>
      <c r="U205" s="14" t="str">
        <f t="shared" si="36"/>
        <v>1;5;6;</v>
      </c>
      <c r="V205" s="23" t="str">
        <f t="shared" si="37"/>
        <v>15500;18600;18600;</v>
      </c>
      <c r="X205" s="13" t="str">
        <f t="shared" si="38"/>
        <v>1;5;6</v>
      </c>
      <c r="Y205" s="13" t="str">
        <f t="shared" si="39"/>
        <v>15500;18600;18600</v>
      </c>
    </row>
    <row r="206" spans="1:25" s="13" customFormat="1" ht="20.100000000000001" customHeight="1">
      <c r="A206" s="11">
        <f t="shared" si="30"/>
        <v>9</v>
      </c>
      <c r="B206" s="14" t="s">
        <v>71</v>
      </c>
      <c r="C206" s="14">
        <v>4</v>
      </c>
      <c r="D206" s="14">
        <f>LOOKUP($A206,建筑产出!$BF$16:$BF$26,建筑产出!BI$16:BI$26)</f>
        <v>0.125</v>
      </c>
      <c r="E206" s="14">
        <f>LOOKUP($A206,建筑产出!$BF$16:$BF$26,建筑产出!BJ$16:BJ$26)</f>
        <v>0</v>
      </c>
      <c r="F206" s="14">
        <f>LOOKUP($A206,建筑产出!$BF$16:$BF$26,建筑产出!BK$16:BK$26)</f>
        <v>0</v>
      </c>
      <c r="G206" s="14">
        <f>LOOKUP($A206,建筑产出!$BF$16:$BF$26,建筑产出!BL$16:BL$26)</f>
        <v>0.3</v>
      </c>
      <c r="H206" s="14">
        <f>LOOKUP($A206,建筑产出!$BF$16:$BF$26,建筑产出!BM$16:BM$26)</f>
        <v>0.3</v>
      </c>
      <c r="I206" s="14">
        <f>ROUND(LOOKUP($C206,建筑产出!$A$2:$A$26,建筑产出!D$2:D$26)*D206,-2)</f>
        <v>34400</v>
      </c>
      <c r="J206" s="14">
        <f>ROUND(LOOKUP($C206,建筑产出!$A$2:$A$26,建筑产出!E$2:E$26)*E206,-2)</f>
        <v>0</v>
      </c>
      <c r="K206" s="14">
        <f>ROUND(LOOKUP($C206,建筑产出!$A$2:$A$26,建筑产出!F$2:F$26)*F206,-2)</f>
        <v>0</v>
      </c>
      <c r="L206" s="14">
        <f>ROUND(LOOKUP($C206,建筑产出!$A$2:$A$26,建筑产出!G$2:G$26)*G206,-2)</f>
        <v>41300</v>
      </c>
      <c r="M206" s="14">
        <f>ROUND(LOOKUP($C206,建筑产出!$A$2:$A$26,建筑产出!H$2:H$26)*H206,-2)</f>
        <v>41300</v>
      </c>
      <c r="N206" s="14"/>
      <c r="O206" s="14">
        <f t="shared" si="31"/>
        <v>1</v>
      </c>
      <c r="P206" s="14">
        <f t="shared" si="32"/>
        <v>0</v>
      </c>
      <c r="Q206" s="14">
        <f t="shared" si="33"/>
        <v>0</v>
      </c>
      <c r="R206" s="14">
        <f t="shared" si="34"/>
        <v>5</v>
      </c>
      <c r="S206" s="14">
        <f t="shared" si="35"/>
        <v>6</v>
      </c>
      <c r="T206" s="14"/>
      <c r="U206" s="14" t="str">
        <f t="shared" si="36"/>
        <v>1;5;6;</v>
      </c>
      <c r="V206" s="23" t="str">
        <f t="shared" si="37"/>
        <v>34400;41300;41300;</v>
      </c>
      <c r="X206" s="13" t="str">
        <f t="shared" si="38"/>
        <v>1;5;6</v>
      </c>
      <c r="Y206" s="13" t="str">
        <f t="shared" si="39"/>
        <v>34400;41300;41300</v>
      </c>
    </row>
    <row r="207" spans="1:25" s="13" customFormat="1" ht="20.100000000000001" customHeight="1">
      <c r="A207" s="11">
        <f t="shared" si="30"/>
        <v>9</v>
      </c>
      <c r="B207" s="14" t="s">
        <v>71</v>
      </c>
      <c r="C207" s="14">
        <v>5</v>
      </c>
      <c r="D207" s="14">
        <f>LOOKUP($A207,建筑产出!$BF$16:$BF$26,建筑产出!BI$16:BI$26)</f>
        <v>0.125</v>
      </c>
      <c r="E207" s="14">
        <f>LOOKUP($A207,建筑产出!$BF$16:$BF$26,建筑产出!BJ$16:BJ$26)</f>
        <v>0</v>
      </c>
      <c r="F207" s="14">
        <f>LOOKUP($A207,建筑产出!$BF$16:$BF$26,建筑产出!BK$16:BK$26)</f>
        <v>0</v>
      </c>
      <c r="G207" s="14">
        <f>LOOKUP($A207,建筑产出!$BF$16:$BF$26,建筑产出!BL$16:BL$26)</f>
        <v>0.3</v>
      </c>
      <c r="H207" s="14">
        <f>LOOKUP($A207,建筑产出!$BF$16:$BF$26,建筑产出!BM$16:BM$26)</f>
        <v>0.3</v>
      </c>
      <c r="I207" s="14">
        <f>ROUND(LOOKUP($C207,建筑产出!$A$2:$A$26,建筑产出!D$2:D$26)*D207,-2)</f>
        <v>31800</v>
      </c>
      <c r="J207" s="14">
        <f>ROUND(LOOKUP($C207,建筑产出!$A$2:$A$26,建筑产出!E$2:E$26)*E207,-2)</f>
        <v>0</v>
      </c>
      <c r="K207" s="14">
        <f>ROUND(LOOKUP($C207,建筑产出!$A$2:$A$26,建筑产出!F$2:F$26)*F207,-2)</f>
        <v>0</v>
      </c>
      <c r="L207" s="14">
        <f>ROUND(LOOKUP($C207,建筑产出!$A$2:$A$26,建筑产出!G$2:G$26)*G207,-2)</f>
        <v>38200</v>
      </c>
      <c r="M207" s="14">
        <f>ROUND(LOOKUP($C207,建筑产出!$A$2:$A$26,建筑产出!H$2:H$26)*H207,-2)</f>
        <v>38200</v>
      </c>
      <c r="N207" s="14"/>
      <c r="O207" s="14">
        <f t="shared" si="31"/>
        <v>1</v>
      </c>
      <c r="P207" s="14">
        <f t="shared" si="32"/>
        <v>0</v>
      </c>
      <c r="Q207" s="14">
        <f t="shared" si="33"/>
        <v>0</v>
      </c>
      <c r="R207" s="14">
        <f t="shared" si="34"/>
        <v>5</v>
      </c>
      <c r="S207" s="14">
        <f t="shared" si="35"/>
        <v>6</v>
      </c>
      <c r="T207" s="14"/>
      <c r="U207" s="14" t="str">
        <f t="shared" si="36"/>
        <v>1;5;6;</v>
      </c>
      <c r="V207" s="23" t="str">
        <f t="shared" si="37"/>
        <v>31800;38200;38200;</v>
      </c>
      <c r="X207" s="13" t="str">
        <f t="shared" si="38"/>
        <v>1;5;6</v>
      </c>
      <c r="Y207" s="13" t="str">
        <f t="shared" si="39"/>
        <v>31800;38200;38200</v>
      </c>
    </row>
    <row r="208" spans="1:25" s="13" customFormat="1" ht="20.100000000000001" customHeight="1">
      <c r="A208" s="11">
        <f t="shared" si="30"/>
        <v>9</v>
      </c>
      <c r="B208" s="14" t="s">
        <v>71</v>
      </c>
      <c r="C208" s="14">
        <v>6</v>
      </c>
      <c r="D208" s="14">
        <f>LOOKUP($A208,建筑产出!$BF$16:$BF$26,建筑产出!BI$16:BI$26)</f>
        <v>0.125</v>
      </c>
      <c r="E208" s="14">
        <f>LOOKUP($A208,建筑产出!$BF$16:$BF$26,建筑产出!BJ$16:BJ$26)</f>
        <v>0</v>
      </c>
      <c r="F208" s="14">
        <f>LOOKUP($A208,建筑产出!$BF$16:$BF$26,建筑产出!BK$16:BK$26)</f>
        <v>0</v>
      </c>
      <c r="G208" s="14">
        <f>LOOKUP($A208,建筑产出!$BF$16:$BF$26,建筑产出!BL$16:BL$26)</f>
        <v>0.3</v>
      </c>
      <c r="H208" s="14">
        <f>LOOKUP($A208,建筑产出!$BF$16:$BF$26,建筑产出!BM$16:BM$26)</f>
        <v>0.3</v>
      </c>
      <c r="I208" s="14">
        <f>ROUND(LOOKUP($C208,建筑产出!$A$2:$A$26,建筑产出!D$2:D$26)*D208,-2)</f>
        <v>43500</v>
      </c>
      <c r="J208" s="14">
        <f>ROUND(LOOKUP($C208,建筑产出!$A$2:$A$26,建筑产出!E$2:E$26)*E208,-2)</f>
        <v>0</v>
      </c>
      <c r="K208" s="14">
        <f>ROUND(LOOKUP($C208,建筑产出!$A$2:$A$26,建筑产出!F$2:F$26)*F208,-2)</f>
        <v>0</v>
      </c>
      <c r="L208" s="14">
        <f>ROUND(LOOKUP($C208,建筑产出!$A$2:$A$26,建筑产出!G$2:G$26)*G208,-2)</f>
        <v>52200</v>
      </c>
      <c r="M208" s="14">
        <f>ROUND(LOOKUP($C208,建筑产出!$A$2:$A$26,建筑产出!H$2:H$26)*H208,-2)</f>
        <v>52200</v>
      </c>
      <c r="N208" s="14"/>
      <c r="O208" s="14">
        <f t="shared" si="31"/>
        <v>1</v>
      </c>
      <c r="P208" s="14">
        <f t="shared" si="32"/>
        <v>0</v>
      </c>
      <c r="Q208" s="14">
        <f t="shared" si="33"/>
        <v>0</v>
      </c>
      <c r="R208" s="14">
        <f t="shared" si="34"/>
        <v>5</v>
      </c>
      <c r="S208" s="14">
        <f t="shared" si="35"/>
        <v>6</v>
      </c>
      <c r="T208" s="14"/>
      <c r="U208" s="14" t="str">
        <f t="shared" si="36"/>
        <v>1;5;6;</v>
      </c>
      <c r="V208" s="23" t="str">
        <f t="shared" si="37"/>
        <v>43500;52200;52200;</v>
      </c>
      <c r="X208" s="13" t="str">
        <f t="shared" si="38"/>
        <v>1;5;6</v>
      </c>
      <c r="Y208" s="13" t="str">
        <f t="shared" si="39"/>
        <v>43500;52200;52200</v>
      </c>
    </row>
    <row r="209" spans="1:25" s="13" customFormat="1" ht="20.100000000000001" customHeight="1">
      <c r="A209" s="11">
        <f t="shared" si="30"/>
        <v>9</v>
      </c>
      <c r="B209" s="14" t="s">
        <v>71</v>
      </c>
      <c r="C209" s="14">
        <v>7</v>
      </c>
      <c r="D209" s="14">
        <f>LOOKUP($A209,建筑产出!$BF$16:$BF$26,建筑产出!BI$16:BI$26)</f>
        <v>0.125</v>
      </c>
      <c r="E209" s="14">
        <f>LOOKUP($A209,建筑产出!$BF$16:$BF$26,建筑产出!BJ$16:BJ$26)</f>
        <v>0</v>
      </c>
      <c r="F209" s="14">
        <f>LOOKUP($A209,建筑产出!$BF$16:$BF$26,建筑产出!BK$16:BK$26)</f>
        <v>0</v>
      </c>
      <c r="G209" s="14">
        <f>LOOKUP($A209,建筑产出!$BF$16:$BF$26,建筑产出!BL$16:BL$26)</f>
        <v>0.3</v>
      </c>
      <c r="H209" s="14">
        <f>LOOKUP($A209,建筑产出!$BF$16:$BF$26,建筑产出!BM$16:BM$26)</f>
        <v>0.3</v>
      </c>
      <c r="I209" s="14">
        <f>ROUND(LOOKUP($C209,建筑产出!$A$2:$A$26,建筑产出!D$2:D$26)*D209,-2)</f>
        <v>56900</v>
      </c>
      <c r="J209" s="14">
        <f>ROUND(LOOKUP($C209,建筑产出!$A$2:$A$26,建筑产出!E$2:E$26)*E209,-2)</f>
        <v>0</v>
      </c>
      <c r="K209" s="14">
        <f>ROUND(LOOKUP($C209,建筑产出!$A$2:$A$26,建筑产出!F$2:F$26)*F209,-2)</f>
        <v>0</v>
      </c>
      <c r="L209" s="14">
        <f>ROUND(LOOKUP($C209,建筑产出!$A$2:$A$26,建筑产出!G$2:G$26)*G209,-2)</f>
        <v>68200</v>
      </c>
      <c r="M209" s="14">
        <f>ROUND(LOOKUP($C209,建筑产出!$A$2:$A$26,建筑产出!H$2:H$26)*H209,-2)</f>
        <v>68200</v>
      </c>
      <c r="N209" s="14"/>
      <c r="O209" s="14">
        <f t="shared" si="31"/>
        <v>1</v>
      </c>
      <c r="P209" s="14">
        <f t="shared" si="32"/>
        <v>0</v>
      </c>
      <c r="Q209" s="14">
        <f t="shared" si="33"/>
        <v>0</v>
      </c>
      <c r="R209" s="14">
        <f t="shared" si="34"/>
        <v>5</v>
      </c>
      <c r="S209" s="14">
        <f t="shared" si="35"/>
        <v>6</v>
      </c>
      <c r="T209" s="14"/>
      <c r="U209" s="14" t="str">
        <f t="shared" si="36"/>
        <v>1;5;6;</v>
      </c>
      <c r="V209" s="23" t="str">
        <f t="shared" si="37"/>
        <v>56900;68200;68200;</v>
      </c>
      <c r="X209" s="13" t="str">
        <f t="shared" si="38"/>
        <v>1;5;6</v>
      </c>
      <c r="Y209" s="13" t="str">
        <f t="shared" si="39"/>
        <v>56900;68200;68200</v>
      </c>
    </row>
    <row r="210" spans="1:25" s="13" customFormat="1" ht="20.100000000000001" customHeight="1">
      <c r="A210" s="11">
        <f t="shared" si="30"/>
        <v>9</v>
      </c>
      <c r="B210" s="14" t="s">
        <v>71</v>
      </c>
      <c r="C210" s="14">
        <v>8</v>
      </c>
      <c r="D210" s="14">
        <f>LOOKUP($A210,建筑产出!$BF$16:$BF$26,建筑产出!BI$16:BI$26)</f>
        <v>0.125</v>
      </c>
      <c r="E210" s="14">
        <f>LOOKUP($A210,建筑产出!$BF$16:$BF$26,建筑产出!BJ$16:BJ$26)</f>
        <v>0</v>
      </c>
      <c r="F210" s="14">
        <f>LOOKUP($A210,建筑产出!$BF$16:$BF$26,建筑产出!BK$16:BK$26)</f>
        <v>0</v>
      </c>
      <c r="G210" s="14">
        <f>LOOKUP($A210,建筑产出!$BF$16:$BF$26,建筑产出!BL$16:BL$26)</f>
        <v>0.3</v>
      </c>
      <c r="H210" s="14">
        <f>LOOKUP($A210,建筑产出!$BF$16:$BF$26,建筑产出!BM$16:BM$26)</f>
        <v>0.3</v>
      </c>
      <c r="I210" s="14">
        <f>ROUND(LOOKUP($C210,建筑产出!$A$2:$A$26,建筑产出!D$2:D$26)*D210,-2)</f>
        <v>72000</v>
      </c>
      <c r="J210" s="14">
        <f>ROUND(LOOKUP($C210,建筑产出!$A$2:$A$26,建筑产出!E$2:E$26)*E210,-2)</f>
        <v>0</v>
      </c>
      <c r="K210" s="14">
        <f>ROUND(LOOKUP($C210,建筑产出!$A$2:$A$26,建筑产出!F$2:F$26)*F210,-2)</f>
        <v>0</v>
      </c>
      <c r="L210" s="14">
        <f>ROUND(LOOKUP($C210,建筑产出!$A$2:$A$26,建筑产出!G$2:G$26)*G210,-2)</f>
        <v>86400</v>
      </c>
      <c r="M210" s="14">
        <f>ROUND(LOOKUP($C210,建筑产出!$A$2:$A$26,建筑产出!H$2:H$26)*H210,-2)</f>
        <v>86400</v>
      </c>
      <c r="N210" s="14"/>
      <c r="O210" s="14">
        <f t="shared" si="31"/>
        <v>1</v>
      </c>
      <c r="P210" s="14">
        <f t="shared" si="32"/>
        <v>0</v>
      </c>
      <c r="Q210" s="14">
        <f t="shared" si="33"/>
        <v>0</v>
      </c>
      <c r="R210" s="14">
        <f t="shared" si="34"/>
        <v>5</v>
      </c>
      <c r="S210" s="14">
        <f t="shared" si="35"/>
        <v>6</v>
      </c>
      <c r="T210" s="14"/>
      <c r="U210" s="14" t="str">
        <f t="shared" si="36"/>
        <v>1;5;6;</v>
      </c>
      <c r="V210" s="23" t="str">
        <f t="shared" si="37"/>
        <v>72000;86400;86400;</v>
      </c>
      <c r="X210" s="13" t="str">
        <f t="shared" si="38"/>
        <v>1;5;6</v>
      </c>
      <c r="Y210" s="13" t="str">
        <f t="shared" si="39"/>
        <v>72000;86400;86400</v>
      </c>
    </row>
    <row r="211" spans="1:25" s="13" customFormat="1" ht="20.100000000000001" customHeight="1">
      <c r="A211" s="11">
        <f t="shared" si="30"/>
        <v>9</v>
      </c>
      <c r="B211" s="14" t="s">
        <v>71</v>
      </c>
      <c r="C211" s="14">
        <v>9</v>
      </c>
      <c r="D211" s="14">
        <f>LOOKUP($A211,建筑产出!$BF$16:$BF$26,建筑产出!BI$16:BI$26)</f>
        <v>0.125</v>
      </c>
      <c r="E211" s="14">
        <f>LOOKUP($A211,建筑产出!$BF$16:$BF$26,建筑产出!BJ$16:BJ$26)</f>
        <v>0</v>
      </c>
      <c r="F211" s="14">
        <f>LOOKUP($A211,建筑产出!$BF$16:$BF$26,建筑产出!BK$16:BK$26)</f>
        <v>0</v>
      </c>
      <c r="G211" s="14">
        <f>LOOKUP($A211,建筑产出!$BF$16:$BF$26,建筑产出!BL$16:BL$26)</f>
        <v>0.3</v>
      </c>
      <c r="H211" s="14">
        <f>LOOKUP($A211,建筑产出!$BF$16:$BF$26,建筑产出!BM$16:BM$26)</f>
        <v>0.3</v>
      </c>
      <c r="I211" s="14">
        <f>ROUND(LOOKUP($C211,建筑产出!$A$2:$A$26,建筑产出!D$2:D$26)*D211,-2)</f>
        <v>88800</v>
      </c>
      <c r="J211" s="14">
        <f>ROUND(LOOKUP($C211,建筑产出!$A$2:$A$26,建筑产出!E$2:E$26)*E211,-2)</f>
        <v>0</v>
      </c>
      <c r="K211" s="14">
        <f>ROUND(LOOKUP($C211,建筑产出!$A$2:$A$26,建筑产出!F$2:F$26)*F211,-2)</f>
        <v>0</v>
      </c>
      <c r="L211" s="14">
        <f>ROUND(LOOKUP($C211,建筑产出!$A$2:$A$26,建筑产出!G$2:G$26)*G211,-2)</f>
        <v>106600</v>
      </c>
      <c r="M211" s="14">
        <f>ROUND(LOOKUP($C211,建筑产出!$A$2:$A$26,建筑产出!H$2:H$26)*H211,-2)</f>
        <v>106600</v>
      </c>
      <c r="N211" s="14"/>
      <c r="O211" s="14">
        <f t="shared" si="31"/>
        <v>1</v>
      </c>
      <c r="P211" s="14">
        <f t="shared" si="32"/>
        <v>0</v>
      </c>
      <c r="Q211" s="14">
        <f t="shared" si="33"/>
        <v>0</v>
      </c>
      <c r="R211" s="14">
        <f t="shared" si="34"/>
        <v>5</v>
      </c>
      <c r="S211" s="14">
        <f t="shared" si="35"/>
        <v>6</v>
      </c>
      <c r="T211" s="14"/>
      <c r="U211" s="14" t="str">
        <f t="shared" si="36"/>
        <v>1;5;6;</v>
      </c>
      <c r="V211" s="23" t="str">
        <f t="shared" si="37"/>
        <v>88800;106600;106600;</v>
      </c>
      <c r="X211" s="13" t="str">
        <f t="shared" si="38"/>
        <v>1;5;6</v>
      </c>
      <c r="Y211" s="13" t="str">
        <f t="shared" si="39"/>
        <v>88800;106600;106600</v>
      </c>
    </row>
    <row r="212" spans="1:25" s="13" customFormat="1" ht="20.100000000000001" customHeight="1">
      <c r="A212" s="11">
        <f t="shared" si="30"/>
        <v>9</v>
      </c>
      <c r="B212" s="14" t="s">
        <v>71</v>
      </c>
      <c r="C212" s="14">
        <v>10</v>
      </c>
      <c r="D212" s="14">
        <f>LOOKUP($A212,建筑产出!$BF$16:$BF$26,建筑产出!BI$16:BI$26)</f>
        <v>0.125</v>
      </c>
      <c r="E212" s="14">
        <f>LOOKUP($A212,建筑产出!$BF$16:$BF$26,建筑产出!BJ$16:BJ$26)</f>
        <v>0</v>
      </c>
      <c r="F212" s="14">
        <f>LOOKUP($A212,建筑产出!$BF$16:$BF$26,建筑产出!BK$16:BK$26)</f>
        <v>0</v>
      </c>
      <c r="G212" s="14">
        <f>LOOKUP($A212,建筑产出!$BF$16:$BF$26,建筑产出!BL$16:BL$26)</f>
        <v>0.3</v>
      </c>
      <c r="H212" s="14">
        <f>LOOKUP($A212,建筑产出!$BF$16:$BF$26,建筑产出!BM$16:BM$26)</f>
        <v>0.3</v>
      </c>
      <c r="I212" s="14">
        <f>ROUND(LOOKUP($C212,建筑产出!$A$2:$A$26,建筑产出!D$2:D$26)*D212,-2)</f>
        <v>111100</v>
      </c>
      <c r="J212" s="14">
        <f>ROUND(LOOKUP($C212,建筑产出!$A$2:$A$26,建筑产出!E$2:E$26)*E212,-2)</f>
        <v>0</v>
      </c>
      <c r="K212" s="14">
        <f>ROUND(LOOKUP($C212,建筑产出!$A$2:$A$26,建筑产出!F$2:F$26)*F212,-2)</f>
        <v>0</v>
      </c>
      <c r="L212" s="14">
        <f>ROUND(LOOKUP($C212,建筑产出!$A$2:$A$26,建筑产出!G$2:G$26)*G212,-2)</f>
        <v>133300</v>
      </c>
      <c r="M212" s="14">
        <f>ROUND(LOOKUP($C212,建筑产出!$A$2:$A$26,建筑产出!H$2:H$26)*H212,-2)</f>
        <v>133300</v>
      </c>
      <c r="N212" s="14"/>
      <c r="O212" s="14">
        <f t="shared" si="31"/>
        <v>1</v>
      </c>
      <c r="P212" s="14">
        <f t="shared" si="32"/>
        <v>0</v>
      </c>
      <c r="Q212" s="14">
        <f t="shared" si="33"/>
        <v>0</v>
      </c>
      <c r="R212" s="14">
        <f t="shared" si="34"/>
        <v>5</v>
      </c>
      <c r="S212" s="14">
        <f t="shared" si="35"/>
        <v>6</v>
      </c>
      <c r="T212" s="14"/>
      <c r="U212" s="14" t="str">
        <f t="shared" si="36"/>
        <v>1;5;6;</v>
      </c>
      <c r="V212" s="23" t="str">
        <f t="shared" si="37"/>
        <v>111100;133300;133300;</v>
      </c>
      <c r="X212" s="13" t="str">
        <f t="shared" si="38"/>
        <v>1;5;6</v>
      </c>
      <c r="Y212" s="13" t="str">
        <f t="shared" si="39"/>
        <v>111100;133300;133300</v>
      </c>
    </row>
    <row r="213" spans="1:25" s="13" customFormat="1" ht="20.100000000000001" customHeight="1">
      <c r="A213" s="11">
        <f t="shared" si="30"/>
        <v>9</v>
      </c>
      <c r="B213" s="14" t="s">
        <v>71</v>
      </c>
      <c r="C213" s="14">
        <v>11</v>
      </c>
      <c r="D213" s="14">
        <f>LOOKUP($A213,建筑产出!$BF$16:$BF$26,建筑产出!BI$16:BI$26)</f>
        <v>0.125</v>
      </c>
      <c r="E213" s="14">
        <f>LOOKUP($A213,建筑产出!$BF$16:$BF$26,建筑产出!BJ$16:BJ$26)</f>
        <v>0</v>
      </c>
      <c r="F213" s="14">
        <f>LOOKUP($A213,建筑产出!$BF$16:$BF$26,建筑产出!BK$16:BK$26)</f>
        <v>0</v>
      </c>
      <c r="G213" s="14">
        <f>LOOKUP($A213,建筑产出!$BF$16:$BF$26,建筑产出!BL$16:BL$26)</f>
        <v>0.3</v>
      </c>
      <c r="H213" s="14">
        <f>LOOKUP($A213,建筑产出!$BF$16:$BF$26,建筑产出!BM$16:BM$26)</f>
        <v>0.3</v>
      </c>
      <c r="I213" s="14">
        <f>ROUND(LOOKUP($C213,建筑产出!$A$2:$A$26,建筑产出!D$2:D$26)*D213,-2)</f>
        <v>135600</v>
      </c>
      <c r="J213" s="14">
        <f>ROUND(LOOKUP($C213,建筑产出!$A$2:$A$26,建筑产出!E$2:E$26)*E213,-2)</f>
        <v>0</v>
      </c>
      <c r="K213" s="14">
        <f>ROUND(LOOKUP($C213,建筑产出!$A$2:$A$26,建筑产出!F$2:F$26)*F213,-2)</f>
        <v>0</v>
      </c>
      <c r="L213" s="14">
        <f>ROUND(LOOKUP($C213,建筑产出!$A$2:$A$26,建筑产出!G$2:G$26)*G213,-2)</f>
        <v>162800</v>
      </c>
      <c r="M213" s="14">
        <f>ROUND(LOOKUP($C213,建筑产出!$A$2:$A$26,建筑产出!H$2:H$26)*H213,-2)</f>
        <v>162800</v>
      </c>
      <c r="N213" s="14"/>
      <c r="O213" s="14">
        <f t="shared" si="31"/>
        <v>1</v>
      </c>
      <c r="P213" s="14">
        <f t="shared" si="32"/>
        <v>0</v>
      </c>
      <c r="Q213" s="14">
        <f t="shared" si="33"/>
        <v>0</v>
      </c>
      <c r="R213" s="14">
        <f t="shared" si="34"/>
        <v>5</v>
      </c>
      <c r="S213" s="14">
        <f t="shared" si="35"/>
        <v>6</v>
      </c>
      <c r="T213" s="14"/>
      <c r="U213" s="14" t="str">
        <f t="shared" si="36"/>
        <v>1;5;6;</v>
      </c>
      <c r="V213" s="23" t="str">
        <f t="shared" si="37"/>
        <v>135600;162800;162800;</v>
      </c>
      <c r="X213" s="13" t="str">
        <f t="shared" si="38"/>
        <v>1;5;6</v>
      </c>
      <c r="Y213" s="13" t="str">
        <f t="shared" si="39"/>
        <v>135600;162800;162800</v>
      </c>
    </row>
    <row r="214" spans="1:25" s="13" customFormat="1" ht="20.100000000000001" customHeight="1">
      <c r="A214" s="11">
        <f t="shared" si="30"/>
        <v>9</v>
      </c>
      <c r="B214" s="14" t="s">
        <v>71</v>
      </c>
      <c r="C214" s="14">
        <v>12</v>
      </c>
      <c r="D214" s="14">
        <f>LOOKUP($A214,建筑产出!$BF$16:$BF$26,建筑产出!BI$16:BI$26)</f>
        <v>0.125</v>
      </c>
      <c r="E214" s="14">
        <f>LOOKUP($A214,建筑产出!$BF$16:$BF$26,建筑产出!BJ$16:BJ$26)</f>
        <v>0</v>
      </c>
      <c r="F214" s="14">
        <f>LOOKUP($A214,建筑产出!$BF$16:$BF$26,建筑产出!BK$16:BK$26)</f>
        <v>0</v>
      </c>
      <c r="G214" s="14">
        <f>LOOKUP($A214,建筑产出!$BF$16:$BF$26,建筑产出!BL$16:BL$26)</f>
        <v>0.3</v>
      </c>
      <c r="H214" s="14">
        <f>LOOKUP($A214,建筑产出!$BF$16:$BF$26,建筑产出!BM$16:BM$26)</f>
        <v>0.3</v>
      </c>
      <c r="I214" s="14">
        <f>ROUND(LOOKUP($C214,建筑产出!$A$2:$A$26,建筑产出!D$2:D$26)*D214,-2)</f>
        <v>162500</v>
      </c>
      <c r="J214" s="14">
        <f>ROUND(LOOKUP($C214,建筑产出!$A$2:$A$26,建筑产出!E$2:E$26)*E214,-2)</f>
        <v>0</v>
      </c>
      <c r="K214" s="14">
        <f>ROUND(LOOKUP($C214,建筑产出!$A$2:$A$26,建筑产出!F$2:F$26)*F214,-2)</f>
        <v>0</v>
      </c>
      <c r="L214" s="14">
        <f>ROUND(LOOKUP($C214,建筑产出!$A$2:$A$26,建筑产出!G$2:G$26)*G214,-2)</f>
        <v>195000</v>
      </c>
      <c r="M214" s="14">
        <f>ROUND(LOOKUP($C214,建筑产出!$A$2:$A$26,建筑产出!H$2:H$26)*H214,-2)</f>
        <v>195000</v>
      </c>
      <c r="N214" s="14"/>
      <c r="O214" s="14">
        <f t="shared" si="31"/>
        <v>1</v>
      </c>
      <c r="P214" s="14">
        <f t="shared" si="32"/>
        <v>0</v>
      </c>
      <c r="Q214" s="14">
        <f t="shared" si="33"/>
        <v>0</v>
      </c>
      <c r="R214" s="14">
        <f t="shared" si="34"/>
        <v>5</v>
      </c>
      <c r="S214" s="14">
        <f t="shared" si="35"/>
        <v>6</v>
      </c>
      <c r="T214" s="14"/>
      <c r="U214" s="14" t="str">
        <f t="shared" si="36"/>
        <v>1;5;6;</v>
      </c>
      <c r="V214" s="23" t="str">
        <f t="shared" si="37"/>
        <v>162500;195000;195000;</v>
      </c>
      <c r="X214" s="13" t="str">
        <f t="shared" si="38"/>
        <v>1;5;6</v>
      </c>
      <c r="Y214" s="13" t="str">
        <f t="shared" si="39"/>
        <v>162500;195000;195000</v>
      </c>
    </row>
    <row r="215" spans="1:25" s="13" customFormat="1" ht="20.100000000000001" customHeight="1">
      <c r="A215" s="11">
        <f t="shared" si="30"/>
        <v>9</v>
      </c>
      <c r="B215" s="14" t="s">
        <v>71</v>
      </c>
      <c r="C215" s="14">
        <v>13</v>
      </c>
      <c r="D215" s="14">
        <f>LOOKUP($A215,建筑产出!$BF$16:$BF$26,建筑产出!BI$16:BI$26)</f>
        <v>0.125</v>
      </c>
      <c r="E215" s="14">
        <f>LOOKUP($A215,建筑产出!$BF$16:$BF$26,建筑产出!BJ$16:BJ$26)</f>
        <v>0</v>
      </c>
      <c r="F215" s="14">
        <f>LOOKUP($A215,建筑产出!$BF$16:$BF$26,建筑产出!BK$16:BK$26)</f>
        <v>0</v>
      </c>
      <c r="G215" s="14">
        <f>LOOKUP($A215,建筑产出!$BF$16:$BF$26,建筑产出!BL$16:BL$26)</f>
        <v>0.3</v>
      </c>
      <c r="H215" s="14">
        <f>LOOKUP($A215,建筑产出!$BF$16:$BF$26,建筑产出!BM$16:BM$26)</f>
        <v>0.3</v>
      </c>
      <c r="I215" s="14">
        <f>ROUND(LOOKUP($C215,建筑产出!$A$2:$A$26,建筑产出!D$2:D$26)*D215,-2)</f>
        <v>191600</v>
      </c>
      <c r="J215" s="14">
        <f>ROUND(LOOKUP($C215,建筑产出!$A$2:$A$26,建筑产出!E$2:E$26)*E215,-2)</f>
        <v>0</v>
      </c>
      <c r="K215" s="14">
        <f>ROUND(LOOKUP($C215,建筑产出!$A$2:$A$26,建筑产出!F$2:F$26)*F215,-2)</f>
        <v>0</v>
      </c>
      <c r="L215" s="14">
        <f>ROUND(LOOKUP($C215,建筑产出!$A$2:$A$26,建筑产出!G$2:G$26)*G215,-2)</f>
        <v>230000</v>
      </c>
      <c r="M215" s="14">
        <f>ROUND(LOOKUP($C215,建筑产出!$A$2:$A$26,建筑产出!H$2:H$26)*H215,-2)</f>
        <v>230000</v>
      </c>
      <c r="N215" s="14"/>
      <c r="O215" s="14">
        <f t="shared" si="31"/>
        <v>1</v>
      </c>
      <c r="P215" s="14">
        <f t="shared" si="32"/>
        <v>0</v>
      </c>
      <c r="Q215" s="14">
        <f t="shared" si="33"/>
        <v>0</v>
      </c>
      <c r="R215" s="14">
        <f t="shared" si="34"/>
        <v>5</v>
      </c>
      <c r="S215" s="14">
        <f t="shared" si="35"/>
        <v>6</v>
      </c>
      <c r="T215" s="14"/>
      <c r="U215" s="14" t="str">
        <f t="shared" si="36"/>
        <v>1;5;6;</v>
      </c>
      <c r="V215" s="23" t="str">
        <f t="shared" si="37"/>
        <v>191600;230000;230000;</v>
      </c>
      <c r="X215" s="13" t="str">
        <f t="shared" si="38"/>
        <v>1;5;6</v>
      </c>
      <c r="Y215" s="13" t="str">
        <f t="shared" si="39"/>
        <v>191600;230000;230000</v>
      </c>
    </row>
    <row r="216" spans="1:25" s="13" customFormat="1" ht="20.100000000000001" customHeight="1">
      <c r="A216" s="11">
        <f t="shared" si="30"/>
        <v>9</v>
      </c>
      <c r="B216" s="14" t="s">
        <v>71</v>
      </c>
      <c r="C216" s="14">
        <v>14</v>
      </c>
      <c r="D216" s="14">
        <f>LOOKUP($A216,建筑产出!$BF$16:$BF$26,建筑产出!BI$16:BI$26)</f>
        <v>0.125</v>
      </c>
      <c r="E216" s="14">
        <f>LOOKUP($A216,建筑产出!$BF$16:$BF$26,建筑产出!BJ$16:BJ$26)</f>
        <v>0</v>
      </c>
      <c r="F216" s="14">
        <f>LOOKUP($A216,建筑产出!$BF$16:$BF$26,建筑产出!BK$16:BK$26)</f>
        <v>0</v>
      </c>
      <c r="G216" s="14">
        <f>LOOKUP($A216,建筑产出!$BF$16:$BF$26,建筑产出!BL$16:BL$26)</f>
        <v>0.3</v>
      </c>
      <c r="H216" s="14">
        <f>LOOKUP($A216,建筑产出!$BF$16:$BF$26,建筑产出!BM$16:BM$26)</f>
        <v>0.3</v>
      </c>
      <c r="I216" s="14">
        <f>ROUND(LOOKUP($C216,建筑产出!$A$2:$A$26,建筑产出!D$2:D$26)*D216,-2)</f>
        <v>223100</v>
      </c>
      <c r="J216" s="14">
        <f>ROUND(LOOKUP($C216,建筑产出!$A$2:$A$26,建筑产出!E$2:E$26)*E216,-2)</f>
        <v>0</v>
      </c>
      <c r="K216" s="14">
        <f>ROUND(LOOKUP($C216,建筑产出!$A$2:$A$26,建筑产出!F$2:F$26)*F216,-2)</f>
        <v>0</v>
      </c>
      <c r="L216" s="14">
        <f>ROUND(LOOKUP($C216,建筑产出!$A$2:$A$26,建筑产出!G$2:G$26)*G216,-2)</f>
        <v>267700</v>
      </c>
      <c r="M216" s="14">
        <f>ROUND(LOOKUP($C216,建筑产出!$A$2:$A$26,建筑产出!H$2:H$26)*H216,-2)</f>
        <v>267700</v>
      </c>
      <c r="N216" s="14"/>
      <c r="O216" s="14">
        <f t="shared" si="31"/>
        <v>1</v>
      </c>
      <c r="P216" s="14">
        <f t="shared" si="32"/>
        <v>0</v>
      </c>
      <c r="Q216" s="14">
        <f t="shared" si="33"/>
        <v>0</v>
      </c>
      <c r="R216" s="14">
        <f t="shared" si="34"/>
        <v>5</v>
      </c>
      <c r="S216" s="14">
        <f t="shared" si="35"/>
        <v>6</v>
      </c>
      <c r="T216" s="14"/>
      <c r="U216" s="14" t="str">
        <f t="shared" si="36"/>
        <v>1;5;6;</v>
      </c>
      <c r="V216" s="23" t="str">
        <f t="shared" si="37"/>
        <v>223100;267700;267700;</v>
      </c>
      <c r="X216" s="13" t="str">
        <f t="shared" si="38"/>
        <v>1;5;6</v>
      </c>
      <c r="Y216" s="13" t="str">
        <f t="shared" si="39"/>
        <v>223100;267700;267700</v>
      </c>
    </row>
    <row r="217" spans="1:25" s="13" customFormat="1" ht="20.100000000000001" customHeight="1">
      <c r="A217" s="11">
        <f t="shared" si="30"/>
        <v>9</v>
      </c>
      <c r="B217" s="14" t="s">
        <v>71</v>
      </c>
      <c r="C217" s="14">
        <v>15</v>
      </c>
      <c r="D217" s="14">
        <f>LOOKUP($A217,建筑产出!$BF$16:$BF$26,建筑产出!BI$16:BI$26)</f>
        <v>0.125</v>
      </c>
      <c r="E217" s="14">
        <f>LOOKUP($A217,建筑产出!$BF$16:$BF$26,建筑产出!BJ$16:BJ$26)</f>
        <v>0</v>
      </c>
      <c r="F217" s="14">
        <f>LOOKUP($A217,建筑产出!$BF$16:$BF$26,建筑产出!BK$16:BK$26)</f>
        <v>0</v>
      </c>
      <c r="G217" s="14">
        <f>LOOKUP($A217,建筑产出!$BF$16:$BF$26,建筑产出!BL$16:BL$26)</f>
        <v>0.3</v>
      </c>
      <c r="H217" s="14">
        <f>LOOKUP($A217,建筑产出!$BF$16:$BF$26,建筑产出!BM$16:BM$26)</f>
        <v>0.3</v>
      </c>
      <c r="I217" s="14">
        <f>ROUND(LOOKUP($C217,建筑产出!$A$2:$A$26,建筑产出!D$2:D$26)*D217,-2)</f>
        <v>262000</v>
      </c>
      <c r="J217" s="14">
        <f>ROUND(LOOKUP($C217,建筑产出!$A$2:$A$26,建筑产出!E$2:E$26)*E217,-2)</f>
        <v>0</v>
      </c>
      <c r="K217" s="14">
        <f>ROUND(LOOKUP($C217,建筑产出!$A$2:$A$26,建筑产出!F$2:F$26)*F217,-2)</f>
        <v>0</v>
      </c>
      <c r="L217" s="14">
        <f>ROUND(LOOKUP($C217,建筑产出!$A$2:$A$26,建筑产出!G$2:G$26)*G217,-2)</f>
        <v>314400</v>
      </c>
      <c r="M217" s="14">
        <f>ROUND(LOOKUP($C217,建筑产出!$A$2:$A$26,建筑产出!H$2:H$26)*H217,-2)</f>
        <v>314400</v>
      </c>
      <c r="N217" s="14"/>
      <c r="O217" s="14">
        <f t="shared" si="31"/>
        <v>1</v>
      </c>
      <c r="P217" s="14">
        <f t="shared" si="32"/>
        <v>0</v>
      </c>
      <c r="Q217" s="14">
        <f t="shared" si="33"/>
        <v>0</v>
      </c>
      <c r="R217" s="14">
        <f t="shared" si="34"/>
        <v>5</v>
      </c>
      <c r="S217" s="14">
        <f t="shared" si="35"/>
        <v>6</v>
      </c>
      <c r="T217" s="14"/>
      <c r="U217" s="14" t="str">
        <f t="shared" si="36"/>
        <v>1;5;6;</v>
      </c>
      <c r="V217" s="23" t="str">
        <f t="shared" si="37"/>
        <v>262000;314400;314400;</v>
      </c>
      <c r="X217" s="13" t="str">
        <f t="shared" si="38"/>
        <v>1;5;6</v>
      </c>
      <c r="Y217" s="13" t="str">
        <f t="shared" si="39"/>
        <v>262000;314400;314400</v>
      </c>
    </row>
    <row r="218" spans="1:25" s="13" customFormat="1" ht="20.100000000000001" customHeight="1">
      <c r="A218" s="11">
        <f t="shared" si="30"/>
        <v>9</v>
      </c>
      <c r="B218" s="14" t="s">
        <v>71</v>
      </c>
      <c r="C218" s="14">
        <v>16</v>
      </c>
      <c r="D218" s="14">
        <f>LOOKUP($A218,建筑产出!$BF$16:$BF$26,建筑产出!BI$16:BI$26)</f>
        <v>0.125</v>
      </c>
      <c r="E218" s="14">
        <f>LOOKUP($A218,建筑产出!$BF$16:$BF$26,建筑产出!BJ$16:BJ$26)</f>
        <v>0</v>
      </c>
      <c r="F218" s="14">
        <f>LOOKUP($A218,建筑产出!$BF$16:$BF$26,建筑产出!BK$16:BK$26)</f>
        <v>0</v>
      </c>
      <c r="G218" s="14">
        <f>LOOKUP($A218,建筑产出!$BF$16:$BF$26,建筑产出!BL$16:BL$26)</f>
        <v>0.3</v>
      </c>
      <c r="H218" s="14">
        <f>LOOKUP($A218,建筑产出!$BF$16:$BF$26,建筑产出!BM$16:BM$26)</f>
        <v>0.3</v>
      </c>
      <c r="I218" s="14">
        <f>ROUND(LOOKUP($C218,建筑产出!$A$2:$A$26,建筑产出!D$2:D$26)*D218,-2)</f>
        <v>303800</v>
      </c>
      <c r="J218" s="14">
        <f>ROUND(LOOKUP($C218,建筑产出!$A$2:$A$26,建筑产出!E$2:E$26)*E218,-2)</f>
        <v>0</v>
      </c>
      <c r="K218" s="14">
        <f>ROUND(LOOKUP($C218,建筑产出!$A$2:$A$26,建筑产出!F$2:F$26)*F218,-2)</f>
        <v>0</v>
      </c>
      <c r="L218" s="14">
        <f>ROUND(LOOKUP($C218,建筑产出!$A$2:$A$26,建筑产出!G$2:G$26)*G218,-2)</f>
        <v>364500</v>
      </c>
      <c r="M218" s="14">
        <f>ROUND(LOOKUP($C218,建筑产出!$A$2:$A$26,建筑产出!H$2:H$26)*H218,-2)</f>
        <v>364500</v>
      </c>
      <c r="N218" s="14"/>
      <c r="O218" s="14">
        <f t="shared" si="31"/>
        <v>1</v>
      </c>
      <c r="P218" s="14">
        <f t="shared" si="32"/>
        <v>0</v>
      </c>
      <c r="Q218" s="14">
        <f t="shared" si="33"/>
        <v>0</v>
      </c>
      <c r="R218" s="14">
        <f t="shared" si="34"/>
        <v>5</v>
      </c>
      <c r="S218" s="14">
        <f t="shared" si="35"/>
        <v>6</v>
      </c>
      <c r="T218" s="14"/>
      <c r="U218" s="14" t="str">
        <f t="shared" si="36"/>
        <v>1;5;6;</v>
      </c>
      <c r="V218" s="23" t="str">
        <f t="shared" si="37"/>
        <v>303800;364500;364500;</v>
      </c>
      <c r="X218" s="13" t="str">
        <f t="shared" si="38"/>
        <v>1;5;6</v>
      </c>
      <c r="Y218" s="13" t="str">
        <f t="shared" si="39"/>
        <v>303800;364500;364500</v>
      </c>
    </row>
    <row r="219" spans="1:25" s="13" customFormat="1" ht="20.100000000000001" customHeight="1">
      <c r="A219" s="11">
        <f t="shared" si="30"/>
        <v>9</v>
      </c>
      <c r="B219" s="14" t="s">
        <v>71</v>
      </c>
      <c r="C219" s="14">
        <v>17</v>
      </c>
      <c r="D219" s="14">
        <f>LOOKUP($A219,建筑产出!$BF$16:$BF$26,建筑产出!BI$16:BI$26)</f>
        <v>0.125</v>
      </c>
      <c r="E219" s="14">
        <f>LOOKUP($A219,建筑产出!$BF$16:$BF$26,建筑产出!BJ$16:BJ$26)</f>
        <v>0</v>
      </c>
      <c r="F219" s="14">
        <f>LOOKUP($A219,建筑产出!$BF$16:$BF$26,建筑产出!BK$16:BK$26)</f>
        <v>0</v>
      </c>
      <c r="G219" s="14">
        <f>LOOKUP($A219,建筑产出!$BF$16:$BF$26,建筑产出!BL$16:BL$26)</f>
        <v>0.3</v>
      </c>
      <c r="H219" s="14">
        <f>LOOKUP($A219,建筑产出!$BF$16:$BF$26,建筑产出!BM$16:BM$26)</f>
        <v>0.3</v>
      </c>
      <c r="I219" s="14">
        <f>ROUND(LOOKUP($C219,建筑产出!$A$2:$A$26,建筑产出!D$2:D$26)*D219,-2)</f>
        <v>348400</v>
      </c>
      <c r="J219" s="14">
        <f>ROUND(LOOKUP($C219,建筑产出!$A$2:$A$26,建筑产出!E$2:E$26)*E219,-2)</f>
        <v>0</v>
      </c>
      <c r="K219" s="14">
        <f>ROUND(LOOKUP($C219,建筑产出!$A$2:$A$26,建筑产出!F$2:F$26)*F219,-2)</f>
        <v>0</v>
      </c>
      <c r="L219" s="14">
        <f>ROUND(LOOKUP($C219,建筑产出!$A$2:$A$26,建筑产出!G$2:G$26)*G219,-2)</f>
        <v>418100</v>
      </c>
      <c r="M219" s="14">
        <f>ROUND(LOOKUP($C219,建筑产出!$A$2:$A$26,建筑产出!H$2:H$26)*H219,-2)</f>
        <v>418100</v>
      </c>
      <c r="N219" s="14"/>
      <c r="O219" s="14">
        <f t="shared" si="31"/>
        <v>1</v>
      </c>
      <c r="P219" s="14">
        <f t="shared" si="32"/>
        <v>0</v>
      </c>
      <c r="Q219" s="14">
        <f t="shared" si="33"/>
        <v>0</v>
      </c>
      <c r="R219" s="14">
        <f t="shared" si="34"/>
        <v>5</v>
      </c>
      <c r="S219" s="14">
        <f t="shared" si="35"/>
        <v>6</v>
      </c>
      <c r="T219" s="14"/>
      <c r="U219" s="14" t="str">
        <f t="shared" si="36"/>
        <v>1;5;6;</v>
      </c>
      <c r="V219" s="23" t="str">
        <f t="shared" si="37"/>
        <v>348400;418100;418100;</v>
      </c>
      <c r="X219" s="13" t="str">
        <f t="shared" si="38"/>
        <v>1;5;6</v>
      </c>
      <c r="Y219" s="13" t="str">
        <f t="shared" si="39"/>
        <v>348400;418100;418100</v>
      </c>
    </row>
    <row r="220" spans="1:25" s="13" customFormat="1" ht="20.100000000000001" customHeight="1">
      <c r="A220" s="11">
        <f t="shared" si="30"/>
        <v>9</v>
      </c>
      <c r="B220" s="14" t="s">
        <v>71</v>
      </c>
      <c r="C220" s="14">
        <v>18</v>
      </c>
      <c r="D220" s="14">
        <f>LOOKUP($A220,建筑产出!$BF$16:$BF$26,建筑产出!BI$16:BI$26)</f>
        <v>0.125</v>
      </c>
      <c r="E220" s="14">
        <f>LOOKUP($A220,建筑产出!$BF$16:$BF$26,建筑产出!BJ$16:BJ$26)</f>
        <v>0</v>
      </c>
      <c r="F220" s="14">
        <f>LOOKUP($A220,建筑产出!$BF$16:$BF$26,建筑产出!BK$16:BK$26)</f>
        <v>0</v>
      </c>
      <c r="G220" s="14">
        <f>LOOKUP($A220,建筑产出!$BF$16:$BF$26,建筑产出!BL$16:BL$26)</f>
        <v>0.3</v>
      </c>
      <c r="H220" s="14">
        <f>LOOKUP($A220,建筑产出!$BF$16:$BF$26,建筑产出!BM$16:BM$26)</f>
        <v>0.3</v>
      </c>
      <c r="I220" s="14">
        <f>ROUND(LOOKUP($C220,建筑产出!$A$2:$A$26,建筑产出!D$2:D$26)*D220,-2)</f>
        <v>395900</v>
      </c>
      <c r="J220" s="14">
        <f>ROUND(LOOKUP($C220,建筑产出!$A$2:$A$26,建筑产出!E$2:E$26)*E220,-2)</f>
        <v>0</v>
      </c>
      <c r="K220" s="14">
        <f>ROUND(LOOKUP($C220,建筑产出!$A$2:$A$26,建筑产出!F$2:F$26)*F220,-2)</f>
        <v>0</v>
      </c>
      <c r="L220" s="14">
        <f>ROUND(LOOKUP($C220,建筑产出!$A$2:$A$26,建筑产出!G$2:G$26)*G220,-2)</f>
        <v>475100</v>
      </c>
      <c r="M220" s="14">
        <f>ROUND(LOOKUP($C220,建筑产出!$A$2:$A$26,建筑产出!H$2:H$26)*H220,-2)</f>
        <v>475100</v>
      </c>
      <c r="N220" s="14"/>
      <c r="O220" s="14">
        <f t="shared" si="31"/>
        <v>1</v>
      </c>
      <c r="P220" s="14">
        <f t="shared" si="32"/>
        <v>0</v>
      </c>
      <c r="Q220" s="14">
        <f t="shared" si="33"/>
        <v>0</v>
      </c>
      <c r="R220" s="14">
        <f t="shared" si="34"/>
        <v>5</v>
      </c>
      <c r="S220" s="14">
        <f t="shared" si="35"/>
        <v>6</v>
      </c>
      <c r="T220" s="14"/>
      <c r="U220" s="14" t="str">
        <f t="shared" si="36"/>
        <v>1;5;6;</v>
      </c>
      <c r="V220" s="23" t="str">
        <f t="shared" si="37"/>
        <v>395900;475100;475100;</v>
      </c>
      <c r="X220" s="13" t="str">
        <f t="shared" si="38"/>
        <v>1;5;6</v>
      </c>
      <c r="Y220" s="13" t="str">
        <f t="shared" si="39"/>
        <v>395900;475100;475100</v>
      </c>
    </row>
    <row r="221" spans="1:25" s="13" customFormat="1" ht="20.100000000000001" customHeight="1">
      <c r="A221" s="11">
        <f t="shared" ref="A221:A227" si="40">A196+1</f>
        <v>9</v>
      </c>
      <c r="B221" s="14" t="s">
        <v>71</v>
      </c>
      <c r="C221" s="14">
        <v>19</v>
      </c>
      <c r="D221" s="14">
        <f>LOOKUP($A221,建筑产出!$BF$16:$BF$26,建筑产出!BI$16:BI$26)</f>
        <v>0.125</v>
      </c>
      <c r="E221" s="14">
        <f>LOOKUP($A221,建筑产出!$BF$16:$BF$26,建筑产出!BJ$16:BJ$26)</f>
        <v>0</v>
      </c>
      <c r="F221" s="14">
        <f>LOOKUP($A221,建筑产出!$BF$16:$BF$26,建筑产出!BK$16:BK$26)</f>
        <v>0</v>
      </c>
      <c r="G221" s="14">
        <f>LOOKUP($A221,建筑产出!$BF$16:$BF$26,建筑产出!BL$16:BL$26)</f>
        <v>0.3</v>
      </c>
      <c r="H221" s="14">
        <f>LOOKUP($A221,建筑产出!$BF$16:$BF$26,建筑产出!BM$16:BM$26)</f>
        <v>0.3</v>
      </c>
      <c r="I221" s="14">
        <f>ROUND(LOOKUP($C221,建筑产出!$A$2:$A$26,建筑产出!D$2:D$26)*D221,-2)</f>
        <v>446300</v>
      </c>
      <c r="J221" s="14">
        <f>ROUND(LOOKUP($C221,建筑产出!$A$2:$A$26,建筑产出!E$2:E$26)*E221,-2)</f>
        <v>0</v>
      </c>
      <c r="K221" s="14">
        <f>ROUND(LOOKUP($C221,建筑产出!$A$2:$A$26,建筑产出!F$2:F$26)*F221,-2)</f>
        <v>0</v>
      </c>
      <c r="L221" s="14">
        <f>ROUND(LOOKUP($C221,建筑产出!$A$2:$A$26,建筑产出!G$2:G$26)*G221,-2)</f>
        <v>535600</v>
      </c>
      <c r="M221" s="14">
        <f>ROUND(LOOKUP($C221,建筑产出!$A$2:$A$26,建筑产出!H$2:H$26)*H221,-2)</f>
        <v>535600</v>
      </c>
      <c r="N221" s="14"/>
      <c r="O221" s="14">
        <f t="shared" si="31"/>
        <v>1</v>
      </c>
      <c r="P221" s="14">
        <f t="shared" si="32"/>
        <v>0</v>
      </c>
      <c r="Q221" s="14">
        <f t="shared" si="33"/>
        <v>0</v>
      </c>
      <c r="R221" s="14">
        <f t="shared" si="34"/>
        <v>5</v>
      </c>
      <c r="S221" s="14">
        <f t="shared" si="35"/>
        <v>6</v>
      </c>
      <c r="T221" s="14"/>
      <c r="U221" s="14" t="str">
        <f t="shared" si="36"/>
        <v>1;5;6;</v>
      </c>
      <c r="V221" s="23" t="str">
        <f t="shared" si="37"/>
        <v>446300;535600;535600;</v>
      </c>
      <c r="X221" s="13" t="str">
        <f t="shared" si="38"/>
        <v>1;5;6</v>
      </c>
      <c r="Y221" s="13" t="str">
        <f t="shared" si="39"/>
        <v>446300;535600;535600</v>
      </c>
    </row>
    <row r="222" spans="1:25" s="13" customFormat="1" ht="20.100000000000001" customHeight="1">
      <c r="A222" s="11">
        <f t="shared" si="40"/>
        <v>9</v>
      </c>
      <c r="B222" s="14" t="s">
        <v>71</v>
      </c>
      <c r="C222" s="14">
        <v>20</v>
      </c>
      <c r="D222" s="14">
        <f>LOOKUP($A222,建筑产出!$BF$16:$BF$26,建筑产出!BI$16:BI$26)</f>
        <v>0.125</v>
      </c>
      <c r="E222" s="14">
        <f>LOOKUP($A222,建筑产出!$BF$16:$BF$26,建筑产出!BJ$16:BJ$26)</f>
        <v>0</v>
      </c>
      <c r="F222" s="14">
        <f>LOOKUP($A222,建筑产出!$BF$16:$BF$26,建筑产出!BK$16:BK$26)</f>
        <v>0</v>
      </c>
      <c r="G222" s="14">
        <f>LOOKUP($A222,建筑产出!$BF$16:$BF$26,建筑产出!BL$16:BL$26)</f>
        <v>0.3</v>
      </c>
      <c r="H222" s="14">
        <f>LOOKUP($A222,建筑产出!$BF$16:$BF$26,建筑产出!BM$16:BM$26)</f>
        <v>0.3</v>
      </c>
      <c r="I222" s="14">
        <f>ROUND(LOOKUP($C222,建筑产出!$A$2:$A$26,建筑产出!D$2:D$26)*D222,-2)</f>
        <v>506100</v>
      </c>
      <c r="J222" s="14">
        <f>ROUND(LOOKUP($C222,建筑产出!$A$2:$A$26,建筑产出!E$2:E$26)*E222,-2)</f>
        <v>0</v>
      </c>
      <c r="K222" s="14">
        <f>ROUND(LOOKUP($C222,建筑产出!$A$2:$A$26,建筑产出!F$2:F$26)*F222,-2)</f>
        <v>0</v>
      </c>
      <c r="L222" s="14">
        <f>ROUND(LOOKUP($C222,建筑产出!$A$2:$A$26,建筑产出!G$2:G$26)*G222,-2)</f>
        <v>607400</v>
      </c>
      <c r="M222" s="14">
        <f>ROUND(LOOKUP($C222,建筑产出!$A$2:$A$26,建筑产出!H$2:H$26)*H222,-2)</f>
        <v>607400</v>
      </c>
      <c r="N222" s="14"/>
      <c r="O222" s="14">
        <f t="shared" si="31"/>
        <v>1</v>
      </c>
      <c r="P222" s="14">
        <f t="shared" si="32"/>
        <v>0</v>
      </c>
      <c r="Q222" s="14">
        <f t="shared" si="33"/>
        <v>0</v>
      </c>
      <c r="R222" s="14">
        <f t="shared" si="34"/>
        <v>5</v>
      </c>
      <c r="S222" s="14">
        <f t="shared" si="35"/>
        <v>6</v>
      </c>
      <c r="T222" s="14"/>
      <c r="U222" s="14" t="str">
        <f t="shared" si="36"/>
        <v>1;5;6;</v>
      </c>
      <c r="V222" s="23" t="str">
        <f t="shared" si="37"/>
        <v>506100;607400;607400;</v>
      </c>
      <c r="X222" s="13" t="str">
        <f t="shared" si="38"/>
        <v>1;5;6</v>
      </c>
      <c r="Y222" s="13" t="str">
        <f t="shared" si="39"/>
        <v>506100;607400;607400</v>
      </c>
    </row>
    <row r="223" spans="1:25" s="13" customFormat="1" ht="20.100000000000001" customHeight="1">
      <c r="A223" s="11">
        <f t="shared" si="40"/>
        <v>9</v>
      </c>
      <c r="B223" s="14" t="s">
        <v>71</v>
      </c>
      <c r="C223" s="14">
        <v>21</v>
      </c>
      <c r="D223" s="14">
        <f>LOOKUP($A223,建筑产出!$BF$16:$BF$26,建筑产出!BI$16:BI$26)</f>
        <v>0.125</v>
      </c>
      <c r="E223" s="14">
        <f>LOOKUP($A223,建筑产出!$BF$16:$BF$26,建筑产出!BJ$16:BJ$26)</f>
        <v>0</v>
      </c>
      <c r="F223" s="14">
        <f>LOOKUP($A223,建筑产出!$BF$16:$BF$26,建筑产出!BK$16:BK$26)</f>
        <v>0</v>
      </c>
      <c r="G223" s="14">
        <f>LOOKUP($A223,建筑产出!$BF$16:$BF$26,建筑产出!BL$16:BL$26)</f>
        <v>0.3</v>
      </c>
      <c r="H223" s="14">
        <f>LOOKUP($A223,建筑产出!$BF$16:$BF$26,建筑产出!BM$16:BM$26)</f>
        <v>0.3</v>
      </c>
      <c r="I223" s="14">
        <f>ROUND(LOOKUP($C223,建筑产出!$A$2:$A$26,建筑产出!D$2:D$26)*D223,-2)</f>
        <v>569400</v>
      </c>
      <c r="J223" s="14">
        <f>ROUND(LOOKUP($C223,建筑产出!$A$2:$A$26,建筑产出!E$2:E$26)*E223,-2)</f>
        <v>0</v>
      </c>
      <c r="K223" s="14">
        <f>ROUND(LOOKUP($C223,建筑产出!$A$2:$A$26,建筑产出!F$2:F$26)*F223,-2)</f>
        <v>0</v>
      </c>
      <c r="L223" s="14">
        <f>ROUND(LOOKUP($C223,建筑产出!$A$2:$A$26,建筑产出!G$2:G$26)*G223,-2)</f>
        <v>683300</v>
      </c>
      <c r="M223" s="14">
        <f>ROUND(LOOKUP($C223,建筑产出!$A$2:$A$26,建筑产出!H$2:H$26)*H223,-2)</f>
        <v>683300</v>
      </c>
      <c r="N223" s="14"/>
      <c r="O223" s="14">
        <f t="shared" si="31"/>
        <v>1</v>
      </c>
      <c r="P223" s="14">
        <f t="shared" si="32"/>
        <v>0</v>
      </c>
      <c r="Q223" s="14">
        <f t="shared" si="33"/>
        <v>0</v>
      </c>
      <c r="R223" s="14">
        <f t="shared" si="34"/>
        <v>5</v>
      </c>
      <c r="S223" s="14">
        <f t="shared" si="35"/>
        <v>6</v>
      </c>
      <c r="T223" s="14"/>
      <c r="U223" s="14" t="str">
        <f t="shared" si="36"/>
        <v>1;5;6;</v>
      </c>
      <c r="V223" s="23" t="str">
        <f t="shared" si="37"/>
        <v>569400;683300;683300;</v>
      </c>
      <c r="X223" s="13" t="str">
        <f t="shared" si="38"/>
        <v>1;5;6</v>
      </c>
      <c r="Y223" s="13" t="str">
        <f t="shared" si="39"/>
        <v>569400;683300;683300</v>
      </c>
    </row>
    <row r="224" spans="1:25" s="13" customFormat="1" ht="20.100000000000001" customHeight="1">
      <c r="A224" s="11">
        <f t="shared" si="40"/>
        <v>9</v>
      </c>
      <c r="B224" s="14" t="s">
        <v>71</v>
      </c>
      <c r="C224" s="14">
        <v>22</v>
      </c>
      <c r="D224" s="14">
        <f>LOOKUP($A224,建筑产出!$BF$16:$BF$26,建筑产出!BI$16:BI$26)</f>
        <v>0.125</v>
      </c>
      <c r="E224" s="14">
        <f>LOOKUP($A224,建筑产出!$BF$16:$BF$26,建筑产出!BJ$16:BJ$26)</f>
        <v>0</v>
      </c>
      <c r="F224" s="14">
        <f>LOOKUP($A224,建筑产出!$BF$16:$BF$26,建筑产出!BK$16:BK$26)</f>
        <v>0</v>
      </c>
      <c r="G224" s="14">
        <f>LOOKUP($A224,建筑产出!$BF$16:$BF$26,建筑产出!BL$16:BL$26)</f>
        <v>0.3</v>
      </c>
      <c r="H224" s="14">
        <f>LOOKUP($A224,建筑产出!$BF$16:$BF$26,建筑产出!BM$16:BM$26)</f>
        <v>0.3</v>
      </c>
      <c r="I224" s="14">
        <f>ROUND(LOOKUP($C224,建筑产出!$A$2:$A$26,建筑产出!D$2:D$26)*D224,-2)</f>
        <v>636200</v>
      </c>
      <c r="J224" s="14">
        <f>ROUND(LOOKUP($C224,建筑产出!$A$2:$A$26,建筑产出!E$2:E$26)*E224,-2)</f>
        <v>0</v>
      </c>
      <c r="K224" s="14">
        <f>ROUND(LOOKUP($C224,建筑产出!$A$2:$A$26,建筑产出!F$2:F$26)*F224,-2)</f>
        <v>0</v>
      </c>
      <c r="L224" s="14">
        <f>ROUND(LOOKUP($C224,建筑产出!$A$2:$A$26,建筑产出!G$2:G$26)*G224,-2)</f>
        <v>763400</v>
      </c>
      <c r="M224" s="14">
        <f>ROUND(LOOKUP($C224,建筑产出!$A$2:$A$26,建筑产出!H$2:H$26)*H224,-2)</f>
        <v>763400</v>
      </c>
      <c r="N224" s="14"/>
      <c r="O224" s="14">
        <f t="shared" si="31"/>
        <v>1</v>
      </c>
      <c r="P224" s="14">
        <f t="shared" si="32"/>
        <v>0</v>
      </c>
      <c r="Q224" s="14">
        <f t="shared" si="33"/>
        <v>0</v>
      </c>
      <c r="R224" s="14">
        <f t="shared" si="34"/>
        <v>5</v>
      </c>
      <c r="S224" s="14">
        <f t="shared" si="35"/>
        <v>6</v>
      </c>
      <c r="T224" s="14"/>
      <c r="U224" s="14" t="str">
        <f t="shared" si="36"/>
        <v>1;5;6;</v>
      </c>
      <c r="V224" s="23" t="str">
        <f t="shared" si="37"/>
        <v>636200;763400;763400;</v>
      </c>
      <c r="X224" s="13" t="str">
        <f t="shared" si="38"/>
        <v>1;5;6</v>
      </c>
      <c r="Y224" s="13" t="str">
        <f t="shared" si="39"/>
        <v>636200;763400;763400</v>
      </c>
    </row>
    <row r="225" spans="1:25" s="13" customFormat="1" ht="20.100000000000001" customHeight="1">
      <c r="A225" s="11">
        <f t="shared" si="40"/>
        <v>9</v>
      </c>
      <c r="B225" s="14" t="s">
        <v>71</v>
      </c>
      <c r="C225" s="14">
        <v>23</v>
      </c>
      <c r="D225" s="14">
        <f>LOOKUP($A225,建筑产出!$BF$16:$BF$26,建筑产出!BI$16:BI$26)</f>
        <v>0.125</v>
      </c>
      <c r="E225" s="14">
        <f>LOOKUP($A225,建筑产出!$BF$16:$BF$26,建筑产出!BJ$16:BJ$26)</f>
        <v>0</v>
      </c>
      <c r="F225" s="14">
        <f>LOOKUP($A225,建筑产出!$BF$16:$BF$26,建筑产出!BK$16:BK$26)</f>
        <v>0</v>
      </c>
      <c r="G225" s="14">
        <f>LOOKUP($A225,建筑产出!$BF$16:$BF$26,建筑产出!BL$16:BL$26)</f>
        <v>0.3</v>
      </c>
      <c r="H225" s="14">
        <f>LOOKUP($A225,建筑产出!$BF$16:$BF$26,建筑产出!BM$16:BM$26)</f>
        <v>0.3</v>
      </c>
      <c r="I225" s="14">
        <f>ROUND(LOOKUP($C225,建筑产出!$A$2:$A$26,建筑产出!D$2:D$26)*D225,-2)</f>
        <v>706400</v>
      </c>
      <c r="J225" s="14">
        <f>ROUND(LOOKUP($C225,建筑产出!$A$2:$A$26,建筑产出!E$2:E$26)*E225,-2)</f>
        <v>0</v>
      </c>
      <c r="K225" s="14">
        <f>ROUND(LOOKUP($C225,建筑产出!$A$2:$A$26,建筑产出!F$2:F$26)*F225,-2)</f>
        <v>0</v>
      </c>
      <c r="L225" s="14">
        <f>ROUND(LOOKUP($C225,建筑产出!$A$2:$A$26,建筑产出!G$2:G$26)*G225,-2)</f>
        <v>847600</v>
      </c>
      <c r="M225" s="14">
        <f>ROUND(LOOKUP($C225,建筑产出!$A$2:$A$26,建筑产出!H$2:H$26)*H225,-2)</f>
        <v>847600</v>
      </c>
      <c r="N225" s="14"/>
      <c r="O225" s="14">
        <f t="shared" si="31"/>
        <v>1</v>
      </c>
      <c r="P225" s="14">
        <f t="shared" si="32"/>
        <v>0</v>
      </c>
      <c r="Q225" s="14">
        <f t="shared" si="33"/>
        <v>0</v>
      </c>
      <c r="R225" s="14">
        <f t="shared" si="34"/>
        <v>5</v>
      </c>
      <c r="S225" s="14">
        <f t="shared" si="35"/>
        <v>6</v>
      </c>
      <c r="T225" s="14"/>
      <c r="U225" s="14" t="str">
        <f t="shared" si="36"/>
        <v>1;5;6;</v>
      </c>
      <c r="V225" s="23" t="str">
        <f t="shared" si="37"/>
        <v>706400;847600;847600;</v>
      </c>
      <c r="X225" s="13" t="str">
        <f t="shared" si="38"/>
        <v>1;5;6</v>
      </c>
      <c r="Y225" s="13" t="str">
        <f t="shared" si="39"/>
        <v>706400;847600;847600</v>
      </c>
    </row>
    <row r="226" spans="1:25" s="13" customFormat="1" ht="20.100000000000001" customHeight="1">
      <c r="A226" s="11">
        <f t="shared" si="40"/>
        <v>9</v>
      </c>
      <c r="B226" s="14" t="s">
        <v>71</v>
      </c>
      <c r="C226" s="14">
        <v>24</v>
      </c>
      <c r="D226" s="14">
        <f>LOOKUP($A226,建筑产出!$BF$16:$BF$26,建筑产出!BI$16:BI$26)</f>
        <v>0.125</v>
      </c>
      <c r="E226" s="14">
        <f>LOOKUP($A226,建筑产出!$BF$16:$BF$26,建筑产出!BJ$16:BJ$26)</f>
        <v>0</v>
      </c>
      <c r="F226" s="14">
        <f>LOOKUP($A226,建筑产出!$BF$16:$BF$26,建筑产出!BK$16:BK$26)</f>
        <v>0</v>
      </c>
      <c r="G226" s="14">
        <f>LOOKUP($A226,建筑产出!$BF$16:$BF$26,建筑产出!BL$16:BL$26)</f>
        <v>0.3</v>
      </c>
      <c r="H226" s="14">
        <f>LOOKUP($A226,建筑产出!$BF$16:$BF$26,建筑产出!BM$16:BM$26)</f>
        <v>0.3</v>
      </c>
      <c r="I226" s="14">
        <f>ROUND(LOOKUP($C226,建筑产出!$A$2:$A$26,建筑产出!D$2:D$26)*D226,-2)</f>
        <v>780000</v>
      </c>
      <c r="J226" s="14">
        <f>ROUND(LOOKUP($C226,建筑产出!$A$2:$A$26,建筑产出!E$2:E$26)*E226,-2)</f>
        <v>0</v>
      </c>
      <c r="K226" s="14">
        <f>ROUND(LOOKUP($C226,建筑产出!$A$2:$A$26,建筑产出!F$2:F$26)*F226,-2)</f>
        <v>0</v>
      </c>
      <c r="L226" s="14">
        <f>ROUND(LOOKUP($C226,建筑产出!$A$2:$A$26,建筑产出!G$2:G$26)*G226,-2)</f>
        <v>936000</v>
      </c>
      <c r="M226" s="14">
        <f>ROUND(LOOKUP($C226,建筑产出!$A$2:$A$26,建筑产出!H$2:H$26)*H226,-2)</f>
        <v>936000</v>
      </c>
      <c r="N226" s="14"/>
      <c r="O226" s="14">
        <f t="shared" si="31"/>
        <v>1</v>
      </c>
      <c r="P226" s="14">
        <f t="shared" si="32"/>
        <v>0</v>
      </c>
      <c r="Q226" s="14">
        <f t="shared" si="33"/>
        <v>0</v>
      </c>
      <c r="R226" s="14">
        <f t="shared" si="34"/>
        <v>5</v>
      </c>
      <c r="S226" s="14">
        <f t="shared" si="35"/>
        <v>6</v>
      </c>
      <c r="T226" s="14"/>
      <c r="U226" s="14" t="str">
        <f t="shared" si="36"/>
        <v>1;5;6;</v>
      </c>
      <c r="V226" s="23" t="str">
        <f t="shared" si="37"/>
        <v>780000;936000;936000;</v>
      </c>
      <c r="X226" s="13" t="str">
        <f t="shared" si="38"/>
        <v>1;5;6</v>
      </c>
      <c r="Y226" s="13" t="str">
        <f t="shared" si="39"/>
        <v>780000;936000;936000</v>
      </c>
    </row>
    <row r="227" spans="1:25" s="13" customFormat="1" ht="20.100000000000001" customHeight="1">
      <c r="A227" s="11">
        <f t="shared" si="40"/>
        <v>9</v>
      </c>
      <c r="B227" s="14" t="s">
        <v>71</v>
      </c>
      <c r="C227" s="14">
        <v>25</v>
      </c>
      <c r="D227" s="14">
        <f>LOOKUP($A227,建筑产出!$BF$16:$BF$26,建筑产出!BI$16:BI$26)</f>
        <v>0.125</v>
      </c>
      <c r="E227" s="14">
        <f>LOOKUP($A227,建筑产出!$BF$16:$BF$26,建筑产出!BJ$16:BJ$26)</f>
        <v>0</v>
      </c>
      <c r="F227" s="14">
        <f>LOOKUP($A227,建筑产出!$BF$16:$BF$26,建筑产出!BK$16:BK$26)</f>
        <v>0</v>
      </c>
      <c r="G227" s="14">
        <f>LOOKUP($A227,建筑产出!$BF$16:$BF$26,建筑产出!BL$16:BL$26)</f>
        <v>0.3</v>
      </c>
      <c r="H227" s="14">
        <f>LOOKUP($A227,建筑产出!$BF$16:$BF$26,建筑产出!BM$16:BM$26)</f>
        <v>0.3</v>
      </c>
      <c r="I227" s="14">
        <f>ROUND(LOOKUP($C227,建筑产出!$A$2:$A$26,建筑产出!D$2:D$26)*D227,-2)</f>
        <v>2763500</v>
      </c>
      <c r="J227" s="14">
        <f>ROUND(LOOKUP($C227,建筑产出!$A$2:$A$26,建筑产出!E$2:E$26)*E227,-2)</f>
        <v>0</v>
      </c>
      <c r="K227" s="14">
        <f>ROUND(LOOKUP($C227,建筑产出!$A$2:$A$26,建筑产出!F$2:F$26)*F227,-2)</f>
        <v>0</v>
      </c>
      <c r="L227" s="14">
        <f>ROUND(LOOKUP($C227,建筑产出!$A$2:$A$26,建筑产出!G$2:G$26)*G227,-2)</f>
        <v>3316100</v>
      </c>
      <c r="M227" s="14">
        <f>ROUND(LOOKUP($C227,建筑产出!$A$2:$A$26,建筑产出!H$2:H$26)*H227,-2)</f>
        <v>3316100</v>
      </c>
      <c r="N227" s="14"/>
      <c r="O227" s="14">
        <f t="shared" si="31"/>
        <v>1</v>
      </c>
      <c r="P227" s="14">
        <f t="shared" si="32"/>
        <v>0</v>
      </c>
      <c r="Q227" s="14">
        <f t="shared" si="33"/>
        <v>0</v>
      </c>
      <c r="R227" s="14">
        <f t="shared" si="34"/>
        <v>5</v>
      </c>
      <c r="S227" s="14">
        <f t="shared" si="35"/>
        <v>6</v>
      </c>
      <c r="T227" s="14"/>
      <c r="U227" s="14" t="str">
        <f t="shared" si="36"/>
        <v>1;5;6;</v>
      </c>
      <c r="V227" s="23" t="str">
        <f t="shared" si="37"/>
        <v>2763500;3316100;3316100;</v>
      </c>
      <c r="X227" s="13" t="str">
        <f t="shared" si="38"/>
        <v>1;5;6</v>
      </c>
      <c r="Y227" s="13" t="str">
        <f t="shared" si="39"/>
        <v>2763500;3316100;3316100</v>
      </c>
    </row>
    <row r="228" spans="1:25" s="13" customFormat="1" ht="20.100000000000001" customHeight="1">
      <c r="A228" s="11"/>
      <c r="B228" s="12"/>
      <c r="C228" s="12"/>
      <c r="D228" s="12"/>
      <c r="E228" s="12"/>
      <c r="F228" s="12"/>
      <c r="G228" s="12"/>
      <c r="H228" s="12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2"/>
    </row>
    <row r="229" spans="1:25" s="13" customFormat="1" ht="20.100000000000001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4"/>
      <c r="P229" s="14"/>
      <c r="Q229" s="14"/>
      <c r="R229" s="14"/>
      <c r="S229" s="14"/>
      <c r="T229" s="14"/>
      <c r="U229" s="12"/>
    </row>
    <row r="230" spans="1:25" s="13" customFormat="1" ht="20.100000000000001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4"/>
      <c r="P230" s="14"/>
      <c r="Q230" s="14"/>
      <c r="R230" s="14"/>
      <c r="S230" s="14"/>
      <c r="T230" s="14"/>
      <c r="U230" s="12"/>
    </row>
    <row r="231" spans="1:25" s="13" customFormat="1" ht="20.100000000000001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4"/>
      <c r="P231" s="14"/>
      <c r="Q231" s="14"/>
      <c r="R231" s="14"/>
      <c r="S231" s="14"/>
      <c r="T231" s="14"/>
      <c r="U231" s="12"/>
    </row>
    <row r="232" spans="1:25" s="13" customFormat="1" ht="20.100000000000001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4"/>
      <c r="P232" s="14"/>
      <c r="Q232" s="14"/>
      <c r="R232" s="14"/>
      <c r="S232" s="14"/>
      <c r="T232" s="14"/>
      <c r="U232" s="12"/>
    </row>
    <row r="233" spans="1:25" s="13" customFormat="1" ht="20.100000000000001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4"/>
      <c r="P233" s="14"/>
      <c r="Q233" s="14"/>
      <c r="R233" s="14"/>
      <c r="S233" s="14"/>
      <c r="T233" s="14"/>
      <c r="U233" s="12"/>
    </row>
    <row r="234" spans="1:25" s="13" customFormat="1" ht="20.100000000000001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4"/>
      <c r="P234" s="14"/>
      <c r="Q234" s="14"/>
      <c r="R234" s="14"/>
      <c r="S234" s="14"/>
      <c r="T234" s="14"/>
      <c r="U234" s="12"/>
    </row>
    <row r="235" spans="1:25" s="13" customFormat="1" ht="20.100000000000001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4"/>
      <c r="P235" s="14"/>
      <c r="Q235" s="14"/>
      <c r="R235" s="14"/>
      <c r="S235" s="14"/>
      <c r="T235" s="14"/>
      <c r="U235" s="12"/>
    </row>
    <row r="236" spans="1:25" s="13" customFormat="1" ht="20.100000000000001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4"/>
      <c r="P236" s="14"/>
      <c r="Q236" s="14"/>
      <c r="R236" s="14"/>
      <c r="S236" s="14"/>
      <c r="T236" s="14"/>
      <c r="U236" s="12"/>
    </row>
    <row r="237" spans="1:25" s="13" customFormat="1" ht="20.100000000000001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4"/>
      <c r="P237" s="14"/>
      <c r="Q237" s="14"/>
      <c r="R237" s="14"/>
      <c r="S237" s="14"/>
      <c r="T237" s="14"/>
      <c r="U237" s="12"/>
    </row>
    <row r="238" spans="1:25" s="13" customFormat="1" ht="20.100000000000001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4"/>
      <c r="P238" s="14"/>
      <c r="Q238" s="14"/>
      <c r="R238" s="14"/>
      <c r="S238" s="14"/>
      <c r="T238" s="14"/>
      <c r="U238" s="12"/>
    </row>
    <row r="239" spans="1:25" s="13" customFormat="1" ht="20.100000000000001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4"/>
      <c r="P239" s="14"/>
      <c r="Q239" s="14"/>
      <c r="R239" s="14"/>
      <c r="S239" s="14"/>
      <c r="T239" s="14"/>
      <c r="U239" s="12"/>
    </row>
    <row r="240" spans="1:25" s="13" customFormat="1" ht="20.100000000000001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4"/>
      <c r="P240" s="14"/>
      <c r="Q240" s="14"/>
      <c r="R240" s="14"/>
      <c r="S240" s="14"/>
      <c r="T240" s="14"/>
      <c r="U240" s="12"/>
    </row>
    <row r="241" spans="1:21" s="13" customFormat="1" ht="20.100000000000001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4"/>
      <c r="P241" s="14"/>
      <c r="Q241" s="14"/>
      <c r="R241" s="14"/>
      <c r="S241" s="14"/>
      <c r="T241" s="14"/>
      <c r="U241" s="12"/>
    </row>
    <row r="242" spans="1:21" s="13" customFormat="1" ht="20.100000000000001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4"/>
      <c r="P242" s="14"/>
      <c r="Q242" s="14"/>
      <c r="R242" s="14"/>
      <c r="S242" s="14"/>
      <c r="T242" s="14"/>
      <c r="U242" s="12"/>
    </row>
    <row r="243" spans="1:21" s="13" customFormat="1" ht="20.100000000000001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4"/>
      <c r="P243" s="14"/>
      <c r="Q243" s="14"/>
      <c r="R243" s="14"/>
      <c r="S243" s="14"/>
      <c r="T243" s="14"/>
      <c r="U243" s="12"/>
    </row>
    <row r="244" spans="1:21" s="13" customFormat="1" ht="20.100000000000001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4"/>
      <c r="P244" s="14"/>
      <c r="Q244" s="14"/>
      <c r="R244" s="14"/>
      <c r="S244" s="14"/>
      <c r="T244" s="14"/>
      <c r="U244" s="12"/>
    </row>
    <row r="245" spans="1:21" s="13" customFormat="1" ht="20.100000000000001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4"/>
      <c r="P245" s="14"/>
      <c r="Q245" s="14"/>
      <c r="R245" s="14"/>
      <c r="S245" s="14"/>
      <c r="T245" s="14"/>
      <c r="U245" s="12"/>
    </row>
    <row r="246" spans="1:21" s="13" customFormat="1" ht="20.100000000000001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4"/>
      <c r="P246" s="14"/>
      <c r="Q246" s="14"/>
      <c r="R246" s="14"/>
      <c r="S246" s="14"/>
      <c r="T246" s="14"/>
      <c r="U246" s="12"/>
    </row>
    <row r="247" spans="1:21" s="13" customFormat="1" ht="20.100000000000001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4"/>
      <c r="P247" s="14"/>
      <c r="Q247" s="14"/>
      <c r="R247" s="14"/>
      <c r="S247" s="14"/>
      <c r="T247" s="14"/>
      <c r="U247" s="12"/>
    </row>
    <row r="248" spans="1:21" s="13" customFormat="1" ht="20.100000000000001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4"/>
      <c r="P248" s="14"/>
      <c r="Q248" s="14"/>
      <c r="R248" s="14"/>
      <c r="S248" s="14"/>
      <c r="T248" s="14"/>
      <c r="U248" s="12"/>
    </row>
    <row r="249" spans="1:21" s="13" customFormat="1" ht="20.100000000000001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4"/>
      <c r="P249" s="14"/>
      <c r="Q249" s="14"/>
      <c r="R249" s="14"/>
      <c r="S249" s="14"/>
      <c r="T249" s="14"/>
      <c r="U249" s="12"/>
    </row>
    <row r="250" spans="1:21" s="13" customFormat="1" ht="20.100000000000001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4"/>
      <c r="P250" s="14"/>
      <c r="Q250" s="14"/>
      <c r="R250" s="14"/>
      <c r="S250" s="14"/>
      <c r="T250" s="14"/>
      <c r="U250" s="12"/>
    </row>
    <row r="251" spans="1:21" s="13" customFormat="1" ht="20.100000000000001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4"/>
      <c r="P251" s="14"/>
      <c r="Q251" s="14"/>
      <c r="R251" s="14"/>
      <c r="S251" s="14"/>
      <c r="T251" s="14"/>
      <c r="U251" s="12"/>
    </row>
    <row r="252" spans="1:21" s="13" customFormat="1" ht="20.100000000000001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4"/>
      <c r="P252" s="14"/>
      <c r="Q252" s="14"/>
      <c r="R252" s="14"/>
      <c r="S252" s="14"/>
      <c r="T252" s="14"/>
      <c r="U252" s="12"/>
    </row>
    <row r="253" spans="1:21" s="13" customFormat="1" ht="20.100000000000001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4"/>
      <c r="P253" s="14"/>
      <c r="Q253" s="14"/>
      <c r="R253" s="14"/>
      <c r="S253" s="14"/>
      <c r="T253" s="14"/>
      <c r="U253" s="12"/>
    </row>
    <row r="254" spans="1:21" s="13" customFormat="1" ht="20.100000000000001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4"/>
      <c r="P254" s="14"/>
      <c r="Q254" s="14"/>
      <c r="R254" s="14"/>
      <c r="S254" s="14"/>
      <c r="T254" s="14"/>
      <c r="U254" s="12"/>
    </row>
    <row r="255" spans="1:21" s="13" customFormat="1" ht="20.100000000000001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4"/>
      <c r="P255" s="14"/>
      <c r="Q255" s="14"/>
      <c r="R255" s="14"/>
      <c r="S255" s="14"/>
      <c r="T255" s="14"/>
      <c r="U255" s="12"/>
    </row>
    <row r="256" spans="1:21" s="13" customFormat="1" ht="20.100000000000001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4"/>
      <c r="P256" s="14"/>
      <c r="Q256" s="14"/>
      <c r="R256" s="14"/>
      <c r="S256" s="14"/>
      <c r="T256" s="14"/>
      <c r="U256" s="12"/>
    </row>
    <row r="257" spans="1:21" s="13" customFormat="1" ht="20.100000000000001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4"/>
      <c r="P257" s="14"/>
      <c r="Q257" s="14"/>
      <c r="R257" s="14"/>
      <c r="S257" s="14"/>
      <c r="T257" s="14"/>
      <c r="U257" s="12"/>
    </row>
    <row r="258" spans="1:21" s="13" customFormat="1" ht="20.100000000000001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4"/>
      <c r="P258" s="14"/>
      <c r="Q258" s="14"/>
      <c r="R258" s="14"/>
      <c r="S258" s="14"/>
      <c r="T258" s="14"/>
      <c r="U258" s="12"/>
    </row>
    <row r="259" spans="1:21" s="13" customFormat="1" ht="20.100000000000001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4"/>
      <c r="P259" s="14"/>
      <c r="Q259" s="14"/>
      <c r="R259" s="14"/>
      <c r="S259" s="14"/>
      <c r="T259" s="14"/>
      <c r="U259" s="12"/>
    </row>
    <row r="260" spans="1:21" s="13" customFormat="1" ht="20.100000000000001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4"/>
      <c r="P260" s="14"/>
      <c r="Q260" s="14"/>
      <c r="R260" s="14"/>
      <c r="S260" s="14"/>
      <c r="T260" s="14"/>
      <c r="U260" s="12"/>
    </row>
    <row r="261" spans="1:21" s="13" customFormat="1" ht="20.100000000000001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4"/>
      <c r="P261" s="14"/>
      <c r="Q261" s="14"/>
      <c r="R261" s="14"/>
      <c r="S261" s="14"/>
      <c r="T261" s="14"/>
      <c r="U261" s="12"/>
    </row>
    <row r="262" spans="1:21" s="13" customFormat="1" ht="20.100000000000001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4"/>
      <c r="P262" s="14"/>
      <c r="Q262" s="14"/>
      <c r="R262" s="14"/>
      <c r="S262" s="14"/>
      <c r="T262" s="14"/>
      <c r="U262" s="12"/>
    </row>
    <row r="263" spans="1:21" s="13" customFormat="1" ht="20.100000000000001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4"/>
      <c r="P263" s="14"/>
      <c r="Q263" s="14"/>
      <c r="R263" s="14"/>
      <c r="S263" s="14"/>
      <c r="T263" s="14"/>
      <c r="U263" s="12"/>
    </row>
    <row r="264" spans="1:21" s="13" customFormat="1" ht="20.100000000000001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4"/>
      <c r="P264" s="14"/>
      <c r="Q264" s="14"/>
      <c r="R264" s="14"/>
      <c r="S264" s="14"/>
      <c r="T264" s="14"/>
      <c r="U264" s="12"/>
    </row>
    <row r="265" spans="1:21" s="13" customFormat="1" ht="20.100000000000001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4"/>
      <c r="P265" s="14"/>
      <c r="Q265" s="14"/>
      <c r="R265" s="14"/>
      <c r="S265" s="14"/>
      <c r="T265" s="14"/>
      <c r="U265" s="12"/>
    </row>
    <row r="266" spans="1:21" s="13" customFormat="1" ht="20.100000000000001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4"/>
      <c r="P266" s="14"/>
      <c r="Q266" s="14"/>
      <c r="R266" s="14"/>
      <c r="S266" s="14"/>
      <c r="T266" s="14"/>
      <c r="U266" s="12"/>
    </row>
    <row r="267" spans="1:21" s="13" customFormat="1" ht="20.100000000000001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4"/>
      <c r="P267" s="14"/>
      <c r="Q267" s="14"/>
      <c r="R267" s="14"/>
      <c r="S267" s="14"/>
      <c r="T267" s="14"/>
      <c r="U267" s="12"/>
    </row>
    <row r="268" spans="1:21" s="13" customFormat="1" ht="20.100000000000001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4"/>
      <c r="P268" s="14"/>
      <c r="Q268" s="14"/>
      <c r="R268" s="14"/>
      <c r="S268" s="14"/>
      <c r="T268" s="14"/>
      <c r="U268" s="12"/>
    </row>
    <row r="269" spans="1:21" s="13" customFormat="1" ht="20.100000000000001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4"/>
      <c r="P269" s="14"/>
      <c r="Q269" s="14"/>
      <c r="R269" s="14"/>
      <c r="S269" s="14"/>
      <c r="T269" s="14"/>
      <c r="U269" s="12"/>
    </row>
    <row r="270" spans="1:21" s="13" customFormat="1" ht="20.100000000000001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4"/>
      <c r="P270" s="14"/>
      <c r="Q270" s="14"/>
      <c r="R270" s="14"/>
      <c r="S270" s="14"/>
      <c r="T270" s="14"/>
      <c r="U270" s="12"/>
    </row>
    <row r="271" spans="1:21" s="13" customFormat="1" ht="20.100000000000001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4"/>
      <c r="P271" s="14"/>
      <c r="Q271" s="14"/>
      <c r="R271" s="14"/>
      <c r="S271" s="14"/>
      <c r="T271" s="14"/>
      <c r="U271" s="12"/>
    </row>
    <row r="272" spans="1:21" s="13" customFormat="1" ht="20.100000000000001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4"/>
      <c r="P272" s="14"/>
      <c r="Q272" s="14"/>
      <c r="R272" s="14"/>
      <c r="S272" s="14"/>
      <c r="T272" s="14"/>
      <c r="U272" s="12"/>
    </row>
    <row r="273" spans="1:21" s="13" customFormat="1" ht="20.100000000000001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4"/>
      <c r="P273" s="14"/>
      <c r="Q273" s="14"/>
      <c r="R273" s="14"/>
      <c r="S273" s="14"/>
      <c r="T273" s="14"/>
      <c r="U273" s="12"/>
    </row>
    <row r="274" spans="1:21" s="13" customFormat="1" ht="20.100000000000001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4"/>
      <c r="P274" s="14"/>
      <c r="Q274" s="14"/>
      <c r="R274" s="14"/>
      <c r="S274" s="14"/>
      <c r="T274" s="14"/>
      <c r="U274" s="12"/>
    </row>
    <row r="275" spans="1:21" s="13" customFormat="1" ht="20.100000000000001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4"/>
      <c r="P275" s="14"/>
      <c r="Q275" s="14"/>
      <c r="R275" s="14"/>
      <c r="S275" s="14"/>
      <c r="T275" s="14"/>
      <c r="U275" s="12"/>
    </row>
    <row r="276" spans="1:21" s="13" customFormat="1" ht="20.100000000000001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4"/>
      <c r="P276" s="14"/>
      <c r="Q276" s="14"/>
      <c r="R276" s="14"/>
      <c r="S276" s="14"/>
      <c r="T276" s="14"/>
      <c r="U276" s="12"/>
    </row>
    <row r="277" spans="1:21" s="13" customFormat="1" ht="20.100000000000001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4"/>
      <c r="P277" s="14"/>
      <c r="Q277" s="14"/>
      <c r="R277" s="14"/>
      <c r="S277" s="14"/>
      <c r="T277" s="14"/>
      <c r="U277" s="12"/>
    </row>
    <row r="278" spans="1:21" s="13" customFormat="1" ht="20.100000000000001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4"/>
      <c r="P278" s="14"/>
      <c r="Q278" s="14"/>
      <c r="R278" s="14"/>
      <c r="S278" s="14"/>
      <c r="T278" s="14"/>
      <c r="U278" s="12"/>
    </row>
    <row r="279" spans="1:21" s="13" customFormat="1" ht="20.100000000000001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4"/>
      <c r="P279" s="14"/>
      <c r="Q279" s="14"/>
      <c r="R279" s="14"/>
      <c r="S279" s="14"/>
      <c r="T279" s="14"/>
      <c r="U279" s="12"/>
    </row>
    <row r="280" spans="1:21" s="13" customFormat="1" ht="20.100000000000001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4"/>
      <c r="P280" s="14"/>
      <c r="Q280" s="14"/>
      <c r="R280" s="14"/>
      <c r="S280" s="14"/>
      <c r="T280" s="14"/>
      <c r="U280" s="12"/>
    </row>
    <row r="281" spans="1:21" s="13" customFormat="1" ht="20.100000000000001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4"/>
      <c r="P281" s="14"/>
      <c r="Q281" s="14"/>
      <c r="R281" s="14"/>
      <c r="S281" s="14"/>
      <c r="T281" s="14"/>
      <c r="U281" s="12"/>
    </row>
    <row r="282" spans="1:21" s="13" customFormat="1" ht="20.100000000000001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4"/>
      <c r="P282" s="14"/>
      <c r="Q282" s="14"/>
      <c r="R282" s="14"/>
      <c r="S282" s="14"/>
      <c r="T282" s="14"/>
      <c r="U282" s="12"/>
    </row>
    <row r="283" spans="1:21" s="13" customFormat="1" ht="20.100000000000001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4"/>
      <c r="P283" s="14"/>
      <c r="Q283" s="14"/>
      <c r="R283" s="14"/>
      <c r="S283" s="14"/>
      <c r="T283" s="14"/>
      <c r="U283" s="12"/>
    </row>
    <row r="284" spans="1:21" s="13" customFormat="1" ht="20.100000000000001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4"/>
      <c r="P284" s="14"/>
      <c r="Q284" s="14"/>
      <c r="R284" s="14"/>
      <c r="S284" s="14"/>
      <c r="T284" s="14"/>
      <c r="U284" s="12"/>
    </row>
    <row r="285" spans="1:21" s="13" customFormat="1" ht="20.100000000000001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4"/>
      <c r="P285" s="14"/>
      <c r="Q285" s="14"/>
      <c r="R285" s="14"/>
      <c r="S285" s="14"/>
      <c r="T285" s="14"/>
      <c r="U285" s="12"/>
    </row>
    <row r="286" spans="1:21" s="13" customFormat="1" ht="20.100000000000001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4"/>
      <c r="P286" s="14"/>
      <c r="Q286" s="14"/>
      <c r="R286" s="14"/>
      <c r="S286" s="14"/>
      <c r="T286" s="14"/>
      <c r="U286" s="12"/>
    </row>
    <row r="287" spans="1:21" s="13" customFormat="1" ht="20.100000000000001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4"/>
      <c r="P287" s="14"/>
      <c r="Q287" s="14"/>
      <c r="R287" s="14"/>
      <c r="S287" s="14"/>
      <c r="T287" s="14"/>
      <c r="U287" s="12"/>
    </row>
    <row r="288" spans="1:21" s="13" customFormat="1" ht="20.100000000000001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4"/>
      <c r="P288" s="14"/>
      <c r="Q288" s="14"/>
      <c r="R288" s="14"/>
      <c r="S288" s="14"/>
      <c r="T288" s="14"/>
      <c r="U288" s="12"/>
    </row>
    <row r="289" spans="1:21" s="13" customFormat="1" ht="20.100000000000001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4"/>
      <c r="P289" s="14"/>
      <c r="Q289" s="14"/>
      <c r="R289" s="14"/>
      <c r="S289" s="14"/>
      <c r="T289" s="14"/>
      <c r="U289" s="12"/>
    </row>
    <row r="290" spans="1:21" s="13" customFormat="1" ht="20.100000000000001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4"/>
      <c r="P290" s="14"/>
      <c r="Q290" s="14"/>
      <c r="R290" s="14"/>
      <c r="S290" s="14"/>
      <c r="T290" s="14"/>
      <c r="U290" s="12"/>
    </row>
    <row r="291" spans="1:21" s="13" customFormat="1" ht="20.100000000000001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4"/>
      <c r="P291" s="14"/>
      <c r="Q291" s="14"/>
      <c r="R291" s="14"/>
      <c r="S291" s="14"/>
      <c r="T291" s="14"/>
      <c r="U291" s="12"/>
    </row>
    <row r="292" spans="1:21" s="13" customFormat="1" ht="20.100000000000001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4"/>
      <c r="P292" s="14"/>
      <c r="Q292" s="14"/>
      <c r="R292" s="14"/>
      <c r="S292" s="14"/>
      <c r="T292" s="14"/>
      <c r="U292" s="12"/>
    </row>
    <row r="293" spans="1:21" s="13" customFormat="1" ht="20.100000000000001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4"/>
      <c r="P293" s="14"/>
      <c r="Q293" s="14"/>
      <c r="R293" s="14"/>
      <c r="S293" s="14"/>
      <c r="T293" s="14"/>
      <c r="U293" s="12"/>
    </row>
    <row r="294" spans="1:21" s="13" customFormat="1" ht="20.100000000000001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4"/>
      <c r="P294" s="14"/>
      <c r="Q294" s="14"/>
      <c r="R294" s="14"/>
      <c r="S294" s="14"/>
      <c r="T294" s="14"/>
      <c r="U294" s="12"/>
    </row>
    <row r="295" spans="1:21" s="13" customFormat="1" ht="20.100000000000001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4"/>
      <c r="P295" s="14"/>
      <c r="Q295" s="14"/>
      <c r="R295" s="14"/>
      <c r="S295" s="14"/>
      <c r="T295" s="14"/>
      <c r="U295" s="12"/>
    </row>
    <row r="296" spans="1:21" s="13" customFormat="1" ht="20.100000000000001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4"/>
      <c r="P296" s="14"/>
      <c r="Q296" s="14"/>
      <c r="R296" s="14"/>
      <c r="S296" s="14"/>
      <c r="T296" s="14"/>
      <c r="U296" s="12"/>
    </row>
    <row r="297" spans="1:21" s="13" customFormat="1" ht="20.100000000000001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4"/>
      <c r="P297" s="14"/>
      <c r="Q297" s="14"/>
      <c r="R297" s="14"/>
      <c r="S297" s="14"/>
      <c r="T297" s="14"/>
      <c r="U297" s="12"/>
    </row>
    <row r="298" spans="1:21" s="13" customFormat="1" ht="20.100000000000001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4"/>
      <c r="P298" s="14"/>
      <c r="Q298" s="14"/>
      <c r="R298" s="14"/>
      <c r="S298" s="14"/>
      <c r="T298" s="14"/>
      <c r="U298" s="12"/>
    </row>
    <row r="299" spans="1:21" s="13" customFormat="1" ht="20.100000000000001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4"/>
      <c r="P299" s="14"/>
      <c r="Q299" s="14"/>
      <c r="R299" s="14"/>
      <c r="S299" s="14"/>
      <c r="T299" s="14"/>
      <c r="U299" s="12"/>
    </row>
    <row r="300" spans="1:21" s="13" customFormat="1" ht="20.100000000000001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4"/>
      <c r="P300" s="14"/>
      <c r="Q300" s="14"/>
      <c r="R300" s="14"/>
      <c r="S300" s="14"/>
      <c r="T300" s="14"/>
      <c r="U300" s="12"/>
    </row>
    <row r="301" spans="1:21" s="13" customFormat="1" ht="20.100000000000001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4"/>
      <c r="P301" s="14"/>
      <c r="Q301" s="14"/>
      <c r="R301" s="14"/>
      <c r="S301" s="14"/>
      <c r="T301" s="14"/>
      <c r="U301" s="12"/>
    </row>
    <row r="302" spans="1:21" s="13" customFormat="1" ht="20.100000000000001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4"/>
      <c r="P302" s="14"/>
      <c r="Q302" s="14"/>
      <c r="R302" s="14"/>
      <c r="S302" s="14"/>
      <c r="T302" s="14"/>
      <c r="U302" s="12"/>
    </row>
    <row r="303" spans="1:21" s="13" customFormat="1" ht="20.100000000000001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4"/>
      <c r="P303" s="14"/>
      <c r="Q303" s="14"/>
      <c r="R303" s="14"/>
      <c r="S303" s="14"/>
      <c r="T303" s="14"/>
      <c r="U303" s="12"/>
    </row>
    <row r="304" spans="1:21" s="13" customFormat="1" ht="20.100000000000001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4"/>
      <c r="P304" s="14"/>
      <c r="Q304" s="14"/>
      <c r="R304" s="14"/>
      <c r="S304" s="14"/>
      <c r="T304" s="14"/>
      <c r="U304" s="12"/>
    </row>
    <row r="305" spans="1:21" s="13" customFormat="1" ht="20.100000000000001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4"/>
      <c r="P305" s="14"/>
      <c r="Q305" s="14"/>
      <c r="R305" s="14"/>
      <c r="S305" s="14"/>
      <c r="T305" s="14"/>
      <c r="U305" s="12"/>
    </row>
    <row r="306" spans="1:21" s="13" customFormat="1" ht="20.100000000000001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4"/>
      <c r="P306" s="14"/>
      <c r="Q306" s="14"/>
      <c r="R306" s="14"/>
      <c r="S306" s="14"/>
      <c r="T306" s="14"/>
      <c r="U306" s="12"/>
    </row>
    <row r="307" spans="1:21" s="13" customFormat="1" ht="20.100000000000001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4"/>
      <c r="P307" s="14"/>
      <c r="Q307" s="14"/>
      <c r="R307" s="14"/>
      <c r="S307" s="14"/>
      <c r="T307" s="14"/>
      <c r="U307" s="12"/>
    </row>
    <row r="308" spans="1:21" s="13" customFormat="1" ht="20.100000000000001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4"/>
      <c r="P308" s="14"/>
      <c r="Q308" s="14"/>
      <c r="R308" s="14"/>
      <c r="S308" s="14"/>
      <c r="T308" s="14"/>
      <c r="U308" s="12"/>
    </row>
    <row r="309" spans="1:21" s="13" customFormat="1" ht="20.100000000000001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4"/>
      <c r="P309" s="14"/>
      <c r="Q309" s="14"/>
      <c r="R309" s="14"/>
      <c r="S309" s="14"/>
      <c r="T309" s="14"/>
      <c r="U309" s="12"/>
    </row>
    <row r="310" spans="1:21" s="13" customFormat="1" ht="20.100000000000001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4"/>
      <c r="P310" s="14"/>
      <c r="Q310" s="14"/>
      <c r="R310" s="14"/>
      <c r="S310" s="14"/>
      <c r="T310" s="14"/>
      <c r="U310" s="12"/>
    </row>
    <row r="311" spans="1:21" s="13" customFormat="1" ht="20.100000000000001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4"/>
      <c r="P311" s="14"/>
      <c r="Q311" s="14"/>
      <c r="R311" s="14"/>
      <c r="S311" s="14"/>
      <c r="T311" s="14"/>
      <c r="U311" s="12"/>
    </row>
    <row r="312" spans="1:21" s="13" customFormat="1" ht="20.100000000000001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4"/>
      <c r="P312" s="14"/>
      <c r="Q312" s="14"/>
      <c r="R312" s="14"/>
      <c r="S312" s="14"/>
      <c r="T312" s="14"/>
      <c r="U312" s="12"/>
    </row>
    <row r="313" spans="1:21" s="13" customFormat="1" ht="20.100000000000001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4"/>
      <c r="P313" s="14"/>
      <c r="Q313" s="14"/>
      <c r="R313" s="14"/>
      <c r="S313" s="14"/>
      <c r="T313" s="14"/>
      <c r="U313" s="12"/>
    </row>
    <row r="314" spans="1:21" s="13" customFormat="1" ht="20.100000000000001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4"/>
      <c r="P314" s="14"/>
      <c r="Q314" s="14"/>
      <c r="R314" s="14"/>
      <c r="S314" s="14"/>
      <c r="T314" s="14"/>
      <c r="U314" s="12"/>
    </row>
    <row r="315" spans="1:21" s="13" customFormat="1" ht="20.100000000000001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4"/>
      <c r="P315" s="14"/>
      <c r="Q315" s="14"/>
      <c r="R315" s="14"/>
      <c r="S315" s="14"/>
      <c r="T315" s="14"/>
      <c r="U315" s="12"/>
    </row>
    <row r="316" spans="1:21" s="13" customFormat="1" ht="20.100000000000001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4"/>
      <c r="P316" s="14"/>
      <c r="Q316" s="14"/>
      <c r="R316" s="14"/>
      <c r="S316" s="14"/>
      <c r="T316" s="14"/>
      <c r="U316" s="12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6"/>
  <dimension ref="A1:P26"/>
  <sheetViews>
    <sheetView workbookViewId="0">
      <selection activeCell="J19" sqref="J19"/>
    </sheetView>
  </sheetViews>
  <sheetFormatPr defaultRowHeight="13.5"/>
  <cols>
    <col min="2" max="2" width="18.375" bestFit="1" customWidth="1"/>
    <col min="7" max="7" width="13" style="8" bestFit="1" customWidth="1"/>
    <col min="8" max="9" width="13" style="8" customWidth="1"/>
    <col min="10" max="10" width="15.875" customWidth="1"/>
    <col min="11" max="11" width="13.375" customWidth="1"/>
    <col min="12" max="12" width="15.75" customWidth="1"/>
    <col min="13" max="13" width="13.5" customWidth="1"/>
    <col min="14" max="14" width="21.875" customWidth="1"/>
  </cols>
  <sheetData>
    <row r="1" spans="1:16">
      <c r="A1" s="17" t="s">
        <v>74</v>
      </c>
      <c r="B1" s="6" t="s">
        <v>75</v>
      </c>
      <c r="C1" s="6"/>
      <c r="D1" s="15" t="s">
        <v>77</v>
      </c>
      <c r="E1" s="6" t="s">
        <v>76</v>
      </c>
      <c r="F1" s="6"/>
      <c r="G1" s="17" t="s">
        <v>78</v>
      </c>
      <c r="H1" s="17" t="s">
        <v>79</v>
      </c>
      <c r="I1" s="17" t="s">
        <v>80</v>
      </c>
      <c r="J1" s="6"/>
      <c r="K1" s="15" t="s">
        <v>83</v>
      </c>
      <c r="M1" s="24"/>
    </row>
    <row r="2" spans="1:16">
      <c r="A2" s="17">
        <v>1</v>
      </c>
      <c r="B2" s="17">
        <f>5*C2</f>
        <v>5</v>
      </c>
      <c r="C2" s="14">
        <v>1</v>
      </c>
      <c r="D2" s="14">
        <v>8</v>
      </c>
      <c r="E2" s="17">
        <f>D2*B2</f>
        <v>40</v>
      </c>
      <c r="F2" s="6"/>
      <c r="G2" s="17">
        <f>B2*4</f>
        <v>20</v>
      </c>
      <c r="H2" s="17">
        <v>0.2</v>
      </c>
      <c r="I2" s="17"/>
      <c r="J2" s="6"/>
      <c r="K2" s="17">
        <f>B2*1</f>
        <v>5</v>
      </c>
      <c r="M2" s="24" t="s">
        <v>81</v>
      </c>
    </row>
    <row r="3" spans="1:16">
      <c r="A3" s="17">
        <v>2</v>
      </c>
      <c r="B3" s="17">
        <f t="shared" ref="B3:B26" si="0">5*C3</f>
        <v>7</v>
      </c>
      <c r="C3" s="14">
        <f>C2+0.4</f>
        <v>1.4</v>
      </c>
      <c r="D3" s="14">
        <v>8</v>
      </c>
      <c r="E3" s="17">
        <f t="shared" ref="E3:E26" si="1">D3*B3</f>
        <v>56</v>
      </c>
      <c r="F3" s="6"/>
      <c r="G3" s="17">
        <f t="shared" ref="G3:G26" si="2">B3*4</f>
        <v>28</v>
      </c>
      <c r="H3" s="17">
        <v>0.2</v>
      </c>
      <c r="I3" s="17"/>
      <c r="J3" s="6"/>
      <c r="K3" s="17">
        <f t="shared" ref="K3:K26" si="3">B3*1</f>
        <v>7</v>
      </c>
      <c r="M3" s="12"/>
    </row>
    <row r="4" spans="1:16">
      <c r="A4" s="17">
        <v>3</v>
      </c>
      <c r="B4" s="17">
        <f t="shared" si="0"/>
        <v>9</v>
      </c>
      <c r="C4" s="14">
        <f t="shared" ref="C4:C6" si="4">C3+0.4</f>
        <v>1.7999999999999998</v>
      </c>
      <c r="D4" s="14">
        <v>8</v>
      </c>
      <c r="E4" s="17">
        <f t="shared" si="1"/>
        <v>72</v>
      </c>
      <c r="F4" s="6"/>
      <c r="G4" s="17">
        <f t="shared" si="2"/>
        <v>36</v>
      </c>
      <c r="H4" s="17">
        <v>0.2</v>
      </c>
      <c r="I4" s="17"/>
      <c r="J4" s="6"/>
      <c r="K4" s="17">
        <f t="shared" si="3"/>
        <v>9</v>
      </c>
      <c r="M4" s="12" t="s">
        <v>82</v>
      </c>
    </row>
    <row r="5" spans="1:16">
      <c r="A5" s="17">
        <v>4</v>
      </c>
      <c r="B5" s="17">
        <f t="shared" si="0"/>
        <v>10.999999999999998</v>
      </c>
      <c r="C5" s="14">
        <f t="shared" si="4"/>
        <v>2.1999999999999997</v>
      </c>
      <c r="D5" s="14">
        <v>8</v>
      </c>
      <c r="E5" s="17">
        <f t="shared" si="1"/>
        <v>87.999999999999986</v>
      </c>
      <c r="F5" s="6"/>
      <c r="G5" s="17">
        <f t="shared" si="2"/>
        <v>43.999999999999993</v>
      </c>
      <c r="H5" s="17">
        <v>0.2</v>
      </c>
      <c r="I5" s="17"/>
      <c r="J5" s="6"/>
      <c r="K5" s="17">
        <f t="shared" si="3"/>
        <v>10.999999999999998</v>
      </c>
      <c r="M5" s="12"/>
    </row>
    <row r="6" spans="1:16">
      <c r="A6" s="17">
        <v>5</v>
      </c>
      <c r="B6" s="17">
        <f t="shared" si="0"/>
        <v>12.999999999999998</v>
      </c>
      <c r="C6" s="14">
        <f t="shared" si="4"/>
        <v>2.5999999999999996</v>
      </c>
      <c r="D6" s="14">
        <v>8</v>
      </c>
      <c r="E6" s="17">
        <f t="shared" si="1"/>
        <v>103.99999999999999</v>
      </c>
      <c r="F6" s="6"/>
      <c r="G6" s="17">
        <f t="shared" si="2"/>
        <v>51.999999999999993</v>
      </c>
      <c r="H6" s="17">
        <v>0.2</v>
      </c>
      <c r="I6" s="17"/>
      <c r="J6" s="6"/>
      <c r="K6" s="17">
        <f t="shared" si="3"/>
        <v>12.999999999999998</v>
      </c>
      <c r="M6" s="12" t="s">
        <v>84</v>
      </c>
    </row>
    <row r="7" spans="1:16">
      <c r="A7" s="17">
        <v>6</v>
      </c>
      <c r="B7" s="17">
        <f t="shared" si="0"/>
        <v>15.999999999999998</v>
      </c>
      <c r="C7" s="14">
        <f>C6+0.6</f>
        <v>3.1999999999999997</v>
      </c>
      <c r="D7" s="14">
        <v>8</v>
      </c>
      <c r="E7" s="17">
        <f t="shared" si="1"/>
        <v>127.99999999999999</v>
      </c>
      <c r="F7" s="6"/>
      <c r="G7" s="17">
        <f t="shared" si="2"/>
        <v>63.999999999999993</v>
      </c>
      <c r="H7" s="17">
        <v>0.2</v>
      </c>
      <c r="I7" s="17"/>
      <c r="J7" s="6"/>
      <c r="K7" s="17">
        <f t="shared" si="3"/>
        <v>15.999999999999998</v>
      </c>
      <c r="M7" s="12"/>
    </row>
    <row r="8" spans="1:16">
      <c r="A8" s="17">
        <v>7</v>
      </c>
      <c r="B8" s="17">
        <f t="shared" si="0"/>
        <v>19</v>
      </c>
      <c r="C8" s="14">
        <f t="shared" ref="C8:C10" si="5">C7+0.6</f>
        <v>3.8</v>
      </c>
      <c r="D8" s="14">
        <v>8</v>
      </c>
      <c r="E8" s="17">
        <f t="shared" si="1"/>
        <v>152</v>
      </c>
      <c r="F8" s="6"/>
      <c r="G8" s="17">
        <f t="shared" si="2"/>
        <v>76</v>
      </c>
      <c r="H8" s="17">
        <v>0.2</v>
      </c>
      <c r="I8" s="17"/>
      <c r="J8" s="6"/>
      <c r="K8" s="17">
        <f t="shared" si="3"/>
        <v>19</v>
      </c>
    </row>
    <row r="9" spans="1:16">
      <c r="A9" s="17">
        <v>8</v>
      </c>
      <c r="B9" s="17">
        <f t="shared" si="0"/>
        <v>21.999999999999996</v>
      </c>
      <c r="C9" s="14">
        <f t="shared" si="5"/>
        <v>4.3999999999999995</v>
      </c>
      <c r="D9" s="14">
        <v>8</v>
      </c>
      <c r="E9" s="17">
        <f t="shared" si="1"/>
        <v>175.99999999999997</v>
      </c>
      <c r="F9" s="6"/>
      <c r="G9" s="17">
        <f t="shared" si="2"/>
        <v>87.999999999999986</v>
      </c>
      <c r="H9" s="17">
        <v>0.2</v>
      </c>
      <c r="I9" s="17"/>
      <c r="J9" s="6"/>
      <c r="K9" s="17">
        <f t="shared" si="3"/>
        <v>21.999999999999996</v>
      </c>
      <c r="M9" s="5"/>
      <c r="N9" s="5"/>
      <c r="O9" s="5"/>
      <c r="P9" s="5"/>
    </row>
    <row r="10" spans="1:16">
      <c r="A10" s="17">
        <v>9</v>
      </c>
      <c r="B10" s="17">
        <f t="shared" si="0"/>
        <v>24.999999999999996</v>
      </c>
      <c r="C10" s="14">
        <f t="shared" si="5"/>
        <v>4.9999999999999991</v>
      </c>
      <c r="D10" s="14">
        <v>8</v>
      </c>
      <c r="E10" s="17">
        <f t="shared" si="1"/>
        <v>199.99999999999997</v>
      </c>
      <c r="F10" s="6"/>
      <c r="G10" s="17">
        <f t="shared" si="2"/>
        <v>99.999999999999986</v>
      </c>
      <c r="H10" s="17">
        <v>0.2</v>
      </c>
      <c r="I10" s="17"/>
      <c r="J10" s="6"/>
      <c r="K10" s="17">
        <f t="shared" si="3"/>
        <v>24.999999999999996</v>
      </c>
      <c r="M10" s="5" t="s">
        <v>85</v>
      </c>
      <c r="N10" s="5"/>
      <c r="O10" s="5"/>
      <c r="P10" s="5"/>
    </row>
    <row r="11" spans="1:16">
      <c r="A11" s="17">
        <v>10</v>
      </c>
      <c r="B11" s="17">
        <f t="shared" si="0"/>
        <v>28.999999999999993</v>
      </c>
      <c r="C11" s="14">
        <f>C10+0.8</f>
        <v>5.7999999999999989</v>
      </c>
      <c r="D11" s="14">
        <v>8</v>
      </c>
      <c r="E11" s="17">
        <f t="shared" si="1"/>
        <v>231.99999999999994</v>
      </c>
      <c r="F11" s="6"/>
      <c r="G11" s="17">
        <f t="shared" si="2"/>
        <v>115.99999999999997</v>
      </c>
      <c r="H11" s="17">
        <v>0.2</v>
      </c>
      <c r="I11" s="17"/>
      <c r="J11" s="6"/>
      <c r="K11" s="17">
        <f t="shared" si="3"/>
        <v>28.999999999999993</v>
      </c>
      <c r="M11" s="5"/>
      <c r="N11" s="5"/>
      <c r="O11" s="5"/>
      <c r="P11" s="5"/>
    </row>
    <row r="12" spans="1:16">
      <c r="A12" s="17">
        <v>11</v>
      </c>
      <c r="B12" s="17">
        <f t="shared" si="0"/>
        <v>32.999999999999993</v>
      </c>
      <c r="C12" s="14">
        <f t="shared" ref="C12:C15" si="6">C11+0.8</f>
        <v>6.5999999999999988</v>
      </c>
      <c r="D12" s="14">
        <v>8</v>
      </c>
      <c r="E12" s="17">
        <f t="shared" si="1"/>
        <v>263.99999999999994</v>
      </c>
      <c r="F12" s="6"/>
      <c r="G12" s="17">
        <f t="shared" si="2"/>
        <v>131.99999999999997</v>
      </c>
      <c r="H12" s="17">
        <v>0.2</v>
      </c>
      <c r="I12" s="17"/>
      <c r="J12" s="6"/>
      <c r="K12" s="17">
        <f t="shared" si="3"/>
        <v>32.999999999999993</v>
      </c>
      <c r="M12" s="17" t="s">
        <v>86</v>
      </c>
      <c r="N12" s="5"/>
      <c r="O12" s="5"/>
      <c r="P12" s="5"/>
    </row>
    <row r="13" spans="1:16">
      <c r="A13" s="17">
        <v>12</v>
      </c>
      <c r="B13" s="17">
        <f t="shared" si="0"/>
        <v>36.999999999999993</v>
      </c>
      <c r="C13" s="14">
        <f t="shared" si="6"/>
        <v>7.3999999999999986</v>
      </c>
      <c r="D13" s="14">
        <v>8</v>
      </c>
      <c r="E13" s="17">
        <f t="shared" si="1"/>
        <v>295.99999999999994</v>
      </c>
      <c r="F13" s="6"/>
      <c r="G13" s="17">
        <f t="shared" si="2"/>
        <v>147.99999999999997</v>
      </c>
      <c r="H13" s="17">
        <v>0.2</v>
      </c>
      <c r="I13" s="17"/>
      <c r="J13" s="6"/>
      <c r="K13" s="17">
        <f t="shared" si="3"/>
        <v>36.999999999999993</v>
      </c>
      <c r="M13" s="17" t="s">
        <v>87</v>
      </c>
      <c r="N13" s="17" t="s">
        <v>91</v>
      </c>
      <c r="O13" s="17" t="s">
        <v>93</v>
      </c>
      <c r="P13" s="5"/>
    </row>
    <row r="14" spans="1:16">
      <c r="A14" s="17">
        <v>13</v>
      </c>
      <c r="B14" s="17">
        <f t="shared" si="0"/>
        <v>41</v>
      </c>
      <c r="C14" s="14">
        <f t="shared" si="6"/>
        <v>8.1999999999999993</v>
      </c>
      <c r="D14" s="14">
        <v>8</v>
      </c>
      <c r="E14" s="17">
        <f t="shared" si="1"/>
        <v>328</v>
      </c>
      <c r="F14" s="6"/>
      <c r="G14" s="17">
        <f t="shared" si="2"/>
        <v>164</v>
      </c>
      <c r="H14" s="17">
        <v>0.2</v>
      </c>
      <c r="I14" s="17"/>
      <c r="J14" s="6"/>
      <c r="K14" s="17">
        <f t="shared" si="3"/>
        <v>41</v>
      </c>
      <c r="M14" s="15" t="s">
        <v>88</v>
      </c>
      <c r="N14" s="15">
        <v>2</v>
      </c>
      <c r="O14" s="17">
        <v>0.33</v>
      </c>
      <c r="P14" s="5"/>
    </row>
    <row r="15" spans="1:16">
      <c r="A15" s="17">
        <v>14</v>
      </c>
      <c r="B15" s="17">
        <f t="shared" si="0"/>
        <v>45</v>
      </c>
      <c r="C15" s="14">
        <f t="shared" si="6"/>
        <v>9</v>
      </c>
      <c r="D15" s="14">
        <v>8</v>
      </c>
      <c r="E15" s="17">
        <f t="shared" si="1"/>
        <v>360</v>
      </c>
      <c r="F15" s="6"/>
      <c r="G15" s="17">
        <f t="shared" si="2"/>
        <v>180</v>
      </c>
      <c r="H15" s="17">
        <v>0.2</v>
      </c>
      <c r="I15" s="17"/>
      <c r="J15" s="6"/>
      <c r="K15" s="17">
        <f t="shared" si="3"/>
        <v>45</v>
      </c>
      <c r="M15" s="15" t="s">
        <v>89</v>
      </c>
      <c r="N15" s="15">
        <v>1.5</v>
      </c>
      <c r="O15" s="17">
        <v>0.33</v>
      </c>
      <c r="P15" s="5"/>
    </row>
    <row r="16" spans="1:16">
      <c r="A16" s="17">
        <v>15</v>
      </c>
      <c r="B16" s="17">
        <f t="shared" si="0"/>
        <v>50</v>
      </c>
      <c r="C16" s="14">
        <f>C15+1</f>
        <v>10</v>
      </c>
      <c r="D16" s="14">
        <v>8</v>
      </c>
      <c r="E16" s="17">
        <f t="shared" si="1"/>
        <v>400</v>
      </c>
      <c r="F16" s="6"/>
      <c r="G16" s="17">
        <f t="shared" si="2"/>
        <v>200</v>
      </c>
      <c r="H16" s="17">
        <v>0.2</v>
      </c>
      <c r="I16" s="17"/>
      <c r="J16" s="6"/>
      <c r="K16" s="17">
        <f t="shared" si="3"/>
        <v>50</v>
      </c>
      <c r="M16" s="15" t="s">
        <v>90</v>
      </c>
      <c r="N16" s="15">
        <v>1</v>
      </c>
      <c r="O16" s="17">
        <v>0.33</v>
      </c>
      <c r="P16" s="5"/>
    </row>
    <row r="17" spans="1:16">
      <c r="A17" s="17">
        <v>16</v>
      </c>
      <c r="B17" s="17">
        <f t="shared" si="0"/>
        <v>55</v>
      </c>
      <c r="C17" s="14">
        <f t="shared" ref="C17:C20" si="7">C16+1</f>
        <v>11</v>
      </c>
      <c r="D17" s="14">
        <v>8</v>
      </c>
      <c r="E17" s="17">
        <f t="shared" si="1"/>
        <v>440</v>
      </c>
      <c r="F17" s="6"/>
      <c r="G17" s="17">
        <f t="shared" si="2"/>
        <v>220</v>
      </c>
      <c r="H17" s="17">
        <v>0.2</v>
      </c>
      <c r="I17" s="17"/>
      <c r="J17" s="6"/>
      <c r="K17" s="17">
        <f t="shared" si="3"/>
        <v>55</v>
      </c>
      <c r="M17" s="5"/>
      <c r="N17" s="5"/>
      <c r="O17" s="5"/>
      <c r="P17" s="5"/>
    </row>
    <row r="18" spans="1:16">
      <c r="A18" s="17">
        <v>17</v>
      </c>
      <c r="B18" s="17">
        <f t="shared" si="0"/>
        <v>60</v>
      </c>
      <c r="C18" s="14">
        <f t="shared" si="7"/>
        <v>12</v>
      </c>
      <c r="D18" s="14">
        <v>8</v>
      </c>
      <c r="E18" s="17">
        <f t="shared" si="1"/>
        <v>480</v>
      </c>
      <c r="F18" s="6"/>
      <c r="G18" s="17">
        <f t="shared" si="2"/>
        <v>240</v>
      </c>
      <c r="H18" s="17">
        <v>0.2</v>
      </c>
      <c r="I18" s="17"/>
      <c r="J18" s="6"/>
      <c r="K18" s="17">
        <f t="shared" si="3"/>
        <v>60</v>
      </c>
      <c r="M18" s="17" t="s">
        <v>94</v>
      </c>
      <c r="N18" s="5"/>
      <c r="O18" s="5"/>
      <c r="P18" s="5"/>
    </row>
    <row r="19" spans="1:16">
      <c r="A19" s="17">
        <v>18</v>
      </c>
      <c r="B19" s="17">
        <f t="shared" si="0"/>
        <v>65</v>
      </c>
      <c r="C19" s="14">
        <f t="shared" si="7"/>
        <v>13</v>
      </c>
      <c r="D19" s="14">
        <v>8</v>
      </c>
      <c r="E19" s="17">
        <f t="shared" si="1"/>
        <v>520</v>
      </c>
      <c r="F19" s="6"/>
      <c r="G19" s="17">
        <f t="shared" si="2"/>
        <v>260</v>
      </c>
      <c r="H19" s="17">
        <v>0.2</v>
      </c>
      <c r="I19" s="17"/>
      <c r="J19" s="6"/>
      <c r="K19" s="17">
        <f t="shared" si="3"/>
        <v>65</v>
      </c>
      <c r="M19" s="17" t="s">
        <v>95</v>
      </c>
    </row>
    <row r="20" spans="1:16">
      <c r="A20" s="17">
        <v>19</v>
      </c>
      <c r="B20" s="17">
        <f t="shared" si="0"/>
        <v>70</v>
      </c>
      <c r="C20" s="14">
        <f t="shared" si="7"/>
        <v>14</v>
      </c>
      <c r="D20" s="14">
        <v>8</v>
      </c>
      <c r="E20" s="17">
        <f t="shared" si="1"/>
        <v>560</v>
      </c>
      <c r="F20" s="6"/>
      <c r="G20" s="17">
        <f t="shared" si="2"/>
        <v>280</v>
      </c>
      <c r="H20" s="17">
        <v>0.2</v>
      </c>
      <c r="I20" s="17"/>
      <c r="J20" s="6"/>
      <c r="K20" s="17">
        <f t="shared" si="3"/>
        <v>70</v>
      </c>
      <c r="M20" s="11" t="s">
        <v>88</v>
      </c>
      <c r="N20" s="14" t="s">
        <v>96</v>
      </c>
      <c r="O20" s="12" t="s">
        <v>97</v>
      </c>
    </row>
    <row r="21" spans="1:16">
      <c r="A21" s="17">
        <v>20</v>
      </c>
      <c r="B21" s="17">
        <f t="shared" si="0"/>
        <v>76</v>
      </c>
      <c r="C21" s="14">
        <f>C20+1.2</f>
        <v>15.2</v>
      </c>
      <c r="D21" s="14">
        <v>8</v>
      </c>
      <c r="E21" s="17">
        <f t="shared" si="1"/>
        <v>608</v>
      </c>
      <c r="F21" s="6"/>
      <c r="G21" s="17">
        <f t="shared" si="2"/>
        <v>304</v>
      </c>
      <c r="H21" s="17">
        <v>0.2</v>
      </c>
      <c r="I21" s="17"/>
      <c r="J21" s="6"/>
      <c r="K21" s="17">
        <f t="shared" si="3"/>
        <v>76</v>
      </c>
    </row>
    <row r="22" spans="1:16">
      <c r="A22" s="17">
        <v>21</v>
      </c>
      <c r="B22" s="17">
        <f t="shared" si="0"/>
        <v>82</v>
      </c>
      <c r="C22" s="14">
        <f t="shared" ref="C22:C25" si="8">C21+1.2</f>
        <v>16.399999999999999</v>
      </c>
      <c r="D22" s="14">
        <v>8</v>
      </c>
      <c r="E22" s="17">
        <f t="shared" si="1"/>
        <v>656</v>
      </c>
      <c r="F22" s="6"/>
      <c r="G22" s="17">
        <f t="shared" si="2"/>
        <v>328</v>
      </c>
      <c r="H22" s="17">
        <v>0.2</v>
      </c>
      <c r="I22" s="17"/>
      <c r="J22" s="6"/>
      <c r="K22" s="17">
        <f t="shared" si="3"/>
        <v>82</v>
      </c>
    </row>
    <row r="23" spans="1:16">
      <c r="A23" s="17">
        <v>22</v>
      </c>
      <c r="B23" s="17">
        <f t="shared" si="0"/>
        <v>87.999999999999986</v>
      </c>
      <c r="C23" s="14">
        <f t="shared" si="8"/>
        <v>17.599999999999998</v>
      </c>
      <c r="D23" s="14">
        <v>8</v>
      </c>
      <c r="E23" s="17">
        <f t="shared" si="1"/>
        <v>703.99999999999989</v>
      </c>
      <c r="F23" s="6"/>
      <c r="G23" s="17">
        <f t="shared" si="2"/>
        <v>351.99999999999994</v>
      </c>
      <c r="H23" s="17">
        <v>0.2</v>
      </c>
      <c r="I23" s="17"/>
      <c r="J23" s="6"/>
      <c r="K23" s="17">
        <f t="shared" si="3"/>
        <v>87.999999999999986</v>
      </c>
      <c r="M23" s="5" t="s">
        <v>92</v>
      </c>
    </row>
    <row r="24" spans="1:16">
      <c r="A24" s="17">
        <v>23</v>
      </c>
      <c r="B24" s="17">
        <f t="shared" si="0"/>
        <v>93.999999999999986</v>
      </c>
      <c r="C24" s="14">
        <f t="shared" si="8"/>
        <v>18.799999999999997</v>
      </c>
      <c r="D24" s="14">
        <v>8</v>
      </c>
      <c r="E24" s="17">
        <f t="shared" si="1"/>
        <v>751.99999999999989</v>
      </c>
      <c r="F24" s="6"/>
      <c r="G24" s="17">
        <f t="shared" si="2"/>
        <v>375.99999999999994</v>
      </c>
      <c r="H24" s="17">
        <v>0.2</v>
      </c>
      <c r="I24" s="17"/>
      <c r="J24" s="6"/>
      <c r="K24" s="17">
        <f t="shared" si="3"/>
        <v>93.999999999999986</v>
      </c>
      <c r="M24" s="6" t="s">
        <v>98</v>
      </c>
    </row>
    <row r="25" spans="1:16">
      <c r="A25" s="17">
        <v>24</v>
      </c>
      <c r="B25" s="17">
        <f t="shared" si="0"/>
        <v>99.999999999999986</v>
      </c>
      <c r="C25" s="14">
        <f t="shared" si="8"/>
        <v>19.999999999999996</v>
      </c>
      <c r="D25" s="14">
        <v>8</v>
      </c>
      <c r="E25" s="17">
        <f t="shared" si="1"/>
        <v>799.99999999999989</v>
      </c>
      <c r="F25" s="6"/>
      <c r="G25" s="17">
        <f t="shared" si="2"/>
        <v>399.99999999999994</v>
      </c>
      <c r="H25" s="17">
        <v>0.2</v>
      </c>
      <c r="I25" s="17"/>
      <c r="J25" s="6"/>
      <c r="K25" s="17">
        <f t="shared" si="3"/>
        <v>99.999999999999986</v>
      </c>
    </row>
    <row r="26" spans="1:16">
      <c r="A26" s="17">
        <v>25</v>
      </c>
      <c r="B26" s="17">
        <f t="shared" si="0"/>
        <v>109.99999999999999</v>
      </c>
      <c r="C26" s="14">
        <f>C25+2</f>
        <v>21.999999999999996</v>
      </c>
      <c r="D26" s="14">
        <v>8</v>
      </c>
      <c r="E26" s="17">
        <f t="shared" si="1"/>
        <v>879.99999999999989</v>
      </c>
      <c r="F26" s="6"/>
      <c r="G26" s="17">
        <f t="shared" si="2"/>
        <v>439.99999999999994</v>
      </c>
      <c r="H26" s="17">
        <v>0.2</v>
      </c>
      <c r="I26" s="17"/>
      <c r="J26" s="6"/>
      <c r="K26" s="17">
        <f t="shared" si="3"/>
        <v>109.99999999999999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7"/>
  <dimension ref="B1:G17"/>
  <sheetViews>
    <sheetView workbookViewId="0">
      <selection activeCell="C14" sqref="C14"/>
    </sheetView>
  </sheetViews>
  <sheetFormatPr defaultRowHeight="13.5"/>
  <cols>
    <col min="2" max="2" width="13.125" bestFit="1" customWidth="1"/>
    <col min="3" max="3" width="46.375" customWidth="1"/>
  </cols>
  <sheetData>
    <row r="1" spans="2:7">
      <c r="B1" s="25" t="s">
        <v>10</v>
      </c>
      <c r="C1" s="25" t="s">
        <v>11</v>
      </c>
    </row>
    <row r="2" spans="2:7">
      <c r="B2" s="3" t="s">
        <v>4</v>
      </c>
      <c r="C2" s="5" t="s">
        <v>13</v>
      </c>
    </row>
    <row r="3" spans="2:7">
      <c r="B3" s="3" t="s">
        <v>5</v>
      </c>
      <c r="C3" s="6" t="s">
        <v>12</v>
      </c>
    </row>
    <row r="4" spans="2:7">
      <c r="B4" s="4" t="s">
        <v>6</v>
      </c>
      <c r="C4" s="6" t="s">
        <v>14</v>
      </c>
    </row>
    <row r="5" spans="2:7">
      <c r="B5" s="4" t="s">
        <v>7</v>
      </c>
      <c r="C5" s="6" t="s">
        <v>12</v>
      </c>
    </row>
    <row r="6" spans="2:7">
      <c r="B6" s="4" t="s">
        <v>8</v>
      </c>
      <c r="C6" s="7" t="s">
        <v>110</v>
      </c>
    </row>
    <row r="7" spans="2:7">
      <c r="C7" s="7" t="s">
        <v>15</v>
      </c>
    </row>
    <row r="8" spans="2:7">
      <c r="C8" s="7" t="s">
        <v>99</v>
      </c>
      <c r="G8" t="s">
        <v>104</v>
      </c>
    </row>
    <row r="9" spans="2:7">
      <c r="C9" s="7" t="s">
        <v>100</v>
      </c>
      <c r="E9" t="s">
        <v>101</v>
      </c>
    </row>
    <row r="10" spans="2:7">
      <c r="C10" s="7" t="s">
        <v>103</v>
      </c>
      <c r="D10" t="s">
        <v>111</v>
      </c>
    </row>
    <row r="11" spans="2:7">
      <c r="C11" s="7" t="s">
        <v>102</v>
      </c>
    </row>
    <row r="12" spans="2:7">
      <c r="C12" s="7" t="s">
        <v>105</v>
      </c>
    </row>
    <row r="13" spans="2:7">
      <c r="C13" s="7" t="s">
        <v>106</v>
      </c>
    </row>
    <row r="14" spans="2:7">
      <c r="C14" s="7" t="s">
        <v>107</v>
      </c>
    </row>
    <row r="15" spans="2:7">
      <c r="C15" s="7" t="s">
        <v>108</v>
      </c>
    </row>
    <row r="16" spans="2:7">
      <c r="C16" s="7" t="s">
        <v>112</v>
      </c>
    </row>
    <row r="17" spans="2:3">
      <c r="B17" s="4" t="s">
        <v>9</v>
      </c>
      <c r="C17" s="7" t="s">
        <v>109</v>
      </c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B2:AM56"/>
  <sheetViews>
    <sheetView topLeftCell="N1" workbookViewId="0">
      <selection activeCell="O17" sqref="O5:P17"/>
    </sheetView>
  </sheetViews>
  <sheetFormatPr defaultRowHeight="13.5"/>
  <cols>
    <col min="5" max="5" width="22" bestFit="1" customWidth="1"/>
    <col min="7" max="7" width="13" style="54" bestFit="1" customWidth="1"/>
    <col min="8" max="8" width="12" customWidth="1"/>
    <col min="9" max="9" width="15.875" style="8" customWidth="1"/>
    <col min="10" max="10" width="13" bestFit="1" customWidth="1"/>
    <col min="11" max="11" width="13.375" bestFit="1" customWidth="1"/>
    <col min="12" max="12" width="12.25" style="54" customWidth="1"/>
    <col min="13" max="13" width="14" style="54" customWidth="1"/>
    <col min="14" max="14" width="9" style="54"/>
    <col min="15" max="15" width="13" bestFit="1" customWidth="1"/>
    <col min="17" max="17" width="12.25" bestFit="1" customWidth="1"/>
    <col min="18" max="18" width="12.125" customWidth="1"/>
    <col min="19" max="19" width="13.75" style="8" customWidth="1"/>
    <col min="20" max="20" width="11.875" bestFit="1" customWidth="1"/>
    <col min="21" max="22" width="13.625" customWidth="1"/>
    <col min="24" max="24" width="11.375" bestFit="1" customWidth="1"/>
    <col min="27" max="27" width="11.875" bestFit="1" customWidth="1"/>
    <col min="30" max="30" width="9" style="54"/>
  </cols>
  <sheetData>
    <row r="2" spans="2:36">
      <c r="E2" s="17" t="s">
        <v>406</v>
      </c>
      <c r="H2" s="19" t="s">
        <v>388</v>
      </c>
      <c r="I2" s="19" t="s">
        <v>405</v>
      </c>
      <c r="L2" s="19" t="s">
        <v>388</v>
      </c>
      <c r="M2" s="19" t="s">
        <v>405</v>
      </c>
      <c r="O2" s="61" t="s">
        <v>394</v>
      </c>
      <c r="R2" s="19" t="s">
        <v>388</v>
      </c>
      <c r="S2" s="19" t="s">
        <v>405</v>
      </c>
      <c r="U2" s="19" t="s">
        <v>388</v>
      </c>
      <c r="V2" s="19" t="s">
        <v>405</v>
      </c>
      <c r="Y2" s="19" t="s">
        <v>388</v>
      </c>
      <c r="Z2" s="19" t="s">
        <v>405</v>
      </c>
      <c r="AB2" s="19" t="s">
        <v>388</v>
      </c>
      <c r="AC2" s="19" t="s">
        <v>405</v>
      </c>
      <c r="AD2" s="19"/>
      <c r="AF2" s="19" t="s">
        <v>388</v>
      </c>
      <c r="AG2" s="19" t="s">
        <v>405</v>
      </c>
      <c r="AI2" s="19" t="s">
        <v>388</v>
      </c>
      <c r="AJ2" s="19" t="s">
        <v>405</v>
      </c>
    </row>
    <row r="3" spans="2:36">
      <c r="E3" s="15" t="s">
        <v>422</v>
      </c>
      <c r="H3" s="26" t="s">
        <v>425</v>
      </c>
      <c r="I3" s="15">
        <v>0.01</v>
      </c>
      <c r="J3" s="6"/>
      <c r="K3" s="6"/>
      <c r="L3" s="26" t="s">
        <v>425</v>
      </c>
      <c r="M3" s="15">
        <v>0.5</v>
      </c>
      <c r="N3" s="6"/>
      <c r="O3" s="15"/>
      <c r="R3" s="26" t="s">
        <v>425</v>
      </c>
      <c r="S3" s="15">
        <v>0.01</v>
      </c>
      <c r="U3" s="26" t="s">
        <v>425</v>
      </c>
      <c r="V3" s="15">
        <v>0.5</v>
      </c>
      <c r="Y3" s="17" t="s">
        <v>425</v>
      </c>
      <c r="Z3" s="15">
        <v>0.01</v>
      </c>
      <c r="AA3" s="17"/>
      <c r="AB3" s="17" t="s">
        <v>425</v>
      </c>
      <c r="AC3" s="15">
        <v>0.5</v>
      </c>
      <c r="AD3" s="15"/>
      <c r="AE3" s="17"/>
      <c r="AF3" s="17" t="s">
        <v>425</v>
      </c>
      <c r="AG3" s="15">
        <v>0.01</v>
      </c>
      <c r="AH3" s="17"/>
      <c r="AI3" s="17" t="s">
        <v>425</v>
      </c>
      <c r="AJ3" s="15">
        <v>0.5</v>
      </c>
    </row>
    <row r="4" spans="2:36">
      <c r="B4" t="s">
        <v>387</v>
      </c>
      <c r="E4" s="5"/>
      <c r="F4" s="5"/>
      <c r="G4" s="5"/>
      <c r="H4" s="14" t="s">
        <v>426</v>
      </c>
      <c r="I4" s="15">
        <v>0.01</v>
      </c>
      <c r="J4" s="6"/>
      <c r="K4" s="6"/>
      <c r="L4" s="14" t="s">
        <v>426</v>
      </c>
      <c r="M4" s="15">
        <v>0.5</v>
      </c>
      <c r="N4" s="6"/>
      <c r="O4" s="15"/>
      <c r="R4" s="14" t="s">
        <v>426</v>
      </c>
      <c r="S4" s="15">
        <v>0.01</v>
      </c>
      <c r="U4" s="14" t="s">
        <v>426</v>
      </c>
      <c r="V4" s="15">
        <v>0.5</v>
      </c>
      <c r="Y4" s="17" t="s">
        <v>426</v>
      </c>
      <c r="Z4" s="15">
        <v>0.01</v>
      </c>
      <c r="AA4" s="17"/>
      <c r="AB4" s="17" t="s">
        <v>426</v>
      </c>
      <c r="AC4" s="15">
        <v>0.5</v>
      </c>
      <c r="AD4" s="15"/>
      <c r="AE4" s="17"/>
      <c r="AF4" s="17" t="s">
        <v>426</v>
      </c>
      <c r="AG4" s="15">
        <v>0.01</v>
      </c>
      <c r="AH4" s="17"/>
      <c r="AI4" s="17" t="s">
        <v>426</v>
      </c>
      <c r="AJ4" s="15">
        <v>0.5</v>
      </c>
    </row>
    <row r="5" spans="2:36" s="54" customFormat="1">
      <c r="E5" s="5"/>
      <c r="F5" s="5"/>
      <c r="G5" s="5"/>
      <c r="H5" s="26" t="s">
        <v>423</v>
      </c>
      <c r="I5" s="15">
        <v>0.02</v>
      </c>
      <c r="J5" s="15"/>
      <c r="K5" s="6"/>
      <c r="L5" s="26" t="s">
        <v>423</v>
      </c>
      <c r="M5" s="15">
        <v>0.75</v>
      </c>
      <c r="N5" s="15"/>
      <c r="O5" s="14" t="s">
        <v>395</v>
      </c>
      <c r="P5" s="86">
        <v>20</v>
      </c>
      <c r="R5" s="26" t="s">
        <v>423</v>
      </c>
      <c r="S5" s="15">
        <v>0.02</v>
      </c>
      <c r="U5" s="26" t="s">
        <v>423</v>
      </c>
      <c r="V5" s="15">
        <v>0.75</v>
      </c>
      <c r="Y5" s="17" t="s">
        <v>423</v>
      </c>
      <c r="Z5" s="15">
        <v>0.02</v>
      </c>
      <c r="AA5" s="17"/>
      <c r="AB5" s="17" t="s">
        <v>423</v>
      </c>
      <c r="AC5" s="15">
        <v>0.75</v>
      </c>
      <c r="AD5" s="15"/>
      <c r="AE5" s="17"/>
      <c r="AF5" s="17" t="s">
        <v>423</v>
      </c>
      <c r="AG5" s="15">
        <v>0.02</v>
      </c>
      <c r="AH5" s="17"/>
      <c r="AI5" s="17" t="s">
        <v>423</v>
      </c>
      <c r="AJ5" s="15">
        <v>0.75</v>
      </c>
    </row>
    <row r="6" spans="2:36" s="54" customFormat="1">
      <c r="E6" s="5"/>
      <c r="F6" s="5"/>
      <c r="G6" s="5"/>
      <c r="H6" s="14" t="s">
        <v>424</v>
      </c>
      <c r="I6" s="15">
        <v>0.02</v>
      </c>
      <c r="J6" s="6"/>
      <c r="K6" s="6"/>
      <c r="L6" s="14" t="s">
        <v>424</v>
      </c>
      <c r="M6" s="15">
        <v>0.75</v>
      </c>
      <c r="N6" s="15"/>
      <c r="O6" s="14" t="s">
        <v>396</v>
      </c>
      <c r="P6" s="86">
        <v>21</v>
      </c>
      <c r="R6" s="14" t="s">
        <v>424</v>
      </c>
      <c r="S6" s="15">
        <v>0.02</v>
      </c>
      <c r="U6" s="14" t="s">
        <v>424</v>
      </c>
      <c r="V6" s="15">
        <v>0.75</v>
      </c>
      <c r="Y6" s="17" t="s">
        <v>424</v>
      </c>
      <c r="Z6" s="15">
        <v>0.02</v>
      </c>
      <c r="AA6" s="17"/>
      <c r="AB6" s="17" t="s">
        <v>424</v>
      </c>
      <c r="AC6" s="15">
        <v>0.75</v>
      </c>
      <c r="AD6" s="15"/>
      <c r="AE6" s="17"/>
      <c r="AF6" s="17" t="s">
        <v>424</v>
      </c>
      <c r="AG6" s="15">
        <v>0.02</v>
      </c>
      <c r="AH6" s="17"/>
      <c r="AI6" s="17" t="s">
        <v>424</v>
      </c>
      <c r="AJ6" s="15">
        <v>0.75</v>
      </c>
    </row>
    <row r="7" spans="2:36">
      <c r="E7" s="17" t="s">
        <v>390</v>
      </c>
      <c r="F7" s="15">
        <v>0.06</v>
      </c>
      <c r="G7" s="61" t="s">
        <v>407</v>
      </c>
      <c r="H7" s="42" t="s">
        <v>237</v>
      </c>
      <c r="I7" s="17">
        <f>$F$7/13</f>
        <v>4.6153846153846149E-3</v>
      </c>
      <c r="K7" s="61" t="s">
        <v>421</v>
      </c>
      <c r="L7" s="42" t="s">
        <v>237</v>
      </c>
      <c r="M7" s="17">
        <f>I7*15</f>
        <v>6.9230769230769221E-2</v>
      </c>
      <c r="O7" s="14" t="s">
        <v>397</v>
      </c>
      <c r="P7" s="86">
        <v>22</v>
      </c>
      <c r="Q7" s="61" t="s">
        <v>407</v>
      </c>
      <c r="R7" s="26" t="s">
        <v>266</v>
      </c>
      <c r="S7" s="15">
        <f>$F$7/9</f>
        <v>6.6666666666666662E-3</v>
      </c>
      <c r="U7" s="26" t="s">
        <v>266</v>
      </c>
      <c r="V7" s="17">
        <f>S7*15</f>
        <v>9.9999999999999992E-2</v>
      </c>
      <c r="X7" s="54"/>
      <c r="Y7" s="17" t="s">
        <v>545</v>
      </c>
      <c r="Z7" s="17">
        <f>$F$7/10</f>
        <v>6.0000000000000001E-3</v>
      </c>
      <c r="AA7" s="17"/>
      <c r="AB7" s="17" t="s">
        <v>545</v>
      </c>
      <c r="AC7" s="17">
        <f>Z7*15</f>
        <v>0.09</v>
      </c>
      <c r="AD7" s="17"/>
      <c r="AE7" s="17"/>
      <c r="AF7" s="17" t="s">
        <v>569</v>
      </c>
      <c r="AG7" s="17">
        <f>$F$7/10</f>
        <v>6.0000000000000001E-3</v>
      </c>
      <c r="AH7" s="17"/>
      <c r="AI7" s="17" t="s">
        <v>569</v>
      </c>
      <c r="AJ7" s="17">
        <f>AG7*15</f>
        <v>0.09</v>
      </c>
    </row>
    <row r="8" spans="2:36">
      <c r="B8" t="s">
        <v>388</v>
      </c>
      <c r="C8" s="8" t="s">
        <v>389</v>
      </c>
      <c r="E8" s="15" t="s">
        <v>391</v>
      </c>
      <c r="F8" s="15">
        <v>0.04</v>
      </c>
      <c r="G8" s="61"/>
      <c r="H8" s="42" t="s">
        <v>238</v>
      </c>
      <c r="I8" s="17">
        <f t="shared" ref="I8:I19" si="0">$F$7/13</f>
        <v>4.6153846153846149E-3</v>
      </c>
      <c r="L8" s="42" t="s">
        <v>238</v>
      </c>
      <c r="M8" s="17">
        <f t="shared" ref="M8:M28" si="1">I8*15</f>
        <v>6.9230769230769221E-2</v>
      </c>
      <c r="O8" s="6"/>
      <c r="P8" s="88"/>
      <c r="R8" s="14" t="s">
        <v>268</v>
      </c>
      <c r="S8" s="15">
        <f t="shared" ref="S8:S15" si="2">$F$7/9</f>
        <v>6.6666666666666662E-3</v>
      </c>
      <c r="U8" s="14" t="s">
        <v>268</v>
      </c>
      <c r="V8" s="17">
        <f t="shared" ref="V8:V25" si="3">S8*15</f>
        <v>9.9999999999999992E-2</v>
      </c>
      <c r="X8" s="54"/>
      <c r="Y8" s="17" t="s">
        <v>547</v>
      </c>
      <c r="Z8" s="17">
        <f t="shared" ref="Z8:Z16" si="4">$F$7/10</f>
        <v>6.0000000000000001E-3</v>
      </c>
      <c r="AA8" s="17"/>
      <c r="AB8" s="17" t="s">
        <v>547</v>
      </c>
      <c r="AC8" s="17">
        <f t="shared" ref="AC8:AC26" si="5">Z8*15</f>
        <v>0.09</v>
      </c>
      <c r="AD8" s="17"/>
      <c r="AE8" s="17"/>
      <c r="AF8" s="17" t="s">
        <v>571</v>
      </c>
      <c r="AG8" s="17">
        <f t="shared" ref="AG8:AG16" si="6">$F$7/10</f>
        <v>6.0000000000000001E-3</v>
      </c>
      <c r="AH8" s="17"/>
      <c r="AI8" s="17" t="s">
        <v>571</v>
      </c>
      <c r="AJ8" s="17">
        <f t="shared" ref="AJ8:AJ26" si="7">AG8*15</f>
        <v>0.09</v>
      </c>
    </row>
    <row r="9" spans="2:36">
      <c r="B9" s="32" t="s">
        <v>265</v>
      </c>
      <c r="E9" s="15" t="s">
        <v>392</v>
      </c>
      <c r="F9" s="15">
        <v>0.01</v>
      </c>
      <c r="G9" s="61"/>
      <c r="H9" s="42" t="s">
        <v>242</v>
      </c>
      <c r="I9" s="17">
        <f t="shared" si="0"/>
        <v>4.6153846153846149E-3</v>
      </c>
      <c r="L9" s="42" t="s">
        <v>242</v>
      </c>
      <c r="M9" s="17">
        <f t="shared" si="1"/>
        <v>6.9230769230769221E-2</v>
      </c>
      <c r="O9" s="14" t="s">
        <v>275</v>
      </c>
      <c r="P9" s="86">
        <v>24</v>
      </c>
      <c r="R9" s="14" t="s">
        <v>270</v>
      </c>
      <c r="S9" s="15">
        <f t="shared" si="2"/>
        <v>6.6666666666666662E-3</v>
      </c>
      <c r="U9" s="14" t="s">
        <v>270</v>
      </c>
      <c r="V9" s="17">
        <f t="shared" si="3"/>
        <v>9.9999999999999992E-2</v>
      </c>
      <c r="X9" s="54"/>
      <c r="Y9" s="17" t="s">
        <v>549</v>
      </c>
      <c r="Z9" s="17">
        <f t="shared" si="4"/>
        <v>6.0000000000000001E-3</v>
      </c>
      <c r="AA9" s="17"/>
      <c r="AB9" s="17" t="s">
        <v>549</v>
      </c>
      <c r="AC9" s="17">
        <f t="shared" si="5"/>
        <v>0.09</v>
      </c>
      <c r="AD9" s="17"/>
      <c r="AE9" s="17"/>
      <c r="AF9" s="17" t="s">
        <v>573</v>
      </c>
      <c r="AG9" s="17">
        <f t="shared" si="6"/>
        <v>6.0000000000000001E-3</v>
      </c>
      <c r="AH9" s="17"/>
      <c r="AI9" s="17" t="s">
        <v>573</v>
      </c>
      <c r="AJ9" s="17">
        <f t="shared" si="7"/>
        <v>0.09</v>
      </c>
    </row>
    <row r="10" spans="2:36">
      <c r="B10" s="32" t="s">
        <v>266</v>
      </c>
      <c r="F10" s="15">
        <v>5.0000000000000001E-3</v>
      </c>
      <c r="G10" s="36"/>
      <c r="H10" s="42" t="s">
        <v>244</v>
      </c>
      <c r="I10" s="17">
        <f t="shared" si="0"/>
        <v>4.6153846153846149E-3</v>
      </c>
      <c r="L10" s="42" t="s">
        <v>244</v>
      </c>
      <c r="M10" s="17">
        <f t="shared" si="1"/>
        <v>6.9230769230769221E-2</v>
      </c>
      <c r="O10" s="14" t="s">
        <v>398</v>
      </c>
      <c r="P10" s="86">
        <v>23</v>
      </c>
      <c r="R10" s="14" t="s">
        <v>272</v>
      </c>
      <c r="S10" s="15">
        <f t="shared" si="2"/>
        <v>6.6666666666666662E-3</v>
      </c>
      <c r="U10" s="14" t="s">
        <v>272</v>
      </c>
      <c r="V10" s="17">
        <f t="shared" si="3"/>
        <v>9.9999999999999992E-2</v>
      </c>
      <c r="X10" s="54"/>
      <c r="Y10" s="17" t="s">
        <v>551</v>
      </c>
      <c r="Z10" s="17">
        <f t="shared" si="4"/>
        <v>6.0000000000000001E-3</v>
      </c>
      <c r="AA10" s="17"/>
      <c r="AB10" s="17" t="s">
        <v>551</v>
      </c>
      <c r="AC10" s="17">
        <f t="shared" si="5"/>
        <v>0.09</v>
      </c>
      <c r="AD10" s="17"/>
      <c r="AE10" s="17"/>
      <c r="AF10" s="17" t="s">
        <v>575</v>
      </c>
      <c r="AG10" s="17">
        <f t="shared" si="6"/>
        <v>6.0000000000000001E-3</v>
      </c>
      <c r="AH10" s="17"/>
      <c r="AI10" s="17" t="s">
        <v>575</v>
      </c>
      <c r="AJ10" s="17">
        <f t="shared" si="7"/>
        <v>0.09</v>
      </c>
    </row>
    <row r="11" spans="2:36">
      <c r="B11" s="32" t="s">
        <v>267</v>
      </c>
      <c r="F11" s="15">
        <v>1E-3</v>
      </c>
      <c r="G11" s="36"/>
      <c r="H11" s="42" t="s">
        <v>246</v>
      </c>
      <c r="I11" s="17">
        <f t="shared" si="0"/>
        <v>4.6153846153846149E-3</v>
      </c>
      <c r="L11" s="42" t="s">
        <v>246</v>
      </c>
      <c r="M11" s="17">
        <f t="shared" si="1"/>
        <v>6.9230769230769221E-2</v>
      </c>
      <c r="O11" s="14" t="s">
        <v>399</v>
      </c>
      <c r="P11" s="86">
        <v>23</v>
      </c>
      <c r="R11" s="14" t="s">
        <v>274</v>
      </c>
      <c r="S11" s="15">
        <f t="shared" si="2"/>
        <v>6.6666666666666662E-3</v>
      </c>
      <c r="U11" s="14" t="s">
        <v>274</v>
      </c>
      <c r="V11" s="17">
        <f t="shared" si="3"/>
        <v>9.9999999999999992E-2</v>
      </c>
      <c r="X11" s="54"/>
      <c r="Y11" s="17" t="s">
        <v>553</v>
      </c>
      <c r="Z11" s="17">
        <f t="shared" si="4"/>
        <v>6.0000000000000001E-3</v>
      </c>
      <c r="AA11" s="17"/>
      <c r="AB11" s="17" t="s">
        <v>553</v>
      </c>
      <c r="AC11" s="17">
        <f t="shared" si="5"/>
        <v>0.09</v>
      </c>
      <c r="AD11" s="17"/>
      <c r="AE11" s="17"/>
      <c r="AF11" s="17" t="s">
        <v>577</v>
      </c>
      <c r="AG11" s="17">
        <f t="shared" si="6"/>
        <v>6.0000000000000001E-3</v>
      </c>
      <c r="AH11" s="17"/>
      <c r="AI11" s="17" t="s">
        <v>577</v>
      </c>
      <c r="AJ11" s="17">
        <f t="shared" si="7"/>
        <v>0.09</v>
      </c>
    </row>
    <row r="12" spans="2:36">
      <c r="B12" s="32" t="s">
        <v>268</v>
      </c>
      <c r="E12" s="14"/>
      <c r="F12" s="15">
        <v>2.0000000000000001E-4</v>
      </c>
      <c r="G12" s="36"/>
      <c r="H12" s="42" t="s">
        <v>248</v>
      </c>
      <c r="I12" s="17">
        <f t="shared" si="0"/>
        <v>4.6153846153846149E-3</v>
      </c>
      <c r="L12" s="42" t="s">
        <v>248</v>
      </c>
      <c r="M12" s="17">
        <f t="shared" si="1"/>
        <v>6.9230769230769221E-2</v>
      </c>
      <c r="O12" s="14" t="s">
        <v>400</v>
      </c>
      <c r="P12" s="86">
        <v>25</v>
      </c>
      <c r="R12" s="14" t="s">
        <v>276</v>
      </c>
      <c r="S12" s="15">
        <f t="shared" si="2"/>
        <v>6.6666666666666662E-3</v>
      </c>
      <c r="U12" s="14" t="s">
        <v>276</v>
      </c>
      <c r="V12" s="17">
        <f t="shared" si="3"/>
        <v>9.9999999999999992E-2</v>
      </c>
      <c r="X12" s="54"/>
      <c r="Y12" s="17" t="s">
        <v>555</v>
      </c>
      <c r="Z12" s="17">
        <f t="shared" si="4"/>
        <v>6.0000000000000001E-3</v>
      </c>
      <c r="AA12" s="17"/>
      <c r="AB12" s="17" t="s">
        <v>555</v>
      </c>
      <c r="AC12" s="17">
        <f t="shared" si="5"/>
        <v>0.09</v>
      </c>
      <c r="AD12" s="17"/>
      <c r="AE12" s="17"/>
      <c r="AF12" s="17" t="s">
        <v>579</v>
      </c>
      <c r="AG12" s="17">
        <f t="shared" si="6"/>
        <v>6.0000000000000001E-3</v>
      </c>
      <c r="AH12" s="17"/>
      <c r="AI12" s="17" t="s">
        <v>579</v>
      </c>
      <c r="AJ12" s="17">
        <f t="shared" si="7"/>
        <v>0.09</v>
      </c>
    </row>
    <row r="13" spans="2:36">
      <c r="B13" s="32" t="s">
        <v>269</v>
      </c>
      <c r="G13" s="36"/>
      <c r="H13" s="42" t="s">
        <v>249</v>
      </c>
      <c r="I13" s="17">
        <f t="shared" si="0"/>
        <v>4.6153846153846149E-3</v>
      </c>
      <c r="L13" s="42" t="s">
        <v>249</v>
      </c>
      <c r="M13" s="17">
        <f t="shared" si="1"/>
        <v>6.9230769230769221E-2</v>
      </c>
      <c r="O13" s="6"/>
      <c r="P13" s="88"/>
      <c r="R13" s="14" t="s">
        <v>278</v>
      </c>
      <c r="S13" s="15">
        <f t="shared" si="2"/>
        <v>6.6666666666666662E-3</v>
      </c>
      <c r="U13" s="14" t="s">
        <v>278</v>
      </c>
      <c r="V13" s="17">
        <f t="shared" si="3"/>
        <v>9.9999999999999992E-2</v>
      </c>
      <c r="X13" s="54"/>
      <c r="Y13" s="17" t="s">
        <v>557</v>
      </c>
      <c r="Z13" s="17">
        <f t="shared" si="4"/>
        <v>6.0000000000000001E-3</v>
      </c>
      <c r="AA13" s="17"/>
      <c r="AB13" s="17" t="s">
        <v>557</v>
      </c>
      <c r="AC13" s="17">
        <f t="shared" si="5"/>
        <v>0.09</v>
      </c>
      <c r="AD13" s="17"/>
      <c r="AE13" s="17"/>
      <c r="AF13" s="17" t="s">
        <v>581</v>
      </c>
      <c r="AG13" s="17">
        <f t="shared" si="6"/>
        <v>6.0000000000000001E-3</v>
      </c>
      <c r="AH13" s="17"/>
      <c r="AI13" s="17" t="s">
        <v>581</v>
      </c>
      <c r="AJ13" s="17">
        <f t="shared" si="7"/>
        <v>0.09</v>
      </c>
    </row>
    <row r="14" spans="2:36">
      <c r="B14" s="32" t="s">
        <v>270</v>
      </c>
      <c r="G14" s="36"/>
      <c r="H14" s="42" t="s">
        <v>250</v>
      </c>
      <c r="I14" s="17">
        <f t="shared" si="0"/>
        <v>4.6153846153846149E-3</v>
      </c>
      <c r="L14" s="42" t="s">
        <v>250</v>
      </c>
      <c r="M14" s="17">
        <f t="shared" si="1"/>
        <v>6.9230769230769221E-2</v>
      </c>
      <c r="O14" s="33" t="s">
        <v>401</v>
      </c>
      <c r="P14" s="86">
        <v>24</v>
      </c>
      <c r="R14" s="14" t="s">
        <v>282</v>
      </c>
      <c r="S14" s="15">
        <f t="shared" si="2"/>
        <v>6.6666666666666662E-3</v>
      </c>
      <c r="U14" s="14" t="s">
        <v>282</v>
      </c>
      <c r="V14" s="17">
        <f t="shared" si="3"/>
        <v>9.9999999999999992E-2</v>
      </c>
      <c r="X14" s="54"/>
      <c r="Y14" s="17" t="s">
        <v>560</v>
      </c>
      <c r="Z14" s="17">
        <f t="shared" si="4"/>
        <v>6.0000000000000001E-3</v>
      </c>
      <c r="AA14" s="17"/>
      <c r="AB14" s="17" t="s">
        <v>560</v>
      </c>
      <c r="AC14" s="17">
        <f t="shared" si="5"/>
        <v>0.09</v>
      </c>
      <c r="AD14" s="17"/>
      <c r="AE14" s="17"/>
      <c r="AF14" s="17" t="s">
        <v>584</v>
      </c>
      <c r="AG14" s="17">
        <f t="shared" si="6"/>
        <v>6.0000000000000001E-3</v>
      </c>
      <c r="AH14" s="17"/>
      <c r="AI14" s="17" t="s">
        <v>584</v>
      </c>
      <c r="AJ14" s="17">
        <f t="shared" si="7"/>
        <v>0.09</v>
      </c>
    </row>
    <row r="15" spans="2:36">
      <c r="B15" s="32" t="s">
        <v>271</v>
      </c>
      <c r="G15" s="36"/>
      <c r="H15" s="42" t="s">
        <v>251</v>
      </c>
      <c r="I15" s="17">
        <f t="shared" si="0"/>
        <v>4.6153846153846149E-3</v>
      </c>
      <c r="L15" s="42" t="s">
        <v>251</v>
      </c>
      <c r="M15" s="17">
        <f t="shared" si="1"/>
        <v>6.9230769230769221E-2</v>
      </c>
      <c r="O15" s="14" t="s">
        <v>402</v>
      </c>
      <c r="P15" s="86">
        <v>24</v>
      </c>
      <c r="R15" s="14" t="s">
        <v>285</v>
      </c>
      <c r="S15" s="15">
        <f t="shared" si="2"/>
        <v>6.6666666666666662E-3</v>
      </c>
      <c r="U15" s="14" t="s">
        <v>285</v>
      </c>
      <c r="V15" s="17">
        <f t="shared" si="3"/>
        <v>9.9999999999999992E-2</v>
      </c>
      <c r="X15" s="54"/>
      <c r="Y15" s="17" t="s">
        <v>562</v>
      </c>
      <c r="Z15" s="17">
        <f t="shared" si="4"/>
        <v>6.0000000000000001E-3</v>
      </c>
      <c r="AA15" s="17"/>
      <c r="AB15" s="17" t="s">
        <v>562</v>
      </c>
      <c r="AC15" s="17">
        <f t="shared" si="5"/>
        <v>0.09</v>
      </c>
      <c r="AD15" s="17"/>
      <c r="AE15" s="17"/>
      <c r="AF15" s="17" t="s">
        <v>586</v>
      </c>
      <c r="AG15" s="17">
        <f t="shared" si="6"/>
        <v>6.0000000000000001E-3</v>
      </c>
      <c r="AH15" s="17"/>
      <c r="AI15" s="17" t="s">
        <v>586</v>
      </c>
      <c r="AJ15" s="17">
        <f t="shared" si="7"/>
        <v>0.09</v>
      </c>
    </row>
    <row r="16" spans="2:36">
      <c r="B16" s="32" t="s">
        <v>272</v>
      </c>
      <c r="E16" s="15" t="s">
        <v>393</v>
      </c>
      <c r="G16" s="36"/>
      <c r="H16" s="42" t="s">
        <v>252</v>
      </c>
      <c r="I16" s="17">
        <f t="shared" si="0"/>
        <v>4.6153846153846149E-3</v>
      </c>
      <c r="L16" s="42" t="s">
        <v>252</v>
      </c>
      <c r="M16" s="17">
        <f t="shared" si="1"/>
        <v>6.9230769230769221E-2</v>
      </c>
      <c r="O16" s="14" t="s">
        <v>403</v>
      </c>
      <c r="P16" s="86">
        <v>22</v>
      </c>
      <c r="R16" s="17" t="s">
        <v>545</v>
      </c>
      <c r="S16" s="15">
        <f>$F$8/10</f>
        <v>4.0000000000000001E-3</v>
      </c>
      <c r="T16" s="54"/>
      <c r="U16" s="17" t="s">
        <v>545</v>
      </c>
      <c r="V16" s="17">
        <f t="shared" si="3"/>
        <v>0.06</v>
      </c>
      <c r="X16" s="54"/>
      <c r="Y16" s="17" t="s">
        <v>564</v>
      </c>
      <c r="Z16" s="17">
        <f t="shared" si="4"/>
        <v>6.0000000000000001E-3</v>
      </c>
      <c r="AA16" s="17"/>
      <c r="AB16" s="17" t="s">
        <v>564</v>
      </c>
      <c r="AC16" s="17">
        <f t="shared" si="5"/>
        <v>0.09</v>
      </c>
      <c r="AD16" s="17"/>
      <c r="AE16" s="17"/>
      <c r="AF16" s="17" t="s">
        <v>567</v>
      </c>
      <c r="AG16" s="17">
        <f t="shared" si="6"/>
        <v>6.0000000000000001E-3</v>
      </c>
      <c r="AH16" s="17"/>
      <c r="AI16" s="17" t="s">
        <v>567</v>
      </c>
      <c r="AJ16" s="17">
        <f t="shared" si="7"/>
        <v>0.09</v>
      </c>
    </row>
    <row r="17" spans="2:39">
      <c r="B17" s="32" t="s">
        <v>273</v>
      </c>
      <c r="G17" s="36"/>
      <c r="H17" s="42" t="s">
        <v>254</v>
      </c>
      <c r="I17" s="17">
        <f t="shared" si="0"/>
        <v>4.6153846153846149E-3</v>
      </c>
      <c r="L17" s="42" t="s">
        <v>254</v>
      </c>
      <c r="M17" s="17">
        <f t="shared" si="1"/>
        <v>6.9230769230769221E-2</v>
      </c>
      <c r="O17" s="14" t="s">
        <v>404</v>
      </c>
      <c r="P17" s="86">
        <v>20</v>
      </c>
      <c r="R17" s="15" t="s">
        <v>547</v>
      </c>
      <c r="S17" s="15">
        <f t="shared" ref="S17:S25" si="8">$F$8/10</f>
        <v>4.0000000000000001E-3</v>
      </c>
      <c r="T17" s="54"/>
      <c r="U17" s="15" t="s">
        <v>547</v>
      </c>
      <c r="V17" s="17">
        <f t="shared" si="3"/>
        <v>0.06</v>
      </c>
      <c r="X17" s="54"/>
      <c r="Y17" s="17" t="s">
        <v>569</v>
      </c>
      <c r="Z17" s="17">
        <f>$F$8/10</f>
        <v>4.0000000000000001E-3</v>
      </c>
      <c r="AA17" s="17"/>
      <c r="AB17" s="17" t="s">
        <v>569</v>
      </c>
      <c r="AC17" s="17">
        <f t="shared" si="5"/>
        <v>0.06</v>
      </c>
      <c r="AD17" s="17"/>
      <c r="AE17" s="17"/>
      <c r="AF17" s="17" t="s">
        <v>590</v>
      </c>
      <c r="AG17" s="17">
        <f>$F$8/10</f>
        <v>4.0000000000000001E-3</v>
      </c>
      <c r="AH17" s="17"/>
      <c r="AI17" s="17" t="s">
        <v>590</v>
      </c>
      <c r="AJ17" s="17">
        <f t="shared" si="7"/>
        <v>0.06</v>
      </c>
    </row>
    <row r="18" spans="2:39">
      <c r="B18" s="32" t="s">
        <v>274</v>
      </c>
      <c r="G18" s="36"/>
      <c r="H18" s="42" t="s">
        <v>255</v>
      </c>
      <c r="I18" s="17">
        <f t="shared" si="0"/>
        <v>4.6153846153846149E-3</v>
      </c>
      <c r="L18" s="42" t="s">
        <v>255</v>
      </c>
      <c r="M18" s="17">
        <f t="shared" si="1"/>
        <v>6.9230769230769221E-2</v>
      </c>
      <c r="R18" s="15" t="s">
        <v>549</v>
      </c>
      <c r="S18" s="15">
        <f t="shared" si="8"/>
        <v>4.0000000000000001E-3</v>
      </c>
      <c r="T18" s="54"/>
      <c r="U18" s="15" t="s">
        <v>549</v>
      </c>
      <c r="V18" s="17">
        <f t="shared" si="3"/>
        <v>0.06</v>
      </c>
      <c r="X18" s="54"/>
      <c r="Y18" s="17" t="s">
        <v>571</v>
      </c>
      <c r="Z18" s="17">
        <f t="shared" ref="Z18:Z26" si="9">$F$8/10</f>
        <v>4.0000000000000001E-3</v>
      </c>
      <c r="AA18" s="17"/>
      <c r="AB18" s="17" t="s">
        <v>571</v>
      </c>
      <c r="AC18" s="17">
        <f t="shared" si="5"/>
        <v>0.06</v>
      </c>
      <c r="AD18" s="17"/>
      <c r="AE18" s="17"/>
      <c r="AF18" s="17" t="s">
        <v>592</v>
      </c>
      <c r="AG18" s="17">
        <f t="shared" ref="AG18:AG26" si="10">$F$8/10</f>
        <v>4.0000000000000001E-3</v>
      </c>
      <c r="AH18" s="17"/>
      <c r="AI18" s="17" t="s">
        <v>592</v>
      </c>
      <c r="AJ18" s="17">
        <f t="shared" si="7"/>
        <v>0.06</v>
      </c>
    </row>
    <row r="19" spans="2:39">
      <c r="B19" s="32" t="s">
        <v>275</v>
      </c>
      <c r="G19" s="36"/>
      <c r="H19" s="31" t="s">
        <v>257</v>
      </c>
      <c r="I19" s="17">
        <f t="shared" si="0"/>
        <v>4.6153846153846149E-3</v>
      </c>
      <c r="L19" s="31" t="s">
        <v>257</v>
      </c>
      <c r="M19" s="17">
        <f t="shared" si="1"/>
        <v>6.9230769230769221E-2</v>
      </c>
      <c r="R19" s="15" t="s">
        <v>551</v>
      </c>
      <c r="S19" s="15">
        <f t="shared" si="8"/>
        <v>4.0000000000000001E-3</v>
      </c>
      <c r="T19" s="54"/>
      <c r="U19" s="15" t="s">
        <v>551</v>
      </c>
      <c r="V19" s="17">
        <f t="shared" si="3"/>
        <v>0.06</v>
      </c>
      <c r="X19" s="54"/>
      <c r="Y19" s="17" t="s">
        <v>573</v>
      </c>
      <c r="Z19" s="17">
        <f t="shared" si="9"/>
        <v>4.0000000000000001E-3</v>
      </c>
      <c r="AA19" s="17"/>
      <c r="AB19" s="17" t="s">
        <v>573</v>
      </c>
      <c r="AC19" s="17">
        <f t="shared" si="5"/>
        <v>0.06</v>
      </c>
      <c r="AD19" s="17"/>
      <c r="AE19" s="17"/>
      <c r="AF19" s="17" t="s">
        <v>594</v>
      </c>
      <c r="AG19" s="17">
        <f t="shared" si="10"/>
        <v>4.0000000000000001E-3</v>
      </c>
      <c r="AH19" s="17"/>
      <c r="AI19" s="17" t="s">
        <v>594</v>
      </c>
      <c r="AJ19" s="17">
        <f t="shared" si="7"/>
        <v>0.06</v>
      </c>
    </row>
    <row r="20" spans="2:39">
      <c r="B20" s="32" t="s">
        <v>276</v>
      </c>
      <c r="G20" s="36"/>
      <c r="H20" s="32" t="s">
        <v>266</v>
      </c>
      <c r="I20" s="17">
        <f>$F$8/9</f>
        <v>4.4444444444444444E-3</v>
      </c>
      <c r="J20" s="54"/>
      <c r="L20" s="32" t="s">
        <v>266</v>
      </c>
      <c r="M20" s="17">
        <f t="shared" si="1"/>
        <v>6.6666666666666666E-2</v>
      </c>
      <c r="R20" s="15" t="s">
        <v>553</v>
      </c>
      <c r="S20" s="15">
        <f t="shared" si="8"/>
        <v>4.0000000000000001E-3</v>
      </c>
      <c r="T20" s="54"/>
      <c r="U20" s="15" t="s">
        <v>553</v>
      </c>
      <c r="V20" s="17">
        <f t="shared" si="3"/>
        <v>0.06</v>
      </c>
      <c r="X20" s="54"/>
      <c r="Y20" s="17" t="s">
        <v>575</v>
      </c>
      <c r="Z20" s="17">
        <f t="shared" si="9"/>
        <v>4.0000000000000001E-3</v>
      </c>
      <c r="AA20" s="17"/>
      <c r="AB20" s="17" t="s">
        <v>575</v>
      </c>
      <c r="AC20" s="17">
        <f t="shared" si="5"/>
        <v>0.06</v>
      </c>
      <c r="AD20" s="17"/>
      <c r="AE20" s="17"/>
      <c r="AF20" s="17" t="s">
        <v>596</v>
      </c>
      <c r="AG20" s="17">
        <f t="shared" si="10"/>
        <v>4.0000000000000001E-3</v>
      </c>
      <c r="AH20" s="17"/>
      <c r="AI20" s="17" t="s">
        <v>596</v>
      </c>
      <c r="AJ20" s="17">
        <f t="shared" si="7"/>
        <v>0.06</v>
      </c>
    </row>
    <row r="21" spans="2:39">
      <c r="B21" s="32" t="s">
        <v>277</v>
      </c>
      <c r="G21" s="36"/>
      <c r="H21" s="32" t="s">
        <v>268</v>
      </c>
      <c r="I21" s="17">
        <f t="shared" ref="I21:I28" si="11">$F$8/9</f>
        <v>4.4444444444444444E-3</v>
      </c>
      <c r="L21" s="32" t="s">
        <v>268</v>
      </c>
      <c r="M21" s="17">
        <f t="shared" si="1"/>
        <v>6.6666666666666666E-2</v>
      </c>
      <c r="R21" s="15" t="s">
        <v>555</v>
      </c>
      <c r="S21" s="15">
        <f t="shared" si="8"/>
        <v>4.0000000000000001E-3</v>
      </c>
      <c r="T21" s="54"/>
      <c r="U21" s="15" t="s">
        <v>555</v>
      </c>
      <c r="V21" s="17">
        <f t="shared" si="3"/>
        <v>0.06</v>
      </c>
      <c r="X21" s="54"/>
      <c r="Y21" s="17" t="s">
        <v>577</v>
      </c>
      <c r="Z21" s="17">
        <f t="shared" si="9"/>
        <v>4.0000000000000001E-3</v>
      </c>
      <c r="AA21" s="17"/>
      <c r="AB21" s="17" t="s">
        <v>577</v>
      </c>
      <c r="AC21" s="17">
        <f t="shared" si="5"/>
        <v>0.06</v>
      </c>
      <c r="AD21" s="17"/>
      <c r="AE21" s="17"/>
      <c r="AF21" s="17" t="s">
        <v>598</v>
      </c>
      <c r="AG21" s="17">
        <f t="shared" si="10"/>
        <v>4.0000000000000001E-3</v>
      </c>
      <c r="AH21" s="17"/>
      <c r="AI21" s="17" t="s">
        <v>598</v>
      </c>
      <c r="AJ21" s="17">
        <f t="shared" si="7"/>
        <v>0.06</v>
      </c>
    </row>
    <row r="22" spans="2:39">
      <c r="B22" s="32" t="s">
        <v>278</v>
      </c>
      <c r="E22" s="8">
        <f>50*1.5</f>
        <v>75</v>
      </c>
      <c r="G22" s="36"/>
      <c r="H22" s="32" t="s">
        <v>270</v>
      </c>
      <c r="I22" s="17">
        <f t="shared" si="11"/>
        <v>4.4444444444444444E-3</v>
      </c>
      <c r="L22" s="32" t="s">
        <v>270</v>
      </c>
      <c r="M22" s="17">
        <f t="shared" si="1"/>
        <v>6.6666666666666666E-2</v>
      </c>
      <c r="R22" s="15" t="s">
        <v>557</v>
      </c>
      <c r="S22" s="15">
        <f t="shared" si="8"/>
        <v>4.0000000000000001E-3</v>
      </c>
      <c r="T22" s="54"/>
      <c r="U22" s="15" t="s">
        <v>557</v>
      </c>
      <c r="V22" s="17">
        <f t="shared" si="3"/>
        <v>0.06</v>
      </c>
      <c r="X22" s="54"/>
      <c r="Y22" s="17" t="s">
        <v>579</v>
      </c>
      <c r="Z22" s="17">
        <f t="shared" si="9"/>
        <v>4.0000000000000001E-3</v>
      </c>
      <c r="AA22" s="17"/>
      <c r="AB22" s="17" t="s">
        <v>579</v>
      </c>
      <c r="AC22" s="17">
        <f t="shared" si="5"/>
        <v>0.06</v>
      </c>
      <c r="AD22" s="17"/>
      <c r="AE22" s="17"/>
      <c r="AF22" s="17" t="s">
        <v>600</v>
      </c>
      <c r="AG22" s="17">
        <f t="shared" si="10"/>
        <v>4.0000000000000001E-3</v>
      </c>
      <c r="AH22" s="17"/>
      <c r="AI22" s="17" t="s">
        <v>600</v>
      </c>
      <c r="AJ22" s="17">
        <f t="shared" si="7"/>
        <v>0.06</v>
      </c>
    </row>
    <row r="23" spans="2:39">
      <c r="B23" s="32" t="s">
        <v>279</v>
      </c>
      <c r="G23" s="36"/>
      <c r="H23" s="32" t="s">
        <v>272</v>
      </c>
      <c r="I23" s="17">
        <f t="shared" si="11"/>
        <v>4.4444444444444444E-3</v>
      </c>
      <c r="L23" s="32" t="s">
        <v>272</v>
      </c>
      <c r="M23" s="17">
        <f t="shared" si="1"/>
        <v>6.6666666666666666E-2</v>
      </c>
      <c r="R23" s="15" t="s">
        <v>560</v>
      </c>
      <c r="S23" s="15">
        <f t="shared" si="8"/>
        <v>4.0000000000000001E-3</v>
      </c>
      <c r="T23" s="54"/>
      <c r="U23" s="15" t="s">
        <v>560</v>
      </c>
      <c r="V23" s="17">
        <f t="shared" si="3"/>
        <v>0.06</v>
      </c>
      <c r="X23" s="54"/>
      <c r="Y23" s="17" t="s">
        <v>581</v>
      </c>
      <c r="Z23" s="17">
        <f t="shared" si="9"/>
        <v>4.0000000000000001E-3</v>
      </c>
      <c r="AA23" s="17"/>
      <c r="AB23" s="17" t="s">
        <v>581</v>
      </c>
      <c r="AC23" s="17">
        <f t="shared" si="5"/>
        <v>0.06</v>
      </c>
      <c r="AD23" s="17"/>
      <c r="AE23" s="17"/>
      <c r="AF23" s="17" t="s">
        <v>602</v>
      </c>
      <c r="AG23" s="17">
        <f t="shared" si="10"/>
        <v>4.0000000000000001E-3</v>
      </c>
      <c r="AH23" s="17"/>
      <c r="AI23" s="17" t="s">
        <v>602</v>
      </c>
      <c r="AJ23" s="17">
        <f t="shared" si="7"/>
        <v>0.06</v>
      </c>
    </row>
    <row r="24" spans="2:39">
      <c r="B24" s="32" t="s">
        <v>280</v>
      </c>
      <c r="G24" s="36"/>
      <c r="H24" s="32" t="s">
        <v>274</v>
      </c>
      <c r="I24" s="17">
        <f t="shared" si="11"/>
        <v>4.4444444444444444E-3</v>
      </c>
      <c r="L24" s="32" t="s">
        <v>274</v>
      </c>
      <c r="M24" s="17">
        <f t="shared" si="1"/>
        <v>6.6666666666666666E-2</v>
      </c>
      <c r="R24" s="15" t="s">
        <v>562</v>
      </c>
      <c r="S24" s="15">
        <f t="shared" si="8"/>
        <v>4.0000000000000001E-3</v>
      </c>
      <c r="T24" s="54"/>
      <c r="U24" s="15" t="s">
        <v>562</v>
      </c>
      <c r="V24" s="17">
        <f t="shared" si="3"/>
        <v>0.06</v>
      </c>
      <c r="X24" s="54"/>
      <c r="Y24" s="17" t="s">
        <v>584</v>
      </c>
      <c r="Z24" s="17">
        <f t="shared" si="9"/>
        <v>4.0000000000000001E-3</v>
      </c>
      <c r="AA24" s="17"/>
      <c r="AB24" s="17" t="s">
        <v>584</v>
      </c>
      <c r="AC24" s="17">
        <f t="shared" si="5"/>
        <v>0.06</v>
      </c>
      <c r="AD24" s="17"/>
      <c r="AE24" s="17"/>
      <c r="AF24" s="17" t="s">
        <v>605</v>
      </c>
      <c r="AG24" s="17">
        <f t="shared" si="10"/>
        <v>4.0000000000000001E-3</v>
      </c>
      <c r="AH24" s="17"/>
      <c r="AI24" s="17" t="s">
        <v>605</v>
      </c>
      <c r="AJ24" s="17">
        <f t="shared" si="7"/>
        <v>0.06</v>
      </c>
    </row>
    <row r="25" spans="2:39">
      <c r="B25" s="32" t="s">
        <v>281</v>
      </c>
      <c r="G25" s="36"/>
      <c r="H25" s="32" t="s">
        <v>276</v>
      </c>
      <c r="I25" s="17">
        <f t="shared" si="11"/>
        <v>4.4444444444444444E-3</v>
      </c>
      <c r="L25" s="32" t="s">
        <v>276</v>
      </c>
      <c r="M25" s="17">
        <f t="shared" si="1"/>
        <v>6.6666666666666666E-2</v>
      </c>
      <c r="R25" s="15" t="s">
        <v>564</v>
      </c>
      <c r="S25" s="15">
        <f t="shared" si="8"/>
        <v>4.0000000000000001E-3</v>
      </c>
      <c r="T25" s="54"/>
      <c r="U25" s="15" t="s">
        <v>564</v>
      </c>
      <c r="V25" s="17">
        <f t="shared" si="3"/>
        <v>0.06</v>
      </c>
      <c r="X25" s="54"/>
      <c r="Y25" s="17" t="s">
        <v>586</v>
      </c>
      <c r="Z25" s="17">
        <f t="shared" si="9"/>
        <v>4.0000000000000001E-3</v>
      </c>
      <c r="AA25" s="17"/>
      <c r="AB25" s="17" t="s">
        <v>586</v>
      </c>
      <c r="AC25" s="17">
        <f t="shared" si="5"/>
        <v>0.06</v>
      </c>
      <c r="AD25" s="17"/>
      <c r="AE25" s="17"/>
      <c r="AF25" s="17" t="s">
        <v>607</v>
      </c>
      <c r="AG25" s="17">
        <f t="shared" si="10"/>
        <v>4.0000000000000001E-3</v>
      </c>
      <c r="AH25" s="17"/>
      <c r="AI25" s="17" t="s">
        <v>607</v>
      </c>
      <c r="AJ25" s="17">
        <f t="shared" si="7"/>
        <v>0.06</v>
      </c>
    </row>
    <row r="26" spans="2:39">
      <c r="B26" s="32" t="s">
        <v>282</v>
      </c>
      <c r="G26" s="36"/>
      <c r="H26" s="32" t="s">
        <v>278</v>
      </c>
      <c r="I26" s="17">
        <f t="shared" si="11"/>
        <v>4.4444444444444444E-3</v>
      </c>
      <c r="L26" s="32" t="s">
        <v>278</v>
      </c>
      <c r="M26" s="17">
        <f t="shared" si="1"/>
        <v>6.6666666666666666E-2</v>
      </c>
      <c r="R26" s="15"/>
      <c r="T26" s="54"/>
      <c r="X26" s="54"/>
      <c r="Y26" s="17" t="s">
        <v>567</v>
      </c>
      <c r="Z26" s="17">
        <f t="shared" si="9"/>
        <v>4.0000000000000001E-3</v>
      </c>
      <c r="AA26" s="17"/>
      <c r="AB26" s="17" t="s">
        <v>567</v>
      </c>
      <c r="AC26" s="17">
        <f t="shared" si="5"/>
        <v>0.06</v>
      </c>
      <c r="AD26" s="17"/>
      <c r="AE26" s="17"/>
      <c r="AF26" s="17" t="s">
        <v>609</v>
      </c>
      <c r="AG26" s="17">
        <f t="shared" si="10"/>
        <v>4.0000000000000001E-3</v>
      </c>
      <c r="AH26" s="17"/>
      <c r="AI26" s="17" t="s">
        <v>609</v>
      </c>
      <c r="AJ26" s="17">
        <f t="shared" si="7"/>
        <v>0.06</v>
      </c>
    </row>
    <row r="27" spans="2:39">
      <c r="B27" s="32" t="s">
        <v>283</v>
      </c>
      <c r="G27" s="36"/>
      <c r="H27" s="32" t="s">
        <v>282</v>
      </c>
      <c r="I27" s="17">
        <f t="shared" si="11"/>
        <v>4.4444444444444444E-3</v>
      </c>
      <c r="L27" s="32" t="s">
        <v>282</v>
      </c>
      <c r="M27" s="17">
        <f t="shared" si="1"/>
        <v>6.6666666666666666E-2</v>
      </c>
      <c r="T27" s="54"/>
      <c r="X27" s="54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</row>
    <row r="28" spans="2:39">
      <c r="B28" s="32" t="s">
        <v>284</v>
      </c>
      <c r="G28" s="36"/>
      <c r="H28" s="32" t="s">
        <v>285</v>
      </c>
      <c r="I28" s="17">
        <f t="shared" si="11"/>
        <v>4.4444444444444444E-3</v>
      </c>
      <c r="L28" s="32" t="s">
        <v>285</v>
      </c>
      <c r="M28" s="17">
        <f t="shared" si="1"/>
        <v>6.6666666666666666E-2</v>
      </c>
      <c r="T28" s="54"/>
      <c r="X28" s="54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M28" s="54"/>
    </row>
    <row r="29" spans="2:39">
      <c r="B29" s="32" t="s">
        <v>285</v>
      </c>
      <c r="G29" s="36"/>
      <c r="T29" s="54"/>
      <c r="U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M29" s="54"/>
    </row>
    <row r="30" spans="2:39">
      <c r="F30" s="17"/>
      <c r="G30" s="61"/>
      <c r="H30" s="17"/>
      <c r="I30" s="17"/>
      <c r="J30" s="17"/>
      <c r="R30" s="17"/>
      <c r="T30" s="54"/>
      <c r="U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</row>
    <row r="31" spans="2:39">
      <c r="B31" s="42" t="s">
        <v>237</v>
      </c>
      <c r="F31" s="17"/>
      <c r="G31" s="61" t="s">
        <v>408</v>
      </c>
      <c r="H31" s="26" t="s">
        <v>396</v>
      </c>
      <c r="I31" s="15">
        <f>$F$9/3</f>
        <v>3.3333333333333335E-3</v>
      </c>
      <c r="K31" s="61" t="s">
        <v>418</v>
      </c>
      <c r="L31" s="17" t="s">
        <v>395</v>
      </c>
      <c r="M31" s="15">
        <f>I31*30</f>
        <v>0.1</v>
      </c>
      <c r="Q31" s="61" t="s">
        <v>408</v>
      </c>
      <c r="R31" s="17" t="s">
        <v>546</v>
      </c>
      <c r="S31" s="15">
        <f>$F$9/3</f>
        <v>3.3333333333333335E-3</v>
      </c>
      <c r="T31" s="61" t="s">
        <v>418</v>
      </c>
      <c r="U31" s="17" t="s">
        <v>544</v>
      </c>
      <c r="V31" s="17">
        <v>0.1</v>
      </c>
      <c r="X31" s="61" t="s">
        <v>408</v>
      </c>
      <c r="Y31" s="17" t="s">
        <v>610</v>
      </c>
      <c r="Z31" s="15">
        <f>$F$9/3</f>
        <v>3.3333333333333335E-3</v>
      </c>
      <c r="AA31" s="61" t="s">
        <v>418</v>
      </c>
      <c r="AB31" s="17" t="s">
        <v>568</v>
      </c>
      <c r="AC31" s="17">
        <v>0.1</v>
      </c>
      <c r="AD31" s="17"/>
      <c r="AE31" s="17"/>
      <c r="AF31" s="17" t="s">
        <v>591</v>
      </c>
      <c r="AG31" s="15">
        <f>$F$9/3</f>
        <v>3.3333333333333335E-3</v>
      </c>
      <c r="AH31" s="17"/>
      <c r="AI31" s="17" t="s">
        <v>589</v>
      </c>
      <c r="AJ31" s="17">
        <v>0.1</v>
      </c>
    </row>
    <row r="32" spans="2:39">
      <c r="B32" s="42" t="s">
        <v>238</v>
      </c>
      <c r="F32" s="17"/>
      <c r="G32" s="61"/>
      <c r="H32" s="26" t="s">
        <v>397</v>
      </c>
      <c r="I32" s="15">
        <f t="shared" ref="I32:I33" si="12">$F$9/3</f>
        <v>3.3333333333333335E-3</v>
      </c>
      <c r="K32" s="61"/>
      <c r="L32" s="17" t="s">
        <v>396</v>
      </c>
      <c r="M32" s="15">
        <f t="shared" ref="M32:M33" si="13">I32*30</f>
        <v>0.1</v>
      </c>
      <c r="Q32" s="61"/>
      <c r="R32" s="17" t="s">
        <v>548</v>
      </c>
      <c r="S32" s="15">
        <f t="shared" ref="S32:S33" si="14">$F$9/3</f>
        <v>3.3333333333333335E-3</v>
      </c>
      <c r="T32" s="61"/>
      <c r="U32" s="17" t="s">
        <v>546</v>
      </c>
      <c r="V32" s="17">
        <v>0.1</v>
      </c>
      <c r="X32" s="61"/>
      <c r="Y32" s="17" t="s">
        <v>572</v>
      </c>
      <c r="Z32" s="15">
        <f t="shared" ref="Z32:Z33" si="15">$F$9/3</f>
        <v>3.3333333333333335E-3</v>
      </c>
      <c r="AA32" s="61"/>
      <c r="AB32" s="17" t="s">
        <v>570</v>
      </c>
      <c r="AC32" s="17">
        <v>0.1</v>
      </c>
      <c r="AD32" s="17"/>
      <c r="AE32" s="17"/>
      <c r="AF32" s="17" t="s">
        <v>593</v>
      </c>
      <c r="AG32" s="15">
        <f t="shared" ref="AG32:AG33" si="16">$F$9/3</f>
        <v>3.3333333333333335E-3</v>
      </c>
      <c r="AH32" s="17"/>
      <c r="AI32" s="17" t="s">
        <v>591</v>
      </c>
      <c r="AJ32" s="17">
        <v>0.1</v>
      </c>
    </row>
    <row r="33" spans="2:36">
      <c r="B33" s="42" t="s">
        <v>242</v>
      </c>
      <c r="F33" s="17"/>
      <c r="G33" s="61"/>
      <c r="H33" s="14" t="s">
        <v>399</v>
      </c>
      <c r="I33" s="15">
        <f t="shared" si="12"/>
        <v>3.3333333333333335E-3</v>
      </c>
      <c r="J33" s="17"/>
      <c r="K33" s="61"/>
      <c r="L33" s="17" t="s">
        <v>397</v>
      </c>
      <c r="M33" s="15">
        <f t="shared" si="13"/>
        <v>0.1</v>
      </c>
      <c r="Q33" s="61"/>
      <c r="R33" s="17" t="s">
        <v>552</v>
      </c>
      <c r="S33" s="15">
        <f t="shared" si="14"/>
        <v>3.3333333333333335E-3</v>
      </c>
      <c r="T33" s="61"/>
      <c r="U33" s="17" t="s">
        <v>552</v>
      </c>
      <c r="V33" s="17">
        <v>0.1</v>
      </c>
      <c r="X33" s="61"/>
      <c r="Y33" s="17" t="s">
        <v>576</v>
      </c>
      <c r="Z33" s="15">
        <f t="shared" si="15"/>
        <v>3.3333333333333335E-3</v>
      </c>
      <c r="AA33" s="61"/>
      <c r="AB33" s="17" t="s">
        <v>576</v>
      </c>
      <c r="AC33" s="17">
        <v>0.1</v>
      </c>
      <c r="AD33" s="17"/>
      <c r="AE33" s="17"/>
      <c r="AF33" s="17" t="s">
        <v>597</v>
      </c>
      <c r="AG33" s="15">
        <f t="shared" si="16"/>
        <v>3.3333333333333335E-3</v>
      </c>
      <c r="AH33" s="17"/>
      <c r="AI33" s="17" t="s">
        <v>597</v>
      </c>
      <c r="AJ33" s="17">
        <v>0.1</v>
      </c>
    </row>
    <row r="34" spans="2:36">
      <c r="B34" s="42" t="s">
        <v>244</v>
      </c>
      <c r="F34" s="17"/>
      <c r="G34" s="61"/>
      <c r="I34" s="17"/>
      <c r="J34" s="17"/>
      <c r="K34" s="61"/>
      <c r="L34" s="17"/>
      <c r="M34" s="17"/>
      <c r="Q34" s="61"/>
      <c r="R34" s="17"/>
      <c r="S34" s="17"/>
      <c r="T34" s="61"/>
      <c r="U34" s="17"/>
      <c r="V34" s="17"/>
      <c r="X34" s="61"/>
      <c r="Y34" s="17"/>
      <c r="Z34" s="17"/>
      <c r="AA34" s="61"/>
      <c r="AB34" s="17"/>
      <c r="AC34" s="17"/>
      <c r="AD34" s="17"/>
      <c r="AE34" s="17"/>
      <c r="AF34" s="17"/>
      <c r="AG34" s="17"/>
      <c r="AH34" s="17"/>
      <c r="AI34" s="17"/>
      <c r="AJ34" s="17"/>
    </row>
    <row r="35" spans="2:36">
      <c r="B35" s="42" t="s">
        <v>246</v>
      </c>
      <c r="F35" s="17"/>
      <c r="G35" s="61"/>
      <c r="I35" s="17"/>
      <c r="J35" s="17"/>
      <c r="K35" s="61"/>
      <c r="L35" s="17"/>
      <c r="M35" s="17"/>
      <c r="Q35" s="61"/>
      <c r="R35" s="17"/>
      <c r="S35" s="17"/>
      <c r="T35" s="61"/>
      <c r="U35" s="17"/>
      <c r="V35" s="17"/>
      <c r="X35" s="61"/>
      <c r="Y35" s="17"/>
      <c r="Z35" s="17"/>
      <c r="AA35" s="61"/>
      <c r="AB35" s="17"/>
      <c r="AC35" s="17"/>
      <c r="AD35" s="17"/>
      <c r="AE35" s="17"/>
      <c r="AF35" s="17"/>
      <c r="AG35" s="17"/>
      <c r="AH35" s="17"/>
      <c r="AI35" s="17"/>
      <c r="AJ35" s="17"/>
    </row>
    <row r="36" spans="2:36">
      <c r="B36" s="42" t="s">
        <v>248</v>
      </c>
      <c r="F36" s="17"/>
      <c r="G36" s="61" t="s">
        <v>409</v>
      </c>
      <c r="H36" s="26" t="s">
        <v>396</v>
      </c>
      <c r="I36" s="15">
        <f>$F$9/3</f>
        <v>3.3333333333333335E-3</v>
      </c>
      <c r="J36" s="17"/>
      <c r="K36" s="61" t="s">
        <v>419</v>
      </c>
      <c r="L36" s="17" t="s">
        <v>395</v>
      </c>
      <c r="M36" s="15">
        <f>0.3/6</f>
        <v>4.9999999999999996E-2</v>
      </c>
      <c r="Q36" s="61" t="s">
        <v>409</v>
      </c>
      <c r="R36" s="17" t="s">
        <v>546</v>
      </c>
      <c r="S36" s="15">
        <f>$F$9/3</f>
        <v>3.3333333333333335E-3</v>
      </c>
      <c r="T36" s="61" t="s">
        <v>419</v>
      </c>
      <c r="U36" s="17" t="s">
        <v>544</v>
      </c>
      <c r="V36" s="17">
        <v>4.9999999999999996E-2</v>
      </c>
      <c r="X36" s="61" t="s">
        <v>409</v>
      </c>
      <c r="Y36" s="17" t="s">
        <v>570</v>
      </c>
      <c r="Z36" s="15">
        <f>$F$9/3</f>
        <v>3.3333333333333335E-3</v>
      </c>
      <c r="AA36" s="61" t="s">
        <v>419</v>
      </c>
      <c r="AB36" s="17" t="s">
        <v>568</v>
      </c>
      <c r="AC36" s="17">
        <v>4.9999999999999996E-2</v>
      </c>
      <c r="AD36" s="17"/>
      <c r="AE36" s="17"/>
      <c r="AF36" s="17" t="s">
        <v>591</v>
      </c>
      <c r="AG36" s="15">
        <f>$F$9/3</f>
        <v>3.3333333333333335E-3</v>
      </c>
      <c r="AH36" s="17"/>
      <c r="AI36" s="17" t="s">
        <v>589</v>
      </c>
      <c r="AJ36" s="17">
        <v>4.9999999999999996E-2</v>
      </c>
    </row>
    <row r="37" spans="2:36">
      <c r="B37" s="42" t="s">
        <v>249</v>
      </c>
      <c r="F37" s="17"/>
      <c r="G37" s="61"/>
      <c r="H37" s="26" t="s">
        <v>397</v>
      </c>
      <c r="I37" s="15">
        <f t="shared" ref="I37:I38" si="17">$F$9/3</f>
        <v>3.3333333333333335E-3</v>
      </c>
      <c r="J37" s="17"/>
      <c r="K37" s="61"/>
      <c r="L37" s="17" t="s">
        <v>396</v>
      </c>
      <c r="M37" s="15">
        <f t="shared" ref="M37:M41" si="18">0.3/6</f>
        <v>4.9999999999999996E-2</v>
      </c>
      <c r="Q37" s="61"/>
      <c r="R37" s="17" t="s">
        <v>548</v>
      </c>
      <c r="S37" s="15">
        <f t="shared" ref="S37:S38" si="19">$F$9/3</f>
        <v>3.3333333333333335E-3</v>
      </c>
      <c r="T37" s="61"/>
      <c r="U37" s="17" t="s">
        <v>546</v>
      </c>
      <c r="V37" s="17">
        <v>4.9999999999999996E-2</v>
      </c>
      <c r="X37" s="61"/>
      <c r="Y37" s="17" t="s">
        <v>572</v>
      </c>
      <c r="Z37" s="15">
        <f t="shared" ref="Z37:Z38" si="20">$F$9/3</f>
        <v>3.3333333333333335E-3</v>
      </c>
      <c r="AA37" s="61"/>
      <c r="AB37" s="17" t="s">
        <v>570</v>
      </c>
      <c r="AC37" s="17">
        <v>4.9999999999999996E-2</v>
      </c>
      <c r="AD37" s="17"/>
      <c r="AE37" s="17"/>
      <c r="AF37" s="17" t="s">
        <v>593</v>
      </c>
      <c r="AG37" s="15">
        <f t="shared" ref="AG37:AG38" si="21">$F$9/3</f>
        <v>3.3333333333333335E-3</v>
      </c>
      <c r="AH37" s="17"/>
      <c r="AI37" s="17" t="s">
        <v>591</v>
      </c>
      <c r="AJ37" s="17">
        <v>4.9999999999999996E-2</v>
      </c>
    </row>
    <row r="38" spans="2:36">
      <c r="B38" s="42" t="s">
        <v>250</v>
      </c>
      <c r="F38" s="17"/>
      <c r="G38" s="61"/>
      <c r="H38" s="14" t="s">
        <v>399</v>
      </c>
      <c r="I38" s="15">
        <f t="shared" si="17"/>
        <v>3.3333333333333335E-3</v>
      </c>
      <c r="J38" s="17"/>
      <c r="K38" s="61"/>
      <c r="L38" s="17" t="s">
        <v>397</v>
      </c>
      <c r="M38" s="15">
        <f t="shared" si="18"/>
        <v>4.9999999999999996E-2</v>
      </c>
      <c r="Q38" s="61"/>
      <c r="R38" s="17" t="s">
        <v>552</v>
      </c>
      <c r="S38" s="15">
        <f t="shared" si="19"/>
        <v>3.3333333333333335E-3</v>
      </c>
      <c r="T38" s="61"/>
      <c r="U38" s="17" t="s">
        <v>552</v>
      </c>
      <c r="V38" s="17">
        <v>4.9999999999999996E-2</v>
      </c>
      <c r="X38" s="61"/>
      <c r="Y38" s="17" t="s">
        <v>576</v>
      </c>
      <c r="Z38" s="15">
        <f t="shared" si="20"/>
        <v>3.3333333333333335E-3</v>
      </c>
      <c r="AA38" s="61"/>
      <c r="AB38" s="17" t="s">
        <v>576</v>
      </c>
      <c r="AC38" s="17">
        <v>4.9999999999999996E-2</v>
      </c>
      <c r="AD38" s="17"/>
      <c r="AE38" s="17"/>
      <c r="AF38" s="17" t="s">
        <v>597</v>
      </c>
      <c r="AG38" s="15">
        <f t="shared" si="21"/>
        <v>3.3333333333333335E-3</v>
      </c>
      <c r="AH38" s="17"/>
      <c r="AI38" s="17" t="s">
        <v>597</v>
      </c>
      <c r="AJ38" s="17">
        <v>4.9999999999999996E-2</v>
      </c>
    </row>
    <row r="39" spans="2:36">
      <c r="B39" s="42" t="s">
        <v>251</v>
      </c>
      <c r="F39" s="17"/>
      <c r="G39" s="61"/>
      <c r="H39" s="14" t="s">
        <v>398</v>
      </c>
      <c r="I39" s="17">
        <f>$F$10/3</f>
        <v>1.6666666666666668E-3</v>
      </c>
      <c r="J39" s="17"/>
      <c r="K39" s="61"/>
      <c r="L39" s="17" t="s">
        <v>411</v>
      </c>
      <c r="M39" s="15">
        <f t="shared" si="18"/>
        <v>4.9999999999999996E-2</v>
      </c>
      <c r="Q39" s="61"/>
      <c r="R39" s="17" t="s">
        <v>550</v>
      </c>
      <c r="S39" s="17">
        <f>$F$10/3</f>
        <v>1.6666666666666668E-3</v>
      </c>
      <c r="T39" s="61"/>
      <c r="U39" s="17" t="s">
        <v>554</v>
      </c>
      <c r="V39" s="17">
        <v>4.9999999999999996E-2</v>
      </c>
      <c r="X39" s="61"/>
      <c r="Y39" s="17" t="s">
        <v>574</v>
      </c>
      <c r="Z39" s="17">
        <f>$F$10/3</f>
        <v>1.6666666666666668E-3</v>
      </c>
      <c r="AA39" s="61"/>
      <c r="AB39" s="17" t="s">
        <v>578</v>
      </c>
      <c r="AC39" s="17">
        <v>4.9999999999999996E-2</v>
      </c>
      <c r="AD39" s="17"/>
      <c r="AE39" s="17"/>
      <c r="AF39" s="17" t="s">
        <v>595</v>
      </c>
      <c r="AG39" s="17">
        <f>$F$10/3</f>
        <v>1.6666666666666668E-3</v>
      </c>
      <c r="AH39" s="17"/>
      <c r="AI39" s="17" t="s">
        <v>599</v>
      </c>
      <c r="AJ39" s="17">
        <v>4.9999999999999996E-2</v>
      </c>
    </row>
    <row r="40" spans="2:36">
      <c r="B40" s="42" t="s">
        <v>252</v>
      </c>
      <c r="F40" s="17"/>
      <c r="G40" s="61"/>
      <c r="H40" s="26" t="s">
        <v>275</v>
      </c>
      <c r="I40" s="17">
        <f t="shared" ref="I40:I41" si="22">$F$10/3</f>
        <v>1.6666666666666668E-3</v>
      </c>
      <c r="J40" s="17"/>
      <c r="K40" s="61"/>
      <c r="L40" s="17" t="s">
        <v>412</v>
      </c>
      <c r="M40" s="15">
        <f t="shared" si="18"/>
        <v>4.9999999999999996E-2</v>
      </c>
      <c r="Q40" s="61"/>
      <c r="R40" s="17" t="s">
        <v>554</v>
      </c>
      <c r="S40" s="17">
        <f t="shared" ref="S40:S41" si="23">$F$10/3</f>
        <v>1.6666666666666668E-3</v>
      </c>
      <c r="T40" s="61"/>
      <c r="U40" s="17" t="s">
        <v>550</v>
      </c>
      <c r="V40" s="17">
        <v>4.9999999999999996E-2</v>
      </c>
      <c r="X40" s="61"/>
      <c r="Y40" s="17" t="s">
        <v>578</v>
      </c>
      <c r="Z40" s="17">
        <f t="shared" ref="Z40:Z41" si="24">$F$10/3</f>
        <v>1.6666666666666668E-3</v>
      </c>
      <c r="AA40" s="61"/>
      <c r="AB40" s="17" t="s">
        <v>574</v>
      </c>
      <c r="AC40" s="17">
        <v>4.9999999999999996E-2</v>
      </c>
      <c r="AD40" s="17"/>
      <c r="AE40" s="17"/>
      <c r="AF40" s="17" t="s">
        <v>599</v>
      </c>
      <c r="AG40" s="17">
        <f t="shared" ref="AG40:AG41" si="25">$F$10/3</f>
        <v>1.6666666666666668E-3</v>
      </c>
      <c r="AH40" s="17"/>
      <c r="AI40" s="17" t="s">
        <v>595</v>
      </c>
      <c r="AJ40" s="17">
        <v>4.9999999999999996E-2</v>
      </c>
    </row>
    <row r="41" spans="2:36">
      <c r="B41" s="42" t="s">
        <v>254</v>
      </c>
      <c r="F41" s="17"/>
      <c r="G41" s="61"/>
      <c r="H41" s="33" t="s">
        <v>401</v>
      </c>
      <c r="I41" s="17">
        <f t="shared" si="22"/>
        <v>1.6666666666666668E-3</v>
      </c>
      <c r="J41" s="17"/>
      <c r="K41" s="61"/>
      <c r="L41" s="17" t="s">
        <v>413</v>
      </c>
      <c r="M41" s="15">
        <f t="shared" si="18"/>
        <v>4.9999999999999996E-2</v>
      </c>
      <c r="Q41" s="61"/>
      <c r="R41" s="17" t="s">
        <v>563</v>
      </c>
      <c r="S41" s="17">
        <f t="shared" si="23"/>
        <v>1.6666666666666668E-3</v>
      </c>
      <c r="T41" s="61"/>
      <c r="U41" s="17" t="s">
        <v>548</v>
      </c>
      <c r="V41" s="17">
        <v>4.9999999999999996E-2</v>
      </c>
      <c r="X41" s="61"/>
      <c r="Y41" s="17" t="s">
        <v>587</v>
      </c>
      <c r="Z41" s="17">
        <f t="shared" si="24"/>
        <v>1.6666666666666668E-3</v>
      </c>
      <c r="AA41" s="61"/>
      <c r="AB41" s="17" t="s">
        <v>572</v>
      </c>
      <c r="AC41" s="17">
        <v>4.9999999999999996E-2</v>
      </c>
      <c r="AD41" s="17"/>
      <c r="AE41" s="17"/>
      <c r="AF41" s="17" t="s">
        <v>608</v>
      </c>
      <c r="AG41" s="17">
        <f t="shared" si="25"/>
        <v>1.6666666666666668E-3</v>
      </c>
      <c r="AH41" s="17"/>
      <c r="AI41" s="17" t="s">
        <v>593</v>
      </c>
      <c r="AJ41" s="17">
        <v>4.9999999999999996E-2</v>
      </c>
    </row>
    <row r="42" spans="2:36">
      <c r="B42" s="42" t="s">
        <v>255</v>
      </c>
      <c r="F42" s="17"/>
      <c r="G42" s="61"/>
      <c r="I42" s="17"/>
      <c r="J42" s="17"/>
      <c r="K42" s="61"/>
      <c r="L42" s="17"/>
      <c r="M42" s="17"/>
      <c r="Q42" s="61"/>
      <c r="R42" s="17"/>
      <c r="S42" s="17"/>
      <c r="T42" s="61"/>
      <c r="U42" s="17"/>
      <c r="V42" s="17"/>
      <c r="X42" s="61"/>
      <c r="Y42" s="17"/>
      <c r="Z42" s="17"/>
      <c r="AA42" s="61"/>
      <c r="AB42" s="17"/>
      <c r="AC42" s="17"/>
      <c r="AD42" s="17"/>
      <c r="AE42" s="17"/>
      <c r="AF42" s="17"/>
      <c r="AG42" s="17"/>
      <c r="AH42" s="17"/>
      <c r="AI42" s="17"/>
      <c r="AJ42" s="17"/>
    </row>
    <row r="43" spans="2:36">
      <c r="B43" s="31" t="s">
        <v>257</v>
      </c>
      <c r="F43" s="17"/>
      <c r="G43" s="61"/>
      <c r="I43" s="17"/>
      <c r="J43" s="17"/>
      <c r="K43" s="61"/>
      <c r="L43" s="17"/>
      <c r="M43" s="17"/>
      <c r="Q43" s="61"/>
      <c r="R43" s="17"/>
      <c r="S43" s="17"/>
      <c r="T43" s="61"/>
      <c r="U43" s="17"/>
      <c r="V43" s="17"/>
      <c r="X43" s="61"/>
      <c r="Y43" s="17"/>
      <c r="Z43" s="17"/>
      <c r="AA43" s="61"/>
      <c r="AB43" s="17"/>
      <c r="AC43" s="17"/>
      <c r="AD43" s="17"/>
      <c r="AE43" s="17"/>
      <c r="AF43" s="17"/>
      <c r="AG43" s="17"/>
      <c r="AH43" s="17"/>
      <c r="AI43" s="17"/>
      <c r="AJ43" s="17"/>
    </row>
    <row r="44" spans="2:36">
      <c r="F44" s="17"/>
      <c r="G44" s="61" t="s">
        <v>410</v>
      </c>
      <c r="H44" s="26" t="s">
        <v>396</v>
      </c>
      <c r="I44" s="15">
        <f>$F$9/3</f>
        <v>3.3333333333333335E-3</v>
      </c>
      <c r="J44" s="17"/>
      <c r="K44" s="61" t="s">
        <v>420</v>
      </c>
      <c r="L44" s="17" t="s">
        <v>395</v>
      </c>
      <c r="M44" s="15">
        <f>0.35/10</f>
        <v>3.4999999999999996E-2</v>
      </c>
      <c r="Q44" s="61" t="s">
        <v>410</v>
      </c>
      <c r="R44" s="17" t="s">
        <v>546</v>
      </c>
      <c r="S44" s="15">
        <f>$F$9/3</f>
        <v>3.3333333333333335E-3</v>
      </c>
      <c r="T44" s="61" t="s">
        <v>420</v>
      </c>
      <c r="U44" s="17" t="s">
        <v>544</v>
      </c>
      <c r="V44" s="17">
        <v>3.4999999999999996E-2</v>
      </c>
      <c r="X44" s="61" t="s">
        <v>410</v>
      </c>
      <c r="Y44" s="17" t="s">
        <v>570</v>
      </c>
      <c r="Z44" s="15">
        <f>$F$9/3</f>
        <v>3.3333333333333335E-3</v>
      </c>
      <c r="AA44" s="61" t="s">
        <v>420</v>
      </c>
      <c r="AB44" s="17" t="s">
        <v>568</v>
      </c>
      <c r="AC44" s="17">
        <v>3.4999999999999996E-2</v>
      </c>
      <c r="AD44" s="17"/>
      <c r="AE44" s="17"/>
      <c r="AF44" s="17" t="s">
        <v>591</v>
      </c>
      <c r="AG44" s="15">
        <f>$F$9/3</f>
        <v>3.3333333333333335E-3</v>
      </c>
      <c r="AH44" s="17"/>
      <c r="AI44" s="17" t="s">
        <v>589</v>
      </c>
      <c r="AJ44" s="17">
        <v>3.4999999999999996E-2</v>
      </c>
    </row>
    <row r="45" spans="2:36">
      <c r="F45" s="17"/>
      <c r="G45" s="61"/>
      <c r="H45" s="26" t="s">
        <v>397</v>
      </c>
      <c r="I45" s="15">
        <f t="shared" ref="I45:I46" si="26">$F$9/3</f>
        <v>3.3333333333333335E-3</v>
      </c>
      <c r="J45" s="17"/>
      <c r="K45" s="61"/>
      <c r="L45" s="17" t="s">
        <v>396</v>
      </c>
      <c r="M45" s="15">
        <f t="shared" ref="M45:M54" si="27">0.35/10</f>
        <v>3.4999999999999996E-2</v>
      </c>
      <c r="R45" s="17" t="s">
        <v>548</v>
      </c>
      <c r="S45" s="15">
        <f t="shared" ref="S45:S46" si="28">$F$9/3</f>
        <v>3.3333333333333335E-3</v>
      </c>
      <c r="U45" s="17" t="s">
        <v>546</v>
      </c>
      <c r="V45" s="17">
        <v>3.4999999999999996E-2</v>
      </c>
      <c r="Y45" s="17" t="s">
        <v>572</v>
      </c>
      <c r="Z45" s="15">
        <f t="shared" ref="Z45:Z46" si="29">$F$9/3</f>
        <v>3.3333333333333335E-3</v>
      </c>
      <c r="AA45" s="17"/>
      <c r="AB45" s="17" t="s">
        <v>570</v>
      </c>
      <c r="AC45" s="17">
        <v>3.4999999999999996E-2</v>
      </c>
      <c r="AD45" s="17"/>
      <c r="AE45" s="17"/>
      <c r="AF45" s="17" t="s">
        <v>593</v>
      </c>
      <c r="AG45" s="15">
        <f t="shared" ref="AG45:AG46" si="30">$F$9/3</f>
        <v>3.3333333333333335E-3</v>
      </c>
      <c r="AH45" s="17"/>
      <c r="AI45" s="17" t="s">
        <v>591</v>
      </c>
      <c r="AJ45" s="17">
        <v>3.4999999999999996E-2</v>
      </c>
    </row>
    <row r="46" spans="2:36">
      <c r="F46" s="17"/>
      <c r="H46" s="14" t="s">
        <v>399</v>
      </c>
      <c r="I46" s="15">
        <f t="shared" si="26"/>
        <v>3.3333333333333335E-3</v>
      </c>
      <c r="J46" s="17"/>
      <c r="K46" s="61"/>
      <c r="L46" s="17" t="s">
        <v>397</v>
      </c>
      <c r="M46" s="15">
        <f t="shared" si="27"/>
        <v>3.4999999999999996E-2</v>
      </c>
      <c r="R46" s="17" t="s">
        <v>552</v>
      </c>
      <c r="S46" s="15">
        <f t="shared" si="28"/>
        <v>3.3333333333333335E-3</v>
      </c>
      <c r="U46" s="17" t="s">
        <v>552</v>
      </c>
      <c r="V46" s="17">
        <v>3.4999999999999996E-2</v>
      </c>
      <c r="Y46" s="17" t="s">
        <v>576</v>
      </c>
      <c r="Z46" s="15">
        <f t="shared" si="29"/>
        <v>3.3333333333333335E-3</v>
      </c>
      <c r="AA46" s="17"/>
      <c r="AB46" s="17" t="s">
        <v>576</v>
      </c>
      <c r="AC46" s="17">
        <v>3.4999999999999996E-2</v>
      </c>
      <c r="AD46" s="17"/>
      <c r="AE46" s="17"/>
      <c r="AF46" s="17" t="s">
        <v>597</v>
      </c>
      <c r="AG46" s="15">
        <f t="shared" si="30"/>
        <v>3.3333333333333335E-3</v>
      </c>
      <c r="AH46" s="17"/>
      <c r="AI46" s="17" t="s">
        <v>597</v>
      </c>
      <c r="AJ46" s="17">
        <v>3.4999999999999996E-2</v>
      </c>
    </row>
    <row r="47" spans="2:36">
      <c r="F47" s="17"/>
      <c r="H47" s="14" t="s">
        <v>398</v>
      </c>
      <c r="I47" s="17">
        <f>$F$10/3</f>
        <v>1.6666666666666668E-3</v>
      </c>
      <c r="J47" s="17"/>
      <c r="K47" s="61"/>
      <c r="L47" s="17" t="s">
        <v>411</v>
      </c>
      <c r="M47" s="15">
        <f t="shared" si="27"/>
        <v>3.4999999999999996E-2</v>
      </c>
      <c r="R47" s="17" t="s">
        <v>550</v>
      </c>
      <c r="S47" s="17">
        <f>$F$10/3</f>
        <v>1.6666666666666668E-3</v>
      </c>
      <c r="U47" s="17" t="s">
        <v>554</v>
      </c>
      <c r="V47" s="17">
        <v>3.4999999999999996E-2</v>
      </c>
      <c r="Y47" s="17" t="s">
        <v>574</v>
      </c>
      <c r="Z47" s="17">
        <f>$F$10/3</f>
        <v>1.6666666666666668E-3</v>
      </c>
      <c r="AA47" s="17"/>
      <c r="AB47" s="17" t="s">
        <v>578</v>
      </c>
      <c r="AC47" s="17">
        <v>3.4999999999999996E-2</v>
      </c>
      <c r="AD47" s="17"/>
      <c r="AE47" s="17"/>
      <c r="AF47" s="17" t="s">
        <v>595</v>
      </c>
      <c r="AG47" s="17">
        <f>$F$10/3</f>
        <v>1.6666666666666668E-3</v>
      </c>
      <c r="AH47" s="17"/>
      <c r="AI47" s="17" t="s">
        <v>599</v>
      </c>
      <c r="AJ47" s="17">
        <v>3.4999999999999996E-2</v>
      </c>
    </row>
    <row r="48" spans="2:36">
      <c r="F48" s="17"/>
      <c r="H48" s="26" t="s">
        <v>275</v>
      </c>
      <c r="I48" s="17">
        <f t="shared" ref="I48:I49" si="31">$F$10/3</f>
        <v>1.6666666666666668E-3</v>
      </c>
      <c r="J48" s="17"/>
      <c r="K48" s="61"/>
      <c r="L48" s="17" t="s">
        <v>414</v>
      </c>
      <c r="M48" s="15">
        <f t="shared" si="27"/>
        <v>3.4999999999999996E-2</v>
      </c>
      <c r="R48" s="17" t="s">
        <v>554</v>
      </c>
      <c r="S48" s="17">
        <f t="shared" ref="S48:S49" si="32">$F$10/3</f>
        <v>1.6666666666666668E-3</v>
      </c>
      <c r="U48" s="17" t="s">
        <v>550</v>
      </c>
      <c r="V48" s="17">
        <v>3.4999999999999996E-2</v>
      </c>
      <c r="Y48" s="17" t="s">
        <v>578</v>
      </c>
      <c r="Z48" s="17">
        <f t="shared" ref="Z48:Z49" si="33">$F$10/3</f>
        <v>1.6666666666666668E-3</v>
      </c>
      <c r="AA48" s="17"/>
      <c r="AB48" s="17" t="s">
        <v>574</v>
      </c>
      <c r="AC48" s="17">
        <v>3.4999999999999996E-2</v>
      </c>
      <c r="AD48" s="17"/>
      <c r="AE48" s="17"/>
      <c r="AF48" s="17" t="s">
        <v>599</v>
      </c>
      <c r="AG48" s="17">
        <f t="shared" ref="AG48:AG49" si="34">$F$10/3</f>
        <v>1.6666666666666668E-3</v>
      </c>
      <c r="AH48" s="17"/>
      <c r="AI48" s="17" t="s">
        <v>595</v>
      </c>
      <c r="AJ48" s="17">
        <v>3.4999999999999996E-2</v>
      </c>
    </row>
    <row r="49" spans="6:36">
      <c r="F49" s="17"/>
      <c r="H49" s="33" t="s">
        <v>401</v>
      </c>
      <c r="I49" s="17">
        <f t="shared" si="31"/>
        <v>1.6666666666666668E-3</v>
      </c>
      <c r="J49" s="17"/>
      <c r="K49" s="61"/>
      <c r="L49" s="17" t="s">
        <v>415</v>
      </c>
      <c r="M49" s="15">
        <f t="shared" si="27"/>
        <v>3.4999999999999996E-2</v>
      </c>
      <c r="R49" s="17" t="s">
        <v>563</v>
      </c>
      <c r="S49" s="17">
        <f t="shared" si="32"/>
        <v>1.6666666666666668E-3</v>
      </c>
      <c r="U49" s="17" t="s">
        <v>548</v>
      </c>
      <c r="V49" s="17">
        <v>3.4999999999999996E-2</v>
      </c>
      <c r="Y49" s="17" t="s">
        <v>587</v>
      </c>
      <c r="Z49" s="17">
        <f t="shared" si="33"/>
        <v>1.6666666666666668E-3</v>
      </c>
      <c r="AA49" s="17"/>
      <c r="AB49" s="17" t="s">
        <v>572</v>
      </c>
      <c r="AC49" s="17">
        <v>3.4999999999999996E-2</v>
      </c>
      <c r="AD49" s="17"/>
      <c r="AE49" s="17"/>
      <c r="AF49" s="17" t="s">
        <v>608</v>
      </c>
      <c r="AG49" s="17">
        <f t="shared" si="34"/>
        <v>1.6666666666666668E-3</v>
      </c>
      <c r="AH49" s="17"/>
      <c r="AI49" s="17" t="s">
        <v>593</v>
      </c>
      <c r="AJ49" s="17">
        <v>3.4999999999999996E-2</v>
      </c>
    </row>
    <row r="50" spans="6:36">
      <c r="F50" s="17"/>
      <c r="H50" s="26" t="s">
        <v>395</v>
      </c>
      <c r="I50" s="17">
        <f>$F$11/3</f>
        <v>3.3333333333333332E-4</v>
      </c>
      <c r="J50" s="17"/>
      <c r="K50" s="61"/>
      <c r="L50" s="17" t="s">
        <v>566</v>
      </c>
      <c r="M50" s="15">
        <f t="shared" si="27"/>
        <v>3.4999999999999996E-2</v>
      </c>
      <c r="R50" s="17" t="s">
        <v>544</v>
      </c>
      <c r="S50" s="17">
        <f>$F$11/3</f>
        <v>3.3333333333333332E-4</v>
      </c>
      <c r="U50" s="17" t="s">
        <v>556</v>
      </c>
      <c r="V50" s="17">
        <v>3.4999999999999996E-2</v>
      </c>
      <c r="Y50" s="17" t="s">
        <v>568</v>
      </c>
      <c r="Z50" s="17">
        <f>$F$11/3</f>
        <v>3.3333333333333332E-4</v>
      </c>
      <c r="AA50" s="17"/>
      <c r="AB50" s="17" t="s">
        <v>580</v>
      </c>
      <c r="AC50" s="17">
        <v>3.4999999999999996E-2</v>
      </c>
      <c r="AD50" s="17"/>
      <c r="AE50" s="17"/>
      <c r="AF50" s="17" t="s">
        <v>611</v>
      </c>
      <c r="AG50" s="17">
        <f>$F$11/3</f>
        <v>3.3333333333333332E-4</v>
      </c>
      <c r="AH50" s="17"/>
      <c r="AI50" s="17" t="s">
        <v>601</v>
      </c>
      <c r="AJ50" s="17">
        <v>3.4999999999999996E-2</v>
      </c>
    </row>
    <row r="51" spans="6:36">
      <c r="F51" s="17"/>
      <c r="H51" s="26" t="s">
        <v>403</v>
      </c>
      <c r="I51" s="17">
        <f t="shared" ref="I51:I52" si="35">$F$11/3</f>
        <v>3.3333333333333332E-4</v>
      </c>
      <c r="J51" s="17"/>
      <c r="K51" s="61"/>
      <c r="L51" s="17" t="s">
        <v>416</v>
      </c>
      <c r="M51" s="15">
        <f t="shared" si="27"/>
        <v>3.4999999999999996E-2</v>
      </c>
      <c r="R51" s="17" t="s">
        <v>556</v>
      </c>
      <c r="S51" s="17">
        <f t="shared" ref="S51:S52" si="36">$F$11/3</f>
        <v>3.3333333333333332E-4</v>
      </c>
      <c r="U51" s="17" t="s">
        <v>558</v>
      </c>
      <c r="V51" s="17">
        <v>3.4999999999999996E-2</v>
      </c>
      <c r="Y51" s="17" t="s">
        <v>580</v>
      </c>
      <c r="Z51" s="17">
        <f t="shared" ref="Z51:Z52" si="37">$F$11/3</f>
        <v>3.3333333333333332E-4</v>
      </c>
      <c r="AA51" s="17"/>
      <c r="AB51" s="17" t="s">
        <v>582</v>
      </c>
      <c r="AC51" s="17">
        <v>3.4999999999999996E-2</v>
      </c>
      <c r="AD51" s="17"/>
      <c r="AE51" s="17"/>
      <c r="AF51" s="17" t="s">
        <v>601</v>
      </c>
      <c r="AG51" s="17">
        <f t="shared" ref="AG51:AG52" si="38">$F$11/3</f>
        <v>3.3333333333333332E-4</v>
      </c>
      <c r="AH51" s="17"/>
      <c r="AI51" s="17" t="s">
        <v>603</v>
      </c>
      <c r="AJ51" s="17">
        <v>3.4999999999999996E-2</v>
      </c>
    </row>
    <row r="52" spans="6:36">
      <c r="F52" s="17"/>
      <c r="H52" s="26" t="s">
        <v>404</v>
      </c>
      <c r="I52" s="17">
        <f t="shared" si="35"/>
        <v>3.3333333333333332E-4</v>
      </c>
      <c r="J52" s="17"/>
      <c r="K52" s="61"/>
      <c r="L52" s="17" t="s">
        <v>417</v>
      </c>
      <c r="M52" s="15">
        <f t="shared" si="27"/>
        <v>3.4999999999999996E-2</v>
      </c>
      <c r="R52" s="17" t="s">
        <v>588</v>
      </c>
      <c r="S52" s="17">
        <f t="shared" si="36"/>
        <v>3.3333333333333332E-4</v>
      </c>
      <c r="U52" s="17" t="s">
        <v>559</v>
      </c>
      <c r="V52" s="17">
        <v>3.4999999999999996E-2</v>
      </c>
      <c r="Y52" s="17" t="s">
        <v>583</v>
      </c>
      <c r="Z52" s="17">
        <f t="shared" si="37"/>
        <v>3.3333333333333332E-4</v>
      </c>
      <c r="AA52" s="17"/>
      <c r="AB52" s="17" t="s">
        <v>583</v>
      </c>
      <c r="AC52" s="17">
        <v>3.4999999999999996E-2</v>
      </c>
      <c r="AD52" s="17"/>
      <c r="AE52" s="17"/>
      <c r="AF52" s="17" t="s">
        <v>604</v>
      </c>
      <c r="AG52" s="17">
        <f t="shared" si="38"/>
        <v>3.3333333333333332E-4</v>
      </c>
      <c r="AH52" s="17"/>
      <c r="AI52" s="17" t="s">
        <v>604</v>
      </c>
      <c r="AJ52" s="17">
        <v>3.4999999999999996E-2</v>
      </c>
    </row>
    <row r="53" spans="6:36">
      <c r="F53" s="17"/>
      <c r="H53" s="26" t="s">
        <v>400</v>
      </c>
      <c r="I53" s="17">
        <f>$F$12/2</f>
        <v>1E-4</v>
      </c>
      <c r="J53" s="17"/>
      <c r="K53" s="61"/>
      <c r="L53" s="17" t="s">
        <v>400</v>
      </c>
      <c r="M53" s="15">
        <v>0.02</v>
      </c>
      <c r="R53" s="17" t="s">
        <v>561</v>
      </c>
      <c r="S53" s="17">
        <f>$F$12/2</f>
        <v>1E-4</v>
      </c>
      <c r="U53" s="17" t="s">
        <v>561</v>
      </c>
      <c r="V53" s="17">
        <v>0.02</v>
      </c>
      <c r="Y53" s="17" t="s">
        <v>585</v>
      </c>
      <c r="Z53" s="17">
        <f>$F$12/2</f>
        <v>1E-4</v>
      </c>
      <c r="AA53" s="17"/>
      <c r="AB53" s="17" t="s">
        <v>585</v>
      </c>
      <c r="AC53" s="17">
        <v>0.02</v>
      </c>
      <c r="AD53" s="17"/>
      <c r="AE53" s="17"/>
      <c r="AF53" s="17" t="s">
        <v>606</v>
      </c>
      <c r="AG53" s="17">
        <f>$F$12/2</f>
        <v>1E-4</v>
      </c>
      <c r="AH53" s="17"/>
      <c r="AI53" s="17" t="s">
        <v>606</v>
      </c>
      <c r="AJ53" s="17">
        <v>0.02</v>
      </c>
    </row>
    <row r="54" spans="6:36">
      <c r="H54" s="26" t="s">
        <v>566</v>
      </c>
      <c r="I54" s="17">
        <f>$F$12/2</f>
        <v>1E-4</v>
      </c>
      <c r="K54" s="36"/>
      <c r="L54" s="17" t="s">
        <v>401</v>
      </c>
      <c r="M54" s="15">
        <f t="shared" si="27"/>
        <v>3.4999999999999996E-2</v>
      </c>
      <c r="R54" s="17" t="s">
        <v>565</v>
      </c>
      <c r="S54" s="17">
        <f>$F$12/2</f>
        <v>1E-4</v>
      </c>
      <c r="U54" s="17" t="s">
        <v>563</v>
      </c>
      <c r="V54" s="17">
        <v>3.4999999999999996E-2</v>
      </c>
      <c r="Y54" s="17" t="s">
        <v>582</v>
      </c>
      <c r="Z54" s="17">
        <f>$F$12/2</f>
        <v>1E-4</v>
      </c>
      <c r="AA54" s="17"/>
      <c r="AB54" s="17" t="s">
        <v>587</v>
      </c>
      <c r="AC54" s="17">
        <v>3.4999999999999996E-2</v>
      </c>
      <c r="AD54" s="17"/>
      <c r="AE54" s="17"/>
      <c r="AF54" s="17" t="s">
        <v>603</v>
      </c>
      <c r="AG54" s="17">
        <f>$F$12/2</f>
        <v>1E-4</v>
      </c>
      <c r="AH54" s="17"/>
      <c r="AI54" s="17" t="s">
        <v>608</v>
      </c>
      <c r="AJ54" s="17">
        <v>3.4999999999999996E-2</v>
      </c>
    </row>
    <row r="55" spans="6:36">
      <c r="R55" s="17"/>
      <c r="U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</row>
    <row r="56" spans="6:36">
      <c r="R56" s="17"/>
      <c r="U56" s="17"/>
    </row>
  </sheetData>
  <phoneticPr fontId="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C76"/>
  <sheetViews>
    <sheetView tabSelected="1" topLeftCell="W4" workbookViewId="0">
      <selection activeCell="AA42" sqref="AA42"/>
    </sheetView>
  </sheetViews>
  <sheetFormatPr defaultRowHeight="13.5"/>
  <cols>
    <col min="11" max="11" width="15" bestFit="1" customWidth="1"/>
    <col min="21" max="21" width="21.375" bestFit="1" customWidth="1"/>
    <col min="31" max="31" width="19.5" bestFit="1" customWidth="1"/>
    <col min="41" max="41" width="21.375" bestFit="1" customWidth="1"/>
    <col min="51" max="51" width="14.125" bestFit="1" customWidth="1"/>
  </cols>
  <sheetData>
    <row r="1" spans="1:55">
      <c r="A1" s="84"/>
      <c r="B1" s="84"/>
      <c r="C1" s="84"/>
      <c r="D1" s="84"/>
      <c r="E1" s="84"/>
      <c r="F1" s="84"/>
      <c r="G1" s="84"/>
      <c r="H1" s="84"/>
      <c r="I1" s="84"/>
      <c r="J1" s="86" t="s">
        <v>868</v>
      </c>
      <c r="K1" s="90" t="s">
        <v>869</v>
      </c>
      <c r="L1" s="90" t="s">
        <v>870</v>
      </c>
      <c r="M1" s="90" t="s">
        <v>871</v>
      </c>
      <c r="N1" s="90" t="s">
        <v>872</v>
      </c>
      <c r="O1" s="90" t="s">
        <v>873</v>
      </c>
      <c r="P1" s="84"/>
      <c r="Q1" s="84"/>
      <c r="R1" s="84"/>
      <c r="S1" s="84"/>
      <c r="T1" s="86" t="s">
        <v>868</v>
      </c>
      <c r="U1" s="90" t="s">
        <v>869</v>
      </c>
      <c r="V1" s="90" t="s">
        <v>870</v>
      </c>
      <c r="W1" s="90" t="s">
        <v>871</v>
      </c>
      <c r="X1" s="90" t="s">
        <v>872</v>
      </c>
      <c r="Y1" s="90" t="s">
        <v>873</v>
      </c>
      <c r="Z1" s="84"/>
      <c r="AA1" s="84"/>
      <c r="AB1" s="84"/>
      <c r="AC1" s="84"/>
      <c r="AD1" s="86" t="s">
        <v>868</v>
      </c>
      <c r="AE1" s="90" t="s">
        <v>869</v>
      </c>
      <c r="AF1" s="90" t="s">
        <v>870</v>
      </c>
      <c r="AG1" s="90" t="s">
        <v>871</v>
      </c>
      <c r="AH1" s="90" t="s">
        <v>872</v>
      </c>
      <c r="AI1" s="90" t="s">
        <v>873</v>
      </c>
      <c r="AJ1" s="84"/>
      <c r="AK1" s="84"/>
      <c r="AL1" s="84"/>
      <c r="AM1" s="84"/>
      <c r="AN1" s="86" t="s">
        <v>868</v>
      </c>
      <c r="AO1" s="90" t="s">
        <v>869</v>
      </c>
      <c r="AP1" s="90" t="s">
        <v>870</v>
      </c>
      <c r="AQ1" s="90" t="s">
        <v>871</v>
      </c>
      <c r="AR1" s="90" t="s">
        <v>872</v>
      </c>
      <c r="AS1" s="90" t="s">
        <v>873</v>
      </c>
      <c r="AT1" s="84"/>
      <c r="AU1" s="84"/>
      <c r="AV1" s="84"/>
      <c r="AW1" s="84"/>
      <c r="AX1" s="86" t="s">
        <v>868</v>
      </c>
      <c r="AY1" s="90" t="s">
        <v>869</v>
      </c>
      <c r="AZ1" s="90" t="s">
        <v>870</v>
      </c>
      <c r="BA1" s="90" t="s">
        <v>871</v>
      </c>
      <c r="BB1" s="90" t="s">
        <v>872</v>
      </c>
      <c r="BC1" s="90" t="s">
        <v>873</v>
      </c>
    </row>
    <row r="2" spans="1:55">
      <c r="A2" s="84"/>
      <c r="B2" s="86" t="s">
        <v>874</v>
      </c>
      <c r="C2" s="86">
        <v>0.15</v>
      </c>
      <c r="D2" s="85"/>
      <c r="E2" s="107" t="s">
        <v>948</v>
      </c>
      <c r="F2" s="108">
        <v>0.15</v>
      </c>
      <c r="G2" s="85"/>
      <c r="H2" s="86" t="s">
        <v>874</v>
      </c>
      <c r="I2" s="86">
        <v>0.15</v>
      </c>
      <c r="J2" s="94">
        <v>10010104</v>
      </c>
      <c r="K2" s="93" t="s">
        <v>321</v>
      </c>
      <c r="L2" s="90">
        <v>1</v>
      </c>
      <c r="M2" s="90">
        <f>0.2/27</f>
        <v>7.4074074074074077E-3</v>
      </c>
      <c r="N2" s="90">
        <v>1</v>
      </c>
      <c r="O2" s="90">
        <v>1</v>
      </c>
      <c r="P2" s="84">
        <f>M2*1000000</f>
        <v>7407.4074074074078</v>
      </c>
      <c r="Q2" s="84"/>
      <c r="R2" s="86" t="s">
        <v>874</v>
      </c>
      <c r="S2" s="86">
        <v>0.15</v>
      </c>
      <c r="T2" s="94">
        <v>10010204</v>
      </c>
      <c r="U2" s="93" t="s">
        <v>736</v>
      </c>
      <c r="V2" s="91">
        <v>1</v>
      </c>
      <c r="W2" s="86">
        <v>8.3333333333333332E-3</v>
      </c>
      <c r="X2" s="90">
        <v>1</v>
      </c>
      <c r="Y2" s="90">
        <v>1</v>
      </c>
      <c r="Z2" s="84"/>
      <c r="AA2" s="84"/>
      <c r="AB2" s="86" t="s">
        <v>874</v>
      </c>
      <c r="AC2" s="86">
        <v>0.15</v>
      </c>
      <c r="AD2" s="94">
        <v>10010301</v>
      </c>
      <c r="AE2" s="93" t="s">
        <v>753</v>
      </c>
      <c r="AF2" s="91">
        <v>1</v>
      </c>
      <c r="AG2" s="87">
        <v>7.8947368421052634E-3</v>
      </c>
      <c r="AH2" s="90">
        <v>1</v>
      </c>
      <c r="AI2" s="90">
        <v>1</v>
      </c>
      <c r="AJ2" s="84"/>
      <c r="AK2" s="84"/>
      <c r="AL2" s="86" t="s">
        <v>874</v>
      </c>
      <c r="AM2" s="86">
        <v>0.15</v>
      </c>
      <c r="AN2" s="94">
        <v>10010401</v>
      </c>
      <c r="AO2" s="93" t="s">
        <v>777</v>
      </c>
      <c r="AP2" s="90">
        <v>1</v>
      </c>
      <c r="AQ2" s="89">
        <v>6.8181818181818179E-3</v>
      </c>
      <c r="AR2" s="90">
        <v>1</v>
      </c>
      <c r="AS2" s="90">
        <v>1</v>
      </c>
      <c r="AT2" s="84"/>
      <c r="AU2" s="84"/>
      <c r="AV2" s="86" t="s">
        <v>874</v>
      </c>
      <c r="AW2" s="86">
        <v>0.15</v>
      </c>
      <c r="AX2" s="94">
        <v>10010501</v>
      </c>
      <c r="AY2" s="93" t="s">
        <v>797</v>
      </c>
      <c r="AZ2" s="91">
        <v>1</v>
      </c>
      <c r="BA2" s="86">
        <v>8.3333333333333332E-3</v>
      </c>
      <c r="BB2" s="90">
        <v>1</v>
      </c>
      <c r="BC2" s="90">
        <v>1</v>
      </c>
    </row>
    <row r="3" spans="1:55">
      <c r="A3" s="84"/>
      <c r="B3" s="90" t="s">
        <v>875</v>
      </c>
      <c r="C3" s="86">
        <v>0.05</v>
      </c>
      <c r="D3" s="85"/>
      <c r="E3" s="107" t="s">
        <v>949</v>
      </c>
      <c r="F3" s="85"/>
      <c r="G3" s="85"/>
      <c r="H3" s="84"/>
      <c r="I3" s="84"/>
      <c r="J3" s="94">
        <v>10010105</v>
      </c>
      <c r="K3" s="93" t="s">
        <v>322</v>
      </c>
      <c r="L3" s="90">
        <v>1</v>
      </c>
      <c r="M3" s="90">
        <f t="shared" ref="M3:M28" si="0">0.2/27</f>
        <v>7.4074074074074077E-3</v>
      </c>
      <c r="N3" s="90">
        <v>1</v>
      </c>
      <c r="O3" s="90">
        <v>1</v>
      </c>
      <c r="P3" s="84"/>
      <c r="Q3" s="84"/>
      <c r="R3" s="84"/>
      <c r="S3" s="84"/>
      <c r="T3" s="94">
        <v>10010205</v>
      </c>
      <c r="U3" s="93" t="s">
        <v>737</v>
      </c>
      <c r="V3" s="91">
        <v>1</v>
      </c>
      <c r="W3" s="86">
        <v>8.3333333333333332E-3</v>
      </c>
      <c r="X3" s="90">
        <v>1</v>
      </c>
      <c r="Y3" s="90">
        <v>1</v>
      </c>
      <c r="Z3" s="84"/>
      <c r="AA3" s="84"/>
      <c r="AB3" s="84"/>
      <c r="AC3" s="84"/>
      <c r="AD3" s="94">
        <v>10010302</v>
      </c>
      <c r="AE3" s="93" t="s">
        <v>754</v>
      </c>
      <c r="AF3" s="91">
        <v>1</v>
      </c>
      <c r="AG3" s="87">
        <v>7.8947368421052634E-3</v>
      </c>
      <c r="AH3" s="90">
        <v>1</v>
      </c>
      <c r="AI3" s="90">
        <v>1</v>
      </c>
      <c r="AJ3" s="84"/>
      <c r="AK3" s="84"/>
      <c r="AL3" s="84"/>
      <c r="AM3" s="84"/>
      <c r="AN3" s="94">
        <v>10010402</v>
      </c>
      <c r="AO3" s="93" t="s">
        <v>778</v>
      </c>
      <c r="AP3" s="90">
        <v>1</v>
      </c>
      <c r="AQ3" s="89">
        <v>6.8181818181818179E-3</v>
      </c>
      <c r="AR3" s="90">
        <v>1</v>
      </c>
      <c r="AS3" s="90">
        <v>1</v>
      </c>
      <c r="AT3" s="84"/>
      <c r="AU3" s="84"/>
      <c r="AV3" s="84"/>
      <c r="AW3" s="84"/>
      <c r="AX3" s="94">
        <v>10010502</v>
      </c>
      <c r="AY3" s="93" t="s">
        <v>798</v>
      </c>
      <c r="AZ3" s="91">
        <v>1</v>
      </c>
      <c r="BA3" s="86">
        <v>8.3333333333333332E-3</v>
      </c>
      <c r="BB3" s="90">
        <v>1</v>
      </c>
      <c r="BC3" s="90">
        <v>1</v>
      </c>
    </row>
    <row r="4" spans="1:55">
      <c r="A4" s="84"/>
      <c r="B4" s="90" t="s">
        <v>876</v>
      </c>
      <c r="C4" s="86">
        <v>0.05</v>
      </c>
      <c r="D4" s="85"/>
      <c r="E4" s="85"/>
      <c r="F4" s="85"/>
      <c r="G4" s="85"/>
      <c r="H4" s="84"/>
      <c r="I4" s="84"/>
      <c r="J4" s="94">
        <v>10010106</v>
      </c>
      <c r="K4" s="93" t="s">
        <v>323</v>
      </c>
      <c r="L4" s="90">
        <v>1</v>
      </c>
      <c r="M4" s="90">
        <f t="shared" si="0"/>
        <v>7.4074074074074077E-3</v>
      </c>
      <c r="N4" s="90">
        <v>1</v>
      </c>
      <c r="O4" s="90">
        <v>1</v>
      </c>
      <c r="P4" s="84"/>
      <c r="Q4" s="84"/>
      <c r="R4" s="84"/>
      <c r="S4" s="84"/>
      <c r="T4" s="94">
        <v>10010206</v>
      </c>
      <c r="U4" s="93" t="s">
        <v>738</v>
      </c>
      <c r="V4" s="91">
        <v>1</v>
      </c>
      <c r="W4" s="86">
        <v>8.3333333333333332E-3</v>
      </c>
      <c r="X4" s="90">
        <v>1</v>
      </c>
      <c r="Y4" s="90">
        <v>1</v>
      </c>
      <c r="Z4" s="84"/>
      <c r="AA4" s="84"/>
      <c r="AB4" s="84"/>
      <c r="AC4" s="84"/>
      <c r="AD4" s="94">
        <v>10010303</v>
      </c>
      <c r="AE4" s="93" t="s">
        <v>755</v>
      </c>
      <c r="AF4" s="91">
        <v>1</v>
      </c>
      <c r="AG4" s="87">
        <v>7.8947368421052634E-3</v>
      </c>
      <c r="AH4" s="90">
        <v>1</v>
      </c>
      <c r="AI4" s="90">
        <v>1</v>
      </c>
      <c r="AJ4" s="84"/>
      <c r="AK4" s="84"/>
      <c r="AL4" s="84"/>
      <c r="AM4" s="84"/>
      <c r="AN4" s="94">
        <v>10010403</v>
      </c>
      <c r="AO4" s="93" t="s">
        <v>779</v>
      </c>
      <c r="AP4" s="90">
        <v>1</v>
      </c>
      <c r="AQ4" s="89">
        <v>6.8181818181818179E-3</v>
      </c>
      <c r="AR4" s="90">
        <v>1</v>
      </c>
      <c r="AS4" s="90">
        <v>1</v>
      </c>
      <c r="AT4" s="84"/>
      <c r="AU4" s="84"/>
      <c r="AV4" s="84"/>
      <c r="AW4" s="84"/>
      <c r="AX4" s="94">
        <v>10010503</v>
      </c>
      <c r="AY4" s="93" t="s">
        <v>768</v>
      </c>
      <c r="AZ4" s="91">
        <v>1</v>
      </c>
      <c r="BA4" s="86">
        <v>8.3333333333333332E-3</v>
      </c>
      <c r="BB4" s="90">
        <v>1</v>
      </c>
      <c r="BC4" s="90">
        <v>1</v>
      </c>
    </row>
    <row r="5" spans="1:55">
      <c r="A5" s="84"/>
      <c r="B5" s="90" t="s">
        <v>877</v>
      </c>
      <c r="C5" s="86">
        <v>0.17499999999999999</v>
      </c>
      <c r="D5" s="85"/>
      <c r="E5" s="85"/>
      <c r="F5" s="85"/>
      <c r="G5" s="85"/>
      <c r="H5" s="84"/>
      <c r="I5" s="84"/>
      <c r="J5" s="94">
        <v>10010107</v>
      </c>
      <c r="K5" s="93" t="s">
        <v>324</v>
      </c>
      <c r="L5" s="90">
        <v>1</v>
      </c>
      <c r="M5" s="90">
        <f t="shared" si="0"/>
        <v>7.4074074074074077E-3</v>
      </c>
      <c r="N5" s="90">
        <v>1</v>
      </c>
      <c r="O5" s="90">
        <v>1</v>
      </c>
      <c r="P5" s="84"/>
      <c r="Q5" s="84"/>
      <c r="R5" s="84"/>
      <c r="S5" s="84"/>
      <c r="T5" s="94">
        <v>10010207</v>
      </c>
      <c r="U5" s="93" t="s">
        <v>739</v>
      </c>
      <c r="V5" s="91">
        <v>1</v>
      </c>
      <c r="W5" s="86">
        <v>8.3333333333333332E-3</v>
      </c>
      <c r="X5" s="90">
        <v>1</v>
      </c>
      <c r="Y5" s="90">
        <v>1</v>
      </c>
      <c r="Z5" s="84"/>
      <c r="AA5" s="84"/>
      <c r="AB5" s="84"/>
      <c r="AC5" s="84"/>
      <c r="AD5" s="94">
        <v>10010304</v>
      </c>
      <c r="AE5" s="93" t="s">
        <v>756</v>
      </c>
      <c r="AF5" s="91">
        <v>1</v>
      </c>
      <c r="AG5" s="87">
        <v>7.8947368421052634E-3</v>
      </c>
      <c r="AH5" s="90">
        <v>1</v>
      </c>
      <c r="AI5" s="90">
        <v>1</v>
      </c>
      <c r="AJ5" s="84"/>
      <c r="AK5" s="84"/>
      <c r="AL5" s="84"/>
      <c r="AM5" s="84"/>
      <c r="AN5" s="94">
        <v>10010404</v>
      </c>
      <c r="AO5" s="93" t="s">
        <v>780</v>
      </c>
      <c r="AP5" s="90">
        <v>1</v>
      </c>
      <c r="AQ5" s="89">
        <v>6.8181818181818179E-3</v>
      </c>
      <c r="AR5" s="90">
        <v>1</v>
      </c>
      <c r="AS5" s="90">
        <v>1</v>
      </c>
      <c r="AT5" s="84"/>
      <c r="AU5" s="84"/>
      <c r="AV5" s="84"/>
      <c r="AW5" s="84"/>
      <c r="AX5" s="94">
        <v>10010504</v>
      </c>
      <c r="AY5" s="93" t="s">
        <v>769</v>
      </c>
      <c r="AZ5" s="91">
        <v>1</v>
      </c>
      <c r="BA5" s="86">
        <v>8.3333333333333332E-3</v>
      </c>
      <c r="BB5" s="90">
        <v>1</v>
      </c>
      <c r="BC5" s="90">
        <v>1</v>
      </c>
    </row>
    <row r="6" spans="1:55">
      <c r="A6" s="84"/>
      <c r="B6" s="90" t="s">
        <v>315</v>
      </c>
      <c r="C6" s="86">
        <v>0.05</v>
      </c>
      <c r="D6" s="85"/>
      <c r="E6" s="85"/>
      <c r="F6" s="85"/>
      <c r="G6" s="85"/>
      <c r="H6" s="84"/>
      <c r="I6" s="84"/>
      <c r="J6" s="94">
        <v>10010108</v>
      </c>
      <c r="K6" s="93" t="s">
        <v>325</v>
      </c>
      <c r="L6" s="90">
        <v>1</v>
      </c>
      <c r="M6" s="90">
        <f t="shared" si="0"/>
        <v>7.4074074074074077E-3</v>
      </c>
      <c r="N6" s="90">
        <v>1</v>
      </c>
      <c r="O6" s="90">
        <v>1</v>
      </c>
      <c r="P6" s="84"/>
      <c r="Q6" s="84"/>
      <c r="R6" s="84"/>
      <c r="S6" s="84"/>
      <c r="T6" s="94">
        <v>10010209</v>
      </c>
      <c r="U6" s="93" t="s">
        <v>744</v>
      </c>
      <c r="V6" s="91">
        <v>1</v>
      </c>
      <c r="W6" s="86">
        <v>8.3333333333333332E-3</v>
      </c>
      <c r="X6" s="90">
        <v>1</v>
      </c>
      <c r="Y6" s="90">
        <v>1</v>
      </c>
      <c r="Z6" s="84"/>
      <c r="AA6" s="84"/>
      <c r="AB6" s="84"/>
      <c r="AC6" s="84"/>
      <c r="AD6" s="94">
        <v>10010305</v>
      </c>
      <c r="AE6" s="93" t="s">
        <v>861</v>
      </c>
      <c r="AF6" s="91">
        <v>1</v>
      </c>
      <c r="AG6" s="87">
        <v>7.8947368421052634E-3</v>
      </c>
      <c r="AH6" s="90">
        <v>1</v>
      </c>
      <c r="AI6" s="90">
        <v>1</v>
      </c>
      <c r="AJ6" s="84"/>
      <c r="AK6" s="84"/>
      <c r="AL6" s="84"/>
      <c r="AM6" s="84"/>
      <c r="AN6" s="94">
        <v>10010405</v>
      </c>
      <c r="AO6" s="93" t="s">
        <v>781</v>
      </c>
      <c r="AP6" s="90">
        <v>1</v>
      </c>
      <c r="AQ6" s="89">
        <v>6.8181818181818179E-3</v>
      </c>
      <c r="AR6" s="90">
        <v>1</v>
      </c>
      <c r="AS6" s="90">
        <v>1</v>
      </c>
      <c r="AT6" s="84"/>
      <c r="AU6" s="84"/>
      <c r="AV6" s="84"/>
      <c r="AW6" s="84"/>
      <c r="AX6" s="94">
        <v>10010505</v>
      </c>
      <c r="AY6" s="93" t="s">
        <v>770</v>
      </c>
      <c r="AZ6" s="91">
        <v>1</v>
      </c>
      <c r="BA6" s="86">
        <v>8.3333333333333332E-3</v>
      </c>
      <c r="BB6" s="90">
        <v>1</v>
      </c>
      <c r="BC6" s="90">
        <v>1</v>
      </c>
    </row>
    <row r="7" spans="1:55">
      <c r="A7" s="84"/>
      <c r="B7" s="90" t="s">
        <v>878</v>
      </c>
      <c r="C7" s="86">
        <v>0.14499999999999999</v>
      </c>
      <c r="D7" s="85"/>
      <c r="E7" s="85"/>
      <c r="F7" s="85"/>
      <c r="G7" s="85"/>
      <c r="H7" s="84"/>
      <c r="I7" s="84"/>
      <c r="J7" s="94">
        <v>10010109</v>
      </c>
      <c r="K7" s="93" t="s">
        <v>326</v>
      </c>
      <c r="L7" s="90">
        <v>1</v>
      </c>
      <c r="M7" s="90">
        <f t="shared" si="0"/>
        <v>7.4074074074074077E-3</v>
      </c>
      <c r="N7" s="90">
        <v>1</v>
      </c>
      <c r="O7" s="90">
        <v>1</v>
      </c>
      <c r="P7" s="84"/>
      <c r="Q7" s="84"/>
      <c r="R7" s="84"/>
      <c r="S7" s="84"/>
      <c r="T7" s="94">
        <v>10010210</v>
      </c>
      <c r="U7" s="93" t="s">
        <v>745</v>
      </c>
      <c r="V7" s="91">
        <v>1</v>
      </c>
      <c r="W7" s="86">
        <v>8.3333333333333332E-3</v>
      </c>
      <c r="X7" s="90">
        <v>1</v>
      </c>
      <c r="Y7" s="90">
        <v>1</v>
      </c>
      <c r="Z7" s="84"/>
      <c r="AA7" s="84"/>
      <c r="AB7" s="84"/>
      <c r="AC7" s="84"/>
      <c r="AD7" s="94">
        <v>10010306</v>
      </c>
      <c r="AE7" s="93" t="s">
        <v>760</v>
      </c>
      <c r="AF7" s="91">
        <v>1</v>
      </c>
      <c r="AG7" s="87">
        <v>7.8947368421052634E-3</v>
      </c>
      <c r="AH7" s="90">
        <v>1</v>
      </c>
      <c r="AI7" s="90">
        <v>1</v>
      </c>
      <c r="AJ7" s="84"/>
      <c r="AK7" s="84"/>
      <c r="AL7" s="84"/>
      <c r="AM7" s="84"/>
      <c r="AN7" s="94">
        <v>10010406</v>
      </c>
      <c r="AO7" s="93" t="s">
        <v>782</v>
      </c>
      <c r="AP7" s="90">
        <v>1</v>
      </c>
      <c r="AQ7" s="89">
        <v>6.8181818181818179E-3</v>
      </c>
      <c r="AR7" s="90">
        <v>1</v>
      </c>
      <c r="AS7" s="90">
        <v>1</v>
      </c>
      <c r="AT7" s="84"/>
      <c r="AU7" s="84"/>
      <c r="AV7" s="84"/>
      <c r="AW7" s="84"/>
      <c r="AX7" s="94">
        <v>10010506</v>
      </c>
      <c r="AY7" s="93" t="s">
        <v>771</v>
      </c>
      <c r="AZ7" s="91">
        <v>1</v>
      </c>
      <c r="BA7" s="86">
        <v>8.3333333333333332E-3</v>
      </c>
      <c r="BB7" s="90">
        <v>1</v>
      </c>
      <c r="BC7" s="90">
        <v>1</v>
      </c>
    </row>
    <row r="8" spans="1:55">
      <c r="A8" s="84"/>
      <c r="B8" s="90" t="s">
        <v>879</v>
      </c>
      <c r="C8" s="86">
        <v>0.05</v>
      </c>
      <c r="D8" s="85"/>
      <c r="E8" s="85"/>
      <c r="F8" s="85"/>
      <c r="G8" s="85"/>
      <c r="H8" s="90" t="s">
        <v>875</v>
      </c>
      <c r="I8" s="86">
        <v>0.05</v>
      </c>
      <c r="J8" s="94">
        <v>10030205</v>
      </c>
      <c r="K8" s="93" t="s">
        <v>136</v>
      </c>
      <c r="L8" s="90">
        <v>1</v>
      </c>
      <c r="M8" s="90">
        <f t="shared" si="0"/>
        <v>7.4074074074074077E-3</v>
      </c>
      <c r="N8" s="90">
        <v>1</v>
      </c>
      <c r="O8" s="90">
        <v>1</v>
      </c>
      <c r="P8" s="84"/>
      <c r="Q8" s="84"/>
      <c r="R8" s="84"/>
      <c r="S8" s="84"/>
      <c r="T8" s="94">
        <v>10010211</v>
      </c>
      <c r="U8" s="93" t="s">
        <v>741</v>
      </c>
      <c r="V8" s="91">
        <v>1</v>
      </c>
      <c r="W8" s="86">
        <v>8.3333333333333332E-3</v>
      </c>
      <c r="X8" s="90">
        <v>1</v>
      </c>
      <c r="Y8" s="90">
        <v>1</v>
      </c>
      <c r="Z8" s="84"/>
      <c r="AA8" s="84"/>
      <c r="AB8" s="84"/>
      <c r="AC8" s="84"/>
      <c r="AD8" s="94">
        <v>10010307</v>
      </c>
      <c r="AE8" s="93" t="s">
        <v>758</v>
      </c>
      <c r="AF8" s="91">
        <v>1</v>
      </c>
      <c r="AG8" s="87">
        <v>7.8947368421052634E-3</v>
      </c>
      <c r="AH8" s="90">
        <v>1</v>
      </c>
      <c r="AI8" s="90">
        <v>1</v>
      </c>
      <c r="AJ8" s="84"/>
      <c r="AK8" s="84"/>
      <c r="AL8" s="84"/>
      <c r="AM8" s="84"/>
      <c r="AN8" s="94">
        <v>10010407</v>
      </c>
      <c r="AO8" s="93" t="s">
        <v>783</v>
      </c>
      <c r="AP8" s="90">
        <v>1</v>
      </c>
      <c r="AQ8" s="89">
        <v>6.8181818181818179E-3</v>
      </c>
      <c r="AR8" s="90">
        <v>1</v>
      </c>
      <c r="AS8" s="90">
        <v>1</v>
      </c>
      <c r="AT8" s="84"/>
      <c r="AU8" s="84"/>
      <c r="AV8" s="84"/>
      <c r="AW8" s="84"/>
      <c r="AX8" s="94">
        <v>10010507</v>
      </c>
      <c r="AY8" s="93" t="s">
        <v>772</v>
      </c>
      <c r="AZ8" s="91">
        <v>1</v>
      </c>
      <c r="BA8" s="86">
        <v>8.3333333333333332E-3</v>
      </c>
      <c r="BB8" s="90">
        <v>1</v>
      </c>
      <c r="BC8" s="90">
        <v>1</v>
      </c>
    </row>
    <row r="9" spans="1:55">
      <c r="A9" s="84"/>
      <c r="B9" s="90" t="s">
        <v>880</v>
      </c>
      <c r="C9" s="86">
        <v>2.5000000000000001E-2</v>
      </c>
      <c r="D9" s="85"/>
      <c r="E9" s="85"/>
      <c r="F9" s="85"/>
      <c r="G9" s="85"/>
      <c r="H9" s="84"/>
      <c r="I9" s="84"/>
      <c r="J9" s="94">
        <v>10030206</v>
      </c>
      <c r="K9" s="93" t="s">
        <v>137</v>
      </c>
      <c r="L9" s="90">
        <v>1</v>
      </c>
      <c r="M9" s="90">
        <f t="shared" si="0"/>
        <v>7.4074074074074077E-3</v>
      </c>
      <c r="N9" s="90">
        <v>1</v>
      </c>
      <c r="O9" s="90">
        <v>1</v>
      </c>
      <c r="P9" s="84"/>
      <c r="Q9" s="84"/>
      <c r="R9" s="84"/>
      <c r="S9" s="84"/>
      <c r="T9" s="94">
        <v>10010212</v>
      </c>
      <c r="U9" s="93" t="s">
        <v>742</v>
      </c>
      <c r="V9" s="91">
        <v>1</v>
      </c>
      <c r="W9" s="86">
        <v>8.3333333333333332E-3</v>
      </c>
      <c r="X9" s="90">
        <v>1</v>
      </c>
      <c r="Y9" s="90">
        <v>1</v>
      </c>
      <c r="Z9" s="84"/>
      <c r="AA9" s="84"/>
      <c r="AB9" s="84"/>
      <c r="AC9" s="84"/>
      <c r="AD9" s="94">
        <v>10010308</v>
      </c>
      <c r="AE9" s="93" t="s">
        <v>759</v>
      </c>
      <c r="AF9" s="91">
        <v>1</v>
      </c>
      <c r="AG9" s="87">
        <v>7.8947368421052634E-3</v>
      </c>
      <c r="AH9" s="90">
        <v>1</v>
      </c>
      <c r="AI9" s="90">
        <v>1</v>
      </c>
      <c r="AJ9" s="84"/>
      <c r="AK9" s="84"/>
      <c r="AL9" s="84"/>
      <c r="AM9" s="84"/>
      <c r="AN9" s="94">
        <v>10010408</v>
      </c>
      <c r="AO9" s="93" t="s">
        <v>784</v>
      </c>
      <c r="AP9" s="90">
        <v>1</v>
      </c>
      <c r="AQ9" s="89">
        <v>6.8181818181818179E-3</v>
      </c>
      <c r="AR9" s="90">
        <v>1</v>
      </c>
      <c r="AS9" s="90">
        <v>1</v>
      </c>
      <c r="AT9" s="84"/>
      <c r="AU9" s="84"/>
      <c r="AV9" s="84"/>
      <c r="AW9" s="84"/>
      <c r="AX9" s="94">
        <v>10010508</v>
      </c>
      <c r="AY9" s="93" t="s">
        <v>773</v>
      </c>
      <c r="AZ9" s="91">
        <v>1</v>
      </c>
      <c r="BA9" s="86">
        <v>8.3333333333333332E-3</v>
      </c>
      <c r="BB9" s="90">
        <v>1</v>
      </c>
      <c r="BC9" s="90">
        <v>1</v>
      </c>
    </row>
    <row r="10" spans="1:55">
      <c r="A10" s="84"/>
      <c r="B10" s="90" t="s">
        <v>881</v>
      </c>
      <c r="C10" s="86">
        <v>5.0000000000000001E-3</v>
      </c>
      <c r="D10" s="85"/>
      <c r="E10" s="85"/>
      <c r="F10" s="85"/>
      <c r="G10" s="85"/>
      <c r="H10" s="84"/>
      <c r="I10" s="84"/>
      <c r="J10" s="94">
        <v>10030207</v>
      </c>
      <c r="K10" s="93" t="s">
        <v>138</v>
      </c>
      <c r="L10" s="90">
        <v>1</v>
      </c>
      <c r="M10" s="90">
        <f t="shared" si="0"/>
        <v>7.4074074074074077E-3</v>
      </c>
      <c r="N10" s="90">
        <v>1</v>
      </c>
      <c r="O10" s="90">
        <v>1</v>
      </c>
      <c r="P10" s="84"/>
      <c r="Q10" s="84"/>
      <c r="R10" s="84"/>
      <c r="S10" s="84"/>
      <c r="T10" s="96">
        <v>10030302</v>
      </c>
      <c r="U10" s="102" t="s">
        <v>266</v>
      </c>
      <c r="V10" s="91">
        <v>1</v>
      </c>
      <c r="W10" s="86">
        <v>8.3333333333333332E-3</v>
      </c>
      <c r="X10" s="90">
        <v>1</v>
      </c>
      <c r="Y10" s="90">
        <v>1</v>
      </c>
      <c r="Z10" s="84"/>
      <c r="AA10" s="84"/>
      <c r="AB10" s="84"/>
      <c r="AC10" s="84"/>
      <c r="AD10" s="94">
        <v>10010309</v>
      </c>
      <c r="AE10" s="93" t="s">
        <v>761</v>
      </c>
      <c r="AF10" s="91">
        <v>1</v>
      </c>
      <c r="AG10" s="87">
        <v>7.8947368421052634E-3</v>
      </c>
      <c r="AH10" s="90">
        <v>1</v>
      </c>
      <c r="AI10" s="90">
        <v>1</v>
      </c>
      <c r="AJ10" s="84"/>
      <c r="AK10" s="84"/>
      <c r="AL10" s="84"/>
      <c r="AM10" s="84"/>
      <c r="AN10" s="94">
        <v>10010409</v>
      </c>
      <c r="AO10" s="93" t="s">
        <v>785</v>
      </c>
      <c r="AP10" s="90">
        <v>1</v>
      </c>
      <c r="AQ10" s="89">
        <v>6.8181818181818179E-3</v>
      </c>
      <c r="AR10" s="90">
        <v>1</v>
      </c>
      <c r="AS10" s="90">
        <v>1</v>
      </c>
      <c r="AT10" s="84"/>
      <c r="AU10" s="84"/>
      <c r="AV10" s="84"/>
      <c r="AW10" s="84"/>
      <c r="AX10" s="103">
        <v>10030602</v>
      </c>
      <c r="AY10" s="102" t="s">
        <v>882</v>
      </c>
      <c r="AZ10" s="91">
        <v>1</v>
      </c>
      <c r="BA10" s="86">
        <v>8.3333333333333332E-3</v>
      </c>
      <c r="BB10" s="90">
        <v>1</v>
      </c>
      <c r="BC10" s="90">
        <v>1</v>
      </c>
    </row>
    <row r="11" spans="1:55">
      <c r="A11" s="84"/>
      <c r="B11" s="90" t="s">
        <v>883</v>
      </c>
      <c r="C11" s="86">
        <v>0.05</v>
      </c>
      <c r="D11" s="85"/>
      <c r="E11" s="85"/>
      <c r="F11" s="85"/>
      <c r="G11" s="85"/>
      <c r="H11" s="84"/>
      <c r="I11" s="84"/>
      <c r="J11" s="94">
        <v>10030208</v>
      </c>
      <c r="K11" s="93" t="s">
        <v>139</v>
      </c>
      <c r="L11" s="90">
        <v>1</v>
      </c>
      <c r="M11" s="90">
        <f t="shared" si="0"/>
        <v>7.4074074074074077E-3</v>
      </c>
      <c r="N11" s="90">
        <v>1</v>
      </c>
      <c r="O11" s="90">
        <v>1</v>
      </c>
      <c r="P11" s="84"/>
      <c r="Q11" s="84"/>
      <c r="R11" s="84"/>
      <c r="S11" s="84"/>
      <c r="T11" s="96">
        <v>10030304</v>
      </c>
      <c r="U11" s="102" t="s">
        <v>268</v>
      </c>
      <c r="V11" s="91">
        <v>1</v>
      </c>
      <c r="W11" s="86">
        <v>8.3333333333333332E-3</v>
      </c>
      <c r="X11" s="90">
        <v>1</v>
      </c>
      <c r="Y11" s="90">
        <v>1</v>
      </c>
      <c r="Z11" s="84"/>
      <c r="AA11" s="84"/>
      <c r="AB11" s="86"/>
      <c r="AC11" s="86"/>
      <c r="AD11" s="102">
        <v>10030402</v>
      </c>
      <c r="AE11" s="102" t="s">
        <v>545</v>
      </c>
      <c r="AF11" s="91">
        <v>1</v>
      </c>
      <c r="AG11" s="87">
        <v>7.8947368421052634E-3</v>
      </c>
      <c r="AH11" s="90">
        <v>1</v>
      </c>
      <c r="AI11" s="90">
        <v>1</v>
      </c>
      <c r="AJ11" s="84"/>
      <c r="AK11" s="84"/>
      <c r="AL11" s="84"/>
      <c r="AM11" s="84"/>
      <c r="AN11" s="94">
        <v>10010410</v>
      </c>
      <c r="AO11" s="93" t="s">
        <v>790</v>
      </c>
      <c r="AP11" s="90">
        <v>1</v>
      </c>
      <c r="AQ11" s="89">
        <v>6.8181818181818179E-3</v>
      </c>
      <c r="AR11" s="90">
        <v>1</v>
      </c>
      <c r="AS11" s="90">
        <v>1</v>
      </c>
      <c r="AT11" s="84"/>
      <c r="AU11" s="84"/>
      <c r="AV11" s="84"/>
      <c r="AW11" s="84"/>
      <c r="AX11" s="103">
        <v>10030604</v>
      </c>
      <c r="AY11" s="94" t="s">
        <v>884</v>
      </c>
      <c r="AZ11" s="91">
        <v>1</v>
      </c>
      <c r="BA11" s="86">
        <v>8.3333333333333332E-3</v>
      </c>
      <c r="BB11" s="90">
        <v>1</v>
      </c>
      <c r="BC11" s="90">
        <v>1</v>
      </c>
    </row>
    <row r="12" spans="1:55">
      <c r="A12" s="84"/>
      <c r="B12" s="90" t="s">
        <v>885</v>
      </c>
      <c r="C12" s="86">
        <v>0.05</v>
      </c>
      <c r="D12" s="85"/>
      <c r="E12" s="85"/>
      <c r="F12" s="85"/>
      <c r="G12" s="85"/>
      <c r="H12" s="84"/>
      <c r="I12" s="84"/>
      <c r="J12" s="94">
        <v>10030209</v>
      </c>
      <c r="K12" s="93" t="s">
        <v>140</v>
      </c>
      <c r="L12" s="90">
        <v>1</v>
      </c>
      <c r="M12" s="90">
        <f t="shared" si="0"/>
        <v>7.4074074074074077E-3</v>
      </c>
      <c r="N12" s="90">
        <v>1</v>
      </c>
      <c r="O12" s="90">
        <v>1</v>
      </c>
      <c r="P12" s="84"/>
      <c r="Q12" s="84"/>
      <c r="R12" s="84"/>
      <c r="S12" s="84"/>
      <c r="T12" s="96">
        <v>10030306</v>
      </c>
      <c r="U12" s="102" t="s">
        <v>270</v>
      </c>
      <c r="V12" s="91">
        <v>1</v>
      </c>
      <c r="W12" s="86">
        <v>8.3333333333333332E-3</v>
      </c>
      <c r="X12" s="90">
        <v>1</v>
      </c>
      <c r="Y12" s="90">
        <v>1</v>
      </c>
      <c r="Z12" s="84"/>
      <c r="AA12" s="84"/>
      <c r="AB12" s="84"/>
      <c r="AC12" s="84"/>
      <c r="AD12" s="102">
        <v>10030404</v>
      </c>
      <c r="AE12" s="102" t="s">
        <v>547</v>
      </c>
      <c r="AF12" s="91">
        <v>1</v>
      </c>
      <c r="AG12" s="87">
        <v>7.8947368421052634E-3</v>
      </c>
      <c r="AH12" s="90">
        <v>1</v>
      </c>
      <c r="AI12" s="90">
        <v>1</v>
      </c>
      <c r="AJ12" s="84"/>
      <c r="AK12" s="84"/>
      <c r="AL12" s="84"/>
      <c r="AM12" s="84"/>
      <c r="AN12" s="94">
        <v>10010411</v>
      </c>
      <c r="AO12" s="93" t="s">
        <v>791</v>
      </c>
      <c r="AP12" s="90">
        <v>1</v>
      </c>
      <c r="AQ12" s="89">
        <v>6.8181818181818179E-3</v>
      </c>
      <c r="AR12" s="90">
        <v>1</v>
      </c>
      <c r="AS12" s="90">
        <v>1</v>
      </c>
      <c r="AT12" s="84"/>
      <c r="AU12" s="84"/>
      <c r="AV12" s="84"/>
      <c r="AW12" s="84"/>
      <c r="AX12" s="103">
        <v>10030606</v>
      </c>
      <c r="AY12" s="94" t="s">
        <v>886</v>
      </c>
      <c r="AZ12" s="91">
        <v>1</v>
      </c>
      <c r="BA12" s="86">
        <v>8.3333333333333332E-3</v>
      </c>
      <c r="BB12" s="90">
        <v>1</v>
      </c>
      <c r="BC12" s="90">
        <v>1</v>
      </c>
    </row>
    <row r="13" spans="1:55">
      <c r="A13" s="84"/>
      <c r="B13" s="90" t="s">
        <v>887</v>
      </c>
      <c r="C13" s="86">
        <v>0.05</v>
      </c>
      <c r="D13" s="85"/>
      <c r="E13" s="85"/>
      <c r="F13" s="85"/>
      <c r="G13" s="85"/>
      <c r="H13" s="84"/>
      <c r="I13" s="84"/>
      <c r="J13" s="94">
        <v>10030210</v>
      </c>
      <c r="K13" s="93" t="s">
        <v>141</v>
      </c>
      <c r="L13" s="90">
        <v>1</v>
      </c>
      <c r="M13" s="90">
        <f t="shared" si="0"/>
        <v>7.4074074074074077E-3</v>
      </c>
      <c r="N13" s="90">
        <v>1</v>
      </c>
      <c r="O13" s="90">
        <v>1</v>
      </c>
      <c r="P13" s="84"/>
      <c r="Q13" s="84"/>
      <c r="R13" s="84"/>
      <c r="S13" s="84"/>
      <c r="T13" s="96">
        <v>10030308</v>
      </c>
      <c r="U13" s="102" t="s">
        <v>272</v>
      </c>
      <c r="V13" s="91">
        <v>1</v>
      </c>
      <c r="W13" s="86">
        <v>8.3333333333333332E-3</v>
      </c>
      <c r="X13" s="90">
        <v>1</v>
      </c>
      <c r="Y13" s="90">
        <v>1</v>
      </c>
      <c r="Z13" s="84"/>
      <c r="AA13" s="84"/>
      <c r="AB13" s="84"/>
      <c r="AC13" s="84"/>
      <c r="AD13" s="102">
        <v>10030406</v>
      </c>
      <c r="AE13" s="102" t="s">
        <v>549</v>
      </c>
      <c r="AF13" s="91">
        <v>1</v>
      </c>
      <c r="AG13" s="87">
        <v>7.8947368421052634E-3</v>
      </c>
      <c r="AH13" s="90">
        <v>1</v>
      </c>
      <c r="AI13" s="90">
        <v>1</v>
      </c>
      <c r="AJ13" s="84"/>
      <c r="AK13" s="84"/>
      <c r="AL13" s="84"/>
      <c r="AM13" s="84"/>
      <c r="AN13" s="94">
        <v>10010412</v>
      </c>
      <c r="AO13" s="93" t="s">
        <v>792</v>
      </c>
      <c r="AP13" s="90">
        <v>1</v>
      </c>
      <c r="AQ13" s="89">
        <v>6.8181818181818179E-3</v>
      </c>
      <c r="AR13" s="90">
        <v>1</v>
      </c>
      <c r="AS13" s="90">
        <v>1</v>
      </c>
      <c r="AT13" s="84"/>
      <c r="AU13" s="84"/>
      <c r="AV13" s="84"/>
      <c r="AW13" s="84"/>
      <c r="AX13" s="103">
        <v>10030608</v>
      </c>
      <c r="AY13" s="102" t="s">
        <v>888</v>
      </c>
      <c r="AZ13" s="91">
        <v>1</v>
      </c>
      <c r="BA13" s="86">
        <v>8.3333333333333332E-3</v>
      </c>
      <c r="BB13" s="90">
        <v>1</v>
      </c>
      <c r="BC13" s="90">
        <v>1</v>
      </c>
    </row>
    <row r="14" spans="1:55">
      <c r="A14" s="84"/>
      <c r="B14" s="90" t="s">
        <v>889</v>
      </c>
      <c r="C14" s="86">
        <v>0.1</v>
      </c>
      <c r="D14" s="85"/>
      <c r="E14" s="85"/>
      <c r="F14" s="85"/>
      <c r="G14" s="85"/>
      <c r="H14" s="84"/>
      <c r="I14" s="84"/>
      <c r="J14" s="94">
        <v>10030211</v>
      </c>
      <c r="K14" s="93" t="s">
        <v>142</v>
      </c>
      <c r="L14" s="90">
        <v>1</v>
      </c>
      <c r="M14" s="90">
        <f t="shared" si="0"/>
        <v>7.4074074074074077E-3</v>
      </c>
      <c r="N14" s="90">
        <v>1</v>
      </c>
      <c r="O14" s="90">
        <v>1</v>
      </c>
      <c r="P14" s="84"/>
      <c r="Q14" s="84"/>
      <c r="R14" s="84"/>
      <c r="S14" s="84"/>
      <c r="T14" s="96">
        <v>10030310</v>
      </c>
      <c r="U14" s="102" t="s">
        <v>274</v>
      </c>
      <c r="V14" s="91">
        <v>1</v>
      </c>
      <c r="W14" s="86">
        <v>8.3333333333333332E-3</v>
      </c>
      <c r="X14" s="90">
        <v>1</v>
      </c>
      <c r="Y14" s="90">
        <v>1</v>
      </c>
      <c r="Z14" s="84"/>
      <c r="AA14" s="84"/>
      <c r="AB14" s="84"/>
      <c r="AC14" s="84"/>
      <c r="AD14" s="102">
        <v>10030408</v>
      </c>
      <c r="AE14" s="102" t="s">
        <v>551</v>
      </c>
      <c r="AF14" s="91">
        <v>1</v>
      </c>
      <c r="AG14" s="87">
        <v>7.8947368421052634E-3</v>
      </c>
      <c r="AH14" s="90">
        <v>1</v>
      </c>
      <c r="AI14" s="90">
        <v>1</v>
      </c>
      <c r="AJ14" s="84"/>
      <c r="AK14" s="84"/>
      <c r="AL14" s="84"/>
      <c r="AM14" s="84"/>
      <c r="AN14" s="103">
        <v>10030502</v>
      </c>
      <c r="AO14" s="102" t="s">
        <v>890</v>
      </c>
      <c r="AP14" s="90">
        <v>1</v>
      </c>
      <c r="AQ14" s="89">
        <v>6.8181818181818179E-3</v>
      </c>
      <c r="AR14" s="90">
        <v>1</v>
      </c>
      <c r="AS14" s="90">
        <v>1</v>
      </c>
      <c r="AT14" s="84"/>
      <c r="AU14" s="84"/>
      <c r="AV14" s="84"/>
      <c r="AW14" s="84"/>
      <c r="AX14" s="103">
        <v>10030610</v>
      </c>
      <c r="AY14" s="94" t="s">
        <v>891</v>
      </c>
      <c r="AZ14" s="91">
        <v>1</v>
      </c>
      <c r="BA14" s="86">
        <v>8.3333333333333332E-3</v>
      </c>
      <c r="BB14" s="90">
        <v>1</v>
      </c>
      <c r="BC14" s="90">
        <v>1</v>
      </c>
    </row>
    <row r="15" spans="1:55">
      <c r="A15" s="86"/>
      <c r="B15" s="86" t="s">
        <v>892</v>
      </c>
      <c r="C15" s="90">
        <v>0.05</v>
      </c>
      <c r="D15" s="90"/>
      <c r="E15" s="90"/>
      <c r="F15" s="90"/>
      <c r="G15" s="90"/>
      <c r="H15" s="84"/>
      <c r="I15" s="84"/>
      <c r="J15" s="94">
        <v>10030212</v>
      </c>
      <c r="K15" s="93" t="s">
        <v>143</v>
      </c>
      <c r="L15" s="90">
        <v>1</v>
      </c>
      <c r="M15" s="90">
        <f t="shared" si="0"/>
        <v>7.4074074074074077E-3</v>
      </c>
      <c r="N15" s="90">
        <v>1</v>
      </c>
      <c r="O15" s="90">
        <v>1</v>
      </c>
      <c r="P15" s="84"/>
      <c r="Q15" s="84"/>
      <c r="R15" s="84"/>
      <c r="S15" s="84"/>
      <c r="T15" s="96">
        <v>10030312</v>
      </c>
      <c r="U15" s="102" t="s">
        <v>276</v>
      </c>
      <c r="V15" s="91">
        <v>1</v>
      </c>
      <c r="W15" s="86">
        <v>8.3333333333333332E-3</v>
      </c>
      <c r="X15" s="90">
        <v>1</v>
      </c>
      <c r="Y15" s="90">
        <v>1</v>
      </c>
      <c r="Z15" s="84"/>
      <c r="AA15" s="84"/>
      <c r="AB15" s="84"/>
      <c r="AC15" s="84"/>
      <c r="AD15" s="102">
        <v>10030410</v>
      </c>
      <c r="AE15" s="102" t="s">
        <v>553</v>
      </c>
      <c r="AF15" s="91">
        <v>1</v>
      </c>
      <c r="AG15" s="87">
        <v>7.8947368421052634E-3</v>
      </c>
      <c r="AH15" s="90">
        <v>1</v>
      </c>
      <c r="AI15" s="90">
        <v>1</v>
      </c>
      <c r="AJ15" s="84"/>
      <c r="AK15" s="84"/>
      <c r="AL15" s="84"/>
      <c r="AM15" s="84"/>
      <c r="AN15" s="103">
        <v>10030504</v>
      </c>
      <c r="AO15" s="102" t="s">
        <v>893</v>
      </c>
      <c r="AP15" s="90">
        <v>1</v>
      </c>
      <c r="AQ15" s="89">
        <v>6.8181818181818179E-3</v>
      </c>
      <c r="AR15" s="90">
        <v>1</v>
      </c>
      <c r="AS15" s="90">
        <v>1</v>
      </c>
      <c r="AT15" s="84"/>
      <c r="AU15" s="84"/>
      <c r="AV15" s="84"/>
      <c r="AW15" s="84"/>
      <c r="AX15" s="103">
        <v>10030612</v>
      </c>
      <c r="AY15" s="94" t="s">
        <v>894</v>
      </c>
      <c r="AZ15" s="91">
        <v>1</v>
      </c>
      <c r="BA15" s="86">
        <v>8.3333333333333332E-3</v>
      </c>
      <c r="BB15" s="90">
        <v>1</v>
      </c>
      <c r="BC15" s="90">
        <v>1</v>
      </c>
    </row>
    <row r="16" spans="1:55">
      <c r="A16" s="84"/>
      <c r="B16" s="84"/>
      <c r="C16" s="84"/>
      <c r="D16" s="84"/>
      <c r="E16" s="84"/>
      <c r="F16" s="84"/>
      <c r="G16" s="84"/>
      <c r="H16" s="84"/>
      <c r="I16" s="84"/>
      <c r="J16" s="94">
        <v>10030213</v>
      </c>
      <c r="K16" s="93" t="s">
        <v>144</v>
      </c>
      <c r="L16" s="90">
        <v>1</v>
      </c>
      <c r="M16" s="90">
        <f t="shared" si="0"/>
        <v>7.4074074074074077E-3</v>
      </c>
      <c r="N16" s="90">
        <v>1</v>
      </c>
      <c r="O16" s="90">
        <v>1</v>
      </c>
      <c r="P16" s="84"/>
      <c r="Q16" s="84"/>
      <c r="R16" s="84"/>
      <c r="S16" s="84"/>
      <c r="T16" s="96">
        <v>10030314</v>
      </c>
      <c r="U16" s="102" t="s">
        <v>278</v>
      </c>
      <c r="V16" s="91">
        <v>1</v>
      </c>
      <c r="W16" s="86">
        <v>8.3333333333333332E-3</v>
      </c>
      <c r="X16" s="90">
        <v>1</v>
      </c>
      <c r="Y16" s="90">
        <v>1</v>
      </c>
      <c r="Z16" s="84"/>
      <c r="AA16" s="84"/>
      <c r="AB16" s="84"/>
      <c r="AC16" s="84"/>
      <c r="AD16" s="102">
        <v>10030412</v>
      </c>
      <c r="AE16" s="102" t="s">
        <v>555</v>
      </c>
      <c r="AF16" s="91">
        <v>1</v>
      </c>
      <c r="AG16" s="87">
        <v>7.8947368421052634E-3</v>
      </c>
      <c r="AH16" s="90">
        <v>1</v>
      </c>
      <c r="AI16" s="90">
        <v>1</v>
      </c>
      <c r="AJ16" s="84"/>
      <c r="AK16" s="84"/>
      <c r="AL16" s="84"/>
      <c r="AM16" s="84"/>
      <c r="AN16" s="103">
        <v>10030506</v>
      </c>
      <c r="AO16" s="102" t="s">
        <v>140</v>
      </c>
      <c r="AP16" s="90">
        <v>1</v>
      </c>
      <c r="AQ16" s="89">
        <v>6.8181818181818179E-3</v>
      </c>
      <c r="AR16" s="90">
        <v>1</v>
      </c>
      <c r="AS16" s="90">
        <v>1</v>
      </c>
      <c r="AT16" s="84"/>
      <c r="AU16" s="84"/>
      <c r="AV16" s="84"/>
      <c r="AW16" s="84"/>
      <c r="AX16" s="103">
        <v>10030614</v>
      </c>
      <c r="AY16" s="94" t="s">
        <v>895</v>
      </c>
      <c r="AZ16" s="91">
        <v>1</v>
      </c>
      <c r="BA16" s="86">
        <v>8.3333333333333332E-3</v>
      </c>
      <c r="BB16" s="90">
        <v>1</v>
      </c>
      <c r="BC16" s="90">
        <v>1</v>
      </c>
    </row>
    <row r="17" spans="2:55">
      <c r="B17" s="84"/>
      <c r="C17" s="84"/>
      <c r="D17" s="84"/>
      <c r="E17" s="84"/>
      <c r="F17" s="84"/>
      <c r="G17" s="84"/>
      <c r="H17" s="84"/>
      <c r="I17" s="84"/>
      <c r="J17" s="94">
        <v>10030214</v>
      </c>
      <c r="K17" s="93" t="s">
        <v>145</v>
      </c>
      <c r="L17" s="90">
        <v>1</v>
      </c>
      <c r="M17" s="90">
        <f t="shared" si="0"/>
        <v>7.4074074074074077E-3</v>
      </c>
      <c r="N17" s="90">
        <v>1</v>
      </c>
      <c r="O17" s="90">
        <v>1</v>
      </c>
      <c r="P17" s="84"/>
      <c r="Q17" s="84"/>
      <c r="R17" s="84"/>
      <c r="S17" s="84"/>
      <c r="T17" s="96">
        <v>10030318</v>
      </c>
      <c r="U17" s="102" t="s">
        <v>282</v>
      </c>
      <c r="V17" s="91">
        <v>1</v>
      </c>
      <c r="W17" s="86">
        <v>8.3333333333333332E-3</v>
      </c>
      <c r="X17" s="90">
        <v>1</v>
      </c>
      <c r="Y17" s="90">
        <v>1</v>
      </c>
      <c r="Z17" s="84"/>
      <c r="AA17" s="84"/>
      <c r="AB17" s="84"/>
      <c r="AC17" s="84"/>
      <c r="AD17" s="102">
        <v>10030414</v>
      </c>
      <c r="AE17" s="102" t="s">
        <v>557</v>
      </c>
      <c r="AF17" s="91">
        <v>1</v>
      </c>
      <c r="AG17" s="87">
        <v>7.8947368421052634E-3</v>
      </c>
      <c r="AH17" s="90">
        <v>1</v>
      </c>
      <c r="AI17" s="90">
        <v>1</v>
      </c>
      <c r="AJ17" s="84"/>
      <c r="AK17" s="84"/>
      <c r="AL17" s="84"/>
      <c r="AM17" s="84"/>
      <c r="AN17" s="103">
        <v>10030508</v>
      </c>
      <c r="AO17" s="102" t="s">
        <v>896</v>
      </c>
      <c r="AP17" s="90">
        <v>1</v>
      </c>
      <c r="AQ17" s="89">
        <v>6.8181818181818179E-3</v>
      </c>
      <c r="AR17" s="90">
        <v>1</v>
      </c>
      <c r="AS17" s="90">
        <v>1</v>
      </c>
      <c r="AT17" s="84"/>
      <c r="AU17" s="84"/>
      <c r="AV17" s="84"/>
      <c r="AW17" s="84"/>
      <c r="AX17" s="103">
        <v>10030617</v>
      </c>
      <c r="AY17" s="94" t="s">
        <v>897</v>
      </c>
      <c r="AZ17" s="91">
        <v>1</v>
      </c>
      <c r="BA17" s="86">
        <v>8.3333333333333332E-3</v>
      </c>
      <c r="BB17" s="90">
        <v>1</v>
      </c>
      <c r="BC17" s="90">
        <v>1</v>
      </c>
    </row>
    <row r="18" spans="2:55">
      <c r="B18" s="84"/>
      <c r="C18" s="84"/>
      <c r="D18" s="84"/>
      <c r="E18" s="84"/>
      <c r="F18" s="84"/>
      <c r="G18" s="84"/>
      <c r="H18" s="84"/>
      <c r="I18" s="84"/>
      <c r="J18" s="94">
        <v>10030215</v>
      </c>
      <c r="K18" s="93" t="s">
        <v>146</v>
      </c>
      <c r="L18" s="90">
        <v>1</v>
      </c>
      <c r="M18" s="90">
        <f t="shared" si="0"/>
        <v>7.4074074074074077E-3</v>
      </c>
      <c r="N18" s="90">
        <v>1</v>
      </c>
      <c r="O18" s="90">
        <v>1</v>
      </c>
      <c r="P18" s="84"/>
      <c r="Q18" s="84"/>
      <c r="R18" s="84"/>
      <c r="S18" s="84"/>
      <c r="T18" s="96">
        <v>10030319</v>
      </c>
      <c r="U18" s="102" t="s">
        <v>283</v>
      </c>
      <c r="V18" s="91">
        <v>1</v>
      </c>
      <c r="W18" s="86">
        <v>8.3333333333333332E-3</v>
      </c>
      <c r="X18" s="90">
        <v>1</v>
      </c>
      <c r="Y18" s="90">
        <v>1</v>
      </c>
      <c r="Z18" s="84"/>
      <c r="AA18" s="84"/>
      <c r="AB18" s="84"/>
      <c r="AC18" s="84"/>
      <c r="AD18" s="102">
        <v>10030417</v>
      </c>
      <c r="AE18" s="102" t="s">
        <v>560</v>
      </c>
      <c r="AF18" s="91">
        <v>1</v>
      </c>
      <c r="AG18" s="87">
        <v>7.8947368421052634E-3</v>
      </c>
      <c r="AH18" s="90">
        <v>1</v>
      </c>
      <c r="AI18" s="90">
        <v>1</v>
      </c>
      <c r="AJ18" s="84"/>
      <c r="AK18" s="84"/>
      <c r="AL18" s="84"/>
      <c r="AM18" s="84"/>
      <c r="AN18" s="103">
        <v>10030510</v>
      </c>
      <c r="AO18" s="102" t="s">
        <v>898</v>
      </c>
      <c r="AP18" s="90">
        <v>1</v>
      </c>
      <c r="AQ18" s="89">
        <v>6.8181818181818179E-3</v>
      </c>
      <c r="AR18" s="90">
        <v>1</v>
      </c>
      <c r="AS18" s="90">
        <v>1</v>
      </c>
      <c r="AT18" s="84"/>
      <c r="AU18" s="84"/>
      <c r="AV18" s="84"/>
      <c r="AW18" s="84"/>
      <c r="AX18" s="103">
        <v>10030619</v>
      </c>
      <c r="AY18" s="94" t="s">
        <v>899</v>
      </c>
      <c r="AZ18" s="91">
        <v>1</v>
      </c>
      <c r="BA18" s="86">
        <v>8.3333333333333332E-3</v>
      </c>
      <c r="BB18" s="90">
        <v>1</v>
      </c>
      <c r="BC18" s="90">
        <v>1</v>
      </c>
    </row>
    <row r="19" spans="2:55">
      <c r="B19" s="84"/>
      <c r="C19" s="84"/>
      <c r="D19" s="84"/>
      <c r="E19" s="84"/>
      <c r="F19" s="84"/>
      <c r="G19" s="84"/>
      <c r="H19" s="84"/>
      <c r="I19" s="84"/>
      <c r="J19" s="94">
        <v>10030216</v>
      </c>
      <c r="K19" s="93" t="s">
        <v>900</v>
      </c>
      <c r="L19" s="90">
        <v>1</v>
      </c>
      <c r="M19" s="90">
        <f t="shared" si="0"/>
        <v>7.4074074074074077E-3</v>
      </c>
      <c r="N19" s="90">
        <v>1</v>
      </c>
      <c r="O19" s="90">
        <v>1</v>
      </c>
      <c r="P19" s="84"/>
      <c r="Q19" s="84"/>
      <c r="R19" s="84"/>
      <c r="S19" s="84"/>
      <c r="T19" s="96">
        <v>10030321</v>
      </c>
      <c r="U19" s="103" t="s">
        <v>285</v>
      </c>
      <c r="V19" s="91">
        <v>1</v>
      </c>
      <c r="W19" s="86">
        <v>8.3333333333333332E-3</v>
      </c>
      <c r="X19" s="90">
        <v>1</v>
      </c>
      <c r="Y19" s="90">
        <v>1</v>
      </c>
      <c r="Z19" s="84"/>
      <c r="AA19" s="84"/>
      <c r="AB19" s="84"/>
      <c r="AC19" s="84"/>
      <c r="AD19" s="102">
        <v>10030419</v>
      </c>
      <c r="AE19" s="102" t="s">
        <v>562</v>
      </c>
      <c r="AF19" s="91">
        <v>1</v>
      </c>
      <c r="AG19" s="87">
        <v>7.8947368421052634E-3</v>
      </c>
      <c r="AH19" s="90">
        <v>1</v>
      </c>
      <c r="AI19" s="90">
        <v>1</v>
      </c>
      <c r="AJ19" s="84"/>
      <c r="AK19" s="84"/>
      <c r="AL19" s="84"/>
      <c r="AM19" s="84"/>
      <c r="AN19" s="103">
        <v>10030512</v>
      </c>
      <c r="AO19" s="102" t="s">
        <v>901</v>
      </c>
      <c r="AP19" s="90">
        <v>1</v>
      </c>
      <c r="AQ19" s="89">
        <v>6.8181818181818179E-3</v>
      </c>
      <c r="AR19" s="90">
        <v>1</v>
      </c>
      <c r="AS19" s="90">
        <v>1</v>
      </c>
      <c r="AT19" s="84"/>
      <c r="AU19" s="84"/>
      <c r="AV19" s="84"/>
      <c r="AW19" s="84"/>
      <c r="AX19" s="103">
        <v>10030621</v>
      </c>
      <c r="AY19" s="102" t="s">
        <v>902</v>
      </c>
      <c r="AZ19" s="91">
        <v>1</v>
      </c>
      <c r="BA19" s="86">
        <v>8.3333333333333332E-3</v>
      </c>
      <c r="BB19" s="90">
        <v>1</v>
      </c>
      <c r="BC19" s="90">
        <v>1</v>
      </c>
    </row>
    <row r="20" spans="2:55">
      <c r="B20" s="92" t="s">
        <v>903</v>
      </c>
      <c r="C20" s="84"/>
      <c r="D20" s="84"/>
      <c r="E20" s="86" t="s">
        <v>904</v>
      </c>
      <c r="F20" s="90" t="s">
        <v>871</v>
      </c>
      <c r="G20" s="84"/>
      <c r="H20" s="84"/>
      <c r="I20" s="84"/>
      <c r="J20" s="94">
        <v>10030217</v>
      </c>
      <c r="K20" s="93" t="s">
        <v>148</v>
      </c>
      <c r="L20" s="90">
        <v>1</v>
      </c>
      <c r="M20" s="90">
        <f t="shared" si="0"/>
        <v>7.4074074074074077E-3</v>
      </c>
      <c r="N20" s="90">
        <v>1</v>
      </c>
      <c r="O20" s="90">
        <v>1</v>
      </c>
      <c r="P20" s="84"/>
      <c r="Q20" s="86">
        <v>10</v>
      </c>
      <c r="R20" s="90" t="s">
        <v>875</v>
      </c>
      <c r="S20" s="86">
        <v>0.05</v>
      </c>
      <c r="T20" s="96">
        <v>10030301</v>
      </c>
      <c r="U20" s="102" t="s">
        <v>265</v>
      </c>
      <c r="V20" s="91">
        <v>1</v>
      </c>
      <c r="W20" s="86">
        <v>5.000000000000001E-3</v>
      </c>
      <c r="X20" s="90">
        <v>1</v>
      </c>
      <c r="Y20" s="90">
        <v>1</v>
      </c>
      <c r="Z20" s="84"/>
      <c r="AA20" s="84"/>
      <c r="AB20" s="84"/>
      <c r="AC20" s="84"/>
      <c r="AD20" s="102">
        <v>10030421</v>
      </c>
      <c r="AE20" s="102" t="s">
        <v>564</v>
      </c>
      <c r="AF20" s="91">
        <v>1</v>
      </c>
      <c r="AG20" s="87">
        <v>7.8947368421052634E-3</v>
      </c>
      <c r="AH20" s="90">
        <v>1</v>
      </c>
      <c r="AI20" s="90">
        <v>1</v>
      </c>
      <c r="AJ20" s="84"/>
      <c r="AK20" s="84"/>
      <c r="AL20" s="84"/>
      <c r="AM20" s="84"/>
      <c r="AN20" s="103">
        <v>10030514</v>
      </c>
      <c r="AO20" s="102" t="s">
        <v>905</v>
      </c>
      <c r="AP20" s="90">
        <v>1</v>
      </c>
      <c r="AQ20" s="89">
        <v>6.8181818181818179E-3</v>
      </c>
      <c r="AR20" s="90">
        <v>1</v>
      </c>
      <c r="AS20" s="90">
        <v>1</v>
      </c>
      <c r="AT20" s="84"/>
      <c r="AU20" s="86">
        <v>10</v>
      </c>
      <c r="AV20" s="90" t="s">
        <v>875</v>
      </c>
      <c r="AW20" s="86">
        <v>0.05</v>
      </c>
      <c r="AX20" s="103">
        <v>10030601</v>
      </c>
      <c r="AY20" s="102" t="s">
        <v>589</v>
      </c>
      <c r="AZ20" s="91">
        <v>1</v>
      </c>
      <c r="BA20" s="86">
        <v>5.000000000000001E-3</v>
      </c>
      <c r="BB20" s="90">
        <v>1</v>
      </c>
      <c r="BC20" s="90">
        <v>1</v>
      </c>
    </row>
    <row r="21" spans="2:55">
      <c r="B21" s="86" t="s">
        <v>904</v>
      </c>
      <c r="C21" s="90">
        <v>0.95</v>
      </c>
      <c r="D21" s="86">
        <v>1</v>
      </c>
      <c r="E21" s="86" t="s">
        <v>287</v>
      </c>
      <c r="F21" s="86">
        <v>2.5000000000000001E-2</v>
      </c>
      <c r="G21" s="84"/>
      <c r="H21" s="84"/>
      <c r="I21" s="85"/>
      <c r="J21" s="94">
        <v>10030218</v>
      </c>
      <c r="K21" s="93" t="s">
        <v>149</v>
      </c>
      <c r="L21" s="90">
        <v>1</v>
      </c>
      <c r="M21" s="90">
        <f t="shared" si="0"/>
        <v>7.4074074074074077E-3</v>
      </c>
      <c r="N21" s="90">
        <v>1</v>
      </c>
      <c r="O21" s="90">
        <v>1</v>
      </c>
      <c r="P21" s="84"/>
      <c r="Q21" s="86">
        <v>9</v>
      </c>
      <c r="R21" s="84"/>
      <c r="S21" s="84"/>
      <c r="T21" s="96">
        <v>10030303</v>
      </c>
      <c r="U21" s="102" t="s">
        <v>267</v>
      </c>
      <c r="V21" s="91">
        <v>1</v>
      </c>
      <c r="W21" s="86">
        <v>1.0000000000000002E-2</v>
      </c>
      <c r="X21" s="90">
        <v>1</v>
      </c>
      <c r="Y21" s="90">
        <v>1</v>
      </c>
      <c r="Z21" s="84"/>
      <c r="AA21" s="86">
        <v>10</v>
      </c>
      <c r="AB21" s="90" t="s">
        <v>875</v>
      </c>
      <c r="AC21" s="86">
        <v>0.05</v>
      </c>
      <c r="AD21" s="102">
        <v>10030401</v>
      </c>
      <c r="AE21" s="102" t="s">
        <v>544</v>
      </c>
      <c r="AF21" s="91">
        <v>1</v>
      </c>
      <c r="AG21" s="86">
        <v>5.000000000000001E-3</v>
      </c>
      <c r="AH21" s="90">
        <v>1</v>
      </c>
      <c r="AI21" s="90">
        <v>1</v>
      </c>
      <c r="AJ21" s="84"/>
      <c r="AK21" s="84"/>
      <c r="AL21" s="84"/>
      <c r="AM21" s="84"/>
      <c r="AN21" s="103">
        <v>10030517</v>
      </c>
      <c r="AO21" s="102" t="s">
        <v>906</v>
      </c>
      <c r="AP21" s="90">
        <v>1</v>
      </c>
      <c r="AQ21" s="89">
        <v>6.8181818181818179E-3</v>
      </c>
      <c r="AR21" s="90">
        <v>1</v>
      </c>
      <c r="AS21" s="90">
        <v>1</v>
      </c>
      <c r="AT21" s="84"/>
      <c r="AU21" s="86">
        <v>9</v>
      </c>
      <c r="AV21" s="84"/>
      <c r="AW21" s="84"/>
      <c r="AX21" s="103">
        <v>10030603</v>
      </c>
      <c r="AY21" s="94" t="s">
        <v>591</v>
      </c>
      <c r="AZ21" s="91">
        <v>1</v>
      </c>
      <c r="BA21" s="86">
        <v>1.0000000000000002E-2</v>
      </c>
      <c r="BB21" s="90">
        <v>1</v>
      </c>
      <c r="BC21" s="90">
        <v>1</v>
      </c>
    </row>
    <row r="22" spans="2:55">
      <c r="B22" s="90" t="s">
        <v>907</v>
      </c>
      <c r="C22" s="90">
        <v>0.05</v>
      </c>
      <c r="D22" s="86">
        <v>2</v>
      </c>
      <c r="E22" s="86" t="s">
        <v>288</v>
      </c>
      <c r="F22" s="86">
        <v>0.05</v>
      </c>
      <c r="G22" s="84"/>
      <c r="H22" s="84"/>
      <c r="I22" s="85"/>
      <c r="J22" s="94">
        <v>10030219</v>
      </c>
      <c r="K22" s="93" t="s">
        <v>150</v>
      </c>
      <c r="L22" s="90">
        <v>1</v>
      </c>
      <c r="M22" s="90">
        <f t="shared" si="0"/>
        <v>7.4074074074074077E-3</v>
      </c>
      <c r="N22" s="90">
        <v>1</v>
      </c>
      <c r="O22" s="90">
        <v>1</v>
      </c>
      <c r="P22" s="84"/>
      <c r="Q22" s="86">
        <v>8</v>
      </c>
      <c r="R22" s="84"/>
      <c r="S22" s="84"/>
      <c r="T22" s="96">
        <v>10030305</v>
      </c>
      <c r="U22" s="102" t="s">
        <v>269</v>
      </c>
      <c r="V22" s="91">
        <v>1</v>
      </c>
      <c r="W22" s="86">
        <v>7.4999999999999997E-3</v>
      </c>
      <c r="X22" s="90">
        <v>1</v>
      </c>
      <c r="Y22" s="90">
        <v>1</v>
      </c>
      <c r="Z22" s="84"/>
      <c r="AA22" s="86">
        <v>9</v>
      </c>
      <c r="AB22" s="84"/>
      <c r="AC22" s="84"/>
      <c r="AD22" s="102">
        <v>10030403</v>
      </c>
      <c r="AE22" s="102" t="s">
        <v>546</v>
      </c>
      <c r="AF22" s="91">
        <v>1</v>
      </c>
      <c r="AG22" s="86">
        <v>1.0000000000000002E-2</v>
      </c>
      <c r="AH22" s="90">
        <v>1</v>
      </c>
      <c r="AI22" s="90">
        <v>1</v>
      </c>
      <c r="AJ22" s="84"/>
      <c r="AK22" s="84"/>
      <c r="AL22" s="84"/>
      <c r="AM22" s="84"/>
      <c r="AN22" s="103">
        <v>10030519</v>
      </c>
      <c r="AO22" s="102" t="s">
        <v>908</v>
      </c>
      <c r="AP22" s="90">
        <v>1</v>
      </c>
      <c r="AQ22" s="89">
        <v>6.8181818181818179E-3</v>
      </c>
      <c r="AR22" s="90">
        <v>1</v>
      </c>
      <c r="AS22" s="90">
        <v>1</v>
      </c>
      <c r="AT22" s="84"/>
      <c r="AU22" s="86">
        <v>8</v>
      </c>
      <c r="AV22" s="84"/>
      <c r="AW22" s="84"/>
      <c r="AX22" s="103">
        <v>10030605</v>
      </c>
      <c r="AY22" s="94" t="s">
        <v>593</v>
      </c>
      <c r="AZ22" s="91">
        <v>1</v>
      </c>
      <c r="BA22" s="86">
        <v>7.4999999999999997E-3</v>
      </c>
      <c r="BB22" s="90">
        <v>1</v>
      </c>
      <c r="BC22" s="90">
        <v>1</v>
      </c>
    </row>
    <row r="23" spans="2:55">
      <c r="B23" s="84"/>
      <c r="C23" s="84"/>
      <c r="D23" s="86">
        <v>3</v>
      </c>
      <c r="E23" s="86" t="s">
        <v>289</v>
      </c>
      <c r="F23" s="86">
        <v>0.05</v>
      </c>
      <c r="G23" s="84"/>
      <c r="H23" s="84"/>
      <c r="I23" s="85"/>
      <c r="J23" s="94">
        <v>10030220</v>
      </c>
      <c r="K23" s="93" t="s">
        <v>151</v>
      </c>
      <c r="L23" s="90">
        <v>1</v>
      </c>
      <c r="M23" s="90">
        <f t="shared" si="0"/>
        <v>7.4074074074074077E-3</v>
      </c>
      <c r="N23" s="90">
        <v>1</v>
      </c>
      <c r="O23" s="90">
        <v>1</v>
      </c>
      <c r="P23" s="84"/>
      <c r="Q23" s="86">
        <v>6</v>
      </c>
      <c r="R23" s="84"/>
      <c r="S23" s="84"/>
      <c r="T23" s="96">
        <v>10030307</v>
      </c>
      <c r="U23" s="102" t="s">
        <v>271</v>
      </c>
      <c r="V23" s="91">
        <v>1</v>
      </c>
      <c r="W23" s="86">
        <v>5.000000000000001E-3</v>
      </c>
      <c r="X23" s="90">
        <v>1</v>
      </c>
      <c r="Y23" s="90">
        <v>1</v>
      </c>
      <c r="Z23" s="84"/>
      <c r="AA23" s="86">
        <v>8</v>
      </c>
      <c r="AB23" s="84"/>
      <c r="AC23" s="84"/>
      <c r="AD23" s="102">
        <v>10030405</v>
      </c>
      <c r="AE23" s="102" t="s">
        <v>548</v>
      </c>
      <c r="AF23" s="91">
        <v>1</v>
      </c>
      <c r="AG23" s="86">
        <v>7.4999999999999997E-3</v>
      </c>
      <c r="AH23" s="90">
        <v>1</v>
      </c>
      <c r="AI23" s="90">
        <v>1</v>
      </c>
      <c r="AJ23" s="84"/>
      <c r="AK23" s="84"/>
      <c r="AL23" s="84"/>
      <c r="AM23" s="84"/>
      <c r="AN23" s="103">
        <v>10030521</v>
      </c>
      <c r="AO23" s="102" t="s">
        <v>567</v>
      </c>
      <c r="AP23" s="90">
        <v>1</v>
      </c>
      <c r="AQ23" s="89">
        <v>6.8181818181818179E-3</v>
      </c>
      <c r="AR23" s="90">
        <v>1</v>
      </c>
      <c r="AS23" s="90">
        <v>1</v>
      </c>
      <c r="AT23" s="84"/>
      <c r="AU23" s="86">
        <v>6</v>
      </c>
      <c r="AV23" s="84"/>
      <c r="AW23" s="84"/>
      <c r="AX23" s="103">
        <v>10030607</v>
      </c>
      <c r="AY23" s="94" t="s">
        <v>595</v>
      </c>
      <c r="AZ23" s="91">
        <v>1</v>
      </c>
      <c r="BA23" s="86">
        <v>5.000000000000001E-3</v>
      </c>
      <c r="BB23" s="90">
        <v>1</v>
      </c>
      <c r="BC23" s="90">
        <v>1</v>
      </c>
    </row>
    <row r="24" spans="2:55">
      <c r="B24" s="84"/>
      <c r="C24" s="84"/>
      <c r="D24" s="86">
        <v>4</v>
      </c>
      <c r="E24" s="86" t="s">
        <v>290</v>
      </c>
      <c r="F24" s="86">
        <v>7.0000000000000007E-2</v>
      </c>
      <c r="G24" s="84"/>
      <c r="H24" s="84"/>
      <c r="I24" s="85"/>
      <c r="J24" s="94">
        <v>10030221</v>
      </c>
      <c r="K24" s="93" t="s">
        <v>152</v>
      </c>
      <c r="L24" s="90">
        <v>1</v>
      </c>
      <c r="M24" s="90">
        <f t="shared" si="0"/>
        <v>7.4074074074074077E-3</v>
      </c>
      <c r="N24" s="90">
        <v>1</v>
      </c>
      <c r="O24" s="90">
        <v>1</v>
      </c>
      <c r="P24" s="84"/>
      <c r="Q24" s="86">
        <v>7</v>
      </c>
      <c r="R24" s="84"/>
      <c r="S24" s="84"/>
      <c r="T24" s="96">
        <v>10030309</v>
      </c>
      <c r="U24" s="102" t="s">
        <v>273</v>
      </c>
      <c r="V24" s="91">
        <v>1</v>
      </c>
      <c r="W24" s="86">
        <v>7.4999999999999997E-3</v>
      </c>
      <c r="X24" s="90">
        <v>1</v>
      </c>
      <c r="Y24" s="90">
        <v>1</v>
      </c>
      <c r="Z24" s="84"/>
      <c r="AA24" s="86">
        <v>6</v>
      </c>
      <c r="AB24" s="86"/>
      <c r="AC24" s="84"/>
      <c r="AD24" s="102">
        <v>10030407</v>
      </c>
      <c r="AE24" s="102" t="s">
        <v>550</v>
      </c>
      <c r="AF24" s="91">
        <v>1</v>
      </c>
      <c r="AG24" s="86">
        <v>5.000000000000001E-3</v>
      </c>
      <c r="AH24" s="90">
        <v>1</v>
      </c>
      <c r="AI24" s="90">
        <v>1</v>
      </c>
      <c r="AJ24" s="84"/>
      <c r="AK24" s="86">
        <v>10</v>
      </c>
      <c r="AL24" s="90" t="s">
        <v>875</v>
      </c>
      <c r="AM24" s="86">
        <v>0.05</v>
      </c>
      <c r="AN24" s="103">
        <v>10030501</v>
      </c>
      <c r="AO24" s="102" t="s">
        <v>909</v>
      </c>
      <c r="AP24" s="90">
        <v>1</v>
      </c>
      <c r="AQ24" s="90">
        <v>5.000000000000001E-3</v>
      </c>
      <c r="AR24" s="90">
        <v>1</v>
      </c>
      <c r="AS24" s="90">
        <v>1</v>
      </c>
      <c r="AT24" s="84"/>
      <c r="AU24" s="86">
        <v>7</v>
      </c>
      <c r="AV24" s="84"/>
      <c r="AW24" s="84"/>
      <c r="AX24" s="103">
        <v>10030609</v>
      </c>
      <c r="AY24" s="94" t="s">
        <v>597</v>
      </c>
      <c r="AZ24" s="91">
        <v>1</v>
      </c>
      <c r="BA24" s="86">
        <v>7.4999999999999997E-3</v>
      </c>
      <c r="BB24" s="90">
        <v>1</v>
      </c>
      <c r="BC24" s="90">
        <v>1</v>
      </c>
    </row>
    <row r="25" spans="2:55">
      <c r="B25" s="84"/>
      <c r="C25" s="84"/>
      <c r="D25" s="86">
        <v>5</v>
      </c>
      <c r="E25" s="86" t="s">
        <v>291</v>
      </c>
      <c r="F25" s="86">
        <v>0.05</v>
      </c>
      <c r="G25" s="84"/>
      <c r="H25" s="84"/>
      <c r="I25" s="85"/>
      <c r="J25" s="96">
        <v>10030222</v>
      </c>
      <c r="K25" s="95" t="s">
        <v>153</v>
      </c>
      <c r="L25" s="90">
        <v>1</v>
      </c>
      <c r="M25" s="90">
        <f t="shared" si="0"/>
        <v>7.4074074074074077E-3</v>
      </c>
      <c r="N25" s="90">
        <v>1</v>
      </c>
      <c r="O25" s="90">
        <v>1</v>
      </c>
      <c r="P25" s="84"/>
      <c r="Q25" s="86">
        <v>11</v>
      </c>
      <c r="R25" s="84"/>
      <c r="S25" s="84"/>
      <c r="T25" s="96">
        <v>10030311</v>
      </c>
      <c r="U25" s="102" t="s">
        <v>275</v>
      </c>
      <c r="V25" s="91">
        <v>1</v>
      </c>
      <c r="W25" s="86">
        <v>2.7500000000000003E-3</v>
      </c>
      <c r="X25" s="90">
        <v>1</v>
      </c>
      <c r="Y25" s="90">
        <v>1</v>
      </c>
      <c r="Z25" s="84"/>
      <c r="AA25" s="86">
        <v>7</v>
      </c>
      <c r="AB25" s="84"/>
      <c r="AC25" s="84"/>
      <c r="AD25" s="102">
        <v>10030409</v>
      </c>
      <c r="AE25" s="102" t="s">
        <v>552</v>
      </c>
      <c r="AF25" s="91">
        <v>1</v>
      </c>
      <c r="AG25" s="86">
        <v>7.4999999999999997E-3</v>
      </c>
      <c r="AH25" s="90">
        <v>1</v>
      </c>
      <c r="AI25" s="90">
        <v>1</v>
      </c>
      <c r="AJ25" s="84"/>
      <c r="AK25" s="86">
        <v>9</v>
      </c>
      <c r="AL25" s="84"/>
      <c r="AM25" s="84"/>
      <c r="AN25" s="103">
        <v>10030503</v>
      </c>
      <c r="AO25" s="102" t="s">
        <v>910</v>
      </c>
      <c r="AP25" s="90">
        <v>1</v>
      </c>
      <c r="AQ25" s="90">
        <v>1.0000000000000002E-2</v>
      </c>
      <c r="AR25" s="90">
        <v>1</v>
      </c>
      <c r="AS25" s="90">
        <v>1</v>
      </c>
      <c r="AT25" s="84"/>
      <c r="AU25" s="86">
        <v>11</v>
      </c>
      <c r="AV25" s="84"/>
      <c r="AW25" s="84"/>
      <c r="AX25" s="103">
        <v>10030611</v>
      </c>
      <c r="AY25" s="94" t="s">
        <v>599</v>
      </c>
      <c r="AZ25" s="91">
        <v>1</v>
      </c>
      <c r="BA25" s="86">
        <v>2.7500000000000003E-3</v>
      </c>
      <c r="BB25" s="90">
        <v>1</v>
      </c>
      <c r="BC25" s="90">
        <v>1</v>
      </c>
    </row>
    <row r="26" spans="2:55">
      <c r="B26" s="84"/>
      <c r="C26" s="84"/>
      <c r="D26" s="86">
        <v>6</v>
      </c>
      <c r="E26" s="86" t="s">
        <v>292</v>
      </c>
      <c r="F26" s="86">
        <v>0.1</v>
      </c>
      <c r="G26" s="84"/>
      <c r="H26" s="84"/>
      <c r="I26" s="85"/>
      <c r="J26" s="96">
        <v>10030260</v>
      </c>
      <c r="K26" s="93" t="s">
        <v>911</v>
      </c>
      <c r="L26" s="90">
        <v>1</v>
      </c>
      <c r="M26" s="90">
        <f t="shared" si="0"/>
        <v>7.4074074074074077E-3</v>
      </c>
      <c r="N26" s="90">
        <v>1</v>
      </c>
      <c r="O26" s="90">
        <v>1</v>
      </c>
      <c r="P26" s="84"/>
      <c r="Q26" s="86">
        <v>4</v>
      </c>
      <c r="R26" s="84"/>
      <c r="S26" s="84"/>
      <c r="T26" s="96">
        <v>10030313</v>
      </c>
      <c r="U26" s="102" t="s">
        <v>277</v>
      </c>
      <c r="V26" s="91">
        <v>1</v>
      </c>
      <c r="W26" s="86">
        <v>3.5000000000000005E-3</v>
      </c>
      <c r="X26" s="90">
        <v>1</v>
      </c>
      <c r="Y26" s="90">
        <v>1</v>
      </c>
      <c r="Z26" s="84"/>
      <c r="AA26" s="86">
        <v>11</v>
      </c>
      <c r="AB26" s="84"/>
      <c r="AC26" s="84"/>
      <c r="AD26" s="102">
        <v>10030411</v>
      </c>
      <c r="AE26" s="102" t="s">
        <v>554</v>
      </c>
      <c r="AF26" s="91">
        <v>1</v>
      </c>
      <c r="AG26" s="86">
        <v>2.7500000000000003E-3</v>
      </c>
      <c r="AH26" s="90">
        <v>1</v>
      </c>
      <c r="AI26" s="90">
        <v>1</v>
      </c>
      <c r="AJ26" s="84"/>
      <c r="AK26" s="86">
        <v>8</v>
      </c>
      <c r="AL26" s="84"/>
      <c r="AM26" s="84"/>
      <c r="AN26" s="103">
        <v>10030505</v>
      </c>
      <c r="AO26" s="102" t="s">
        <v>912</v>
      </c>
      <c r="AP26" s="90">
        <v>1</v>
      </c>
      <c r="AQ26" s="90">
        <v>7.4999999999999997E-3</v>
      </c>
      <c r="AR26" s="90">
        <v>1</v>
      </c>
      <c r="AS26" s="90">
        <v>1</v>
      </c>
      <c r="AT26" s="84"/>
      <c r="AU26" s="86">
        <v>4</v>
      </c>
      <c r="AV26" s="84"/>
      <c r="AW26" s="84"/>
      <c r="AX26" s="103">
        <v>10030613</v>
      </c>
      <c r="AY26" s="94" t="s">
        <v>601</v>
      </c>
      <c r="AZ26" s="91">
        <v>1</v>
      </c>
      <c r="BA26" s="86">
        <v>3.5000000000000005E-3</v>
      </c>
      <c r="BB26" s="90">
        <v>1</v>
      </c>
      <c r="BC26" s="90">
        <v>1</v>
      </c>
    </row>
    <row r="27" spans="2:55">
      <c r="B27" s="84"/>
      <c r="C27" s="84"/>
      <c r="D27" s="86">
        <v>7</v>
      </c>
      <c r="E27" s="86" t="s">
        <v>293</v>
      </c>
      <c r="F27" s="86">
        <v>0.15</v>
      </c>
      <c r="G27" s="84"/>
      <c r="H27" s="84"/>
      <c r="I27" s="85"/>
      <c r="J27" s="96">
        <v>10030261</v>
      </c>
      <c r="K27" s="93" t="s">
        <v>913</v>
      </c>
      <c r="L27" s="90">
        <v>1</v>
      </c>
      <c r="M27" s="90">
        <f t="shared" si="0"/>
        <v>7.4074074074074077E-3</v>
      </c>
      <c r="N27" s="90">
        <v>1</v>
      </c>
      <c r="O27" s="90">
        <v>1</v>
      </c>
      <c r="P27" s="84"/>
      <c r="Q27" s="86">
        <v>5</v>
      </c>
      <c r="R27" s="84"/>
      <c r="S27" s="84"/>
      <c r="T27" s="96">
        <v>10030315</v>
      </c>
      <c r="U27" s="102" t="s">
        <v>279</v>
      </c>
      <c r="V27" s="91">
        <v>1</v>
      </c>
      <c r="W27" s="86">
        <v>2.5000000000000005E-3</v>
      </c>
      <c r="X27" s="90">
        <v>1</v>
      </c>
      <c r="Y27" s="90">
        <v>1</v>
      </c>
      <c r="Z27" s="84"/>
      <c r="AA27" s="86">
        <v>4</v>
      </c>
      <c r="AB27" s="84"/>
      <c r="AC27" s="84"/>
      <c r="AD27" s="102">
        <v>10030413</v>
      </c>
      <c r="AE27" s="102" t="s">
        <v>556</v>
      </c>
      <c r="AF27" s="91">
        <v>1</v>
      </c>
      <c r="AG27" s="86">
        <v>3.5000000000000005E-3</v>
      </c>
      <c r="AH27" s="90">
        <v>1</v>
      </c>
      <c r="AI27" s="90">
        <v>1</v>
      </c>
      <c r="AJ27" s="84"/>
      <c r="AK27" s="86">
        <v>6</v>
      </c>
      <c r="AL27" s="84"/>
      <c r="AM27" s="84"/>
      <c r="AN27" s="103">
        <v>10030507</v>
      </c>
      <c r="AO27" s="102" t="s">
        <v>914</v>
      </c>
      <c r="AP27" s="90">
        <v>1</v>
      </c>
      <c r="AQ27" s="90">
        <v>5.000000000000001E-3</v>
      </c>
      <c r="AR27" s="90">
        <v>1</v>
      </c>
      <c r="AS27" s="90">
        <v>1</v>
      </c>
      <c r="AT27" s="84"/>
      <c r="AU27" s="86">
        <v>5</v>
      </c>
      <c r="AV27" s="84"/>
      <c r="AW27" s="84"/>
      <c r="AX27" s="103">
        <v>10030615</v>
      </c>
      <c r="AY27" s="94" t="s">
        <v>915</v>
      </c>
      <c r="AZ27" s="91">
        <v>1</v>
      </c>
      <c r="BA27" s="86">
        <v>2.5000000000000005E-3</v>
      </c>
      <c r="BB27" s="90">
        <v>1</v>
      </c>
      <c r="BC27" s="90">
        <v>1</v>
      </c>
    </row>
    <row r="28" spans="2:55">
      <c r="B28" s="84"/>
      <c r="C28" s="84"/>
      <c r="D28" s="86">
        <v>8</v>
      </c>
      <c r="E28" s="86" t="s">
        <v>294</v>
      </c>
      <c r="F28" s="86">
        <v>0.15</v>
      </c>
      <c r="G28" s="84"/>
      <c r="H28" s="84"/>
      <c r="I28" s="85"/>
      <c r="J28" s="96">
        <v>10030262</v>
      </c>
      <c r="K28" s="93" t="s">
        <v>916</v>
      </c>
      <c r="L28" s="90">
        <v>1</v>
      </c>
      <c r="M28" s="90">
        <f t="shared" si="0"/>
        <v>7.4074074074074077E-3</v>
      </c>
      <c r="N28" s="90">
        <v>1</v>
      </c>
      <c r="O28" s="90">
        <v>1</v>
      </c>
      <c r="P28" s="84"/>
      <c r="Q28" s="86">
        <v>3</v>
      </c>
      <c r="R28" s="84"/>
      <c r="S28" s="84"/>
      <c r="T28" s="96">
        <v>10030316</v>
      </c>
      <c r="U28" s="102" t="s">
        <v>280</v>
      </c>
      <c r="V28" s="91">
        <v>1</v>
      </c>
      <c r="W28" s="86">
        <v>2.5000000000000005E-3</v>
      </c>
      <c r="X28" s="90">
        <v>1</v>
      </c>
      <c r="Y28" s="90">
        <v>1</v>
      </c>
      <c r="Z28" s="84"/>
      <c r="AA28" s="86">
        <v>5</v>
      </c>
      <c r="AB28" s="84"/>
      <c r="AC28" s="84"/>
      <c r="AD28" s="102">
        <v>10030415</v>
      </c>
      <c r="AE28" s="102" t="s">
        <v>558</v>
      </c>
      <c r="AF28" s="91">
        <v>1</v>
      </c>
      <c r="AG28" s="86">
        <v>2.5000000000000005E-3</v>
      </c>
      <c r="AH28" s="90">
        <v>1</v>
      </c>
      <c r="AI28" s="90">
        <v>1</v>
      </c>
      <c r="AJ28" s="84"/>
      <c r="AK28" s="86">
        <v>7</v>
      </c>
      <c r="AL28" s="84"/>
      <c r="AM28" s="84"/>
      <c r="AN28" s="103">
        <v>10030509</v>
      </c>
      <c r="AO28" s="102" t="s">
        <v>917</v>
      </c>
      <c r="AP28" s="90">
        <v>1</v>
      </c>
      <c r="AQ28" s="90">
        <v>7.4999999999999997E-3</v>
      </c>
      <c r="AR28" s="90">
        <v>1</v>
      </c>
      <c r="AS28" s="90">
        <v>1</v>
      </c>
      <c r="AT28" s="84"/>
      <c r="AU28" s="86">
        <v>3</v>
      </c>
      <c r="AV28" s="84"/>
      <c r="AW28" s="84"/>
      <c r="AX28" s="103">
        <v>10030616</v>
      </c>
      <c r="AY28" s="94" t="s">
        <v>604</v>
      </c>
      <c r="AZ28" s="91">
        <v>1</v>
      </c>
      <c r="BA28" s="86">
        <v>2.5000000000000005E-3</v>
      </c>
      <c r="BB28" s="90">
        <v>1</v>
      </c>
      <c r="BC28" s="90">
        <v>1</v>
      </c>
    </row>
    <row r="29" spans="2:55">
      <c r="B29" s="84"/>
      <c r="C29" s="84"/>
      <c r="D29" s="86">
        <v>9</v>
      </c>
      <c r="E29" s="86" t="s">
        <v>295</v>
      </c>
      <c r="F29" s="86">
        <v>0.2</v>
      </c>
      <c r="G29" s="84"/>
      <c r="H29" s="90" t="s">
        <v>876</v>
      </c>
      <c r="I29" s="86">
        <v>0.05</v>
      </c>
      <c r="J29" s="94">
        <v>10010042</v>
      </c>
      <c r="K29" s="97" t="s">
        <v>317</v>
      </c>
      <c r="L29" s="90">
        <v>1</v>
      </c>
      <c r="M29" s="90">
        <v>0.05</v>
      </c>
      <c r="N29" s="90">
        <v>1</v>
      </c>
      <c r="O29" s="90">
        <v>1</v>
      </c>
      <c r="P29" s="84"/>
      <c r="Q29" s="86">
        <v>1</v>
      </c>
      <c r="R29" s="84"/>
      <c r="S29" s="84"/>
      <c r="T29" s="96">
        <v>10030317</v>
      </c>
      <c r="U29" s="102" t="s">
        <v>281</v>
      </c>
      <c r="V29" s="91">
        <v>1</v>
      </c>
      <c r="W29" s="86">
        <v>1.2500000000000002E-3</v>
      </c>
      <c r="X29" s="90">
        <v>1</v>
      </c>
      <c r="Y29" s="90">
        <v>1</v>
      </c>
      <c r="Z29" s="84"/>
      <c r="AA29" s="86">
        <v>3</v>
      </c>
      <c r="AB29" s="84"/>
      <c r="AC29" s="84"/>
      <c r="AD29" s="102">
        <v>10030416</v>
      </c>
      <c r="AE29" s="102" t="s">
        <v>559</v>
      </c>
      <c r="AF29" s="91">
        <v>1</v>
      </c>
      <c r="AG29" s="86">
        <v>2.5000000000000005E-3</v>
      </c>
      <c r="AH29" s="90">
        <v>1</v>
      </c>
      <c r="AI29" s="90">
        <v>1</v>
      </c>
      <c r="AJ29" s="84"/>
      <c r="AK29" s="86">
        <v>11</v>
      </c>
      <c r="AL29" s="84"/>
      <c r="AM29" s="84"/>
      <c r="AN29" s="103">
        <v>10030511</v>
      </c>
      <c r="AO29" s="102" t="s">
        <v>918</v>
      </c>
      <c r="AP29" s="90">
        <v>1</v>
      </c>
      <c r="AQ29" s="90">
        <v>2.7500000000000003E-3</v>
      </c>
      <c r="AR29" s="90">
        <v>1</v>
      </c>
      <c r="AS29" s="90">
        <v>1</v>
      </c>
      <c r="AT29" s="84"/>
      <c r="AU29" s="86">
        <v>1</v>
      </c>
      <c r="AV29" s="84"/>
      <c r="AW29" s="84"/>
      <c r="AX29" s="103">
        <v>10030618</v>
      </c>
      <c r="AY29" s="102" t="s">
        <v>606</v>
      </c>
      <c r="AZ29" s="91">
        <v>1</v>
      </c>
      <c r="BA29" s="86">
        <v>1.2500000000000002E-3</v>
      </c>
      <c r="BB29" s="90">
        <v>1</v>
      </c>
      <c r="BC29" s="90">
        <v>1</v>
      </c>
    </row>
    <row r="30" spans="2:55">
      <c r="B30" s="84"/>
      <c r="C30" s="84"/>
      <c r="D30" s="86">
        <v>10</v>
      </c>
      <c r="E30" s="86" t="s">
        <v>296</v>
      </c>
      <c r="F30" s="86">
        <v>0.1</v>
      </c>
      <c r="G30" s="84"/>
      <c r="H30" s="90" t="s">
        <v>877</v>
      </c>
      <c r="I30" s="86">
        <v>0.17499999999999999</v>
      </c>
      <c r="J30" s="98">
        <v>10010061</v>
      </c>
      <c r="K30" s="97" t="s">
        <v>919</v>
      </c>
      <c r="L30" s="90">
        <v>1</v>
      </c>
      <c r="M30" s="90">
        <v>0.1</v>
      </c>
      <c r="N30" s="90">
        <v>1</v>
      </c>
      <c r="O30" s="90">
        <v>1</v>
      </c>
      <c r="P30" s="84"/>
      <c r="Q30" s="86">
        <v>2</v>
      </c>
      <c r="R30" s="84"/>
      <c r="S30" s="84"/>
      <c r="T30" s="96">
        <v>10030320</v>
      </c>
      <c r="U30" s="102" t="s">
        <v>284</v>
      </c>
      <c r="V30" s="91">
        <v>1</v>
      </c>
      <c r="W30" s="86">
        <v>2.5000000000000005E-3</v>
      </c>
      <c r="X30" s="90">
        <v>1</v>
      </c>
      <c r="Y30" s="90">
        <v>1</v>
      </c>
      <c r="Z30" s="84"/>
      <c r="AA30" s="86">
        <v>1</v>
      </c>
      <c r="AB30" s="84"/>
      <c r="AC30" s="84"/>
      <c r="AD30" s="102">
        <v>10030418</v>
      </c>
      <c r="AE30" s="102" t="s">
        <v>561</v>
      </c>
      <c r="AF30" s="91">
        <v>1</v>
      </c>
      <c r="AG30" s="86">
        <v>1.2500000000000002E-3</v>
      </c>
      <c r="AH30" s="90">
        <v>1</v>
      </c>
      <c r="AI30" s="90">
        <v>1</v>
      </c>
      <c r="AJ30" s="84"/>
      <c r="AK30" s="86">
        <v>4</v>
      </c>
      <c r="AL30" s="84"/>
      <c r="AM30" s="84"/>
      <c r="AN30" s="103">
        <v>10030513</v>
      </c>
      <c r="AO30" s="102" t="s">
        <v>920</v>
      </c>
      <c r="AP30" s="90">
        <v>1</v>
      </c>
      <c r="AQ30" s="90">
        <v>3.5000000000000005E-3</v>
      </c>
      <c r="AR30" s="90">
        <v>1</v>
      </c>
      <c r="AS30" s="90">
        <v>1</v>
      </c>
      <c r="AT30" s="84"/>
      <c r="AU30" s="86">
        <v>2</v>
      </c>
      <c r="AV30" s="84"/>
      <c r="AW30" s="84"/>
      <c r="AX30" s="103">
        <v>10030620</v>
      </c>
      <c r="AY30" s="94" t="s">
        <v>608</v>
      </c>
      <c r="AZ30" s="91">
        <v>1</v>
      </c>
      <c r="BA30" s="86">
        <v>2.5000000000000005E-3</v>
      </c>
      <c r="BB30" s="90">
        <v>1</v>
      </c>
      <c r="BC30" s="90">
        <v>1</v>
      </c>
    </row>
    <row r="31" spans="2:55">
      <c r="B31" s="84"/>
      <c r="C31" s="84"/>
      <c r="D31" s="86">
        <v>11</v>
      </c>
      <c r="E31" s="86" t="s">
        <v>297</v>
      </c>
      <c r="F31" s="86">
        <v>5.5E-2</v>
      </c>
      <c r="G31" s="84"/>
      <c r="H31" s="84"/>
      <c r="I31" s="84"/>
      <c r="J31" s="94">
        <v>10010041</v>
      </c>
      <c r="K31" s="93" t="s">
        <v>316</v>
      </c>
      <c r="L31" s="90">
        <v>1</v>
      </c>
      <c r="M31" s="90">
        <v>7.4999999999999997E-2</v>
      </c>
      <c r="N31" s="90">
        <v>1</v>
      </c>
      <c r="O31" s="90">
        <v>1</v>
      </c>
      <c r="P31" s="84"/>
      <c r="Q31" s="84"/>
      <c r="R31" s="90" t="s">
        <v>876</v>
      </c>
      <c r="S31" s="86">
        <v>0.05</v>
      </c>
      <c r="T31" s="94">
        <v>10010042</v>
      </c>
      <c r="U31" s="97" t="s">
        <v>317</v>
      </c>
      <c r="V31" s="90">
        <v>1</v>
      </c>
      <c r="W31" s="90">
        <v>0.05</v>
      </c>
      <c r="X31" s="90">
        <v>1</v>
      </c>
      <c r="Y31" s="90">
        <v>1</v>
      </c>
      <c r="Z31" s="84"/>
      <c r="AA31" s="86">
        <v>2</v>
      </c>
      <c r="AB31" s="84"/>
      <c r="AC31" s="84"/>
      <c r="AD31" s="102">
        <v>10030420</v>
      </c>
      <c r="AE31" s="102" t="s">
        <v>563</v>
      </c>
      <c r="AF31" s="91">
        <v>1</v>
      </c>
      <c r="AG31" s="86">
        <v>2.5000000000000005E-3</v>
      </c>
      <c r="AH31" s="90">
        <v>1</v>
      </c>
      <c r="AI31" s="90">
        <v>1</v>
      </c>
      <c r="AJ31" s="84"/>
      <c r="AK31" s="86">
        <v>5</v>
      </c>
      <c r="AL31" s="84"/>
      <c r="AM31" s="84"/>
      <c r="AN31" s="103">
        <v>10030515</v>
      </c>
      <c r="AO31" s="102" t="s">
        <v>921</v>
      </c>
      <c r="AP31" s="90">
        <v>1</v>
      </c>
      <c r="AQ31" s="90">
        <v>2.5000000000000005E-3</v>
      </c>
      <c r="AR31" s="90">
        <v>1</v>
      </c>
      <c r="AS31" s="90">
        <v>1</v>
      </c>
      <c r="AT31" s="84"/>
      <c r="AU31" s="84"/>
      <c r="AV31" s="90" t="s">
        <v>876</v>
      </c>
      <c r="AW31" s="86">
        <v>0.05</v>
      </c>
      <c r="AX31" s="94">
        <v>10010045</v>
      </c>
      <c r="AY31" s="97" t="s">
        <v>317</v>
      </c>
      <c r="AZ31" s="90">
        <v>1</v>
      </c>
      <c r="BA31" s="90">
        <v>0.05</v>
      </c>
      <c r="BB31" s="90">
        <v>1</v>
      </c>
      <c r="BC31" s="90">
        <v>1</v>
      </c>
    </row>
    <row r="32" spans="2:55">
      <c r="B32" s="84"/>
      <c r="C32" s="84"/>
      <c r="D32" s="84"/>
      <c r="E32" s="84"/>
      <c r="F32" s="84"/>
      <c r="G32" s="84"/>
      <c r="H32" s="90" t="s">
        <v>315</v>
      </c>
      <c r="I32" s="86">
        <v>0.05</v>
      </c>
      <c r="J32" s="94">
        <v>10010033</v>
      </c>
      <c r="K32" s="93" t="s">
        <v>315</v>
      </c>
      <c r="L32" s="90">
        <v>1</v>
      </c>
      <c r="M32" s="90">
        <v>0.02</v>
      </c>
      <c r="N32" s="90">
        <v>1</v>
      </c>
      <c r="O32" s="90">
        <v>1</v>
      </c>
      <c r="P32" s="84"/>
      <c r="Q32" s="84"/>
      <c r="R32" s="90" t="s">
        <v>877</v>
      </c>
      <c r="S32" s="86">
        <v>0.17499999999999999</v>
      </c>
      <c r="T32" s="98">
        <v>10010062</v>
      </c>
      <c r="U32" s="97" t="s">
        <v>919</v>
      </c>
      <c r="V32" s="90">
        <v>1</v>
      </c>
      <c r="W32" s="90">
        <v>0.1</v>
      </c>
      <c r="X32" s="90">
        <v>1</v>
      </c>
      <c r="Y32" s="90">
        <v>1</v>
      </c>
      <c r="Z32" s="84"/>
      <c r="AA32" s="84"/>
      <c r="AB32" s="90" t="s">
        <v>876</v>
      </c>
      <c r="AC32" s="86">
        <v>0.05</v>
      </c>
      <c r="AD32" s="94">
        <v>10010043</v>
      </c>
      <c r="AE32" s="97" t="s">
        <v>317</v>
      </c>
      <c r="AF32" s="90">
        <v>1</v>
      </c>
      <c r="AG32" s="90">
        <v>0.05</v>
      </c>
      <c r="AH32" s="90">
        <v>1</v>
      </c>
      <c r="AI32" s="90">
        <v>1</v>
      </c>
      <c r="AJ32" s="84"/>
      <c r="AK32" s="86">
        <v>3</v>
      </c>
      <c r="AL32" s="84"/>
      <c r="AM32" s="84"/>
      <c r="AN32" s="103">
        <v>10030516</v>
      </c>
      <c r="AO32" s="102" t="s">
        <v>922</v>
      </c>
      <c r="AP32" s="90">
        <v>1</v>
      </c>
      <c r="AQ32" s="90">
        <v>2.5000000000000005E-3</v>
      </c>
      <c r="AR32" s="90">
        <v>1</v>
      </c>
      <c r="AS32" s="90">
        <v>1</v>
      </c>
      <c r="AT32" s="84"/>
      <c r="AU32" s="84"/>
      <c r="AV32" s="90" t="s">
        <v>877</v>
      </c>
      <c r="AW32" s="86">
        <v>0.17499999999999999</v>
      </c>
      <c r="AX32" s="98">
        <v>10010065</v>
      </c>
      <c r="AY32" s="97" t="s">
        <v>919</v>
      </c>
      <c r="AZ32" s="90">
        <v>1</v>
      </c>
      <c r="BA32" s="90">
        <v>0.1</v>
      </c>
      <c r="BB32" s="90">
        <v>1</v>
      </c>
      <c r="BC32" s="90">
        <v>1</v>
      </c>
    </row>
    <row r="33" spans="5:55">
      <c r="E33" s="86" t="s">
        <v>923</v>
      </c>
      <c r="F33" s="84"/>
      <c r="G33" s="84"/>
      <c r="H33" s="84"/>
      <c r="I33" s="84"/>
      <c r="J33" s="94">
        <v>10010034</v>
      </c>
      <c r="K33" s="93" t="s">
        <v>950</v>
      </c>
      <c r="L33" s="90">
        <v>5</v>
      </c>
      <c r="M33" s="90">
        <v>0.03</v>
      </c>
      <c r="N33" s="90">
        <v>3</v>
      </c>
      <c r="O33" s="90">
        <v>10</v>
      </c>
      <c r="P33" s="84"/>
      <c r="Q33" s="84"/>
      <c r="R33" s="84"/>
      <c r="S33" s="84"/>
      <c r="T33" s="94">
        <v>10010041</v>
      </c>
      <c r="U33" s="93" t="s">
        <v>316</v>
      </c>
      <c r="V33" s="90">
        <v>1</v>
      </c>
      <c r="W33" s="90">
        <v>7.4999999999999997E-2</v>
      </c>
      <c r="X33" s="90">
        <v>1</v>
      </c>
      <c r="Y33" s="90">
        <v>1</v>
      </c>
      <c r="Z33" s="84"/>
      <c r="AA33" s="84"/>
      <c r="AB33" s="90" t="s">
        <v>877</v>
      </c>
      <c r="AC33" s="86">
        <v>0.17499999999999999</v>
      </c>
      <c r="AD33" s="98">
        <v>10010063</v>
      </c>
      <c r="AE33" s="97" t="s">
        <v>919</v>
      </c>
      <c r="AF33" s="90">
        <v>1</v>
      </c>
      <c r="AG33" s="90">
        <v>0.1</v>
      </c>
      <c r="AH33" s="90">
        <v>1</v>
      </c>
      <c r="AI33" s="90">
        <v>1</v>
      </c>
      <c r="AJ33" s="84"/>
      <c r="AK33" s="86">
        <v>1</v>
      </c>
      <c r="AL33" s="84"/>
      <c r="AM33" s="84"/>
      <c r="AN33" s="103">
        <v>10030518</v>
      </c>
      <c r="AO33" s="102" t="s">
        <v>925</v>
      </c>
      <c r="AP33" s="90">
        <v>1</v>
      </c>
      <c r="AQ33" s="90">
        <v>1.2500000000000002E-3</v>
      </c>
      <c r="AR33" s="90">
        <v>1</v>
      </c>
      <c r="AS33" s="90">
        <v>1</v>
      </c>
      <c r="AT33" s="84"/>
      <c r="AU33" s="84"/>
      <c r="AV33" s="84"/>
      <c r="AW33" s="84"/>
      <c r="AX33" s="94">
        <v>10010041</v>
      </c>
      <c r="AY33" s="93" t="s">
        <v>316</v>
      </c>
      <c r="AZ33" s="90">
        <v>1</v>
      </c>
      <c r="BA33" s="90">
        <v>7.4999999999999997E-2</v>
      </c>
      <c r="BB33" s="90">
        <v>1</v>
      </c>
      <c r="BC33" s="90">
        <v>1</v>
      </c>
    </row>
    <row r="34" spans="5:55">
      <c r="E34" s="86" t="s">
        <v>926</v>
      </c>
      <c r="F34" s="86">
        <v>0.66</v>
      </c>
      <c r="G34" s="85"/>
      <c r="H34" s="90" t="s">
        <v>878</v>
      </c>
      <c r="I34" s="86">
        <v>0.14499999999999999</v>
      </c>
      <c r="J34" s="96">
        <v>10020001</v>
      </c>
      <c r="K34" s="99" t="s">
        <v>327</v>
      </c>
      <c r="L34" s="90">
        <v>1</v>
      </c>
      <c r="M34" s="90">
        <v>1.0357142857142856E-2</v>
      </c>
      <c r="N34" s="90">
        <v>1</v>
      </c>
      <c r="O34" s="90">
        <v>1</v>
      </c>
      <c r="P34" s="84"/>
      <c r="Q34" s="84"/>
      <c r="R34" s="90" t="s">
        <v>315</v>
      </c>
      <c r="S34" s="86">
        <v>0.05</v>
      </c>
      <c r="T34" s="94">
        <v>10010033</v>
      </c>
      <c r="U34" s="93" t="s">
        <v>315</v>
      </c>
      <c r="V34" s="90">
        <v>1</v>
      </c>
      <c r="W34" s="90">
        <v>0.02</v>
      </c>
      <c r="X34" s="90">
        <v>1</v>
      </c>
      <c r="Y34" s="90">
        <v>1</v>
      </c>
      <c r="Z34" s="84"/>
      <c r="AA34" s="84"/>
      <c r="AB34" s="84"/>
      <c r="AC34" s="84"/>
      <c r="AD34" s="94">
        <v>10010041</v>
      </c>
      <c r="AE34" s="93" t="s">
        <v>316</v>
      </c>
      <c r="AF34" s="90">
        <v>1</v>
      </c>
      <c r="AG34" s="90">
        <v>7.4999999999999997E-2</v>
      </c>
      <c r="AH34" s="90">
        <v>1</v>
      </c>
      <c r="AI34" s="90">
        <v>1</v>
      </c>
      <c r="AJ34" s="84"/>
      <c r="AK34" s="86">
        <v>2</v>
      </c>
      <c r="AL34" s="84"/>
      <c r="AM34" s="84"/>
      <c r="AN34" s="103">
        <v>10030520</v>
      </c>
      <c r="AO34" s="102" t="s">
        <v>927</v>
      </c>
      <c r="AP34" s="90">
        <v>1</v>
      </c>
      <c r="AQ34" s="90">
        <v>2.5000000000000005E-3</v>
      </c>
      <c r="AR34" s="90">
        <v>1</v>
      </c>
      <c r="AS34" s="90">
        <v>1</v>
      </c>
      <c r="AT34" s="84"/>
      <c r="AU34" s="84"/>
      <c r="AV34" s="90" t="s">
        <v>315</v>
      </c>
      <c r="AW34" s="86">
        <v>0.05</v>
      </c>
      <c r="AX34" s="94">
        <v>10010033</v>
      </c>
      <c r="AY34" s="93" t="s">
        <v>315</v>
      </c>
      <c r="AZ34" s="90">
        <v>1</v>
      </c>
      <c r="BA34" s="90">
        <v>0.02</v>
      </c>
      <c r="BB34" s="90">
        <v>1</v>
      </c>
      <c r="BC34" s="90">
        <v>1</v>
      </c>
    </row>
    <row r="35" spans="5:55">
      <c r="E35" s="86" t="s">
        <v>928</v>
      </c>
      <c r="F35" s="86">
        <v>0.34</v>
      </c>
      <c r="G35" s="85"/>
      <c r="H35" s="84"/>
      <c r="I35" s="84"/>
      <c r="J35" s="96">
        <v>10020002</v>
      </c>
      <c r="K35" s="97" t="s">
        <v>328</v>
      </c>
      <c r="L35" s="90">
        <v>10</v>
      </c>
      <c r="M35" s="90">
        <v>1.0357142857142856E-2</v>
      </c>
      <c r="N35" s="90">
        <v>5</v>
      </c>
      <c r="O35" s="90">
        <v>20</v>
      </c>
      <c r="P35" s="84"/>
      <c r="Q35" s="84"/>
      <c r="R35" s="84"/>
      <c r="S35" s="84"/>
      <c r="T35" s="94">
        <v>10010034</v>
      </c>
      <c r="U35" s="93" t="s">
        <v>924</v>
      </c>
      <c r="V35" s="90">
        <v>5</v>
      </c>
      <c r="W35" s="90">
        <v>0.03</v>
      </c>
      <c r="X35" s="90">
        <v>3</v>
      </c>
      <c r="Y35" s="90">
        <v>10</v>
      </c>
      <c r="Z35" s="84"/>
      <c r="AA35" s="84"/>
      <c r="AB35" s="90" t="s">
        <v>315</v>
      </c>
      <c r="AC35" s="86">
        <v>0.05</v>
      </c>
      <c r="AD35" s="94">
        <v>10010033</v>
      </c>
      <c r="AE35" s="93" t="s">
        <v>315</v>
      </c>
      <c r="AF35" s="90">
        <v>1</v>
      </c>
      <c r="AG35" s="90">
        <v>0.02</v>
      </c>
      <c r="AH35" s="90">
        <v>1</v>
      </c>
      <c r="AI35" s="90">
        <v>1</v>
      </c>
      <c r="AJ35" s="84"/>
      <c r="AK35" s="84"/>
      <c r="AL35" s="90" t="s">
        <v>876</v>
      </c>
      <c r="AM35" s="86">
        <v>0.05</v>
      </c>
      <c r="AN35" s="94">
        <v>10010044</v>
      </c>
      <c r="AO35" s="97" t="s">
        <v>317</v>
      </c>
      <c r="AP35" s="90">
        <v>1</v>
      </c>
      <c r="AQ35" s="90">
        <v>0.05</v>
      </c>
      <c r="AR35" s="90">
        <v>1</v>
      </c>
      <c r="AS35" s="90">
        <v>1</v>
      </c>
      <c r="AT35" s="84"/>
      <c r="AU35" s="84"/>
      <c r="AV35" s="84"/>
      <c r="AW35" s="84"/>
      <c r="AX35" s="94">
        <v>10010034</v>
      </c>
      <c r="AY35" s="93" t="s">
        <v>924</v>
      </c>
      <c r="AZ35" s="90">
        <v>5</v>
      </c>
      <c r="BA35" s="90">
        <v>0.03</v>
      </c>
      <c r="BB35" s="90">
        <v>3</v>
      </c>
      <c r="BC35" s="90">
        <v>10</v>
      </c>
    </row>
    <row r="36" spans="5:55">
      <c r="E36" s="84"/>
      <c r="F36" s="84"/>
      <c r="G36" s="84"/>
      <c r="H36" s="84"/>
      <c r="I36" s="84"/>
      <c r="J36" s="96">
        <v>10020003</v>
      </c>
      <c r="K36" s="97" t="s">
        <v>329</v>
      </c>
      <c r="L36" s="90">
        <v>10</v>
      </c>
      <c r="M36" s="90">
        <v>1.0357142857142856E-2</v>
      </c>
      <c r="N36" s="90">
        <v>5</v>
      </c>
      <c r="O36" s="90">
        <v>20</v>
      </c>
      <c r="P36" s="84"/>
      <c r="Q36" s="84"/>
      <c r="R36" s="90" t="s">
        <v>878</v>
      </c>
      <c r="S36" s="86">
        <v>0.14499999999999999</v>
      </c>
      <c r="T36" s="96">
        <v>10020052</v>
      </c>
      <c r="U36" s="97" t="s">
        <v>428</v>
      </c>
      <c r="V36" s="90">
        <v>10</v>
      </c>
      <c r="W36" s="87">
        <v>1.6111111111111111E-2</v>
      </c>
      <c r="X36" s="90">
        <v>5</v>
      </c>
      <c r="Y36" s="90">
        <v>20</v>
      </c>
      <c r="Z36" s="84"/>
      <c r="AA36" s="84"/>
      <c r="AB36" s="84"/>
      <c r="AC36" s="84"/>
      <c r="AD36" s="94">
        <v>10010034</v>
      </c>
      <c r="AE36" s="93" t="s">
        <v>924</v>
      </c>
      <c r="AF36" s="90">
        <v>5</v>
      </c>
      <c r="AG36" s="90">
        <v>0.03</v>
      </c>
      <c r="AH36" s="90">
        <v>3</v>
      </c>
      <c r="AI36" s="90">
        <v>10</v>
      </c>
      <c r="AJ36" s="84"/>
      <c r="AK36" s="84"/>
      <c r="AL36" s="90" t="s">
        <v>877</v>
      </c>
      <c r="AM36" s="86">
        <v>0.17499999999999999</v>
      </c>
      <c r="AN36" s="98">
        <v>10010064</v>
      </c>
      <c r="AO36" s="97" t="s">
        <v>919</v>
      </c>
      <c r="AP36" s="90">
        <v>1</v>
      </c>
      <c r="AQ36" s="90">
        <v>0.1</v>
      </c>
      <c r="AR36" s="90">
        <v>1</v>
      </c>
      <c r="AS36" s="90">
        <v>1</v>
      </c>
      <c r="AT36" s="84"/>
      <c r="AU36" s="84"/>
      <c r="AV36" s="90" t="s">
        <v>878</v>
      </c>
      <c r="AW36" s="86">
        <v>0.14499999999999999</v>
      </c>
      <c r="AX36" s="94">
        <v>10020201</v>
      </c>
      <c r="AY36" s="97" t="s">
        <v>841</v>
      </c>
      <c r="AZ36" s="90">
        <v>10</v>
      </c>
      <c r="BA36" s="88">
        <v>1.6111111111111111E-2</v>
      </c>
      <c r="BB36" s="90">
        <v>5</v>
      </c>
      <c r="BC36" s="90">
        <v>20</v>
      </c>
    </row>
    <row r="37" spans="5:55">
      <c r="E37" s="84"/>
      <c r="F37" s="84"/>
      <c r="G37" s="84"/>
      <c r="H37" s="84"/>
      <c r="I37" s="84"/>
      <c r="J37" s="96">
        <v>10020005</v>
      </c>
      <c r="K37" s="97" t="s">
        <v>330</v>
      </c>
      <c r="L37" s="90">
        <v>10</v>
      </c>
      <c r="M37" s="90">
        <v>1.0357142857142856E-2</v>
      </c>
      <c r="N37" s="90">
        <v>5</v>
      </c>
      <c r="O37" s="90">
        <v>20</v>
      </c>
      <c r="P37" s="84"/>
      <c r="Q37" s="84"/>
      <c r="R37" s="84"/>
      <c r="S37" s="84"/>
      <c r="T37" s="96">
        <v>10020053</v>
      </c>
      <c r="U37" s="97" t="s">
        <v>429</v>
      </c>
      <c r="V37" s="90">
        <v>10</v>
      </c>
      <c r="W37" s="87">
        <v>1.6111111111111111E-2</v>
      </c>
      <c r="X37" s="90">
        <v>5</v>
      </c>
      <c r="Y37" s="90">
        <v>20</v>
      </c>
      <c r="Z37" s="84"/>
      <c r="AA37" s="84"/>
      <c r="AB37" s="90" t="s">
        <v>878</v>
      </c>
      <c r="AC37" s="86">
        <v>0.14499999999999999</v>
      </c>
      <c r="AD37" s="94">
        <v>10020101</v>
      </c>
      <c r="AE37" s="97" t="s">
        <v>482</v>
      </c>
      <c r="AF37" s="90">
        <v>10</v>
      </c>
      <c r="AG37" s="87">
        <v>1.8124999999999999E-2</v>
      </c>
      <c r="AH37" s="90">
        <v>5</v>
      </c>
      <c r="AI37" s="90">
        <v>20</v>
      </c>
      <c r="AJ37" s="84"/>
      <c r="AK37" s="84"/>
      <c r="AL37" s="84"/>
      <c r="AM37" s="84"/>
      <c r="AN37" s="94">
        <v>10010041</v>
      </c>
      <c r="AO37" s="93" t="s">
        <v>316</v>
      </c>
      <c r="AP37" s="90">
        <v>1</v>
      </c>
      <c r="AQ37" s="90">
        <v>7.4999999999999997E-2</v>
      </c>
      <c r="AR37" s="90">
        <v>1</v>
      </c>
      <c r="AS37" s="90">
        <v>1</v>
      </c>
      <c r="AT37" s="84"/>
      <c r="AU37" s="84"/>
      <c r="AV37" s="84"/>
      <c r="AW37" s="84"/>
      <c r="AX37" s="94">
        <v>10020202</v>
      </c>
      <c r="AY37" s="97" t="s">
        <v>842</v>
      </c>
      <c r="AZ37" s="90">
        <v>10</v>
      </c>
      <c r="BA37" s="88">
        <v>1.6111111111111111E-2</v>
      </c>
      <c r="BB37" s="90">
        <v>5</v>
      </c>
      <c r="BC37" s="90">
        <v>20</v>
      </c>
    </row>
    <row r="38" spans="5:55">
      <c r="E38" s="84"/>
      <c r="F38" s="84"/>
      <c r="G38" s="84"/>
      <c r="H38" s="84"/>
      <c r="I38" s="84"/>
      <c r="J38" s="96">
        <v>10020007</v>
      </c>
      <c r="K38" s="97" t="s">
        <v>331</v>
      </c>
      <c r="L38" s="90">
        <v>10</v>
      </c>
      <c r="M38" s="90">
        <v>1.0357142857142856E-2</v>
      </c>
      <c r="N38" s="90">
        <v>5</v>
      </c>
      <c r="O38" s="90">
        <v>20</v>
      </c>
      <c r="P38" s="84"/>
      <c r="Q38" s="84"/>
      <c r="R38" s="84"/>
      <c r="S38" s="84"/>
      <c r="T38" s="96">
        <v>10020054</v>
      </c>
      <c r="U38" s="97" t="s">
        <v>430</v>
      </c>
      <c r="V38" s="90">
        <v>10</v>
      </c>
      <c r="W38" s="87">
        <v>1.6111111111111111E-2</v>
      </c>
      <c r="X38" s="90">
        <v>5</v>
      </c>
      <c r="Y38" s="90">
        <v>20</v>
      </c>
      <c r="Z38" s="84"/>
      <c r="AA38" s="84"/>
      <c r="AB38" s="84"/>
      <c r="AC38" s="84"/>
      <c r="AD38" s="94">
        <v>10020102</v>
      </c>
      <c r="AE38" s="97" t="s">
        <v>821</v>
      </c>
      <c r="AF38" s="90">
        <v>10</v>
      </c>
      <c r="AG38" s="87">
        <v>1.8124999999999999E-2</v>
      </c>
      <c r="AH38" s="90">
        <v>5</v>
      </c>
      <c r="AI38" s="90">
        <v>20</v>
      </c>
      <c r="AJ38" s="84"/>
      <c r="AK38" s="84"/>
      <c r="AL38" s="90" t="s">
        <v>315</v>
      </c>
      <c r="AM38" s="86">
        <v>0.05</v>
      </c>
      <c r="AN38" s="94">
        <v>10010033</v>
      </c>
      <c r="AO38" s="93" t="s">
        <v>315</v>
      </c>
      <c r="AP38" s="90">
        <v>1</v>
      </c>
      <c r="AQ38" s="90">
        <v>0.02</v>
      </c>
      <c r="AR38" s="90">
        <v>1</v>
      </c>
      <c r="AS38" s="90">
        <v>1</v>
      </c>
      <c r="AT38" s="84"/>
      <c r="AU38" s="84"/>
      <c r="AV38" s="84"/>
      <c r="AW38" s="84"/>
      <c r="AX38" s="94">
        <v>10020203</v>
      </c>
      <c r="AY38" s="97" t="s">
        <v>843</v>
      </c>
      <c r="AZ38" s="90">
        <v>10</v>
      </c>
      <c r="BA38" s="88">
        <v>1.6111111111111111E-2</v>
      </c>
      <c r="BB38" s="90">
        <v>5</v>
      </c>
      <c r="BC38" s="90">
        <v>20</v>
      </c>
    </row>
    <row r="39" spans="5:55">
      <c r="E39" s="84"/>
      <c r="F39" s="84"/>
      <c r="G39" s="84"/>
      <c r="H39" s="84"/>
      <c r="I39" s="84"/>
      <c r="J39" s="96">
        <v>10020008</v>
      </c>
      <c r="K39" s="97" t="s">
        <v>816</v>
      </c>
      <c r="L39" s="90">
        <v>10</v>
      </c>
      <c r="M39" s="90">
        <v>1.0357142857142856E-2</v>
      </c>
      <c r="N39" s="90">
        <v>5</v>
      </c>
      <c r="O39" s="90">
        <v>20</v>
      </c>
      <c r="P39" s="84"/>
      <c r="Q39" s="84"/>
      <c r="R39" s="84"/>
      <c r="S39" s="84"/>
      <c r="T39" s="96">
        <v>10020055</v>
      </c>
      <c r="U39" s="97" t="s">
        <v>431</v>
      </c>
      <c r="V39" s="90">
        <v>10</v>
      </c>
      <c r="W39" s="87">
        <v>1.6111111111111111E-2</v>
      </c>
      <c r="X39" s="90">
        <v>5</v>
      </c>
      <c r="Y39" s="90">
        <v>20</v>
      </c>
      <c r="Z39" s="84"/>
      <c r="AA39" s="84"/>
      <c r="AB39" s="84"/>
      <c r="AC39" s="84"/>
      <c r="AD39" s="94">
        <v>10020103</v>
      </c>
      <c r="AE39" s="97" t="s">
        <v>822</v>
      </c>
      <c r="AF39" s="90">
        <v>10</v>
      </c>
      <c r="AG39" s="87">
        <v>1.8124999999999999E-2</v>
      </c>
      <c r="AH39" s="90">
        <v>5</v>
      </c>
      <c r="AI39" s="90">
        <v>20</v>
      </c>
      <c r="AJ39" s="84"/>
      <c r="AK39" s="84"/>
      <c r="AL39" s="84"/>
      <c r="AM39" s="84"/>
      <c r="AN39" s="94">
        <v>10010034</v>
      </c>
      <c r="AO39" s="93" t="s">
        <v>924</v>
      </c>
      <c r="AP39" s="90">
        <v>5</v>
      </c>
      <c r="AQ39" s="90">
        <v>0.03</v>
      </c>
      <c r="AR39" s="90">
        <v>3</v>
      </c>
      <c r="AS39" s="90">
        <v>10</v>
      </c>
      <c r="AT39" s="84"/>
      <c r="AU39" s="84"/>
      <c r="AV39" s="84"/>
      <c r="AW39" s="84"/>
      <c r="AX39" s="94">
        <v>10020204</v>
      </c>
      <c r="AY39" s="97" t="s">
        <v>844</v>
      </c>
      <c r="AZ39" s="90">
        <v>10</v>
      </c>
      <c r="BA39" s="88">
        <v>1.6111111111111111E-2</v>
      </c>
      <c r="BB39" s="90">
        <v>5</v>
      </c>
      <c r="BC39" s="90">
        <v>20</v>
      </c>
    </row>
    <row r="40" spans="5:55">
      <c r="E40" s="84"/>
      <c r="F40" s="84"/>
      <c r="G40" s="84"/>
      <c r="H40" s="84"/>
      <c r="I40" s="84"/>
      <c r="J40" s="96">
        <v>10020009</v>
      </c>
      <c r="K40" s="100" t="s">
        <v>332</v>
      </c>
      <c r="L40" s="90">
        <v>10</v>
      </c>
      <c r="M40" s="90">
        <v>1.0357142857142856E-2</v>
      </c>
      <c r="N40" s="90">
        <v>5</v>
      </c>
      <c r="O40" s="90">
        <v>20</v>
      </c>
      <c r="P40" s="84"/>
      <c r="Q40" s="84"/>
      <c r="R40" s="84"/>
      <c r="S40" s="84"/>
      <c r="T40" s="96">
        <v>10020057</v>
      </c>
      <c r="U40" s="97" t="s">
        <v>433</v>
      </c>
      <c r="V40" s="90">
        <v>10</v>
      </c>
      <c r="W40" s="87">
        <v>1.6111111111111111E-2</v>
      </c>
      <c r="X40" s="90">
        <v>5</v>
      </c>
      <c r="Y40" s="90">
        <v>20</v>
      </c>
      <c r="Z40" s="84"/>
      <c r="AA40" s="84"/>
      <c r="AB40" s="84"/>
      <c r="AC40" s="84"/>
      <c r="AD40" s="94">
        <v>10020104</v>
      </c>
      <c r="AE40" s="97" t="s">
        <v>823</v>
      </c>
      <c r="AF40" s="90">
        <v>10</v>
      </c>
      <c r="AG40" s="87">
        <v>1.8124999999999999E-2</v>
      </c>
      <c r="AH40" s="90">
        <v>5</v>
      </c>
      <c r="AI40" s="90">
        <v>20</v>
      </c>
      <c r="AJ40" s="84"/>
      <c r="AK40" s="84"/>
      <c r="AL40" s="90" t="s">
        <v>878</v>
      </c>
      <c r="AM40" s="86">
        <v>0.14499999999999999</v>
      </c>
      <c r="AN40" s="94">
        <v>10020151</v>
      </c>
      <c r="AO40" s="97" t="s">
        <v>830</v>
      </c>
      <c r="AP40" s="90">
        <v>10</v>
      </c>
      <c r="AQ40" s="89">
        <v>1.6111111111111111E-2</v>
      </c>
      <c r="AR40" s="90">
        <v>5</v>
      </c>
      <c r="AS40" s="90">
        <v>20</v>
      </c>
      <c r="AT40" s="84"/>
      <c r="AU40" s="84"/>
      <c r="AV40" s="84"/>
      <c r="AW40" s="84"/>
      <c r="AX40" s="94">
        <v>10020205</v>
      </c>
      <c r="AY40" s="97" t="s">
        <v>845</v>
      </c>
      <c r="AZ40" s="90">
        <v>10</v>
      </c>
      <c r="BA40" s="88">
        <v>1.6111111111111111E-2</v>
      </c>
      <c r="BB40" s="90">
        <v>5</v>
      </c>
      <c r="BC40" s="90">
        <v>20</v>
      </c>
    </row>
    <row r="41" spans="5:55">
      <c r="E41" s="84"/>
      <c r="F41" s="84"/>
      <c r="G41" s="84"/>
      <c r="H41" s="84"/>
      <c r="I41" s="84"/>
      <c r="J41" s="96">
        <v>10020010</v>
      </c>
      <c r="K41" s="100" t="s">
        <v>333</v>
      </c>
      <c r="L41" s="90">
        <v>1</v>
      </c>
      <c r="M41" s="90">
        <v>1.0357142857142856E-2</v>
      </c>
      <c r="N41" s="90">
        <v>1</v>
      </c>
      <c r="O41" s="90">
        <v>1</v>
      </c>
      <c r="P41" s="84"/>
      <c r="Q41" s="84"/>
      <c r="R41" s="84"/>
      <c r="S41" s="84"/>
      <c r="T41" s="96">
        <v>10020058</v>
      </c>
      <c r="U41" s="97" t="s">
        <v>434</v>
      </c>
      <c r="V41" s="90">
        <v>10</v>
      </c>
      <c r="W41" s="87">
        <v>1.6111111111111111E-2</v>
      </c>
      <c r="X41" s="90">
        <v>5</v>
      </c>
      <c r="Y41" s="90">
        <v>20</v>
      </c>
      <c r="Z41" s="84"/>
      <c r="AA41" s="84"/>
      <c r="AB41" s="84"/>
      <c r="AC41" s="84"/>
      <c r="AD41" s="94">
        <v>10020105</v>
      </c>
      <c r="AE41" s="97" t="s">
        <v>824</v>
      </c>
      <c r="AF41" s="90">
        <v>10</v>
      </c>
      <c r="AG41" s="87">
        <v>1.8124999999999999E-2</v>
      </c>
      <c r="AH41" s="90">
        <v>5</v>
      </c>
      <c r="AI41" s="90">
        <v>20</v>
      </c>
      <c r="AJ41" s="84"/>
      <c r="AK41" s="84"/>
      <c r="AL41" s="84"/>
      <c r="AM41" s="84"/>
      <c r="AN41" s="94">
        <v>10020152</v>
      </c>
      <c r="AO41" s="97" t="s">
        <v>831</v>
      </c>
      <c r="AP41" s="90">
        <v>10</v>
      </c>
      <c r="AQ41" s="89">
        <v>1.6111111111111111E-2</v>
      </c>
      <c r="AR41" s="90">
        <v>5</v>
      </c>
      <c r="AS41" s="90">
        <v>20</v>
      </c>
      <c r="AT41" s="84"/>
      <c r="AU41" s="84"/>
      <c r="AV41" s="84"/>
      <c r="AW41" s="84"/>
      <c r="AX41" s="94">
        <v>10020206</v>
      </c>
      <c r="AY41" s="97" t="s">
        <v>846</v>
      </c>
      <c r="AZ41" s="90">
        <v>10</v>
      </c>
      <c r="BA41" s="88">
        <v>1.6111111111111111E-2</v>
      </c>
      <c r="BB41" s="90">
        <v>5</v>
      </c>
      <c r="BC41" s="90">
        <v>20</v>
      </c>
    </row>
    <row r="42" spans="5:55">
      <c r="E42" s="84"/>
      <c r="F42" s="84"/>
      <c r="G42" s="84"/>
      <c r="H42" s="84"/>
      <c r="I42" s="84"/>
      <c r="J42" s="96">
        <v>10020011</v>
      </c>
      <c r="K42" s="97" t="s">
        <v>334</v>
      </c>
      <c r="L42" s="90">
        <v>10</v>
      </c>
      <c r="M42" s="90">
        <v>1.0357142857142856E-2</v>
      </c>
      <c r="N42" s="90">
        <v>5</v>
      </c>
      <c r="O42" s="90">
        <v>20</v>
      </c>
      <c r="P42" s="84"/>
      <c r="Q42" s="84"/>
      <c r="R42" s="84"/>
      <c r="S42" s="84"/>
      <c r="T42" s="96">
        <v>10020059</v>
      </c>
      <c r="U42" s="97" t="s">
        <v>435</v>
      </c>
      <c r="V42" s="90">
        <v>10</v>
      </c>
      <c r="W42" s="87">
        <v>1.6111111111111111E-2</v>
      </c>
      <c r="X42" s="90">
        <v>5</v>
      </c>
      <c r="Y42" s="90">
        <v>20</v>
      </c>
      <c r="Z42" s="84"/>
      <c r="AA42" s="84"/>
      <c r="AB42" s="84"/>
      <c r="AC42" s="84"/>
      <c r="AD42" s="94">
        <v>10020108</v>
      </c>
      <c r="AE42" s="97" t="s">
        <v>827</v>
      </c>
      <c r="AF42" s="90">
        <v>10</v>
      </c>
      <c r="AG42" s="87">
        <v>1.8124999999999999E-2</v>
      </c>
      <c r="AH42" s="90">
        <v>5</v>
      </c>
      <c r="AI42" s="90">
        <v>20</v>
      </c>
      <c r="AJ42" s="84"/>
      <c r="AK42" s="84"/>
      <c r="AL42" s="84"/>
      <c r="AM42" s="84"/>
      <c r="AN42" s="94">
        <v>10020153</v>
      </c>
      <c r="AO42" s="97" t="s">
        <v>832</v>
      </c>
      <c r="AP42" s="90">
        <v>10</v>
      </c>
      <c r="AQ42" s="89">
        <v>1.6111111111111111E-2</v>
      </c>
      <c r="AR42" s="90">
        <v>5</v>
      </c>
      <c r="AS42" s="90">
        <v>20</v>
      </c>
      <c r="AT42" s="84"/>
      <c r="AU42" s="84"/>
      <c r="AV42" s="84"/>
      <c r="AW42" s="84"/>
      <c r="AX42" s="94">
        <v>10020207</v>
      </c>
      <c r="AY42" s="97" t="s">
        <v>847</v>
      </c>
      <c r="AZ42" s="90">
        <v>10</v>
      </c>
      <c r="BA42" s="88">
        <v>1.6111111111111111E-2</v>
      </c>
      <c r="BB42" s="90">
        <v>5</v>
      </c>
      <c r="BC42" s="90">
        <v>20</v>
      </c>
    </row>
    <row r="43" spans="5:55">
      <c r="E43" s="84"/>
      <c r="F43" s="84"/>
      <c r="G43" s="84"/>
      <c r="H43" s="84"/>
      <c r="I43" s="84"/>
      <c r="J43" s="96">
        <v>10020012</v>
      </c>
      <c r="K43" s="97" t="s">
        <v>335</v>
      </c>
      <c r="L43" s="90">
        <v>10</v>
      </c>
      <c r="M43" s="90">
        <v>1.0357142857142856E-2</v>
      </c>
      <c r="N43" s="90">
        <v>5</v>
      </c>
      <c r="O43" s="90">
        <v>20</v>
      </c>
      <c r="P43" s="84"/>
      <c r="Q43" s="84"/>
      <c r="R43" s="84"/>
      <c r="S43" s="84"/>
      <c r="T43" s="96">
        <v>10020060</v>
      </c>
      <c r="U43" s="97" t="s">
        <v>818</v>
      </c>
      <c r="V43" s="90">
        <v>10</v>
      </c>
      <c r="W43" s="87">
        <v>1.6111111111111111E-2</v>
      </c>
      <c r="X43" s="90">
        <v>5</v>
      </c>
      <c r="Y43" s="90">
        <v>20</v>
      </c>
      <c r="Z43" s="84"/>
      <c r="AA43" s="84"/>
      <c r="AB43" s="84"/>
      <c r="AC43" s="84"/>
      <c r="AD43" s="94">
        <v>10020109</v>
      </c>
      <c r="AE43" s="97" t="s">
        <v>828</v>
      </c>
      <c r="AF43" s="90">
        <v>10</v>
      </c>
      <c r="AG43" s="87">
        <v>1.8124999999999999E-2</v>
      </c>
      <c r="AH43" s="90">
        <v>5</v>
      </c>
      <c r="AI43" s="90">
        <v>20</v>
      </c>
      <c r="AJ43" s="84"/>
      <c r="AK43" s="84"/>
      <c r="AL43" s="84"/>
      <c r="AM43" s="84"/>
      <c r="AN43" s="94">
        <v>10020154</v>
      </c>
      <c r="AO43" s="97" t="s">
        <v>833</v>
      </c>
      <c r="AP43" s="90">
        <v>10</v>
      </c>
      <c r="AQ43" s="89">
        <v>1.6111111111111111E-2</v>
      </c>
      <c r="AR43" s="90">
        <v>5</v>
      </c>
      <c r="AS43" s="90">
        <v>20</v>
      </c>
      <c r="AT43" s="84"/>
      <c r="AU43" s="84"/>
      <c r="AV43" s="84"/>
      <c r="AW43" s="84"/>
      <c r="AX43" s="94">
        <v>10020213</v>
      </c>
      <c r="AY43" s="106" t="s">
        <v>854</v>
      </c>
      <c r="AZ43" s="90">
        <v>10</v>
      </c>
      <c r="BA43" s="88">
        <v>1.6111111111111111E-2</v>
      </c>
      <c r="BB43" s="90">
        <v>5</v>
      </c>
      <c r="BC43" s="90">
        <v>20</v>
      </c>
    </row>
    <row r="44" spans="5:55">
      <c r="E44" s="84"/>
      <c r="F44" s="84"/>
      <c r="G44" s="84"/>
      <c r="H44" s="84"/>
      <c r="I44" s="84"/>
      <c r="J44" s="96">
        <v>10020013</v>
      </c>
      <c r="K44" s="97" t="s">
        <v>336</v>
      </c>
      <c r="L44" s="90">
        <v>10</v>
      </c>
      <c r="M44" s="90">
        <v>1.0357142857142856E-2</v>
      </c>
      <c r="N44" s="90">
        <v>5</v>
      </c>
      <c r="O44" s="90">
        <v>20</v>
      </c>
      <c r="P44" s="84"/>
      <c r="Q44" s="84"/>
      <c r="R44" s="84"/>
      <c r="S44" s="84"/>
      <c r="T44" s="96">
        <v>10020061</v>
      </c>
      <c r="U44" s="97" t="s">
        <v>450</v>
      </c>
      <c r="V44" s="90">
        <v>10</v>
      </c>
      <c r="W44" s="87">
        <v>1.6111111111111111E-2</v>
      </c>
      <c r="X44" s="90">
        <v>5</v>
      </c>
      <c r="Y44" s="90">
        <v>20</v>
      </c>
      <c r="Z44" s="84"/>
      <c r="AA44" s="84"/>
      <c r="AB44" s="90"/>
      <c r="AC44" s="86"/>
      <c r="AD44" s="94">
        <v>10020106</v>
      </c>
      <c r="AE44" s="97" t="s">
        <v>825</v>
      </c>
      <c r="AF44" s="90">
        <v>1</v>
      </c>
      <c r="AG44" s="87">
        <v>1.8124999999999999E-2</v>
      </c>
      <c r="AH44" s="90">
        <v>1</v>
      </c>
      <c r="AI44" s="90">
        <v>1</v>
      </c>
      <c r="AJ44" s="84"/>
      <c r="AK44" s="84"/>
      <c r="AL44" s="84"/>
      <c r="AM44" s="84"/>
      <c r="AN44" s="94">
        <v>10020155</v>
      </c>
      <c r="AO44" s="97" t="s">
        <v>834</v>
      </c>
      <c r="AP44" s="90">
        <v>10</v>
      </c>
      <c r="AQ44" s="89">
        <v>1.6111111111111111E-2</v>
      </c>
      <c r="AR44" s="90">
        <v>5</v>
      </c>
      <c r="AS44" s="90">
        <v>20</v>
      </c>
      <c r="AT44" s="84"/>
      <c r="AU44" s="84"/>
      <c r="AV44" s="84"/>
      <c r="AW44" s="84"/>
      <c r="AX44" s="94">
        <v>10020214</v>
      </c>
      <c r="AY44" s="106" t="s">
        <v>855</v>
      </c>
      <c r="AZ44" s="90">
        <v>10</v>
      </c>
      <c r="BA44" s="88">
        <v>1.6111111111111111E-2</v>
      </c>
      <c r="BB44" s="90">
        <v>5</v>
      </c>
      <c r="BC44" s="90">
        <v>20</v>
      </c>
    </row>
    <row r="45" spans="5:55">
      <c r="E45" s="84"/>
      <c r="F45" s="84"/>
      <c r="G45" s="84"/>
      <c r="H45" s="84"/>
      <c r="I45" s="84"/>
      <c r="J45" s="96">
        <v>10020014</v>
      </c>
      <c r="K45" s="97" t="s">
        <v>337</v>
      </c>
      <c r="L45" s="90">
        <v>10</v>
      </c>
      <c r="M45" s="90">
        <v>1.0357142857142856E-2</v>
      </c>
      <c r="N45" s="90">
        <v>5</v>
      </c>
      <c r="O45" s="90">
        <v>20</v>
      </c>
      <c r="P45" s="84"/>
      <c r="Q45" s="84"/>
      <c r="R45" s="90" t="s">
        <v>879</v>
      </c>
      <c r="S45" s="86">
        <v>0.05</v>
      </c>
      <c r="T45" s="96">
        <v>10020056</v>
      </c>
      <c r="U45" s="97" t="s">
        <v>432</v>
      </c>
      <c r="V45" s="90">
        <v>1</v>
      </c>
      <c r="W45" s="86">
        <v>0.05</v>
      </c>
      <c r="X45" s="90">
        <v>1</v>
      </c>
      <c r="Y45" s="90">
        <v>1</v>
      </c>
      <c r="Z45" s="84"/>
      <c r="AA45" s="84"/>
      <c r="AB45" s="90" t="s">
        <v>879</v>
      </c>
      <c r="AC45" s="86">
        <v>0.05</v>
      </c>
      <c r="AD45" s="94">
        <v>10020107</v>
      </c>
      <c r="AE45" s="97" t="s">
        <v>826</v>
      </c>
      <c r="AF45" s="90">
        <v>1</v>
      </c>
      <c r="AG45" s="85">
        <v>3.5000000000000003E-2</v>
      </c>
      <c r="AH45" s="90">
        <v>1</v>
      </c>
      <c r="AI45" s="90">
        <v>1</v>
      </c>
      <c r="AJ45" s="84"/>
      <c r="AK45" s="84"/>
      <c r="AL45" s="84"/>
      <c r="AM45" s="84"/>
      <c r="AN45" s="94">
        <v>10020156</v>
      </c>
      <c r="AO45" s="97" t="s">
        <v>835</v>
      </c>
      <c r="AP45" s="90">
        <v>10</v>
      </c>
      <c r="AQ45" s="89">
        <v>1.6111111111111111E-2</v>
      </c>
      <c r="AR45" s="90">
        <v>5</v>
      </c>
      <c r="AS45" s="90">
        <v>20</v>
      </c>
      <c r="AT45" s="84"/>
      <c r="AU45" s="84"/>
      <c r="AV45" s="90" t="s">
        <v>879</v>
      </c>
      <c r="AW45" s="86">
        <v>0.05</v>
      </c>
      <c r="AX45" s="94">
        <v>10020208</v>
      </c>
      <c r="AY45" s="97" t="s">
        <v>848</v>
      </c>
      <c r="AZ45" s="90">
        <v>1</v>
      </c>
      <c r="BA45" s="86">
        <v>0.05</v>
      </c>
      <c r="BB45" s="90">
        <v>1</v>
      </c>
      <c r="BC45" s="90">
        <v>1</v>
      </c>
    </row>
    <row r="46" spans="5:55">
      <c r="E46" s="84"/>
      <c r="F46" s="84"/>
      <c r="G46" s="84"/>
      <c r="H46" s="84"/>
      <c r="I46" s="84"/>
      <c r="J46" s="96">
        <v>10020016</v>
      </c>
      <c r="K46" s="97" t="s">
        <v>339</v>
      </c>
      <c r="L46" s="90">
        <v>10</v>
      </c>
      <c r="M46" s="90">
        <v>1.0357142857142856E-2</v>
      </c>
      <c r="N46" s="90">
        <v>5</v>
      </c>
      <c r="O46" s="90">
        <v>20</v>
      </c>
      <c r="P46" s="84"/>
      <c r="Q46" s="84"/>
      <c r="R46" s="90" t="s">
        <v>880</v>
      </c>
      <c r="S46" s="86">
        <v>2.5000000000000001E-2</v>
      </c>
      <c r="T46" s="96">
        <v>10020063</v>
      </c>
      <c r="U46" s="101" t="s">
        <v>820</v>
      </c>
      <c r="V46" s="90">
        <v>1</v>
      </c>
      <c r="W46" s="86">
        <v>2.5000000000000001E-2</v>
      </c>
      <c r="X46" s="90">
        <v>1</v>
      </c>
      <c r="Y46" s="90">
        <v>1</v>
      </c>
      <c r="Z46" s="84"/>
      <c r="AA46" s="84"/>
      <c r="AB46" s="90" t="s">
        <v>880</v>
      </c>
      <c r="AC46" s="86">
        <v>2.5000000000000001E-2</v>
      </c>
      <c r="AD46" s="94">
        <v>10020110</v>
      </c>
      <c r="AE46" s="101" t="s">
        <v>829</v>
      </c>
      <c r="AF46" s="90">
        <v>1</v>
      </c>
      <c r="AG46" s="86">
        <v>2.5000000000000001E-2</v>
      </c>
      <c r="AH46" s="90">
        <v>1</v>
      </c>
      <c r="AI46" s="90">
        <v>1</v>
      </c>
      <c r="AJ46" s="84"/>
      <c r="AK46" s="84"/>
      <c r="AL46" s="84"/>
      <c r="AM46" s="84"/>
      <c r="AN46" s="94">
        <v>10020158</v>
      </c>
      <c r="AO46" s="97" t="s">
        <v>837</v>
      </c>
      <c r="AP46" s="90">
        <v>10</v>
      </c>
      <c r="AQ46" s="89">
        <v>1.6111111111111111E-2</v>
      </c>
      <c r="AR46" s="90">
        <v>5</v>
      </c>
      <c r="AS46" s="90">
        <v>20</v>
      </c>
      <c r="AT46" s="84"/>
      <c r="AU46" s="84"/>
      <c r="AV46" s="90" t="s">
        <v>880</v>
      </c>
      <c r="AW46" s="86">
        <v>2.5000000000000001E-2</v>
      </c>
      <c r="AX46" s="94">
        <v>10020215</v>
      </c>
      <c r="AY46" s="101" t="s">
        <v>929</v>
      </c>
      <c r="AZ46" s="90">
        <v>1</v>
      </c>
      <c r="BA46" s="86">
        <v>1.2500000000000001E-2</v>
      </c>
      <c r="BB46" s="90">
        <v>1</v>
      </c>
      <c r="BC46" s="90">
        <v>1</v>
      </c>
    </row>
    <row r="47" spans="5:55">
      <c r="E47" s="84"/>
      <c r="F47" s="84"/>
      <c r="G47" s="84"/>
      <c r="H47" s="84"/>
      <c r="I47" s="84"/>
      <c r="J47" s="96">
        <v>10020017</v>
      </c>
      <c r="K47" s="97" t="s">
        <v>340</v>
      </c>
      <c r="L47" s="90">
        <v>10</v>
      </c>
      <c r="M47" s="90">
        <v>1.0357142857142856E-2</v>
      </c>
      <c r="N47" s="90">
        <v>5</v>
      </c>
      <c r="O47" s="90">
        <v>20</v>
      </c>
      <c r="P47" s="84"/>
      <c r="Q47" s="84"/>
      <c r="R47" s="90" t="s">
        <v>881</v>
      </c>
      <c r="S47" s="86">
        <v>5.0000000000000001E-3</v>
      </c>
      <c r="T47" s="94">
        <v>10010213</v>
      </c>
      <c r="U47" s="93" t="s">
        <v>743</v>
      </c>
      <c r="V47" s="90">
        <v>1</v>
      </c>
      <c r="W47" s="86">
        <v>1.7000000000000001E-3</v>
      </c>
      <c r="X47" s="90">
        <v>1</v>
      </c>
      <c r="Y47" s="90">
        <v>1</v>
      </c>
      <c r="Z47" s="84"/>
      <c r="AA47" s="84"/>
      <c r="AB47" s="90" t="s">
        <v>881</v>
      </c>
      <c r="AC47" s="86">
        <v>5.0000000000000001E-3</v>
      </c>
      <c r="AD47" s="94">
        <v>10010310</v>
      </c>
      <c r="AE47" s="93" t="s">
        <v>862</v>
      </c>
      <c r="AF47" s="90">
        <v>1</v>
      </c>
      <c r="AG47" s="86">
        <v>1.7000000000000001E-3</v>
      </c>
      <c r="AH47" s="90">
        <v>1</v>
      </c>
      <c r="AI47" s="90">
        <v>1</v>
      </c>
      <c r="AJ47" s="84"/>
      <c r="AK47" s="84"/>
      <c r="AL47" s="84"/>
      <c r="AM47" s="84"/>
      <c r="AN47" s="94">
        <v>10020159</v>
      </c>
      <c r="AO47" s="104" t="s">
        <v>838</v>
      </c>
      <c r="AP47" s="90">
        <v>10</v>
      </c>
      <c r="AQ47" s="89">
        <v>1.6111111111111111E-2</v>
      </c>
      <c r="AR47" s="90">
        <v>5</v>
      </c>
      <c r="AS47" s="90">
        <v>20</v>
      </c>
      <c r="AT47" s="84"/>
      <c r="AU47" s="84"/>
      <c r="AV47" s="84"/>
      <c r="AW47" s="84"/>
      <c r="AX47" s="94">
        <v>10020216</v>
      </c>
      <c r="AY47" s="101" t="s">
        <v>930</v>
      </c>
      <c r="AZ47" s="90">
        <v>1</v>
      </c>
      <c r="BA47" s="86">
        <v>1.2500000000000001E-2</v>
      </c>
      <c r="BB47" s="90">
        <v>1</v>
      </c>
      <c r="BC47" s="90">
        <v>1</v>
      </c>
    </row>
    <row r="48" spans="5:55">
      <c r="E48" s="84"/>
      <c r="F48" s="84"/>
      <c r="G48" s="84"/>
      <c r="H48" s="90" t="s">
        <v>879</v>
      </c>
      <c r="I48" s="86">
        <v>0.05</v>
      </c>
      <c r="J48" s="96">
        <v>10020015</v>
      </c>
      <c r="K48" s="97" t="s">
        <v>338</v>
      </c>
      <c r="L48" s="90">
        <v>1</v>
      </c>
      <c r="M48" s="86">
        <v>0.05</v>
      </c>
      <c r="N48" s="90">
        <v>1</v>
      </c>
      <c r="O48" s="90">
        <v>1</v>
      </c>
      <c r="P48" s="84"/>
      <c r="Q48" s="84"/>
      <c r="R48" s="84"/>
      <c r="S48" s="84"/>
      <c r="T48" s="94">
        <v>10010214</v>
      </c>
      <c r="U48" s="93" t="s">
        <v>860</v>
      </c>
      <c r="V48" s="90">
        <v>1</v>
      </c>
      <c r="W48" s="86">
        <v>3.3000000000000004E-3</v>
      </c>
      <c r="X48" s="90">
        <v>1</v>
      </c>
      <c r="Y48" s="90">
        <v>1</v>
      </c>
      <c r="Z48" s="84"/>
      <c r="AA48" s="84"/>
      <c r="AB48" s="84"/>
      <c r="AC48" s="84"/>
      <c r="AD48" s="94">
        <v>10010311</v>
      </c>
      <c r="AE48" s="93" t="s">
        <v>863</v>
      </c>
      <c r="AF48" s="90">
        <v>1</v>
      </c>
      <c r="AG48" s="86">
        <v>3.3000000000000004E-3</v>
      </c>
      <c r="AH48" s="90">
        <v>1</v>
      </c>
      <c r="AI48" s="90">
        <v>1</v>
      </c>
      <c r="AJ48" s="84"/>
      <c r="AK48" s="84"/>
      <c r="AL48" s="84"/>
      <c r="AM48" s="84"/>
      <c r="AN48" s="94">
        <v>10020160</v>
      </c>
      <c r="AO48" s="104" t="s">
        <v>839</v>
      </c>
      <c r="AP48" s="90">
        <v>10</v>
      </c>
      <c r="AQ48" s="89">
        <v>1.6111111111111111E-2</v>
      </c>
      <c r="AR48" s="90">
        <v>5</v>
      </c>
      <c r="AS48" s="90">
        <v>20</v>
      </c>
      <c r="AT48" s="84"/>
      <c r="AU48" s="84"/>
      <c r="AV48" s="90" t="s">
        <v>881</v>
      </c>
      <c r="AW48" s="86">
        <v>5.0000000000000001E-3</v>
      </c>
      <c r="AX48" s="94">
        <v>10010041</v>
      </c>
      <c r="AY48" s="93" t="s">
        <v>316</v>
      </c>
      <c r="AZ48" s="90">
        <v>1</v>
      </c>
      <c r="BA48" s="86">
        <v>5.0000000000000001E-3</v>
      </c>
      <c r="BB48" s="90">
        <v>1</v>
      </c>
      <c r="BC48" s="90">
        <v>1</v>
      </c>
    </row>
    <row r="49" spans="8:55">
      <c r="H49" s="90" t="s">
        <v>880</v>
      </c>
      <c r="I49" s="86">
        <v>2.5000000000000001E-2</v>
      </c>
      <c r="J49" s="96">
        <v>10020015</v>
      </c>
      <c r="K49" s="97" t="s">
        <v>338</v>
      </c>
      <c r="L49" s="90">
        <v>1</v>
      </c>
      <c r="M49" s="86">
        <v>2.5000000000000001E-2</v>
      </c>
      <c r="N49" s="90">
        <v>1</v>
      </c>
      <c r="O49" s="90">
        <v>1</v>
      </c>
      <c r="P49" s="84"/>
      <c r="Q49" s="84"/>
      <c r="R49" s="90" t="s">
        <v>883</v>
      </c>
      <c r="S49" s="86">
        <v>0.05</v>
      </c>
      <c r="T49" s="94">
        <v>10010021</v>
      </c>
      <c r="U49" s="101" t="s">
        <v>931</v>
      </c>
      <c r="V49" s="90">
        <v>1</v>
      </c>
      <c r="W49" s="90">
        <v>0.01</v>
      </c>
      <c r="X49" s="90">
        <v>1</v>
      </c>
      <c r="Y49" s="90">
        <v>1</v>
      </c>
      <c r="Z49" s="84"/>
      <c r="AA49" s="84"/>
      <c r="AB49" s="90" t="s">
        <v>883</v>
      </c>
      <c r="AC49" s="86">
        <v>0.05</v>
      </c>
      <c r="AD49" s="94">
        <v>10010021</v>
      </c>
      <c r="AE49" s="101" t="s">
        <v>931</v>
      </c>
      <c r="AF49" s="90">
        <v>1</v>
      </c>
      <c r="AG49" s="90">
        <v>0.01</v>
      </c>
      <c r="AH49" s="90">
        <v>1</v>
      </c>
      <c r="AI49" s="90">
        <v>1</v>
      </c>
      <c r="AJ49" s="84"/>
      <c r="AK49" s="84"/>
      <c r="AL49" s="90" t="s">
        <v>879</v>
      </c>
      <c r="AM49" s="86">
        <v>0.05</v>
      </c>
      <c r="AN49" s="94">
        <v>10020157</v>
      </c>
      <c r="AO49" s="97" t="s">
        <v>836</v>
      </c>
      <c r="AP49" s="90">
        <v>1</v>
      </c>
      <c r="AQ49" s="90">
        <v>0.05</v>
      </c>
      <c r="AR49" s="90">
        <v>1</v>
      </c>
      <c r="AS49" s="90">
        <v>1</v>
      </c>
      <c r="AT49" s="84"/>
      <c r="AU49" s="84"/>
      <c r="AV49" s="90" t="s">
        <v>883</v>
      </c>
      <c r="AW49" s="86">
        <v>0.05</v>
      </c>
      <c r="AX49" s="94">
        <v>10010021</v>
      </c>
      <c r="AY49" s="101" t="s">
        <v>931</v>
      </c>
      <c r="AZ49" s="90">
        <v>1</v>
      </c>
      <c r="BA49" s="90">
        <v>0.01</v>
      </c>
      <c r="BB49" s="90">
        <v>1</v>
      </c>
      <c r="BC49" s="90">
        <v>1</v>
      </c>
    </row>
    <row r="50" spans="8:55">
      <c r="H50" s="90" t="s">
        <v>881</v>
      </c>
      <c r="I50" s="86">
        <v>5.0000000000000001E-3</v>
      </c>
      <c r="J50" s="94">
        <v>10010041</v>
      </c>
      <c r="K50" s="93" t="s">
        <v>316</v>
      </c>
      <c r="L50" s="90">
        <v>1</v>
      </c>
      <c r="M50" s="86">
        <v>5.0000000000000001E-3</v>
      </c>
      <c r="N50" s="90">
        <v>1</v>
      </c>
      <c r="O50" s="90">
        <v>1</v>
      </c>
      <c r="P50" s="84"/>
      <c r="Q50" s="84"/>
      <c r="R50" s="84"/>
      <c r="S50" s="84"/>
      <c r="T50" s="94">
        <v>10010022</v>
      </c>
      <c r="U50" s="101" t="s">
        <v>932</v>
      </c>
      <c r="V50" s="90">
        <v>1</v>
      </c>
      <c r="W50" s="90">
        <v>0.01</v>
      </c>
      <c r="X50" s="90">
        <v>1</v>
      </c>
      <c r="Y50" s="90">
        <v>1</v>
      </c>
      <c r="Z50" s="84"/>
      <c r="AA50" s="84"/>
      <c r="AB50" s="84"/>
      <c r="AC50" s="84"/>
      <c r="AD50" s="94">
        <v>10010022</v>
      </c>
      <c r="AE50" s="101" t="s">
        <v>932</v>
      </c>
      <c r="AF50" s="90">
        <v>1</v>
      </c>
      <c r="AG50" s="90">
        <v>0.01</v>
      </c>
      <c r="AH50" s="90">
        <v>1</v>
      </c>
      <c r="AI50" s="90">
        <v>1</v>
      </c>
      <c r="AJ50" s="84"/>
      <c r="AK50" s="84"/>
      <c r="AL50" s="90" t="s">
        <v>880</v>
      </c>
      <c r="AM50" s="86">
        <v>2.5000000000000001E-2</v>
      </c>
      <c r="AN50" s="94">
        <v>10020161</v>
      </c>
      <c r="AO50" s="105" t="s">
        <v>933</v>
      </c>
      <c r="AP50" s="90">
        <v>1</v>
      </c>
      <c r="AQ50" s="90">
        <v>2.5000000000000001E-2</v>
      </c>
      <c r="AR50" s="90">
        <v>1</v>
      </c>
      <c r="AS50" s="90">
        <v>1</v>
      </c>
      <c r="AT50" s="84"/>
      <c r="AU50" s="84"/>
      <c r="AV50" s="84"/>
      <c r="AW50" s="84"/>
      <c r="AX50" s="94">
        <v>10010022</v>
      </c>
      <c r="AY50" s="101" t="s">
        <v>932</v>
      </c>
      <c r="AZ50" s="90">
        <v>1</v>
      </c>
      <c r="BA50" s="90">
        <v>0.01</v>
      </c>
      <c r="BB50" s="90">
        <v>1</v>
      </c>
      <c r="BC50" s="90">
        <v>1</v>
      </c>
    </row>
    <row r="51" spans="8:55">
      <c r="H51" s="90" t="s">
        <v>883</v>
      </c>
      <c r="I51" s="86">
        <v>0.05</v>
      </c>
      <c r="J51" s="94">
        <v>10010021</v>
      </c>
      <c r="K51" s="101" t="s">
        <v>931</v>
      </c>
      <c r="L51" s="90">
        <v>1</v>
      </c>
      <c r="M51" s="90">
        <v>0.01</v>
      </c>
      <c r="N51" s="90">
        <v>1</v>
      </c>
      <c r="O51" s="90">
        <v>1</v>
      </c>
      <c r="P51" s="84"/>
      <c r="Q51" s="84"/>
      <c r="R51" s="84"/>
      <c r="S51" s="84"/>
      <c r="T51" s="94">
        <v>10010023</v>
      </c>
      <c r="U51" s="101" t="s">
        <v>934</v>
      </c>
      <c r="V51" s="90">
        <v>1</v>
      </c>
      <c r="W51" s="90">
        <v>0.01</v>
      </c>
      <c r="X51" s="90">
        <v>1</v>
      </c>
      <c r="Y51" s="90">
        <v>1</v>
      </c>
      <c r="Z51" s="84"/>
      <c r="AA51" s="84"/>
      <c r="AB51" s="84"/>
      <c r="AC51" s="84"/>
      <c r="AD51" s="94">
        <v>10010023</v>
      </c>
      <c r="AE51" s="101" t="s">
        <v>934</v>
      </c>
      <c r="AF51" s="90">
        <v>1</v>
      </c>
      <c r="AG51" s="90">
        <v>0.01</v>
      </c>
      <c r="AH51" s="90">
        <v>1</v>
      </c>
      <c r="AI51" s="90">
        <v>1</v>
      </c>
      <c r="AJ51" s="84"/>
      <c r="AK51" s="84"/>
      <c r="AL51" s="90" t="s">
        <v>881</v>
      </c>
      <c r="AM51" s="86">
        <v>5.0000000000000001E-3</v>
      </c>
      <c r="AN51" s="94">
        <v>10010413</v>
      </c>
      <c r="AO51" s="93" t="s">
        <v>864</v>
      </c>
      <c r="AP51" s="90">
        <v>1</v>
      </c>
      <c r="AQ51" s="90">
        <v>1.7000000000000001E-3</v>
      </c>
      <c r="AR51" s="90">
        <v>1</v>
      </c>
      <c r="AS51" s="90">
        <v>1</v>
      </c>
      <c r="AT51" s="84"/>
      <c r="AU51" s="84"/>
      <c r="AV51" s="84"/>
      <c r="AW51" s="84"/>
      <c r="AX51" s="94">
        <v>10010023</v>
      </c>
      <c r="AY51" s="101" t="s">
        <v>934</v>
      </c>
      <c r="AZ51" s="90">
        <v>1</v>
      </c>
      <c r="BA51" s="90">
        <v>0.01</v>
      </c>
      <c r="BB51" s="90">
        <v>1</v>
      </c>
      <c r="BC51" s="90">
        <v>1</v>
      </c>
    </row>
    <row r="52" spans="8:55">
      <c r="H52" s="84"/>
      <c r="I52" s="84"/>
      <c r="J52" s="94">
        <v>10010022</v>
      </c>
      <c r="K52" s="101" t="s">
        <v>932</v>
      </c>
      <c r="L52" s="90">
        <v>1</v>
      </c>
      <c r="M52" s="90">
        <v>0.01</v>
      </c>
      <c r="N52" s="90">
        <v>1</v>
      </c>
      <c r="O52" s="90">
        <v>1</v>
      </c>
      <c r="P52" s="84"/>
      <c r="Q52" s="84"/>
      <c r="R52" s="84"/>
      <c r="S52" s="84"/>
      <c r="T52" s="94">
        <v>10010024</v>
      </c>
      <c r="U52" s="101" t="s">
        <v>935</v>
      </c>
      <c r="V52" s="90">
        <v>1</v>
      </c>
      <c r="W52" s="90">
        <v>0.01</v>
      </c>
      <c r="X52" s="90">
        <v>1</v>
      </c>
      <c r="Y52" s="90">
        <v>1</v>
      </c>
      <c r="Z52" s="84"/>
      <c r="AA52" s="84"/>
      <c r="AB52" s="84"/>
      <c r="AC52" s="84"/>
      <c r="AD52" s="94">
        <v>10010024</v>
      </c>
      <c r="AE52" s="101" t="s">
        <v>935</v>
      </c>
      <c r="AF52" s="90">
        <v>1</v>
      </c>
      <c r="AG52" s="90">
        <v>0.01</v>
      </c>
      <c r="AH52" s="90">
        <v>1</v>
      </c>
      <c r="AI52" s="90">
        <v>1</v>
      </c>
      <c r="AJ52" s="84"/>
      <c r="AK52" s="84"/>
      <c r="AL52" s="84"/>
      <c r="AM52" s="84"/>
      <c r="AN52" s="94">
        <v>10010414</v>
      </c>
      <c r="AO52" s="93" t="s">
        <v>865</v>
      </c>
      <c r="AP52" s="90">
        <v>1</v>
      </c>
      <c r="AQ52" s="90">
        <v>3.3000000000000004E-3</v>
      </c>
      <c r="AR52" s="90">
        <v>1</v>
      </c>
      <c r="AS52" s="90">
        <v>1</v>
      </c>
      <c r="AT52" s="84"/>
      <c r="AU52" s="84"/>
      <c r="AV52" s="84"/>
      <c r="AW52" s="84"/>
      <c r="AX52" s="94">
        <v>10010024</v>
      </c>
      <c r="AY52" s="101" t="s">
        <v>935</v>
      </c>
      <c r="AZ52" s="90">
        <v>1</v>
      </c>
      <c r="BA52" s="90">
        <v>0.01</v>
      </c>
      <c r="BB52" s="90">
        <v>1</v>
      </c>
      <c r="BC52" s="90">
        <v>1</v>
      </c>
    </row>
    <row r="53" spans="8:55">
      <c r="H53" s="84"/>
      <c r="I53" s="84"/>
      <c r="J53" s="94">
        <v>10010023</v>
      </c>
      <c r="K53" s="101" t="s">
        <v>934</v>
      </c>
      <c r="L53" s="90">
        <v>1</v>
      </c>
      <c r="M53" s="90">
        <v>0.01</v>
      </c>
      <c r="N53" s="90">
        <v>1</v>
      </c>
      <c r="O53" s="90">
        <v>1</v>
      </c>
      <c r="P53" s="84"/>
      <c r="Q53" s="84"/>
      <c r="R53" s="84"/>
      <c r="S53" s="84"/>
      <c r="T53" s="94">
        <v>10010025</v>
      </c>
      <c r="U53" s="101" t="s">
        <v>936</v>
      </c>
      <c r="V53" s="90">
        <v>1</v>
      </c>
      <c r="W53" s="90">
        <v>0.01</v>
      </c>
      <c r="X53" s="90">
        <v>1</v>
      </c>
      <c r="Y53" s="90">
        <v>1</v>
      </c>
      <c r="Z53" s="84"/>
      <c r="AA53" s="84"/>
      <c r="AB53" s="84"/>
      <c r="AC53" s="84"/>
      <c r="AD53" s="94">
        <v>10010025</v>
      </c>
      <c r="AE53" s="101" t="s">
        <v>936</v>
      </c>
      <c r="AF53" s="90">
        <v>1</v>
      </c>
      <c r="AG53" s="90">
        <v>0.01</v>
      </c>
      <c r="AH53" s="90">
        <v>1</v>
      </c>
      <c r="AI53" s="90">
        <v>1</v>
      </c>
      <c r="AJ53" s="84"/>
      <c r="AK53" s="84"/>
      <c r="AL53" s="90" t="s">
        <v>883</v>
      </c>
      <c r="AM53" s="86">
        <v>0.05</v>
      </c>
      <c r="AN53" s="94">
        <v>10010021</v>
      </c>
      <c r="AO53" s="101" t="s">
        <v>931</v>
      </c>
      <c r="AP53" s="90">
        <v>1</v>
      </c>
      <c r="AQ53" s="90">
        <v>0.01</v>
      </c>
      <c r="AR53" s="90">
        <v>1</v>
      </c>
      <c r="AS53" s="90">
        <v>1</v>
      </c>
      <c r="AT53" s="84"/>
      <c r="AU53" s="84"/>
      <c r="AV53" s="84"/>
      <c r="AW53" s="84"/>
      <c r="AX53" s="94">
        <v>10010025</v>
      </c>
      <c r="AY53" s="101" t="s">
        <v>936</v>
      </c>
      <c r="AZ53" s="90">
        <v>1</v>
      </c>
      <c r="BA53" s="90">
        <v>0.01</v>
      </c>
      <c r="BB53" s="90">
        <v>1</v>
      </c>
      <c r="BC53" s="90">
        <v>1</v>
      </c>
    </row>
    <row r="54" spans="8:55">
      <c r="H54" s="84"/>
      <c r="I54" s="84"/>
      <c r="J54" s="94">
        <v>10010024</v>
      </c>
      <c r="K54" s="101" t="s">
        <v>935</v>
      </c>
      <c r="L54" s="90">
        <v>1</v>
      </c>
      <c r="M54" s="90">
        <v>0.01</v>
      </c>
      <c r="N54" s="90">
        <v>1</v>
      </c>
      <c r="O54" s="90">
        <v>1</v>
      </c>
      <c r="P54" s="84"/>
      <c r="Q54" s="84"/>
      <c r="R54" s="90" t="s">
        <v>885</v>
      </c>
      <c r="S54" s="86">
        <v>0.05</v>
      </c>
      <c r="T54" s="102">
        <v>2</v>
      </c>
      <c r="U54" s="102" t="s">
        <v>885</v>
      </c>
      <c r="V54" s="90">
        <v>50</v>
      </c>
      <c r="W54" s="90">
        <v>0.03</v>
      </c>
      <c r="X54" s="90">
        <v>25</v>
      </c>
      <c r="Y54" s="90">
        <v>100</v>
      </c>
      <c r="Z54" s="84"/>
      <c r="AA54" s="84"/>
      <c r="AB54" s="90" t="s">
        <v>885</v>
      </c>
      <c r="AC54" s="86">
        <v>0.05</v>
      </c>
      <c r="AD54" s="102">
        <v>2</v>
      </c>
      <c r="AE54" s="102" t="s">
        <v>885</v>
      </c>
      <c r="AF54" s="90">
        <v>50</v>
      </c>
      <c r="AG54" s="90">
        <v>0.03</v>
      </c>
      <c r="AH54" s="90">
        <v>25</v>
      </c>
      <c r="AI54" s="90">
        <v>100</v>
      </c>
      <c r="AJ54" s="84"/>
      <c r="AK54" s="84"/>
      <c r="AL54" s="84"/>
      <c r="AM54" s="84"/>
      <c r="AN54" s="94">
        <v>10010022</v>
      </c>
      <c r="AO54" s="101" t="s">
        <v>932</v>
      </c>
      <c r="AP54" s="90">
        <v>1</v>
      </c>
      <c r="AQ54" s="90">
        <v>0.01</v>
      </c>
      <c r="AR54" s="90">
        <v>1</v>
      </c>
      <c r="AS54" s="90">
        <v>1</v>
      </c>
      <c r="AT54" s="84"/>
      <c r="AU54" s="84"/>
      <c r="AV54" s="90" t="s">
        <v>885</v>
      </c>
      <c r="AW54" s="86">
        <v>0.05</v>
      </c>
      <c r="AX54" s="102">
        <v>2</v>
      </c>
      <c r="AY54" s="102" t="s">
        <v>885</v>
      </c>
      <c r="AZ54" s="90">
        <v>50</v>
      </c>
      <c r="BA54" s="90">
        <v>0.03</v>
      </c>
      <c r="BB54" s="90">
        <v>25</v>
      </c>
      <c r="BC54" s="90">
        <v>100</v>
      </c>
    </row>
    <row r="55" spans="8:55">
      <c r="H55" s="84"/>
      <c r="I55" s="84"/>
      <c r="J55" s="94">
        <v>10010025</v>
      </c>
      <c r="K55" s="101" t="s">
        <v>936</v>
      </c>
      <c r="L55" s="90">
        <v>1</v>
      </c>
      <c r="M55" s="90">
        <v>0.01</v>
      </c>
      <c r="N55" s="90">
        <v>1</v>
      </c>
      <c r="O55" s="90">
        <v>1</v>
      </c>
      <c r="P55" s="84"/>
      <c r="Q55" s="84"/>
      <c r="R55" s="84"/>
      <c r="S55" s="84"/>
      <c r="T55" s="102">
        <v>2</v>
      </c>
      <c r="U55" s="102" t="s">
        <v>885</v>
      </c>
      <c r="V55" s="90">
        <v>200</v>
      </c>
      <c r="W55" s="90">
        <v>1.4999999999999999E-2</v>
      </c>
      <c r="X55" s="90">
        <v>100</v>
      </c>
      <c r="Y55" s="90">
        <v>400</v>
      </c>
      <c r="Z55" s="84"/>
      <c r="AA55" s="84"/>
      <c r="AB55" s="84"/>
      <c r="AC55" s="84"/>
      <c r="AD55" s="102">
        <v>2</v>
      </c>
      <c r="AE55" s="102" t="s">
        <v>885</v>
      </c>
      <c r="AF55" s="90">
        <v>200</v>
      </c>
      <c r="AG55" s="90">
        <v>1.4999999999999999E-2</v>
      </c>
      <c r="AH55" s="90">
        <v>100</v>
      </c>
      <c r="AI55" s="90">
        <v>400</v>
      </c>
      <c r="AJ55" s="84"/>
      <c r="AK55" s="84"/>
      <c r="AL55" s="84"/>
      <c r="AM55" s="84"/>
      <c r="AN55" s="94">
        <v>10010023</v>
      </c>
      <c r="AO55" s="101" t="s">
        <v>934</v>
      </c>
      <c r="AP55" s="90">
        <v>1</v>
      </c>
      <c r="AQ55" s="90">
        <v>0.01</v>
      </c>
      <c r="AR55" s="90">
        <v>1</v>
      </c>
      <c r="AS55" s="90">
        <v>1</v>
      </c>
      <c r="AT55" s="84"/>
      <c r="AU55" s="84"/>
      <c r="AV55" s="84"/>
      <c r="AW55" s="84"/>
      <c r="AX55" s="102">
        <v>2</v>
      </c>
      <c r="AY55" s="102" t="s">
        <v>885</v>
      </c>
      <c r="AZ55" s="90">
        <v>200</v>
      </c>
      <c r="BA55" s="90">
        <v>1.4999999999999999E-2</v>
      </c>
      <c r="BB55" s="90">
        <v>100</v>
      </c>
      <c r="BC55" s="90">
        <v>400</v>
      </c>
    </row>
    <row r="56" spans="8:55">
      <c r="H56" s="90" t="s">
        <v>885</v>
      </c>
      <c r="I56" s="86">
        <v>0.05</v>
      </c>
      <c r="J56" s="102">
        <v>2</v>
      </c>
      <c r="K56" s="102" t="s">
        <v>885</v>
      </c>
      <c r="L56" s="90">
        <v>50</v>
      </c>
      <c r="M56" s="90">
        <v>0.03</v>
      </c>
      <c r="N56" s="90">
        <v>25</v>
      </c>
      <c r="O56" s="90">
        <v>100</v>
      </c>
      <c r="P56" s="84"/>
      <c r="Q56" s="84"/>
      <c r="R56" s="84"/>
      <c r="S56" s="84"/>
      <c r="T56" s="102">
        <v>2</v>
      </c>
      <c r="U56" s="102" t="s">
        <v>885</v>
      </c>
      <c r="V56" s="90">
        <v>500</v>
      </c>
      <c r="W56" s="90">
        <v>3.5000000000000001E-3</v>
      </c>
      <c r="X56" s="90">
        <v>250</v>
      </c>
      <c r="Y56" s="90">
        <v>1000</v>
      </c>
      <c r="Z56" s="84"/>
      <c r="AA56" s="84"/>
      <c r="AB56" s="84"/>
      <c r="AC56" s="84"/>
      <c r="AD56" s="102">
        <v>2</v>
      </c>
      <c r="AE56" s="102" t="s">
        <v>885</v>
      </c>
      <c r="AF56" s="90">
        <v>500</v>
      </c>
      <c r="AG56" s="90">
        <v>3.5000000000000001E-3</v>
      </c>
      <c r="AH56" s="90">
        <v>250</v>
      </c>
      <c r="AI56" s="90">
        <v>1000</v>
      </c>
      <c r="AJ56" s="84"/>
      <c r="AK56" s="84"/>
      <c r="AL56" s="84"/>
      <c r="AM56" s="84"/>
      <c r="AN56" s="94">
        <v>10010024</v>
      </c>
      <c r="AO56" s="101" t="s">
        <v>935</v>
      </c>
      <c r="AP56" s="90">
        <v>1</v>
      </c>
      <c r="AQ56" s="90">
        <v>0.01</v>
      </c>
      <c r="AR56" s="90">
        <v>1</v>
      </c>
      <c r="AS56" s="90">
        <v>1</v>
      </c>
      <c r="AT56" s="84"/>
      <c r="AU56" s="84"/>
      <c r="AV56" s="84"/>
      <c r="AW56" s="84"/>
      <c r="AX56" s="102">
        <v>2</v>
      </c>
      <c r="AY56" s="102" t="s">
        <v>885</v>
      </c>
      <c r="AZ56" s="90">
        <v>500</v>
      </c>
      <c r="BA56" s="90">
        <v>3.5000000000000001E-3</v>
      </c>
      <c r="BB56" s="90">
        <v>250</v>
      </c>
      <c r="BC56" s="90">
        <v>1000</v>
      </c>
    </row>
    <row r="57" spans="8:55">
      <c r="H57" s="84"/>
      <c r="I57" s="84"/>
      <c r="J57" s="102">
        <v>2</v>
      </c>
      <c r="K57" s="102" t="s">
        <v>885</v>
      </c>
      <c r="L57" s="90">
        <v>200</v>
      </c>
      <c r="M57" s="90">
        <v>1.4999999999999999E-2</v>
      </c>
      <c r="N57" s="90">
        <v>100</v>
      </c>
      <c r="O57" s="90">
        <v>400</v>
      </c>
      <c r="P57" s="84"/>
      <c r="Q57" s="84"/>
      <c r="R57" s="84"/>
      <c r="S57" s="84"/>
      <c r="T57" s="102">
        <v>2</v>
      </c>
      <c r="U57" s="102" t="s">
        <v>885</v>
      </c>
      <c r="V57" s="90">
        <v>1000</v>
      </c>
      <c r="W57" s="90">
        <v>1.5E-3</v>
      </c>
      <c r="X57" s="90">
        <v>500</v>
      </c>
      <c r="Y57" s="90">
        <v>2000</v>
      </c>
      <c r="Z57" s="84"/>
      <c r="AA57" s="84"/>
      <c r="AB57" s="84"/>
      <c r="AC57" s="84"/>
      <c r="AD57" s="102">
        <v>2</v>
      </c>
      <c r="AE57" s="102" t="s">
        <v>885</v>
      </c>
      <c r="AF57" s="90">
        <v>1000</v>
      </c>
      <c r="AG57" s="90">
        <v>1.5E-3</v>
      </c>
      <c r="AH57" s="90">
        <v>500</v>
      </c>
      <c r="AI57" s="90">
        <v>2000</v>
      </c>
      <c r="AJ57" s="84"/>
      <c r="AK57" s="84"/>
      <c r="AL57" s="84"/>
      <c r="AM57" s="84"/>
      <c r="AN57" s="94">
        <v>10010025</v>
      </c>
      <c r="AO57" s="101" t="s">
        <v>936</v>
      </c>
      <c r="AP57" s="90">
        <v>1</v>
      </c>
      <c r="AQ57" s="90">
        <v>0.01</v>
      </c>
      <c r="AR57" s="90">
        <v>1</v>
      </c>
      <c r="AS57" s="90">
        <v>1</v>
      </c>
      <c r="AT57" s="84"/>
      <c r="AU57" s="84"/>
      <c r="AV57" s="84"/>
      <c r="AW57" s="84"/>
      <c r="AX57" s="102">
        <v>2</v>
      </c>
      <c r="AY57" s="102" t="s">
        <v>885</v>
      </c>
      <c r="AZ57" s="90">
        <v>1000</v>
      </c>
      <c r="BA57" s="90">
        <v>1.5E-3</v>
      </c>
      <c r="BB57" s="90">
        <v>500</v>
      </c>
      <c r="BC57" s="90">
        <v>2000</v>
      </c>
    </row>
    <row r="58" spans="8:55">
      <c r="H58" s="84"/>
      <c r="I58" s="84"/>
      <c r="J58" s="102">
        <v>2</v>
      </c>
      <c r="K58" s="102" t="s">
        <v>885</v>
      </c>
      <c r="L58" s="90">
        <v>500</v>
      </c>
      <c r="M58" s="90">
        <v>3.5000000000000001E-3</v>
      </c>
      <c r="N58" s="90">
        <v>250</v>
      </c>
      <c r="O58" s="90">
        <v>1000</v>
      </c>
      <c r="P58" s="84"/>
      <c r="Q58" s="84"/>
      <c r="R58" s="90" t="s">
        <v>887</v>
      </c>
      <c r="S58" s="86">
        <v>0.05</v>
      </c>
      <c r="T58" s="94">
        <v>10010081</v>
      </c>
      <c r="U58" s="93" t="s">
        <v>937</v>
      </c>
      <c r="V58" s="90">
        <v>1</v>
      </c>
      <c r="W58" s="86">
        <v>0.05</v>
      </c>
      <c r="X58" s="90">
        <v>1</v>
      </c>
      <c r="Y58" s="90">
        <v>1</v>
      </c>
      <c r="Z58" s="84"/>
      <c r="AA58" s="84"/>
      <c r="AB58" s="90" t="s">
        <v>887</v>
      </c>
      <c r="AC58" s="86">
        <v>0.05</v>
      </c>
      <c r="AD58" s="94">
        <v>10010081</v>
      </c>
      <c r="AE58" s="93" t="s">
        <v>937</v>
      </c>
      <c r="AF58" s="90">
        <v>1</v>
      </c>
      <c r="AG58" s="86">
        <v>0.05</v>
      </c>
      <c r="AH58" s="90">
        <v>1</v>
      </c>
      <c r="AI58" s="90">
        <v>1</v>
      </c>
      <c r="AJ58" s="84"/>
      <c r="AK58" s="84"/>
      <c r="AL58" s="90" t="s">
        <v>885</v>
      </c>
      <c r="AM58" s="86">
        <v>0.05</v>
      </c>
      <c r="AN58" s="102">
        <v>2</v>
      </c>
      <c r="AO58" s="102" t="s">
        <v>885</v>
      </c>
      <c r="AP58" s="90">
        <v>50</v>
      </c>
      <c r="AQ58" s="90">
        <v>0.03</v>
      </c>
      <c r="AR58" s="90">
        <v>25</v>
      </c>
      <c r="AS58" s="90">
        <v>100</v>
      </c>
      <c r="AT58" s="84"/>
      <c r="AU58" s="84"/>
      <c r="AV58" s="90" t="s">
        <v>887</v>
      </c>
      <c r="AW58" s="86">
        <v>0.05</v>
      </c>
      <c r="AX58" s="94">
        <v>10010081</v>
      </c>
      <c r="AY58" s="93" t="s">
        <v>937</v>
      </c>
      <c r="AZ58" s="90">
        <v>1</v>
      </c>
      <c r="BA58" s="86">
        <v>0.05</v>
      </c>
      <c r="BB58" s="90">
        <v>1</v>
      </c>
      <c r="BC58" s="90">
        <v>1</v>
      </c>
    </row>
    <row r="59" spans="8:55">
      <c r="H59" s="84"/>
      <c r="I59" s="84"/>
      <c r="J59" s="102">
        <v>2</v>
      </c>
      <c r="K59" s="102" t="s">
        <v>885</v>
      </c>
      <c r="L59" s="90">
        <v>1000</v>
      </c>
      <c r="M59" s="90">
        <v>1.5E-3</v>
      </c>
      <c r="N59" s="90">
        <v>500</v>
      </c>
      <c r="O59" s="90">
        <v>2000</v>
      </c>
      <c r="P59" s="84"/>
      <c r="Q59" s="84"/>
      <c r="R59" s="90" t="s">
        <v>889</v>
      </c>
      <c r="S59" s="86">
        <v>0.1</v>
      </c>
      <c r="T59" s="94">
        <v>10010082</v>
      </c>
      <c r="U59" s="93" t="s">
        <v>938</v>
      </c>
      <c r="V59" s="90">
        <v>1</v>
      </c>
      <c r="W59" s="86">
        <v>0.1</v>
      </c>
      <c r="X59" s="90">
        <v>1</v>
      </c>
      <c r="Y59" s="90">
        <v>1</v>
      </c>
      <c r="Z59" s="84"/>
      <c r="AA59" s="84"/>
      <c r="AB59" s="90" t="s">
        <v>889</v>
      </c>
      <c r="AC59" s="86">
        <v>0.1</v>
      </c>
      <c r="AD59" s="94">
        <v>10010082</v>
      </c>
      <c r="AE59" s="93" t="s">
        <v>938</v>
      </c>
      <c r="AF59" s="90">
        <v>1</v>
      </c>
      <c r="AG59" s="86">
        <v>0.1</v>
      </c>
      <c r="AH59" s="90">
        <v>1</v>
      </c>
      <c r="AI59" s="90">
        <v>1</v>
      </c>
      <c r="AJ59" s="84"/>
      <c r="AK59" s="84"/>
      <c r="AL59" s="84"/>
      <c r="AM59" s="84"/>
      <c r="AN59" s="102">
        <v>2</v>
      </c>
      <c r="AO59" s="102" t="s">
        <v>885</v>
      </c>
      <c r="AP59" s="90">
        <v>200</v>
      </c>
      <c r="AQ59" s="90">
        <v>1.4999999999999999E-2</v>
      </c>
      <c r="AR59" s="90">
        <v>100</v>
      </c>
      <c r="AS59" s="90">
        <v>400</v>
      </c>
      <c r="AT59" s="84"/>
      <c r="AU59" s="84"/>
      <c r="AV59" s="90" t="s">
        <v>889</v>
      </c>
      <c r="AW59" s="86">
        <v>0.1</v>
      </c>
      <c r="AX59" s="94">
        <v>10010082</v>
      </c>
      <c r="AY59" s="93" t="s">
        <v>938</v>
      </c>
      <c r="AZ59" s="90">
        <v>1</v>
      </c>
      <c r="BA59" s="86">
        <v>0.1</v>
      </c>
      <c r="BB59" s="90">
        <v>1</v>
      </c>
      <c r="BC59" s="90">
        <v>1</v>
      </c>
    </row>
    <row r="60" spans="8:55">
      <c r="H60" s="90" t="s">
        <v>887</v>
      </c>
      <c r="I60" s="86">
        <v>0.05</v>
      </c>
      <c r="J60" s="94">
        <v>10010081</v>
      </c>
      <c r="K60" s="93" t="s">
        <v>937</v>
      </c>
      <c r="L60" s="90">
        <v>1</v>
      </c>
      <c r="M60" s="86">
        <v>0.05</v>
      </c>
      <c r="N60" s="90">
        <v>1</v>
      </c>
      <c r="O60" s="90">
        <v>1</v>
      </c>
      <c r="P60" s="84"/>
      <c r="Q60" s="84"/>
      <c r="R60" s="86" t="s">
        <v>892</v>
      </c>
      <c r="S60" s="90">
        <v>0.05</v>
      </c>
      <c r="T60" s="94">
        <v>10011001</v>
      </c>
      <c r="U60" s="93" t="s">
        <v>939</v>
      </c>
      <c r="V60" s="90">
        <v>1</v>
      </c>
      <c r="W60" s="90">
        <v>0.05</v>
      </c>
      <c r="X60" s="90">
        <v>1</v>
      </c>
      <c r="Y60" s="90">
        <v>1</v>
      </c>
      <c r="Z60" s="84"/>
      <c r="AA60" s="84"/>
      <c r="AB60" s="86" t="s">
        <v>892</v>
      </c>
      <c r="AC60" s="90">
        <v>0.05</v>
      </c>
      <c r="AD60" s="94">
        <v>10011002</v>
      </c>
      <c r="AE60" s="93" t="s">
        <v>940</v>
      </c>
      <c r="AF60" s="90">
        <v>1</v>
      </c>
      <c r="AG60" s="90">
        <v>0.05</v>
      </c>
      <c r="AH60" s="90">
        <v>1</v>
      </c>
      <c r="AI60" s="90">
        <v>1</v>
      </c>
      <c r="AJ60" s="84"/>
      <c r="AK60" s="84"/>
      <c r="AL60" s="84"/>
      <c r="AM60" s="84"/>
      <c r="AN60" s="102">
        <v>2</v>
      </c>
      <c r="AO60" s="102" t="s">
        <v>885</v>
      </c>
      <c r="AP60" s="90">
        <v>500</v>
      </c>
      <c r="AQ60" s="90">
        <v>3.5000000000000001E-3</v>
      </c>
      <c r="AR60" s="90">
        <v>250</v>
      </c>
      <c r="AS60" s="90">
        <v>1000</v>
      </c>
      <c r="AT60" s="84"/>
      <c r="AU60" s="84"/>
      <c r="AV60" s="86" t="s">
        <v>892</v>
      </c>
      <c r="AW60" s="90">
        <v>0.05</v>
      </c>
      <c r="AX60" s="94">
        <v>10011004</v>
      </c>
      <c r="AY60" s="93" t="s">
        <v>941</v>
      </c>
      <c r="AZ60" s="90">
        <v>1</v>
      </c>
      <c r="BA60" s="90">
        <v>0.05</v>
      </c>
      <c r="BB60" s="90">
        <v>1</v>
      </c>
      <c r="BC60" s="90">
        <v>1</v>
      </c>
    </row>
    <row r="61" spans="8:55">
      <c r="H61" s="90" t="s">
        <v>889</v>
      </c>
      <c r="I61" s="86">
        <v>0.1</v>
      </c>
      <c r="J61" s="94">
        <v>10010082</v>
      </c>
      <c r="K61" s="93" t="s">
        <v>938</v>
      </c>
      <c r="L61" s="90">
        <v>1</v>
      </c>
      <c r="M61" s="86">
        <v>0.1</v>
      </c>
      <c r="N61" s="90">
        <v>1</v>
      </c>
      <c r="O61" s="90">
        <v>1</v>
      </c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  <c r="AK61" s="84"/>
      <c r="AL61" s="84"/>
      <c r="AM61" s="84"/>
      <c r="AN61" s="102">
        <v>2</v>
      </c>
      <c r="AO61" s="102" t="s">
        <v>885</v>
      </c>
      <c r="AP61" s="90">
        <v>1000</v>
      </c>
      <c r="AQ61" s="90">
        <v>1.5E-3</v>
      </c>
      <c r="AR61" s="90">
        <v>500</v>
      </c>
      <c r="AS61" s="90">
        <v>2000</v>
      </c>
      <c r="AT61" s="84"/>
      <c r="AU61" s="84"/>
      <c r="AV61" s="84"/>
      <c r="AW61" s="84"/>
      <c r="AX61" s="84"/>
      <c r="AY61" s="84"/>
      <c r="AZ61" s="84"/>
      <c r="BA61" s="84"/>
      <c r="BB61" s="84"/>
      <c r="BC61" s="84"/>
    </row>
    <row r="62" spans="8:55">
      <c r="H62" s="86" t="s">
        <v>892</v>
      </c>
      <c r="I62" s="90">
        <v>0.05</v>
      </c>
      <c r="J62" s="98">
        <v>10010061</v>
      </c>
      <c r="K62" s="97" t="s">
        <v>919</v>
      </c>
      <c r="L62" s="90">
        <v>1</v>
      </c>
      <c r="M62" s="90">
        <v>0.05</v>
      </c>
      <c r="N62" s="90">
        <v>1</v>
      </c>
      <c r="O62" s="90">
        <v>1</v>
      </c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  <c r="AI62" s="84"/>
      <c r="AJ62" s="84"/>
      <c r="AK62" s="84"/>
      <c r="AL62" s="90" t="s">
        <v>887</v>
      </c>
      <c r="AM62" s="86">
        <v>0.05</v>
      </c>
      <c r="AN62" s="94">
        <v>10010081</v>
      </c>
      <c r="AO62" s="93" t="s">
        <v>937</v>
      </c>
      <c r="AP62" s="90">
        <v>1</v>
      </c>
      <c r="AQ62" s="90">
        <v>0.05</v>
      </c>
      <c r="AR62" s="90">
        <v>1</v>
      </c>
      <c r="AS62" s="90">
        <v>1</v>
      </c>
      <c r="AT62" s="84"/>
      <c r="AU62" s="84"/>
      <c r="AV62" s="84"/>
      <c r="AW62" s="84"/>
      <c r="AX62" s="84"/>
      <c r="AY62" s="84"/>
      <c r="AZ62" s="84"/>
      <c r="BA62" s="84"/>
      <c r="BB62" s="84"/>
      <c r="BC62" s="84"/>
    </row>
    <row r="63" spans="8:55"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84"/>
      <c r="AL63" s="90" t="s">
        <v>889</v>
      </c>
      <c r="AM63" s="86">
        <v>0.1</v>
      </c>
      <c r="AN63" s="94">
        <v>10010082</v>
      </c>
      <c r="AO63" s="93" t="s">
        <v>938</v>
      </c>
      <c r="AP63" s="90">
        <v>1</v>
      </c>
      <c r="AQ63" s="90">
        <v>0.1</v>
      </c>
      <c r="AR63" s="90">
        <v>1</v>
      </c>
      <c r="AS63" s="90">
        <v>1</v>
      </c>
      <c r="AT63" s="84"/>
      <c r="AU63" s="84"/>
      <c r="AV63" s="84"/>
      <c r="AW63" s="84"/>
      <c r="AX63" s="84"/>
      <c r="AY63" s="84"/>
      <c r="AZ63" s="84"/>
      <c r="BA63" s="84"/>
      <c r="BB63" s="84"/>
      <c r="BC63" s="84"/>
    </row>
    <row r="64" spans="8:55"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102">
        <v>10030401</v>
      </c>
      <c r="S64" s="102" t="s">
        <v>544</v>
      </c>
      <c r="T64" s="96">
        <v>10030301</v>
      </c>
      <c r="U64" s="102" t="s">
        <v>265</v>
      </c>
      <c r="V64" s="91">
        <v>1</v>
      </c>
      <c r="W64" s="86">
        <v>5.000000000000001E-3</v>
      </c>
      <c r="X64" s="91">
        <f>W64*20</f>
        <v>0.10000000000000002</v>
      </c>
      <c r="Y64" s="85">
        <f>X64*$C$21</f>
        <v>9.5000000000000015E-2</v>
      </c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6" t="s">
        <v>892</v>
      </c>
      <c r="AM64" s="90">
        <v>0.05</v>
      </c>
      <c r="AN64" s="94">
        <v>10011003</v>
      </c>
      <c r="AO64" s="93" t="s">
        <v>942</v>
      </c>
      <c r="AP64" s="90">
        <v>1</v>
      </c>
      <c r="AQ64" s="90">
        <v>0.05</v>
      </c>
      <c r="AR64" s="90">
        <v>1</v>
      </c>
      <c r="AS64" s="90">
        <v>1</v>
      </c>
      <c r="AT64" s="84"/>
      <c r="AU64" s="84"/>
      <c r="AV64" s="84"/>
      <c r="AW64" s="84"/>
      <c r="AX64" s="84"/>
      <c r="AY64" s="84"/>
      <c r="AZ64" s="84"/>
      <c r="BA64" s="84"/>
      <c r="BB64" s="84"/>
      <c r="BC64" s="84"/>
    </row>
    <row r="65" spans="18:25">
      <c r="R65" s="102">
        <v>10030403</v>
      </c>
      <c r="S65" s="102" t="s">
        <v>546</v>
      </c>
      <c r="T65" s="96">
        <v>10030303</v>
      </c>
      <c r="U65" s="102" t="s">
        <v>267</v>
      </c>
      <c r="V65" s="91">
        <v>1</v>
      </c>
      <c r="W65" s="86">
        <v>1.0000000000000002E-2</v>
      </c>
      <c r="X65" s="91">
        <f t="shared" ref="X65:X74" si="1">W65*20</f>
        <v>0.20000000000000004</v>
      </c>
      <c r="Y65" s="85">
        <f t="shared" ref="Y65:Y74" si="2">X65*$C$21</f>
        <v>0.19000000000000003</v>
      </c>
    </row>
    <row r="66" spans="18:25">
      <c r="R66" s="102">
        <v>10030405</v>
      </c>
      <c r="S66" s="102" t="s">
        <v>548</v>
      </c>
      <c r="T66" s="96">
        <v>10030305</v>
      </c>
      <c r="U66" s="102" t="s">
        <v>269</v>
      </c>
      <c r="V66" s="91">
        <v>1</v>
      </c>
      <c r="W66" s="86">
        <v>7.4999999999999997E-3</v>
      </c>
      <c r="X66" s="91">
        <f t="shared" si="1"/>
        <v>0.15</v>
      </c>
      <c r="Y66" s="85">
        <f t="shared" si="2"/>
        <v>0.14249999999999999</v>
      </c>
    </row>
    <row r="67" spans="18:25">
      <c r="R67" s="102">
        <v>10030407</v>
      </c>
      <c r="S67" s="102" t="s">
        <v>550</v>
      </c>
      <c r="T67" s="96">
        <v>10030307</v>
      </c>
      <c r="U67" s="102" t="s">
        <v>271</v>
      </c>
      <c r="V67" s="91">
        <v>1</v>
      </c>
      <c r="W67" s="86">
        <v>5.000000000000001E-3</v>
      </c>
      <c r="X67" s="91">
        <f t="shared" si="1"/>
        <v>0.10000000000000002</v>
      </c>
      <c r="Y67" s="85">
        <f t="shared" si="2"/>
        <v>9.5000000000000015E-2</v>
      </c>
    </row>
    <row r="68" spans="18:25">
      <c r="R68" s="102">
        <v>10030409</v>
      </c>
      <c r="S68" s="102" t="s">
        <v>552</v>
      </c>
      <c r="T68" s="96">
        <v>10030309</v>
      </c>
      <c r="U68" s="102" t="s">
        <v>273</v>
      </c>
      <c r="V68" s="91">
        <v>1</v>
      </c>
      <c r="W68" s="86">
        <v>7.4999999999999997E-3</v>
      </c>
      <c r="X68" s="91">
        <f t="shared" si="1"/>
        <v>0.15</v>
      </c>
      <c r="Y68" s="85">
        <f t="shared" si="2"/>
        <v>0.14249999999999999</v>
      </c>
    </row>
    <row r="69" spans="18:25">
      <c r="R69" s="102">
        <v>10030411</v>
      </c>
      <c r="S69" s="102" t="s">
        <v>554</v>
      </c>
      <c r="T69" s="96">
        <v>10030311</v>
      </c>
      <c r="U69" s="102" t="s">
        <v>275</v>
      </c>
      <c r="V69" s="91">
        <v>1</v>
      </c>
      <c r="W69" s="86">
        <v>2.7500000000000003E-3</v>
      </c>
      <c r="X69" s="91">
        <f t="shared" si="1"/>
        <v>5.5000000000000007E-2</v>
      </c>
      <c r="Y69" s="85">
        <f t="shared" si="2"/>
        <v>5.2250000000000005E-2</v>
      </c>
    </row>
    <row r="70" spans="18:25">
      <c r="R70" s="102">
        <v>10030413</v>
      </c>
      <c r="S70" s="102" t="s">
        <v>556</v>
      </c>
      <c r="T70" s="96">
        <v>10030313</v>
      </c>
      <c r="U70" s="102" t="s">
        <v>277</v>
      </c>
      <c r="V70" s="91">
        <v>1</v>
      </c>
      <c r="W70" s="86">
        <v>3.5000000000000005E-3</v>
      </c>
      <c r="X70" s="91">
        <f t="shared" si="1"/>
        <v>7.0000000000000007E-2</v>
      </c>
      <c r="Y70" s="85">
        <f t="shared" si="2"/>
        <v>6.6500000000000004E-2</v>
      </c>
    </row>
    <row r="71" spans="18:25">
      <c r="R71" s="102">
        <v>10030415</v>
      </c>
      <c r="S71" s="102" t="s">
        <v>558</v>
      </c>
      <c r="T71" s="96">
        <v>10030315</v>
      </c>
      <c r="U71" s="102" t="s">
        <v>279</v>
      </c>
      <c r="V71" s="91">
        <v>1</v>
      </c>
      <c r="W71" s="86">
        <v>2.5000000000000005E-3</v>
      </c>
      <c r="X71" s="91">
        <f t="shared" si="1"/>
        <v>5.000000000000001E-2</v>
      </c>
      <c r="Y71" s="85">
        <f t="shared" si="2"/>
        <v>4.7500000000000007E-2</v>
      </c>
    </row>
    <row r="72" spans="18:25">
      <c r="R72" s="102">
        <v>10030416</v>
      </c>
      <c r="S72" s="102" t="s">
        <v>559</v>
      </c>
      <c r="T72" s="96">
        <v>10030316</v>
      </c>
      <c r="U72" s="102" t="s">
        <v>280</v>
      </c>
      <c r="V72" s="91">
        <v>1</v>
      </c>
      <c r="W72" s="86">
        <v>2.5000000000000005E-3</v>
      </c>
      <c r="X72" s="91">
        <f t="shared" si="1"/>
        <v>5.000000000000001E-2</v>
      </c>
      <c r="Y72" s="85">
        <f t="shared" si="2"/>
        <v>4.7500000000000007E-2</v>
      </c>
    </row>
    <row r="73" spans="18:25">
      <c r="R73" s="102">
        <v>10030418</v>
      </c>
      <c r="S73" s="102" t="s">
        <v>561</v>
      </c>
      <c r="T73" s="96">
        <v>10030317</v>
      </c>
      <c r="U73" s="102" t="s">
        <v>281</v>
      </c>
      <c r="V73" s="91">
        <v>1</v>
      </c>
      <c r="W73" s="86">
        <v>1.2500000000000002E-3</v>
      </c>
      <c r="X73" s="91">
        <f t="shared" si="1"/>
        <v>2.5000000000000005E-2</v>
      </c>
      <c r="Y73" s="85">
        <f t="shared" si="2"/>
        <v>2.3750000000000004E-2</v>
      </c>
    </row>
    <row r="74" spans="18:25">
      <c r="R74" s="102">
        <v>10030420</v>
      </c>
      <c r="S74" s="102" t="s">
        <v>563</v>
      </c>
      <c r="T74" s="96">
        <v>10030320</v>
      </c>
      <c r="U74" s="102" t="s">
        <v>284</v>
      </c>
      <c r="V74" s="91">
        <v>1</v>
      </c>
      <c r="W74" s="86">
        <v>2.5000000000000005E-3</v>
      </c>
      <c r="X74" s="91">
        <f t="shared" si="1"/>
        <v>5.000000000000001E-2</v>
      </c>
      <c r="Y74" s="85">
        <f t="shared" si="2"/>
        <v>4.7500000000000007E-2</v>
      </c>
    </row>
    <row r="75" spans="18:25">
      <c r="R75" s="94">
        <v>10010310</v>
      </c>
      <c r="S75" s="93" t="s">
        <v>862</v>
      </c>
      <c r="T75" s="94">
        <v>10010213</v>
      </c>
      <c r="U75" s="93" t="s">
        <v>743</v>
      </c>
      <c r="V75" s="90">
        <v>1</v>
      </c>
      <c r="W75" s="86">
        <v>1.7000000000000001E-3</v>
      </c>
      <c r="X75" s="91">
        <f>W75*200</f>
        <v>0.34</v>
      </c>
      <c r="Y75" s="85">
        <f>X75*$C$22</f>
        <v>1.7000000000000001E-2</v>
      </c>
    </row>
    <row r="76" spans="18:25">
      <c r="R76" s="94">
        <v>10010311</v>
      </c>
      <c r="S76" s="93" t="s">
        <v>863</v>
      </c>
      <c r="T76" s="94">
        <v>10010214</v>
      </c>
      <c r="U76" s="93" t="s">
        <v>860</v>
      </c>
      <c r="V76" s="90">
        <v>1</v>
      </c>
      <c r="W76" s="86">
        <v>3.3000000000000004E-3</v>
      </c>
      <c r="X76" s="91">
        <f>W76*200</f>
        <v>0.66</v>
      </c>
      <c r="Y76" s="85">
        <f>X76*$C$22</f>
        <v>3.3000000000000002E-2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2:AJ161"/>
  <sheetViews>
    <sheetView workbookViewId="0">
      <selection activeCell="T41" sqref="A1:T41"/>
    </sheetView>
  </sheetViews>
  <sheetFormatPr defaultRowHeight="13.5"/>
  <cols>
    <col min="1" max="1" width="13.125" bestFit="1" customWidth="1"/>
    <col min="4" max="4" width="11.375" customWidth="1"/>
    <col min="5" max="5" width="11.375" style="84" customWidth="1"/>
    <col min="6" max="6" width="13.125" style="84" customWidth="1"/>
    <col min="7" max="7" width="11.375" style="84" customWidth="1"/>
    <col min="11" max="11" width="21.375" bestFit="1" customWidth="1"/>
    <col min="12" max="12" width="9" style="84"/>
    <col min="14" max="15" width="9" style="84"/>
    <col min="17" max="19" width="9" style="84"/>
    <col min="24" max="24" width="19.5" bestFit="1" customWidth="1"/>
    <col min="25" max="30" width="9" style="84"/>
    <col min="32" max="32" width="21.375" bestFit="1" customWidth="1"/>
    <col min="34" max="36" width="9" style="84"/>
    <col min="40" max="40" width="13.125" bestFit="1" customWidth="1"/>
  </cols>
  <sheetData>
    <row r="2" spans="1:29">
      <c r="A2" s="90"/>
      <c r="C2" s="86" t="s">
        <v>951</v>
      </c>
      <c r="D2" s="90" t="s">
        <v>952</v>
      </c>
      <c r="E2" s="90" t="s">
        <v>958</v>
      </c>
      <c r="F2" s="90" t="s">
        <v>953</v>
      </c>
      <c r="G2" s="90" t="s">
        <v>959</v>
      </c>
      <c r="H2" s="15" t="s">
        <v>955</v>
      </c>
      <c r="I2" s="15" t="s">
        <v>954</v>
      </c>
      <c r="K2" s="89"/>
      <c r="M2" s="86" t="s">
        <v>951</v>
      </c>
      <c r="N2" s="90" t="s">
        <v>952</v>
      </c>
      <c r="O2" s="90" t="s">
        <v>958</v>
      </c>
      <c r="P2" s="90" t="s">
        <v>953</v>
      </c>
      <c r="Q2" s="90" t="s">
        <v>959</v>
      </c>
      <c r="R2" s="90" t="s">
        <v>955</v>
      </c>
      <c r="S2" s="90" t="s">
        <v>954</v>
      </c>
      <c r="AC2" s="90"/>
    </row>
    <row r="3" spans="1:29">
      <c r="A3" s="93" t="s">
        <v>138</v>
      </c>
      <c r="B3" s="91">
        <v>3</v>
      </c>
      <c r="C3" s="94">
        <v>10030207</v>
      </c>
      <c r="D3" s="93">
        <v>1</v>
      </c>
      <c r="E3" s="93">
        <v>1</v>
      </c>
      <c r="F3" s="93">
        <v>1</v>
      </c>
      <c r="G3" s="40">
        <v>1</v>
      </c>
      <c r="H3" s="17">
        <f>I3*3</f>
        <v>13920</v>
      </c>
      <c r="I3" s="17">
        <f>LOOKUP(C3,[2]Sheet1!$A:$A,[2]Sheet1!$J:$J)</f>
        <v>4640</v>
      </c>
      <c r="K3" s="93" t="s">
        <v>744</v>
      </c>
      <c r="L3" s="17">
        <v>3</v>
      </c>
      <c r="M3" s="94">
        <v>10010209</v>
      </c>
      <c r="N3" s="17">
        <v>18</v>
      </c>
      <c r="O3" s="17">
        <v>1</v>
      </c>
      <c r="P3" s="17">
        <v>1</v>
      </c>
      <c r="Q3" s="17">
        <v>1</v>
      </c>
      <c r="R3" s="17">
        <f>S3*1.5</f>
        <v>46125</v>
      </c>
      <c r="S3" s="17">
        <f>LOOKUP(M3,[2]Sheet1!$A:$A,[2]Sheet1!$J:$J)</f>
        <v>30750</v>
      </c>
      <c r="AC3" s="17"/>
    </row>
    <row r="4" spans="1:29">
      <c r="A4" s="93" t="s">
        <v>145</v>
      </c>
      <c r="B4" s="91">
        <v>3</v>
      </c>
      <c r="C4" s="94">
        <v>10030214</v>
      </c>
      <c r="D4" s="93">
        <v>1</v>
      </c>
      <c r="E4" s="93">
        <v>1</v>
      </c>
      <c r="F4" s="93">
        <v>1</v>
      </c>
      <c r="G4" s="40">
        <v>1</v>
      </c>
      <c r="H4" s="17">
        <f>I4*3</f>
        <v>21000</v>
      </c>
      <c r="I4" s="17">
        <f>LOOKUP(C4,[2]Sheet1!$A:$A,[2]Sheet1!$J:$J)</f>
        <v>7000</v>
      </c>
      <c r="K4" s="93" t="s">
        <v>745</v>
      </c>
      <c r="L4" s="17">
        <v>3</v>
      </c>
      <c r="M4" s="94">
        <v>10010210</v>
      </c>
      <c r="N4" s="17">
        <v>18</v>
      </c>
      <c r="O4" s="17">
        <v>1</v>
      </c>
      <c r="P4" s="17">
        <v>1</v>
      </c>
      <c r="Q4" s="17">
        <v>1</v>
      </c>
      <c r="R4" s="17">
        <f>S4*2</f>
        <v>63750</v>
      </c>
      <c r="S4" s="17">
        <f>LOOKUP(M4,[2]Sheet1!$A:$A,[2]Sheet1!$J:$J)</f>
        <v>31875</v>
      </c>
      <c r="AC4" s="17"/>
    </row>
    <row r="5" spans="1:29">
      <c r="A5" s="93" t="s">
        <v>148</v>
      </c>
      <c r="B5" s="91">
        <v>3</v>
      </c>
      <c r="C5" s="94">
        <v>10030217</v>
      </c>
      <c r="D5" s="93">
        <v>1</v>
      </c>
      <c r="E5" s="93">
        <v>1</v>
      </c>
      <c r="F5" s="93">
        <v>1</v>
      </c>
      <c r="G5" s="40">
        <v>1</v>
      </c>
      <c r="H5" s="17">
        <f>I5*3</f>
        <v>76800</v>
      </c>
      <c r="I5" s="17">
        <f>LOOKUP(C5,[2]Sheet1!$A:$A,[2]Sheet1!$J:$J)</f>
        <v>25600</v>
      </c>
      <c r="K5" s="93" t="s">
        <v>741</v>
      </c>
      <c r="L5" s="17">
        <v>3</v>
      </c>
      <c r="M5" s="94">
        <v>10010211</v>
      </c>
      <c r="N5" s="17">
        <v>18</v>
      </c>
      <c r="O5" s="17">
        <v>1</v>
      </c>
      <c r="P5" s="17">
        <v>1</v>
      </c>
      <c r="Q5" s="17">
        <v>1</v>
      </c>
      <c r="R5" s="17">
        <f>S5*1.5</f>
        <v>49500</v>
      </c>
      <c r="S5" s="17">
        <f>LOOKUP(M5,[2]Sheet1!$A:$A,[2]Sheet1!$J:$J)</f>
        <v>33000</v>
      </c>
      <c r="AC5" s="17"/>
    </row>
    <row r="6" spans="1:29">
      <c r="A6" s="95" t="s">
        <v>153</v>
      </c>
      <c r="B6" s="91">
        <v>3</v>
      </c>
      <c r="C6" s="96">
        <v>10030222</v>
      </c>
      <c r="D6" s="93">
        <v>1</v>
      </c>
      <c r="E6" s="93">
        <v>1</v>
      </c>
      <c r="F6" s="93">
        <v>1</v>
      </c>
      <c r="G6" s="40">
        <v>1</v>
      </c>
      <c r="H6" s="17">
        <f>I6*3</f>
        <v>48420</v>
      </c>
      <c r="I6" s="17">
        <f>LOOKUP(C6,[2]Sheet1!$A:$A,[2]Sheet1!$J:$J)</f>
        <v>16140</v>
      </c>
      <c r="K6" s="93" t="s">
        <v>742</v>
      </c>
      <c r="L6" s="17">
        <v>3</v>
      </c>
      <c r="M6" s="94">
        <v>10010212</v>
      </c>
      <c r="N6" s="17">
        <v>25</v>
      </c>
      <c r="O6" s="17">
        <v>1</v>
      </c>
      <c r="P6" s="17">
        <v>1</v>
      </c>
      <c r="Q6" s="17">
        <v>1</v>
      </c>
      <c r="R6" s="17">
        <f>S6*3</f>
        <v>102375</v>
      </c>
      <c r="S6" s="17">
        <f>LOOKUP(M6,[2]Sheet1!$A:$A,[2]Sheet1!$J:$J)</f>
        <v>34125</v>
      </c>
      <c r="AC6" s="17"/>
    </row>
    <row r="7" spans="1:29">
      <c r="A7" s="93" t="s">
        <v>911</v>
      </c>
      <c r="B7" s="91">
        <v>3</v>
      </c>
      <c r="C7" s="96">
        <v>10030260</v>
      </c>
      <c r="D7" s="93">
        <v>1</v>
      </c>
      <c r="E7" s="93">
        <v>1</v>
      </c>
      <c r="F7" s="93">
        <v>1</v>
      </c>
      <c r="G7" s="40">
        <v>1</v>
      </c>
      <c r="H7" s="17">
        <f>I7*10</f>
        <v>22800</v>
      </c>
      <c r="I7" s="17">
        <f>LOOKUP(C7,[2]Sheet1!$A:$A,[2]Sheet1!$J:$J)</f>
        <v>2280</v>
      </c>
      <c r="K7" s="102" t="s">
        <v>265</v>
      </c>
      <c r="L7" s="17">
        <v>3</v>
      </c>
      <c r="M7" s="96">
        <v>10030301</v>
      </c>
      <c r="N7" s="17">
        <v>20</v>
      </c>
      <c r="O7" s="17">
        <v>1</v>
      </c>
      <c r="P7" s="17">
        <v>1</v>
      </c>
      <c r="Q7" s="17">
        <v>1</v>
      </c>
      <c r="R7" s="17">
        <f t="shared" ref="R7:R17" si="0">S7*20</f>
        <v>276600</v>
      </c>
      <c r="S7" s="17">
        <f>LOOKUP(M7,[2]Sheet1!$A:$A,[2]Sheet1!$J:$J)</f>
        <v>13830</v>
      </c>
      <c r="AC7" s="17"/>
    </row>
    <row r="8" spans="1:29">
      <c r="A8" s="93" t="s">
        <v>913</v>
      </c>
      <c r="B8" s="91">
        <v>3</v>
      </c>
      <c r="C8" s="96">
        <v>10030261</v>
      </c>
      <c r="D8" s="93">
        <v>1</v>
      </c>
      <c r="E8" s="93">
        <v>1</v>
      </c>
      <c r="F8" s="93">
        <v>1</v>
      </c>
      <c r="G8" s="40">
        <v>1</v>
      </c>
      <c r="H8" s="17">
        <f>I8*10</f>
        <v>22800</v>
      </c>
      <c r="I8" s="17">
        <f>LOOKUP(C8,[2]Sheet1!$A:$A,[2]Sheet1!$J:$J)</f>
        <v>2280</v>
      </c>
      <c r="K8" s="102" t="s">
        <v>267</v>
      </c>
      <c r="L8" s="17">
        <v>3</v>
      </c>
      <c r="M8" s="96">
        <v>10030303</v>
      </c>
      <c r="N8" s="17">
        <v>20</v>
      </c>
      <c r="O8" s="17">
        <v>1</v>
      </c>
      <c r="P8" s="17">
        <v>1</v>
      </c>
      <c r="Q8" s="17">
        <v>1</v>
      </c>
      <c r="R8" s="17">
        <f t="shared" si="0"/>
        <v>251400</v>
      </c>
      <c r="S8" s="17">
        <f>LOOKUP(M8,[2]Sheet1!$A:$A,[2]Sheet1!$J:$J)</f>
        <v>12570</v>
      </c>
      <c r="AC8" s="17"/>
    </row>
    <row r="9" spans="1:29">
      <c r="A9" s="93" t="s">
        <v>916</v>
      </c>
      <c r="B9" s="91">
        <v>3</v>
      </c>
      <c r="C9" s="96">
        <v>10030262</v>
      </c>
      <c r="D9" s="93">
        <v>1</v>
      </c>
      <c r="E9" s="93">
        <v>1</v>
      </c>
      <c r="F9" s="93">
        <v>1</v>
      </c>
      <c r="G9" s="40">
        <v>1</v>
      </c>
      <c r="H9" s="17">
        <f>I9*10</f>
        <v>22800</v>
      </c>
      <c r="I9" s="17">
        <f>LOOKUP(C9,[2]Sheet1!$A:$A,[2]Sheet1!$J:$J)</f>
        <v>2280</v>
      </c>
      <c r="K9" s="102" t="s">
        <v>269</v>
      </c>
      <c r="L9" s="17">
        <v>3</v>
      </c>
      <c r="M9" s="96">
        <v>10030305</v>
      </c>
      <c r="N9" s="17">
        <v>20</v>
      </c>
      <c r="O9" s="17">
        <v>1</v>
      </c>
      <c r="P9" s="17">
        <v>1</v>
      </c>
      <c r="Q9" s="17">
        <v>1</v>
      </c>
      <c r="R9" s="17">
        <f t="shared" si="0"/>
        <v>201000</v>
      </c>
      <c r="S9" s="17">
        <f>LOOKUP(M9,[2]Sheet1!$A:$A,[2]Sheet1!$J:$J)</f>
        <v>10050</v>
      </c>
      <c r="AC9" s="17"/>
    </row>
    <row r="10" spans="1:29">
      <c r="A10" s="97" t="s">
        <v>919</v>
      </c>
      <c r="B10" s="91">
        <v>3</v>
      </c>
      <c r="C10" s="98">
        <v>10010061</v>
      </c>
      <c r="D10" s="93">
        <v>1</v>
      </c>
      <c r="E10" s="93">
        <v>1</v>
      </c>
      <c r="F10" s="94">
        <v>10</v>
      </c>
      <c r="G10" s="40">
        <v>1</v>
      </c>
      <c r="H10" s="17">
        <f>I10*4</f>
        <v>35880</v>
      </c>
      <c r="I10" s="91">
        <v>8970</v>
      </c>
      <c r="K10" s="102" t="s">
        <v>271</v>
      </c>
      <c r="L10" s="17">
        <v>3</v>
      </c>
      <c r="M10" s="96">
        <v>10030307</v>
      </c>
      <c r="N10" s="17">
        <v>20</v>
      </c>
      <c r="O10" s="17">
        <v>1</v>
      </c>
      <c r="P10" s="17">
        <v>1</v>
      </c>
      <c r="Q10" s="17">
        <v>1</v>
      </c>
      <c r="R10" s="17">
        <f t="shared" si="0"/>
        <v>201000</v>
      </c>
      <c r="S10" s="17">
        <f>LOOKUP(M10,[2]Sheet1!$A:$A,[2]Sheet1!$J:$J)</f>
        <v>10050</v>
      </c>
      <c r="AC10" s="17"/>
    </row>
    <row r="11" spans="1:29">
      <c r="A11" s="100" t="s">
        <v>333</v>
      </c>
      <c r="B11" s="91">
        <v>3</v>
      </c>
      <c r="C11" s="96">
        <v>10020010</v>
      </c>
      <c r="D11" s="93">
        <v>1</v>
      </c>
      <c r="E11" s="93">
        <v>1</v>
      </c>
      <c r="F11" s="93">
        <v>1</v>
      </c>
      <c r="G11" s="40">
        <v>1</v>
      </c>
      <c r="H11" s="17">
        <f>I11*3</f>
        <v>3420</v>
      </c>
      <c r="I11" s="17">
        <f>LOOKUP(C11,[2]Sheet1!$A:$A,[2]Sheet1!$J:$J)</f>
        <v>1140</v>
      </c>
      <c r="K11" s="102" t="s">
        <v>273</v>
      </c>
      <c r="L11" s="17">
        <v>3</v>
      </c>
      <c r="M11" s="96">
        <v>10030309</v>
      </c>
      <c r="N11" s="17">
        <v>20</v>
      </c>
      <c r="O11" s="17">
        <v>1</v>
      </c>
      <c r="P11" s="17">
        <v>1</v>
      </c>
      <c r="Q11" s="17">
        <v>1</v>
      </c>
      <c r="R11" s="17">
        <f t="shared" si="0"/>
        <v>301800</v>
      </c>
      <c r="S11" s="17">
        <f>LOOKUP(M11,[2]Sheet1!$A:$A,[2]Sheet1!$J:$J)</f>
        <v>15090</v>
      </c>
      <c r="AC11" s="17"/>
    </row>
    <row r="12" spans="1:29">
      <c r="A12" s="93" t="s">
        <v>150</v>
      </c>
      <c r="B12" s="91">
        <v>3</v>
      </c>
      <c r="C12" s="94">
        <v>10030219</v>
      </c>
      <c r="D12" s="93">
        <v>1</v>
      </c>
      <c r="E12" s="93">
        <v>1</v>
      </c>
      <c r="F12" s="93">
        <v>1</v>
      </c>
      <c r="G12" s="40">
        <v>1</v>
      </c>
      <c r="H12" s="17">
        <f>I12*3</f>
        <v>96840</v>
      </c>
      <c r="I12" s="17">
        <f>LOOKUP(C12,[2]Sheet1!$A:$A,[2]Sheet1!$J:$J)</f>
        <v>32280</v>
      </c>
      <c r="K12" s="102" t="s">
        <v>275</v>
      </c>
      <c r="L12" s="17">
        <v>3</v>
      </c>
      <c r="M12" s="96">
        <v>10030311</v>
      </c>
      <c r="N12" s="17">
        <v>20</v>
      </c>
      <c r="O12" s="17">
        <v>1</v>
      </c>
      <c r="P12" s="17">
        <v>1</v>
      </c>
      <c r="Q12" s="17">
        <v>1</v>
      </c>
      <c r="R12" s="17">
        <f t="shared" si="0"/>
        <v>327000</v>
      </c>
      <c r="S12" s="17">
        <f>LOOKUP(M12,[2]Sheet1!$A:$A,[2]Sheet1!$J:$J)</f>
        <v>16350</v>
      </c>
      <c r="AC12" s="17"/>
    </row>
    <row r="13" spans="1:29">
      <c r="A13" s="93" t="s">
        <v>151</v>
      </c>
      <c r="B13" s="91">
        <v>3</v>
      </c>
      <c r="C13" s="94">
        <v>10030220</v>
      </c>
      <c r="D13" s="93">
        <v>1</v>
      </c>
      <c r="E13" s="93">
        <v>1</v>
      </c>
      <c r="F13" s="93">
        <v>1</v>
      </c>
      <c r="G13" s="40">
        <v>1</v>
      </c>
      <c r="H13" s="17">
        <f>I13*3</f>
        <v>117000</v>
      </c>
      <c r="I13" s="17">
        <f>LOOKUP(C13,[2]Sheet1!$A:$A,[2]Sheet1!$J:$J)</f>
        <v>39000</v>
      </c>
      <c r="K13" s="102" t="s">
        <v>277</v>
      </c>
      <c r="L13" s="17">
        <v>3</v>
      </c>
      <c r="M13" s="96">
        <v>10030313</v>
      </c>
      <c r="N13" s="17">
        <v>20</v>
      </c>
      <c r="O13" s="17">
        <v>1</v>
      </c>
      <c r="P13" s="17">
        <v>1</v>
      </c>
      <c r="Q13" s="17">
        <v>1</v>
      </c>
      <c r="R13" s="17">
        <f t="shared" si="0"/>
        <v>402000</v>
      </c>
      <c r="S13" s="17">
        <f>LOOKUP(M13,[2]Sheet1!$A:$A,[2]Sheet1!$J:$J)</f>
        <v>20100</v>
      </c>
      <c r="AC13" s="17"/>
    </row>
    <row r="14" spans="1:29">
      <c r="A14" s="97" t="s">
        <v>339</v>
      </c>
      <c r="B14" s="91">
        <v>3</v>
      </c>
      <c r="C14" s="96">
        <v>10020016</v>
      </c>
      <c r="D14" s="93">
        <v>1</v>
      </c>
      <c r="E14" s="93">
        <v>1</v>
      </c>
      <c r="F14" s="94">
        <v>20</v>
      </c>
      <c r="G14" s="40">
        <v>1</v>
      </c>
      <c r="H14" s="17">
        <f>I14/2*F14</f>
        <v>2340</v>
      </c>
      <c r="I14" s="17">
        <f>LOOKUP(C14,[2]Sheet1!$A:$A,[2]Sheet1!$J:$J)</f>
        <v>234</v>
      </c>
      <c r="K14" s="102" t="s">
        <v>279</v>
      </c>
      <c r="L14" s="17">
        <v>3</v>
      </c>
      <c r="M14" s="96">
        <v>10030315</v>
      </c>
      <c r="N14" s="17">
        <v>20</v>
      </c>
      <c r="O14" s="17">
        <v>1</v>
      </c>
      <c r="P14" s="17">
        <v>1</v>
      </c>
      <c r="Q14" s="17">
        <v>1</v>
      </c>
      <c r="R14" s="17">
        <f t="shared" si="0"/>
        <v>955200</v>
      </c>
      <c r="S14" s="17">
        <f>LOOKUP(M14,[2]Sheet1!$A:$A,[2]Sheet1!$J:$J)</f>
        <v>47760</v>
      </c>
      <c r="AC14" s="17"/>
    </row>
    <row r="15" spans="1:29">
      <c r="A15" s="97" t="s">
        <v>340</v>
      </c>
      <c r="B15" s="91">
        <v>3</v>
      </c>
      <c r="C15" s="96">
        <v>10020017</v>
      </c>
      <c r="D15" s="93">
        <v>1</v>
      </c>
      <c r="E15" s="93">
        <v>1</v>
      </c>
      <c r="F15" s="94">
        <v>20</v>
      </c>
      <c r="G15" s="40">
        <v>1</v>
      </c>
      <c r="H15" s="17">
        <f>I15/2*F15</f>
        <v>4100</v>
      </c>
      <c r="I15" s="17">
        <f>LOOKUP(C15,[2]Sheet1!$A:$A,[2]Sheet1!$J:$J)</f>
        <v>410</v>
      </c>
      <c r="K15" s="102" t="s">
        <v>280</v>
      </c>
      <c r="L15" s="17">
        <v>3</v>
      </c>
      <c r="M15" s="96">
        <v>10030316</v>
      </c>
      <c r="N15" s="17">
        <v>20</v>
      </c>
      <c r="O15" s="17">
        <v>1</v>
      </c>
      <c r="P15" s="17">
        <v>1</v>
      </c>
      <c r="Q15" s="17">
        <v>1</v>
      </c>
      <c r="R15" s="17">
        <f t="shared" si="0"/>
        <v>603600</v>
      </c>
      <c r="S15" s="17">
        <f>LOOKUP(M15,[2]Sheet1!$A:$A,[2]Sheet1!$J:$J)</f>
        <v>30180</v>
      </c>
      <c r="AC15" s="17"/>
    </row>
    <row r="16" spans="1:29">
      <c r="A16" s="97" t="s">
        <v>338</v>
      </c>
      <c r="B16" s="91">
        <v>3</v>
      </c>
      <c r="C16" s="96">
        <v>10020015</v>
      </c>
      <c r="D16" s="93">
        <v>1</v>
      </c>
      <c r="E16" s="93">
        <v>1</v>
      </c>
      <c r="F16" s="93">
        <v>1</v>
      </c>
      <c r="G16" s="40">
        <v>1</v>
      </c>
      <c r="H16" s="17">
        <f>I16*3</f>
        <v>11700</v>
      </c>
      <c r="I16" s="17">
        <f>LOOKUP(C16,[2]Sheet1!$A:$A,[2]Sheet1!$J:$J)</f>
        <v>3900</v>
      </c>
      <c r="K16" s="102" t="s">
        <v>281</v>
      </c>
      <c r="L16" s="17">
        <v>3</v>
      </c>
      <c r="M16" s="96">
        <v>10030317</v>
      </c>
      <c r="N16" s="17">
        <v>20</v>
      </c>
      <c r="O16" s="17">
        <v>1</v>
      </c>
      <c r="P16" s="17">
        <v>1</v>
      </c>
      <c r="Q16" s="17">
        <v>1</v>
      </c>
      <c r="R16" s="17">
        <f t="shared" si="0"/>
        <v>1508400</v>
      </c>
      <c r="S16" s="17">
        <f>LOOKUP(M16,[2]Sheet1!$A:$A,[2]Sheet1!$J:$J)</f>
        <v>75420</v>
      </c>
      <c r="AC16" s="17"/>
    </row>
    <row r="17" spans="1:29">
      <c r="A17" s="97" t="s">
        <v>328</v>
      </c>
      <c r="B17" s="91">
        <v>2</v>
      </c>
      <c r="C17" s="96">
        <v>10020002</v>
      </c>
      <c r="D17" s="93">
        <v>1</v>
      </c>
      <c r="E17" s="93">
        <v>1</v>
      </c>
      <c r="F17" s="94">
        <v>20</v>
      </c>
      <c r="G17" s="40">
        <v>1</v>
      </c>
      <c r="H17" s="111">
        <f t="shared" ref="H17:H27" si="1">I17*F17</f>
        <v>1500</v>
      </c>
      <c r="I17" s="17">
        <f>LOOKUP(C17,[2]Sheet1!$A:$A,[2]Sheet1!$J:$J)</f>
        <v>75</v>
      </c>
      <c r="K17" s="102" t="s">
        <v>284</v>
      </c>
      <c r="L17" s="17">
        <v>3</v>
      </c>
      <c r="M17" s="96">
        <v>10030320</v>
      </c>
      <c r="N17" s="17">
        <v>20</v>
      </c>
      <c r="O17" s="17">
        <v>1</v>
      </c>
      <c r="P17" s="17">
        <v>1</v>
      </c>
      <c r="Q17" s="17">
        <v>1</v>
      </c>
      <c r="R17" s="17">
        <f t="shared" si="0"/>
        <v>754200</v>
      </c>
      <c r="S17" s="17">
        <f>LOOKUP(M17,[2]Sheet1!$A:$A,[2]Sheet1!$J:$J)</f>
        <v>37710</v>
      </c>
      <c r="AC17" s="17"/>
    </row>
    <row r="18" spans="1:29">
      <c r="A18" s="97" t="s">
        <v>329</v>
      </c>
      <c r="B18" s="91">
        <v>2</v>
      </c>
      <c r="C18" s="96">
        <v>10020003</v>
      </c>
      <c r="D18" s="93">
        <v>1</v>
      </c>
      <c r="E18" s="93">
        <v>1</v>
      </c>
      <c r="F18" s="94">
        <v>20</v>
      </c>
      <c r="G18" s="40">
        <v>1</v>
      </c>
      <c r="H18" s="111">
        <f t="shared" si="1"/>
        <v>1200</v>
      </c>
      <c r="I18" s="17">
        <f>LOOKUP(C18,[2]Sheet1!$A:$A,[2]Sheet1!$J:$J)</f>
        <v>60</v>
      </c>
      <c r="K18" s="102" t="s">
        <v>282</v>
      </c>
      <c r="L18" s="17">
        <v>3</v>
      </c>
      <c r="M18" s="96">
        <v>10030318</v>
      </c>
      <c r="N18" s="17">
        <v>18</v>
      </c>
      <c r="O18" s="17">
        <v>1</v>
      </c>
      <c r="P18" s="17">
        <v>1</v>
      </c>
      <c r="Q18" s="17">
        <v>1</v>
      </c>
      <c r="R18" s="17">
        <f>S18*3</f>
        <v>90450</v>
      </c>
      <c r="S18" s="17">
        <f>LOOKUP(M18,[2]Sheet1!$A:$A,[2]Sheet1!$J:$J)</f>
        <v>30150</v>
      </c>
      <c r="AC18" s="17"/>
    </row>
    <row r="19" spans="1:29">
      <c r="A19" s="97" t="s">
        <v>330</v>
      </c>
      <c r="B19" s="91">
        <v>2</v>
      </c>
      <c r="C19" s="96">
        <v>10020005</v>
      </c>
      <c r="D19" s="93">
        <v>1</v>
      </c>
      <c r="E19" s="93">
        <v>1</v>
      </c>
      <c r="F19" s="94">
        <v>20</v>
      </c>
      <c r="G19" s="40">
        <v>1</v>
      </c>
      <c r="H19" s="111">
        <f t="shared" si="1"/>
        <v>2400</v>
      </c>
      <c r="I19" s="17">
        <f>LOOKUP(C19,[2]Sheet1!$A:$A,[2]Sheet1!$J:$J)</f>
        <v>120</v>
      </c>
      <c r="K19" s="102" t="s">
        <v>283</v>
      </c>
      <c r="L19" s="17">
        <v>3</v>
      </c>
      <c r="M19" s="96">
        <v>10030319</v>
      </c>
      <c r="N19" s="17">
        <v>18</v>
      </c>
      <c r="O19" s="17">
        <v>1</v>
      </c>
      <c r="P19" s="17">
        <v>1</v>
      </c>
      <c r="Q19" s="17">
        <v>1</v>
      </c>
      <c r="R19" s="17">
        <f>S19*5</f>
        <v>150750</v>
      </c>
      <c r="S19" s="17">
        <f>LOOKUP(M19,[2]Sheet1!$A:$A,[2]Sheet1!$J:$J)</f>
        <v>30150</v>
      </c>
      <c r="AC19" s="17"/>
    </row>
    <row r="20" spans="1:29">
      <c r="A20" s="97" t="s">
        <v>331</v>
      </c>
      <c r="B20" s="91">
        <v>2</v>
      </c>
      <c r="C20" s="96">
        <v>10020007</v>
      </c>
      <c r="D20" s="93">
        <v>1</v>
      </c>
      <c r="E20" s="93">
        <v>1</v>
      </c>
      <c r="F20" s="94">
        <v>20</v>
      </c>
      <c r="G20" s="40">
        <v>1</v>
      </c>
      <c r="H20" s="111">
        <f t="shared" si="1"/>
        <v>1700</v>
      </c>
      <c r="I20" s="17">
        <f>LOOKUP(C20,[2]Sheet1!$A:$A,[2]Sheet1!$J:$J)</f>
        <v>85</v>
      </c>
      <c r="K20" s="97" t="s">
        <v>919</v>
      </c>
      <c r="L20" s="17">
        <v>3</v>
      </c>
      <c r="M20" s="98">
        <v>10010062</v>
      </c>
      <c r="N20" s="17">
        <v>18</v>
      </c>
      <c r="O20" s="17">
        <v>1</v>
      </c>
      <c r="P20" s="17">
        <v>10</v>
      </c>
      <c r="Q20" s="17">
        <v>1</v>
      </c>
      <c r="R20" s="17">
        <f>S20*4</f>
        <v>67320</v>
      </c>
      <c r="S20" s="15">
        <v>16830</v>
      </c>
      <c r="AC20" s="17"/>
    </row>
    <row r="21" spans="1:29">
      <c r="A21" s="97" t="s">
        <v>816</v>
      </c>
      <c r="B21" s="91">
        <v>2</v>
      </c>
      <c r="C21" s="96">
        <v>10020008</v>
      </c>
      <c r="D21" s="93">
        <v>1</v>
      </c>
      <c r="E21" s="93">
        <v>1</v>
      </c>
      <c r="F21" s="94">
        <v>20</v>
      </c>
      <c r="G21" s="40">
        <v>1</v>
      </c>
      <c r="H21" s="111">
        <f t="shared" si="1"/>
        <v>3300</v>
      </c>
      <c r="I21" s="17">
        <f>LOOKUP(C21,[2]Sheet1!$A:$A,[2]Sheet1!$J:$J)</f>
        <v>165</v>
      </c>
      <c r="K21" s="101" t="s">
        <v>820</v>
      </c>
      <c r="L21" s="17">
        <v>3</v>
      </c>
      <c r="M21" s="96">
        <v>10020063</v>
      </c>
      <c r="N21" s="17">
        <v>18</v>
      </c>
      <c r="O21" s="17">
        <v>1</v>
      </c>
      <c r="P21" s="17">
        <v>1</v>
      </c>
      <c r="Q21" s="17">
        <v>1</v>
      </c>
      <c r="R21" s="17">
        <f>S21*10</f>
        <v>61500</v>
      </c>
      <c r="S21" s="17">
        <f>LOOKUP(M21,[2]Sheet1!$A:$A,[2]Sheet1!$J:$J)</f>
        <v>6150</v>
      </c>
      <c r="AC21" s="17"/>
    </row>
    <row r="22" spans="1:29">
      <c r="A22" s="100" t="s">
        <v>332</v>
      </c>
      <c r="B22" s="91">
        <v>2</v>
      </c>
      <c r="C22" s="96">
        <v>10020009</v>
      </c>
      <c r="D22" s="93">
        <v>1</v>
      </c>
      <c r="E22" s="93">
        <v>1</v>
      </c>
      <c r="F22" s="94">
        <v>20</v>
      </c>
      <c r="G22" s="40">
        <v>1</v>
      </c>
      <c r="H22" s="111">
        <f t="shared" si="1"/>
        <v>3300</v>
      </c>
      <c r="I22" s="17">
        <f>LOOKUP(C22,[2]Sheet1!$A:$A,[2]Sheet1!$J:$J)</f>
        <v>165</v>
      </c>
      <c r="K22" s="93" t="s">
        <v>743</v>
      </c>
      <c r="L22" s="17">
        <v>3</v>
      </c>
      <c r="M22" s="94">
        <v>10010213</v>
      </c>
      <c r="N22" s="17">
        <v>25</v>
      </c>
      <c r="O22" s="17">
        <v>1</v>
      </c>
      <c r="P22" s="17">
        <v>1</v>
      </c>
      <c r="Q22" s="17">
        <v>1</v>
      </c>
      <c r="R22" s="17">
        <f>S22*30</f>
        <v>1057500</v>
      </c>
      <c r="S22" s="17">
        <f>LOOKUP(M22,[2]Sheet1!$A:$A,[2]Sheet1!$J:$J)</f>
        <v>35250</v>
      </c>
      <c r="AC22" s="17"/>
    </row>
    <row r="23" spans="1:29">
      <c r="A23" s="100" t="s">
        <v>333</v>
      </c>
      <c r="B23" s="91">
        <v>2</v>
      </c>
      <c r="C23" s="96">
        <v>10020010</v>
      </c>
      <c r="D23" s="93">
        <v>1</v>
      </c>
      <c r="E23" s="93">
        <v>1</v>
      </c>
      <c r="F23" s="94">
        <v>20</v>
      </c>
      <c r="G23" s="40">
        <v>1</v>
      </c>
      <c r="H23" s="111">
        <f t="shared" si="1"/>
        <v>22800</v>
      </c>
      <c r="I23" s="17">
        <f>LOOKUP(C23,[2]Sheet1!$A:$A,[2]Sheet1!$J:$J)</f>
        <v>1140</v>
      </c>
      <c r="K23" s="93" t="s">
        <v>860</v>
      </c>
      <c r="L23" s="17">
        <v>3</v>
      </c>
      <c r="M23" s="94">
        <v>10010214</v>
      </c>
      <c r="N23" s="17">
        <v>25</v>
      </c>
      <c r="O23" s="17">
        <v>1</v>
      </c>
      <c r="P23" s="17">
        <v>1</v>
      </c>
      <c r="Q23" s="17">
        <v>1</v>
      </c>
      <c r="R23" s="17">
        <f>S23*25</f>
        <v>881250</v>
      </c>
      <c r="S23" s="17">
        <f>LOOKUP(M23,[2]Sheet1!$A:$A,[2]Sheet1!$J:$J)</f>
        <v>35250</v>
      </c>
      <c r="AC23" s="17"/>
    </row>
    <row r="24" spans="1:29">
      <c r="A24" s="97" t="s">
        <v>334</v>
      </c>
      <c r="B24" s="91">
        <v>2</v>
      </c>
      <c r="C24" s="96">
        <v>10020011</v>
      </c>
      <c r="D24" s="93">
        <v>1</v>
      </c>
      <c r="E24" s="93">
        <v>1</v>
      </c>
      <c r="F24" s="94">
        <v>20</v>
      </c>
      <c r="G24" s="40">
        <v>1</v>
      </c>
      <c r="H24" s="111">
        <f t="shared" si="1"/>
        <v>4700</v>
      </c>
      <c r="I24" s="17">
        <f>LOOKUP(C24,[2]Sheet1!$A:$A,[2]Sheet1!$J:$J)</f>
        <v>235</v>
      </c>
      <c r="K24" s="97" t="s">
        <v>432</v>
      </c>
      <c r="L24" s="17">
        <v>3</v>
      </c>
      <c r="M24" s="96">
        <v>10020056</v>
      </c>
      <c r="N24" s="17">
        <v>18</v>
      </c>
      <c r="O24" s="17">
        <v>1</v>
      </c>
      <c r="P24" s="17">
        <v>1</v>
      </c>
      <c r="Q24" s="17">
        <v>1</v>
      </c>
      <c r="R24" s="112">
        <f>S24*P24*15</f>
        <v>27675</v>
      </c>
      <c r="S24" s="17">
        <f>LOOKUP(M24,[2]Sheet1!$A:$A,[2]Sheet1!$J:$J)</f>
        <v>1845</v>
      </c>
      <c r="AC24" s="112"/>
    </row>
    <row r="25" spans="1:29">
      <c r="A25" s="97" t="s">
        <v>335</v>
      </c>
      <c r="B25" s="91">
        <v>2</v>
      </c>
      <c r="C25" s="96">
        <v>10020012</v>
      </c>
      <c r="D25" s="93">
        <v>1</v>
      </c>
      <c r="E25" s="93">
        <v>1</v>
      </c>
      <c r="F25" s="94">
        <v>20</v>
      </c>
      <c r="G25" s="40">
        <v>1</v>
      </c>
      <c r="H25" s="111">
        <f t="shared" si="1"/>
        <v>5100</v>
      </c>
      <c r="I25" s="17">
        <f>LOOKUP(C25,[2]Sheet1!$A:$A,[2]Sheet1!$J:$J)</f>
        <v>255</v>
      </c>
      <c r="K25" s="97" t="s">
        <v>434</v>
      </c>
      <c r="L25" s="17">
        <v>3</v>
      </c>
      <c r="M25" s="96">
        <v>10020058</v>
      </c>
      <c r="N25" s="17">
        <v>18</v>
      </c>
      <c r="O25" s="17">
        <v>1</v>
      </c>
      <c r="P25" s="17">
        <v>20</v>
      </c>
      <c r="Q25" s="17">
        <v>1</v>
      </c>
      <c r="R25" s="17">
        <f>S25/2*P25</f>
        <v>3690</v>
      </c>
      <c r="S25" s="17">
        <f>LOOKUP(M25,[2]Sheet1!$A:$A,[2]Sheet1!$J:$J)</f>
        <v>369</v>
      </c>
      <c r="AC25" s="111"/>
    </row>
    <row r="26" spans="1:29">
      <c r="A26" s="97" t="s">
        <v>336</v>
      </c>
      <c r="B26" s="91">
        <v>2</v>
      </c>
      <c r="C26" s="96">
        <v>10020013</v>
      </c>
      <c r="D26" s="93">
        <v>1</v>
      </c>
      <c r="E26" s="93">
        <v>1</v>
      </c>
      <c r="F26" s="94">
        <v>20</v>
      </c>
      <c r="G26" s="40">
        <v>1</v>
      </c>
      <c r="H26" s="111">
        <f t="shared" si="1"/>
        <v>5600</v>
      </c>
      <c r="I26" s="17">
        <f>LOOKUP(C26,[2]Sheet1!$A:$A,[2]Sheet1!$J:$J)</f>
        <v>280</v>
      </c>
      <c r="K26" s="97" t="s">
        <v>435</v>
      </c>
      <c r="L26" s="17">
        <v>3</v>
      </c>
      <c r="M26" s="96">
        <v>10020059</v>
      </c>
      <c r="N26" s="17">
        <v>18</v>
      </c>
      <c r="O26" s="17">
        <v>1</v>
      </c>
      <c r="P26" s="17">
        <v>20</v>
      </c>
      <c r="Q26" s="17">
        <v>1</v>
      </c>
      <c r="R26" s="17">
        <f>S26/2*P26</f>
        <v>6460</v>
      </c>
      <c r="S26" s="17">
        <f>LOOKUP(M26,[2]Sheet1!$A:$A,[2]Sheet1!$J:$J)</f>
        <v>646</v>
      </c>
      <c r="AC26" s="111"/>
    </row>
    <row r="27" spans="1:29">
      <c r="A27" s="97" t="s">
        <v>337</v>
      </c>
      <c r="B27" s="91">
        <v>2</v>
      </c>
      <c r="C27" s="96">
        <v>10020014</v>
      </c>
      <c r="D27" s="93">
        <v>1</v>
      </c>
      <c r="E27" s="93">
        <v>1</v>
      </c>
      <c r="F27" s="94">
        <v>20</v>
      </c>
      <c r="G27" s="40">
        <v>1</v>
      </c>
      <c r="H27" s="111">
        <f t="shared" si="1"/>
        <v>6000</v>
      </c>
      <c r="I27" s="17">
        <f>LOOKUP(C27,[2]Sheet1!$A:$A,[2]Sheet1!$J:$J)</f>
        <v>300</v>
      </c>
      <c r="K27" s="97" t="s">
        <v>428</v>
      </c>
      <c r="L27" s="17">
        <v>2</v>
      </c>
      <c r="M27" s="96">
        <v>10020052</v>
      </c>
      <c r="N27" s="17">
        <v>18</v>
      </c>
      <c r="O27" s="17">
        <v>1</v>
      </c>
      <c r="P27" s="17">
        <v>20</v>
      </c>
      <c r="Q27" s="17">
        <v>1</v>
      </c>
      <c r="R27" s="111">
        <f t="shared" ref="R27:R33" si="2">S27*P27</f>
        <v>9200</v>
      </c>
      <c r="S27" s="17">
        <f>LOOKUP(M27,[2]Sheet1!$A:$A,[2]Sheet1!$J:$J)</f>
        <v>460</v>
      </c>
      <c r="AC27" s="111"/>
    </row>
    <row r="28" spans="1:29">
      <c r="A28" s="97" t="s">
        <v>328</v>
      </c>
      <c r="B28" s="91">
        <v>1</v>
      </c>
      <c r="C28" s="96">
        <v>10020002</v>
      </c>
      <c r="D28" s="93">
        <v>1</v>
      </c>
      <c r="E28" s="93">
        <v>1</v>
      </c>
      <c r="F28" s="94">
        <v>20</v>
      </c>
      <c r="G28" s="40">
        <v>1</v>
      </c>
      <c r="H28" s="111">
        <f t="shared" ref="H28:H38" si="3">I28/2*F28</f>
        <v>750</v>
      </c>
      <c r="I28" s="17">
        <f>LOOKUP(C28,[2]Sheet1!$A:$A,[2]Sheet1!$J:$J)</f>
        <v>75</v>
      </c>
      <c r="K28" s="97" t="s">
        <v>429</v>
      </c>
      <c r="L28" s="17">
        <v>2</v>
      </c>
      <c r="M28" s="96">
        <v>10020053</v>
      </c>
      <c r="N28" s="17">
        <v>18</v>
      </c>
      <c r="O28" s="17">
        <v>1</v>
      </c>
      <c r="P28" s="17">
        <v>20</v>
      </c>
      <c r="Q28" s="17">
        <v>1</v>
      </c>
      <c r="R28" s="111">
        <f t="shared" si="2"/>
        <v>9600</v>
      </c>
      <c r="S28" s="17">
        <f>LOOKUP(M28,[2]Sheet1!$A:$A,[2]Sheet1!$J:$J)</f>
        <v>480</v>
      </c>
      <c r="AC28" s="111"/>
    </row>
    <row r="29" spans="1:29">
      <c r="A29" s="97" t="s">
        <v>329</v>
      </c>
      <c r="B29" s="91">
        <v>1</v>
      </c>
      <c r="C29" s="96">
        <v>10020003</v>
      </c>
      <c r="D29" s="93">
        <v>1</v>
      </c>
      <c r="E29" s="93">
        <v>1</v>
      </c>
      <c r="F29" s="94">
        <v>20</v>
      </c>
      <c r="G29" s="40">
        <v>1</v>
      </c>
      <c r="H29" s="111">
        <f t="shared" si="3"/>
        <v>600</v>
      </c>
      <c r="I29" s="17">
        <f>LOOKUP(C29,[2]Sheet1!$A:$A,[2]Sheet1!$J:$J)</f>
        <v>60</v>
      </c>
      <c r="K29" s="97" t="s">
        <v>430</v>
      </c>
      <c r="L29" s="17">
        <v>2</v>
      </c>
      <c r="M29" s="96">
        <v>10020054</v>
      </c>
      <c r="N29" s="17">
        <v>18</v>
      </c>
      <c r="O29" s="17">
        <v>1</v>
      </c>
      <c r="P29" s="17">
        <v>20</v>
      </c>
      <c r="Q29" s="17">
        <v>1</v>
      </c>
      <c r="R29" s="111">
        <f t="shared" si="2"/>
        <v>10100</v>
      </c>
      <c r="S29" s="17">
        <f>LOOKUP(M29,[2]Sheet1!$A:$A,[2]Sheet1!$J:$J)</f>
        <v>505</v>
      </c>
      <c r="AC29" s="111"/>
    </row>
    <row r="30" spans="1:29">
      <c r="A30" s="97" t="s">
        <v>330</v>
      </c>
      <c r="B30" s="91">
        <v>1</v>
      </c>
      <c r="C30" s="96">
        <v>10020005</v>
      </c>
      <c r="D30" s="93">
        <v>1</v>
      </c>
      <c r="E30" s="93">
        <v>1</v>
      </c>
      <c r="F30" s="94">
        <v>20</v>
      </c>
      <c r="G30" s="40">
        <v>1</v>
      </c>
      <c r="H30" s="111">
        <f t="shared" si="3"/>
        <v>1200</v>
      </c>
      <c r="I30" s="17">
        <f>LOOKUP(C30,[2]Sheet1!$A:$A,[2]Sheet1!$J:$J)</f>
        <v>120</v>
      </c>
      <c r="K30" s="97" t="s">
        <v>431</v>
      </c>
      <c r="L30" s="17">
        <v>2</v>
      </c>
      <c r="M30" s="96">
        <v>10020055</v>
      </c>
      <c r="N30" s="17">
        <v>18</v>
      </c>
      <c r="O30" s="17">
        <v>1</v>
      </c>
      <c r="P30" s="17">
        <v>20</v>
      </c>
      <c r="Q30" s="17">
        <v>1</v>
      </c>
      <c r="R30" s="111">
        <f t="shared" si="2"/>
        <v>10500</v>
      </c>
      <c r="S30" s="17">
        <f>LOOKUP(M30,[2]Sheet1!$A:$A,[2]Sheet1!$J:$J)</f>
        <v>525</v>
      </c>
      <c r="AC30" s="111"/>
    </row>
    <row r="31" spans="1:29">
      <c r="A31" s="97" t="s">
        <v>331</v>
      </c>
      <c r="B31" s="91">
        <v>1</v>
      </c>
      <c r="C31" s="96">
        <v>10020007</v>
      </c>
      <c r="D31" s="93">
        <v>1</v>
      </c>
      <c r="E31" s="93">
        <v>1</v>
      </c>
      <c r="F31" s="94">
        <v>20</v>
      </c>
      <c r="G31" s="40">
        <v>1</v>
      </c>
      <c r="H31" s="111">
        <f t="shared" si="3"/>
        <v>850</v>
      </c>
      <c r="I31" s="17">
        <f>LOOKUP(C31,[2]Sheet1!$A:$A,[2]Sheet1!$J:$J)</f>
        <v>85</v>
      </c>
      <c r="K31" s="97" t="s">
        <v>433</v>
      </c>
      <c r="L31" s="17">
        <v>2</v>
      </c>
      <c r="M31" s="96">
        <v>10020057</v>
      </c>
      <c r="N31" s="17">
        <v>18</v>
      </c>
      <c r="O31" s="17">
        <v>1</v>
      </c>
      <c r="P31" s="17">
        <v>20</v>
      </c>
      <c r="Q31" s="17">
        <v>1</v>
      </c>
      <c r="R31" s="111">
        <f t="shared" si="2"/>
        <v>11400</v>
      </c>
      <c r="S31" s="17">
        <f>LOOKUP(M31,[2]Sheet1!$A:$A,[2]Sheet1!$J:$J)</f>
        <v>570</v>
      </c>
      <c r="AC31" s="111"/>
    </row>
    <row r="32" spans="1:29">
      <c r="A32" s="97" t="s">
        <v>816</v>
      </c>
      <c r="B32" s="91">
        <v>1</v>
      </c>
      <c r="C32" s="96">
        <v>10020008</v>
      </c>
      <c r="D32" s="93">
        <v>1</v>
      </c>
      <c r="E32" s="93">
        <v>1</v>
      </c>
      <c r="F32" s="94">
        <v>20</v>
      </c>
      <c r="G32" s="40">
        <v>1</v>
      </c>
      <c r="H32" s="111">
        <f t="shared" si="3"/>
        <v>1650</v>
      </c>
      <c r="I32" s="17">
        <f>LOOKUP(C32,[2]Sheet1!$A:$A,[2]Sheet1!$J:$J)</f>
        <v>165</v>
      </c>
      <c r="K32" s="97" t="s">
        <v>818</v>
      </c>
      <c r="L32" s="17">
        <v>2</v>
      </c>
      <c r="M32" s="96">
        <v>10020060</v>
      </c>
      <c r="N32" s="17">
        <v>18</v>
      </c>
      <c r="O32" s="17">
        <v>1</v>
      </c>
      <c r="P32" s="17">
        <v>20</v>
      </c>
      <c r="Q32" s="17">
        <v>1</v>
      </c>
      <c r="R32" s="111">
        <f t="shared" si="2"/>
        <v>7600</v>
      </c>
      <c r="S32" s="17">
        <f>LOOKUP(M32,[2]Sheet1!$A:$A,[2]Sheet1!$J:$J)</f>
        <v>380</v>
      </c>
      <c r="AC32" s="111"/>
    </row>
    <row r="33" spans="1:29">
      <c r="A33" s="100" t="s">
        <v>332</v>
      </c>
      <c r="B33" s="91">
        <v>1</v>
      </c>
      <c r="C33" s="96">
        <v>10020009</v>
      </c>
      <c r="D33" s="93">
        <v>1</v>
      </c>
      <c r="E33" s="93">
        <v>1</v>
      </c>
      <c r="F33" s="94">
        <v>20</v>
      </c>
      <c r="G33" s="40">
        <v>1</v>
      </c>
      <c r="H33" s="111">
        <f t="shared" si="3"/>
        <v>1650</v>
      </c>
      <c r="I33" s="17">
        <f>LOOKUP(C33,[2]Sheet1!$A:$A,[2]Sheet1!$J:$J)</f>
        <v>165</v>
      </c>
      <c r="K33" s="97" t="s">
        <v>450</v>
      </c>
      <c r="L33" s="17">
        <v>2</v>
      </c>
      <c r="M33" s="96">
        <v>10020061</v>
      </c>
      <c r="N33" s="17">
        <v>18</v>
      </c>
      <c r="O33" s="17">
        <v>1</v>
      </c>
      <c r="P33" s="17">
        <v>20</v>
      </c>
      <c r="Q33" s="17">
        <v>1</v>
      </c>
      <c r="R33" s="111">
        <f t="shared" si="2"/>
        <v>12300</v>
      </c>
      <c r="S33" s="17">
        <f>LOOKUP(M33,[2]Sheet1!$A:$A,[2]Sheet1!$J:$J)</f>
        <v>615</v>
      </c>
      <c r="AC33" s="111"/>
    </row>
    <row r="34" spans="1:29">
      <c r="A34" s="100" t="s">
        <v>333</v>
      </c>
      <c r="B34" s="91">
        <v>1</v>
      </c>
      <c r="C34" s="96">
        <v>10020010</v>
      </c>
      <c r="D34" s="93">
        <v>1</v>
      </c>
      <c r="E34" s="93">
        <v>1</v>
      </c>
      <c r="F34" s="94">
        <v>20</v>
      </c>
      <c r="G34" s="40">
        <v>1</v>
      </c>
      <c r="H34" s="111">
        <f t="shared" si="3"/>
        <v>11400</v>
      </c>
      <c r="I34" s="17">
        <f>LOOKUP(C34,[2]Sheet1!$A:$A,[2]Sheet1!$J:$J)</f>
        <v>1140</v>
      </c>
      <c r="K34" s="97" t="s">
        <v>428</v>
      </c>
      <c r="L34" s="17">
        <v>1</v>
      </c>
      <c r="M34" s="96">
        <v>10020052</v>
      </c>
      <c r="N34" s="17">
        <v>18</v>
      </c>
      <c r="O34" s="17">
        <v>1</v>
      </c>
      <c r="P34" s="17">
        <v>20</v>
      </c>
      <c r="Q34" s="17">
        <v>1</v>
      </c>
      <c r="R34" s="111">
        <f t="shared" ref="R34:R40" si="4">S34/2*P34</f>
        <v>4600</v>
      </c>
      <c r="S34" s="17">
        <f>LOOKUP(M34,[2]Sheet1!$A:$A,[2]Sheet1!$J:$J)</f>
        <v>460</v>
      </c>
    </row>
    <row r="35" spans="1:29">
      <c r="A35" s="97" t="s">
        <v>334</v>
      </c>
      <c r="B35" s="91">
        <v>1</v>
      </c>
      <c r="C35" s="96">
        <v>10020011</v>
      </c>
      <c r="D35" s="93">
        <v>1</v>
      </c>
      <c r="E35" s="93">
        <v>1</v>
      </c>
      <c r="F35" s="94">
        <v>20</v>
      </c>
      <c r="G35" s="40">
        <v>1</v>
      </c>
      <c r="H35" s="111">
        <f t="shared" si="3"/>
        <v>2350</v>
      </c>
      <c r="I35" s="17">
        <f>LOOKUP(C35,[2]Sheet1!$A:$A,[2]Sheet1!$J:$J)</f>
        <v>235</v>
      </c>
      <c r="K35" s="97" t="s">
        <v>429</v>
      </c>
      <c r="L35" s="17">
        <v>1</v>
      </c>
      <c r="M35" s="96">
        <v>10020053</v>
      </c>
      <c r="N35" s="17">
        <v>18</v>
      </c>
      <c r="O35" s="17">
        <v>1</v>
      </c>
      <c r="P35" s="17">
        <v>20</v>
      </c>
      <c r="Q35" s="17">
        <v>1</v>
      </c>
      <c r="R35" s="111">
        <f t="shared" si="4"/>
        <v>4800</v>
      </c>
      <c r="S35" s="17">
        <f>LOOKUP(M35,[2]Sheet1!$A:$A,[2]Sheet1!$J:$J)</f>
        <v>480</v>
      </c>
    </row>
    <row r="36" spans="1:29">
      <c r="A36" s="97" t="s">
        <v>335</v>
      </c>
      <c r="B36" s="91">
        <v>1</v>
      </c>
      <c r="C36" s="96">
        <v>10020012</v>
      </c>
      <c r="D36" s="93">
        <v>1</v>
      </c>
      <c r="E36" s="93">
        <v>1</v>
      </c>
      <c r="F36" s="94">
        <v>20</v>
      </c>
      <c r="G36" s="40">
        <v>1</v>
      </c>
      <c r="H36" s="111">
        <f t="shared" si="3"/>
        <v>2550</v>
      </c>
      <c r="I36" s="17">
        <f>LOOKUP(C36,[2]Sheet1!$A:$A,[2]Sheet1!$J:$J)</f>
        <v>255</v>
      </c>
      <c r="K36" s="97" t="s">
        <v>430</v>
      </c>
      <c r="L36" s="17">
        <v>1</v>
      </c>
      <c r="M36" s="96">
        <v>10020054</v>
      </c>
      <c r="N36" s="17">
        <v>18</v>
      </c>
      <c r="O36" s="17">
        <v>1</v>
      </c>
      <c r="P36" s="17">
        <v>20</v>
      </c>
      <c r="Q36" s="17">
        <v>1</v>
      </c>
      <c r="R36" s="111">
        <f t="shared" si="4"/>
        <v>5050</v>
      </c>
      <c r="S36" s="17">
        <f>LOOKUP(M36,[2]Sheet1!$A:$A,[2]Sheet1!$J:$J)</f>
        <v>505</v>
      </c>
    </row>
    <row r="37" spans="1:29">
      <c r="A37" s="97" t="s">
        <v>336</v>
      </c>
      <c r="B37" s="91">
        <v>1</v>
      </c>
      <c r="C37" s="96">
        <v>10020013</v>
      </c>
      <c r="D37" s="93">
        <v>1</v>
      </c>
      <c r="E37" s="93">
        <v>1</v>
      </c>
      <c r="F37" s="94">
        <v>20</v>
      </c>
      <c r="G37" s="40">
        <v>1</v>
      </c>
      <c r="H37" s="111">
        <f t="shared" si="3"/>
        <v>2800</v>
      </c>
      <c r="I37" s="17">
        <f>LOOKUP(C37,[2]Sheet1!$A:$A,[2]Sheet1!$J:$J)</f>
        <v>280</v>
      </c>
      <c r="K37" s="97" t="s">
        <v>431</v>
      </c>
      <c r="L37" s="17">
        <v>1</v>
      </c>
      <c r="M37" s="96">
        <v>10020055</v>
      </c>
      <c r="N37" s="17">
        <v>18</v>
      </c>
      <c r="O37" s="17">
        <v>1</v>
      </c>
      <c r="P37" s="17">
        <v>20</v>
      </c>
      <c r="Q37" s="17">
        <v>1</v>
      </c>
      <c r="R37" s="111">
        <f t="shared" si="4"/>
        <v>5250</v>
      </c>
      <c r="S37" s="17">
        <f>LOOKUP(M37,[2]Sheet1!$A:$A,[2]Sheet1!$J:$J)</f>
        <v>525</v>
      </c>
    </row>
    <row r="38" spans="1:29">
      <c r="A38" s="97" t="s">
        <v>337</v>
      </c>
      <c r="B38" s="91">
        <v>1</v>
      </c>
      <c r="C38" s="96">
        <v>10020014</v>
      </c>
      <c r="D38" s="93">
        <v>1</v>
      </c>
      <c r="E38" s="93">
        <v>1</v>
      </c>
      <c r="F38" s="94">
        <v>20</v>
      </c>
      <c r="G38" s="40">
        <v>1</v>
      </c>
      <c r="H38" s="111">
        <f t="shared" si="3"/>
        <v>3000</v>
      </c>
      <c r="I38" s="17">
        <f>LOOKUP(C38,[2]Sheet1!$A:$A,[2]Sheet1!$J:$J)</f>
        <v>300</v>
      </c>
      <c r="K38" s="97" t="s">
        <v>433</v>
      </c>
      <c r="L38" s="17">
        <v>1</v>
      </c>
      <c r="M38" s="96">
        <v>10020057</v>
      </c>
      <c r="N38" s="17">
        <v>18</v>
      </c>
      <c r="O38" s="17">
        <v>1</v>
      </c>
      <c r="P38" s="17">
        <v>20</v>
      </c>
      <c r="Q38" s="17">
        <v>1</v>
      </c>
      <c r="R38" s="111">
        <f t="shared" si="4"/>
        <v>5700</v>
      </c>
      <c r="S38" s="17">
        <f>LOOKUP(M38,[2]Sheet1!$A:$A,[2]Sheet1!$J:$J)</f>
        <v>570</v>
      </c>
    </row>
    <row r="39" spans="1:29">
      <c r="K39" s="97" t="s">
        <v>818</v>
      </c>
      <c r="L39" s="17">
        <v>1</v>
      </c>
      <c r="M39" s="96">
        <v>10020060</v>
      </c>
      <c r="N39" s="17">
        <v>18</v>
      </c>
      <c r="O39" s="17">
        <v>1</v>
      </c>
      <c r="P39" s="17">
        <v>20</v>
      </c>
      <c r="Q39" s="17">
        <v>1</v>
      </c>
      <c r="R39" s="111">
        <f t="shared" si="4"/>
        <v>3800</v>
      </c>
      <c r="S39" s="17">
        <f>LOOKUP(M39,[2]Sheet1!$A:$A,[2]Sheet1!$J:$J)</f>
        <v>380</v>
      </c>
    </row>
    <row r="40" spans="1:29">
      <c r="K40" s="97" t="s">
        <v>450</v>
      </c>
      <c r="L40" s="17">
        <v>1</v>
      </c>
      <c r="M40" s="96">
        <v>10020061</v>
      </c>
      <c r="N40" s="17">
        <v>18</v>
      </c>
      <c r="O40" s="17">
        <v>1</v>
      </c>
      <c r="P40" s="17">
        <v>20</v>
      </c>
      <c r="Q40" s="17">
        <v>1</v>
      </c>
      <c r="R40" s="111">
        <f t="shared" si="4"/>
        <v>6150</v>
      </c>
      <c r="S40" s="17">
        <f>LOOKUP(M40,[2]Sheet1!$A:$A,[2]Sheet1!$J:$J)</f>
        <v>615</v>
      </c>
    </row>
    <row r="41" spans="1:29">
      <c r="O41" s="17"/>
      <c r="Q41" s="17"/>
    </row>
    <row r="42" spans="1:29">
      <c r="O42" s="17"/>
      <c r="Q42" s="17"/>
    </row>
    <row r="43" spans="1:29">
      <c r="O43" s="17"/>
      <c r="Q43" s="17"/>
    </row>
    <row r="44" spans="1:29">
      <c r="O44" s="17"/>
      <c r="Q44" s="17"/>
    </row>
    <row r="45" spans="1:29">
      <c r="L45"/>
      <c r="N45" s="90" t="s">
        <v>952</v>
      </c>
      <c r="O45" s="17">
        <v>1</v>
      </c>
      <c r="P45" s="90" t="s">
        <v>953</v>
      </c>
      <c r="Q45" s="17">
        <v>1</v>
      </c>
      <c r="R45" s="90" t="s">
        <v>955</v>
      </c>
      <c r="S45" s="90" t="s">
        <v>954</v>
      </c>
    </row>
    <row r="46" spans="1:29">
      <c r="K46" s="114" t="s">
        <v>760</v>
      </c>
      <c r="L46" s="17">
        <v>3</v>
      </c>
      <c r="M46" s="113">
        <v>10010306</v>
      </c>
      <c r="N46" s="15">
        <v>18</v>
      </c>
      <c r="O46" s="17">
        <v>1</v>
      </c>
      <c r="P46" s="15">
        <v>1</v>
      </c>
      <c r="Q46" s="17">
        <v>1</v>
      </c>
      <c r="R46" s="90">
        <f>S46*1.5</f>
        <v>63000</v>
      </c>
      <c r="S46" s="90">
        <f>LOOKUP(M46,[2]Sheet1!$A:$A,[2]Sheet1!$J:$J)</f>
        <v>42000</v>
      </c>
    </row>
    <row r="47" spans="1:29">
      <c r="K47" s="114" t="s">
        <v>758</v>
      </c>
      <c r="L47" s="17">
        <v>3</v>
      </c>
      <c r="M47" s="113">
        <v>10010307</v>
      </c>
      <c r="N47" s="15">
        <v>18</v>
      </c>
      <c r="O47" s="17">
        <v>1</v>
      </c>
      <c r="P47" s="15">
        <v>1</v>
      </c>
      <c r="Q47" s="17">
        <v>1</v>
      </c>
      <c r="R47" s="90">
        <f>S47*2</f>
        <v>86250</v>
      </c>
      <c r="S47" s="90">
        <f>LOOKUP(M47,[2]Sheet1!$A:$A,[2]Sheet1!$J:$J)</f>
        <v>43125</v>
      </c>
    </row>
    <row r="48" spans="1:29">
      <c r="K48" s="114" t="s">
        <v>759</v>
      </c>
      <c r="L48" s="17">
        <v>3</v>
      </c>
      <c r="M48" s="113">
        <v>10010308</v>
      </c>
      <c r="N48" s="15">
        <v>18</v>
      </c>
      <c r="O48" s="17">
        <v>1</v>
      </c>
      <c r="P48" s="15">
        <v>1</v>
      </c>
      <c r="Q48" s="17">
        <v>1</v>
      </c>
      <c r="R48" s="90">
        <f>S48*1.5</f>
        <v>66375</v>
      </c>
      <c r="S48" s="90">
        <f>LOOKUP(M48,[2]Sheet1!$A:$A,[2]Sheet1!$J:$J)</f>
        <v>44250</v>
      </c>
    </row>
    <row r="49" spans="1:19">
      <c r="K49" s="114" t="s">
        <v>761</v>
      </c>
      <c r="L49" s="17">
        <v>3</v>
      </c>
      <c r="M49" s="113">
        <v>10010309</v>
      </c>
      <c r="N49" s="15">
        <v>25</v>
      </c>
      <c r="O49" s="17">
        <v>1</v>
      </c>
      <c r="P49" s="15">
        <v>1</v>
      </c>
      <c r="Q49" s="17">
        <v>1</v>
      </c>
      <c r="R49" s="90">
        <f>S49*4</f>
        <v>186000</v>
      </c>
      <c r="S49" s="90">
        <f>LOOKUP(M49,[2]Sheet1!$A:$A,[2]Sheet1!$J:$J)</f>
        <v>46500</v>
      </c>
    </row>
    <row r="50" spans="1:19">
      <c r="K50" s="102" t="s">
        <v>544</v>
      </c>
      <c r="L50" s="17">
        <v>3</v>
      </c>
      <c r="M50" s="102">
        <v>10030401</v>
      </c>
      <c r="N50" s="15">
        <v>20</v>
      </c>
      <c r="O50" s="17">
        <v>1</v>
      </c>
      <c r="P50" s="15">
        <v>1</v>
      </c>
      <c r="Q50" s="17">
        <v>1</v>
      </c>
      <c r="R50" s="90">
        <f t="shared" ref="R50:R60" si="5">S50*20</f>
        <v>400200</v>
      </c>
      <c r="S50" s="90">
        <f>LOOKUP(M50,[2]Sheet1!$A:$A,[2]Sheet1!$J:$J)</f>
        <v>20010</v>
      </c>
    </row>
    <row r="51" spans="1:19">
      <c r="K51" s="102" t="s">
        <v>546</v>
      </c>
      <c r="L51" s="17">
        <v>3</v>
      </c>
      <c r="M51" s="102">
        <v>10030403</v>
      </c>
      <c r="N51" s="15">
        <v>20</v>
      </c>
      <c r="O51" s="17">
        <v>1</v>
      </c>
      <c r="P51" s="15">
        <v>1</v>
      </c>
      <c r="Q51" s="17">
        <v>1</v>
      </c>
      <c r="R51" s="90">
        <f t="shared" si="5"/>
        <v>364200</v>
      </c>
      <c r="S51" s="90">
        <f>LOOKUP(M51,[2]Sheet1!$A:$A,[2]Sheet1!$J:$J)</f>
        <v>18210</v>
      </c>
    </row>
    <row r="52" spans="1:19">
      <c r="A52" s="109" t="s">
        <v>957</v>
      </c>
      <c r="B52" s="110" t="s">
        <v>956</v>
      </c>
      <c r="K52" s="102" t="s">
        <v>548</v>
      </c>
      <c r="L52" s="17">
        <v>3</v>
      </c>
      <c r="M52" s="102">
        <v>10030405</v>
      </c>
      <c r="N52" s="15">
        <v>20</v>
      </c>
      <c r="O52" s="17">
        <v>1</v>
      </c>
      <c r="P52" s="15">
        <v>1</v>
      </c>
      <c r="Q52" s="17">
        <v>1</v>
      </c>
      <c r="R52" s="90">
        <f t="shared" si="5"/>
        <v>291000</v>
      </c>
      <c r="S52" s="90">
        <f>LOOKUP(M52,[2]Sheet1!$A:$A,[2]Sheet1!$J:$J)</f>
        <v>14550</v>
      </c>
    </row>
    <row r="53" spans="1:19">
      <c r="B53" s="91">
        <v>0</v>
      </c>
      <c r="K53" s="102" t="s">
        <v>550</v>
      </c>
      <c r="L53" s="17">
        <v>3</v>
      </c>
      <c r="M53" s="102">
        <v>10030407</v>
      </c>
      <c r="N53" s="15">
        <v>20</v>
      </c>
      <c r="O53" s="17">
        <v>1</v>
      </c>
      <c r="P53" s="15">
        <v>1</v>
      </c>
      <c r="Q53" s="17">
        <v>1</v>
      </c>
      <c r="R53" s="90">
        <f t="shared" si="5"/>
        <v>291000</v>
      </c>
      <c r="S53" s="90">
        <f>LOOKUP(M53,[2]Sheet1!$A:$A,[2]Sheet1!$J:$J)</f>
        <v>14550</v>
      </c>
    </row>
    <row r="54" spans="1:19">
      <c r="A54" s="17">
        <v>0.6</v>
      </c>
      <c r="B54" s="17">
        <v>0.15</v>
      </c>
      <c r="K54" s="102" t="s">
        <v>552</v>
      </c>
      <c r="L54" s="17">
        <v>3</v>
      </c>
      <c r="M54" s="102">
        <v>10030409</v>
      </c>
      <c r="N54" s="15">
        <v>20</v>
      </c>
      <c r="O54" s="17">
        <v>1</v>
      </c>
      <c r="P54" s="15">
        <v>1</v>
      </c>
      <c r="Q54" s="17">
        <v>1</v>
      </c>
      <c r="R54" s="90">
        <f t="shared" si="5"/>
        <v>436800</v>
      </c>
      <c r="S54" s="90">
        <f>LOOKUP(M54,[2]Sheet1!$A:$A,[2]Sheet1!$J:$J)</f>
        <v>21840</v>
      </c>
    </row>
    <row r="55" spans="1:19">
      <c r="A55" s="17">
        <v>0.8</v>
      </c>
      <c r="B55" s="17">
        <v>0.3</v>
      </c>
      <c r="K55" s="102" t="s">
        <v>554</v>
      </c>
      <c r="L55" s="17">
        <v>3</v>
      </c>
      <c r="M55" s="102">
        <v>10030411</v>
      </c>
      <c r="N55" s="15">
        <v>20</v>
      </c>
      <c r="O55" s="17">
        <v>1</v>
      </c>
      <c r="P55" s="15">
        <v>1</v>
      </c>
      <c r="Q55" s="17">
        <v>1</v>
      </c>
      <c r="R55" s="90">
        <f t="shared" si="5"/>
        <v>472800</v>
      </c>
      <c r="S55" s="90">
        <f>LOOKUP(M55,[2]Sheet1!$A:$A,[2]Sheet1!$J:$J)</f>
        <v>23640</v>
      </c>
    </row>
    <row r="56" spans="1:19">
      <c r="A56" s="17">
        <v>1</v>
      </c>
      <c r="B56" s="17">
        <v>0.6</v>
      </c>
      <c r="K56" s="102" t="s">
        <v>556</v>
      </c>
      <c r="L56" s="17">
        <v>3</v>
      </c>
      <c r="M56" s="102">
        <v>10030413</v>
      </c>
      <c r="N56" s="15">
        <v>20</v>
      </c>
      <c r="O56" s="17">
        <v>1</v>
      </c>
      <c r="P56" s="15">
        <v>1</v>
      </c>
      <c r="Q56" s="17">
        <v>1</v>
      </c>
      <c r="R56" s="90">
        <f t="shared" si="5"/>
        <v>582000</v>
      </c>
      <c r="S56" s="90">
        <f>LOOKUP(M56,[2]Sheet1!$A:$A,[2]Sheet1!$J:$J)</f>
        <v>29100</v>
      </c>
    </row>
    <row r="57" spans="1:19">
      <c r="A57" s="17">
        <v>1.2</v>
      </c>
      <c r="B57" s="17">
        <v>0.75</v>
      </c>
      <c r="K57" s="102" t="s">
        <v>558</v>
      </c>
      <c r="L57" s="17">
        <v>3</v>
      </c>
      <c r="M57" s="102">
        <v>10030415</v>
      </c>
      <c r="N57" s="15">
        <v>20</v>
      </c>
      <c r="O57" s="17">
        <v>1</v>
      </c>
      <c r="P57" s="15">
        <v>1</v>
      </c>
      <c r="Q57" s="17">
        <v>1</v>
      </c>
      <c r="R57" s="90">
        <f t="shared" si="5"/>
        <v>1383000</v>
      </c>
      <c r="S57" s="90">
        <f>LOOKUP(M57,[2]Sheet1!$A:$A,[2]Sheet1!$J:$J)</f>
        <v>69150</v>
      </c>
    </row>
    <row r="58" spans="1:19">
      <c r="A58" s="17">
        <v>1.5</v>
      </c>
      <c r="B58" s="17">
        <v>1</v>
      </c>
      <c r="K58" s="102" t="s">
        <v>559</v>
      </c>
      <c r="L58" s="17">
        <v>3</v>
      </c>
      <c r="M58" s="102">
        <v>10030416</v>
      </c>
      <c r="N58" s="15">
        <v>20</v>
      </c>
      <c r="O58" s="17">
        <v>1</v>
      </c>
      <c r="P58" s="15">
        <v>1</v>
      </c>
      <c r="Q58" s="17">
        <v>1</v>
      </c>
      <c r="R58" s="90">
        <f t="shared" si="5"/>
        <v>873600</v>
      </c>
      <c r="S58" s="90">
        <f>LOOKUP(M58,[2]Sheet1!$A:$A,[2]Sheet1!$J:$J)</f>
        <v>43680</v>
      </c>
    </row>
    <row r="59" spans="1:19">
      <c r="K59" s="102" t="s">
        <v>561</v>
      </c>
      <c r="L59" s="17">
        <v>3</v>
      </c>
      <c r="M59" s="102">
        <v>10030418</v>
      </c>
      <c r="N59" s="15">
        <v>20</v>
      </c>
      <c r="O59" s="17">
        <v>1</v>
      </c>
      <c r="P59" s="15">
        <v>1</v>
      </c>
      <c r="Q59" s="17">
        <v>1</v>
      </c>
      <c r="R59" s="90">
        <f t="shared" si="5"/>
        <v>2183400</v>
      </c>
      <c r="S59" s="90">
        <f>LOOKUP(M59,[2]Sheet1!$A:$A,[2]Sheet1!$J:$J)</f>
        <v>109170</v>
      </c>
    </row>
    <row r="60" spans="1:19">
      <c r="K60" s="102" t="s">
        <v>563</v>
      </c>
      <c r="L60" s="17">
        <v>3</v>
      </c>
      <c r="M60" s="102">
        <v>10030420</v>
      </c>
      <c r="N60" s="15">
        <v>20</v>
      </c>
      <c r="O60" s="17">
        <v>1</v>
      </c>
      <c r="P60" s="15">
        <v>1</v>
      </c>
      <c r="Q60" s="17">
        <v>1</v>
      </c>
      <c r="R60" s="90">
        <f t="shared" si="5"/>
        <v>1092000</v>
      </c>
      <c r="S60" s="90">
        <f>LOOKUP(M60,[2]Sheet1!$A:$A,[2]Sheet1!$J:$J)</f>
        <v>54600</v>
      </c>
    </row>
    <row r="61" spans="1:19">
      <c r="K61" s="102" t="s">
        <v>562</v>
      </c>
      <c r="L61" s="17">
        <v>3</v>
      </c>
      <c r="M61" s="102">
        <v>10030419</v>
      </c>
      <c r="N61" s="15">
        <v>18</v>
      </c>
      <c r="O61" s="17">
        <v>1</v>
      </c>
      <c r="P61" s="15">
        <v>1</v>
      </c>
      <c r="Q61" s="17">
        <v>1</v>
      </c>
      <c r="R61" s="90">
        <f>S61*3</f>
        <v>327510</v>
      </c>
      <c r="S61" s="90">
        <f>LOOKUP(M61,[2]Sheet1!$A:$A,[2]Sheet1!$J:$J)</f>
        <v>109170</v>
      </c>
    </row>
    <row r="62" spans="1:19">
      <c r="K62" s="97" t="s">
        <v>919</v>
      </c>
      <c r="L62" s="17">
        <v>3</v>
      </c>
      <c r="M62" s="98">
        <v>10010063</v>
      </c>
      <c r="N62" s="15">
        <v>18</v>
      </c>
      <c r="O62" s="17">
        <v>1</v>
      </c>
      <c r="P62" s="15">
        <v>1</v>
      </c>
      <c r="Q62" s="17">
        <v>1</v>
      </c>
      <c r="R62" s="90">
        <f>S62*4</f>
        <v>140280</v>
      </c>
      <c r="S62" s="90">
        <v>35070</v>
      </c>
    </row>
    <row r="63" spans="1:19">
      <c r="A63">
        <v>37</v>
      </c>
      <c r="C63">
        <v>10</v>
      </c>
      <c r="F63" s="84">
        <v>8970</v>
      </c>
      <c r="K63" s="97" t="s">
        <v>827</v>
      </c>
      <c r="L63" s="17">
        <v>3</v>
      </c>
      <c r="M63" s="113">
        <v>10020108</v>
      </c>
      <c r="N63" s="15">
        <v>18</v>
      </c>
      <c r="O63" s="17">
        <v>1</v>
      </c>
      <c r="P63" s="15">
        <v>20</v>
      </c>
      <c r="Q63" s="17">
        <v>1</v>
      </c>
      <c r="R63" s="15">
        <f>S63/2*P63</f>
        <v>5040</v>
      </c>
      <c r="S63" s="90">
        <f>LOOKUP(M63,[2]Sheet1!$A:$A,[2]Sheet1!$J:$J)</f>
        <v>504</v>
      </c>
    </row>
    <row r="64" spans="1:19">
      <c r="A64">
        <v>67</v>
      </c>
      <c r="C64">
        <v>20</v>
      </c>
      <c r="F64" s="84">
        <v>16830</v>
      </c>
      <c r="K64" s="97" t="s">
        <v>828</v>
      </c>
      <c r="L64" s="17">
        <v>3</v>
      </c>
      <c r="M64" s="113">
        <v>10020109</v>
      </c>
      <c r="N64" s="15">
        <v>18</v>
      </c>
      <c r="O64" s="17">
        <v>1</v>
      </c>
      <c r="P64" s="15">
        <v>20</v>
      </c>
      <c r="Q64" s="17">
        <v>1</v>
      </c>
      <c r="R64" s="15">
        <f>S64/2*P64</f>
        <v>8820</v>
      </c>
      <c r="S64" s="15">
        <f>LOOKUP(M64,[2]Sheet1!$A:$A,[2]Sheet1!$J:$J)</f>
        <v>882</v>
      </c>
    </row>
    <row r="65" spans="1:19">
      <c r="A65">
        <v>97</v>
      </c>
      <c r="C65">
        <v>30</v>
      </c>
      <c r="F65" s="84">
        <v>26370</v>
      </c>
      <c r="K65" s="97" t="s">
        <v>825</v>
      </c>
      <c r="L65" s="17">
        <v>3</v>
      </c>
      <c r="M65" s="113">
        <v>10020106</v>
      </c>
      <c r="N65" s="15">
        <v>25</v>
      </c>
      <c r="O65" s="17">
        <v>1</v>
      </c>
      <c r="P65" s="15">
        <v>1</v>
      </c>
      <c r="Q65" s="17">
        <v>1</v>
      </c>
      <c r="R65" s="15">
        <f>S65*10</f>
        <v>25200</v>
      </c>
      <c r="S65" s="15">
        <f>LOOKUP(M65,[2]Sheet1!$A:$A,[2]Sheet1!$J:$J)</f>
        <v>2520</v>
      </c>
    </row>
    <row r="66" spans="1:19">
      <c r="A66">
        <v>127</v>
      </c>
      <c r="C66">
        <v>40</v>
      </c>
      <c r="F66" s="84">
        <v>35070</v>
      </c>
      <c r="K66" s="97" t="s">
        <v>826</v>
      </c>
      <c r="L66" s="17">
        <v>3</v>
      </c>
      <c r="M66" s="113">
        <v>10020107</v>
      </c>
      <c r="N66" s="15">
        <v>25</v>
      </c>
      <c r="O66" s="17">
        <v>1</v>
      </c>
      <c r="P66" s="15">
        <v>1</v>
      </c>
      <c r="Q66" s="17">
        <v>1</v>
      </c>
      <c r="R66" s="15">
        <f>S66*15</f>
        <v>37800</v>
      </c>
      <c r="S66" s="15">
        <f>LOOKUP(M66,[2]Sheet1!$A:$A,[2]Sheet1!$J:$J)</f>
        <v>2520</v>
      </c>
    </row>
    <row r="67" spans="1:19">
      <c r="A67">
        <v>157</v>
      </c>
      <c r="C67">
        <v>50</v>
      </c>
      <c r="F67" s="84">
        <v>46410</v>
      </c>
      <c r="K67" s="101" t="s">
        <v>829</v>
      </c>
      <c r="L67" s="17">
        <v>3</v>
      </c>
      <c r="M67" s="113">
        <v>10020110</v>
      </c>
      <c r="N67" s="15">
        <v>18</v>
      </c>
      <c r="O67" s="17">
        <v>1</v>
      </c>
      <c r="P67" s="15">
        <v>1</v>
      </c>
      <c r="Q67" s="17">
        <v>1</v>
      </c>
      <c r="R67" s="17">
        <f>S67*10</f>
        <v>84000</v>
      </c>
      <c r="S67" s="15">
        <f>LOOKUP(M67,[2]Sheet1!$A:$A,[2]Sheet1!$J:$J)</f>
        <v>8400</v>
      </c>
    </row>
    <row r="68" spans="1:19">
      <c r="K68" s="114" t="s">
        <v>862</v>
      </c>
      <c r="L68" s="17">
        <v>3</v>
      </c>
      <c r="M68" s="113">
        <v>10010310</v>
      </c>
      <c r="N68" s="15">
        <v>18</v>
      </c>
      <c r="O68" s="17">
        <v>1</v>
      </c>
      <c r="P68" s="15">
        <v>1</v>
      </c>
      <c r="Q68" s="17">
        <v>1</v>
      </c>
      <c r="R68" s="15">
        <f>S68*15</f>
        <v>2325000</v>
      </c>
      <c r="S68" s="15">
        <f>LOOKUP(M68,[2]Sheet1!$A:$A,[2]Sheet1!$J:$J)</f>
        <v>155000</v>
      </c>
    </row>
    <row r="69" spans="1:19">
      <c r="K69" s="114" t="s">
        <v>863</v>
      </c>
      <c r="L69" s="17">
        <v>3</v>
      </c>
      <c r="M69" s="113">
        <v>10010311</v>
      </c>
      <c r="N69" s="15">
        <v>18</v>
      </c>
      <c r="O69" s="17">
        <v>1</v>
      </c>
      <c r="P69" s="15">
        <v>1</v>
      </c>
      <c r="Q69" s="17">
        <v>1</v>
      </c>
      <c r="R69" s="15">
        <f>S69*10</f>
        <v>1550000</v>
      </c>
      <c r="S69" s="15">
        <f>LOOKUP(M69,[2]Sheet1!$A:$A,[2]Sheet1!$J:$J)</f>
        <v>155000</v>
      </c>
    </row>
    <row r="70" spans="1:19">
      <c r="K70" s="97" t="s">
        <v>482</v>
      </c>
      <c r="L70" s="17">
        <v>2</v>
      </c>
      <c r="M70" s="113">
        <v>10020101</v>
      </c>
      <c r="N70" s="15">
        <v>18</v>
      </c>
      <c r="O70" s="17">
        <v>1</v>
      </c>
      <c r="P70" s="15">
        <v>20</v>
      </c>
      <c r="Q70" s="17">
        <v>1</v>
      </c>
      <c r="R70" s="115">
        <f>S70*P70</f>
        <v>14600</v>
      </c>
      <c r="S70" s="15">
        <f>LOOKUP(M70,[2]Sheet1!$A:$A,[2]Sheet1!$J:$J)</f>
        <v>730</v>
      </c>
    </row>
    <row r="71" spans="1:19">
      <c r="K71" s="97" t="s">
        <v>821</v>
      </c>
      <c r="L71" s="17">
        <v>2</v>
      </c>
      <c r="M71" s="113">
        <v>10020102</v>
      </c>
      <c r="N71" s="15">
        <v>18</v>
      </c>
      <c r="O71" s="17">
        <v>1</v>
      </c>
      <c r="P71" s="15">
        <v>20</v>
      </c>
      <c r="Q71" s="17">
        <v>1</v>
      </c>
      <c r="R71" s="115">
        <f>S71*P71</f>
        <v>15000</v>
      </c>
      <c r="S71" s="15">
        <f>LOOKUP(M71,[2]Sheet1!$A:$A,[2]Sheet1!$J:$J)</f>
        <v>750</v>
      </c>
    </row>
    <row r="72" spans="1:19">
      <c r="K72" s="97" t="s">
        <v>822</v>
      </c>
      <c r="L72" s="17">
        <v>2</v>
      </c>
      <c r="M72" s="113">
        <v>10020103</v>
      </c>
      <c r="N72" s="15">
        <v>18</v>
      </c>
      <c r="O72" s="17">
        <v>1</v>
      </c>
      <c r="P72" s="15">
        <v>20</v>
      </c>
      <c r="Q72" s="17">
        <v>1</v>
      </c>
      <c r="R72" s="115">
        <f>S72*P72</f>
        <v>15500</v>
      </c>
      <c r="S72" s="15">
        <f>LOOKUP(M72,[2]Sheet1!$A:$A,[2]Sheet1!$J:$J)</f>
        <v>775</v>
      </c>
    </row>
    <row r="73" spans="1:19">
      <c r="K73" s="97" t="s">
        <v>823</v>
      </c>
      <c r="L73" s="17">
        <v>2</v>
      </c>
      <c r="M73" s="113">
        <v>10020104</v>
      </c>
      <c r="N73" s="15">
        <v>18</v>
      </c>
      <c r="O73" s="17">
        <v>1</v>
      </c>
      <c r="P73" s="15">
        <v>20</v>
      </c>
      <c r="Q73" s="17">
        <v>1</v>
      </c>
      <c r="R73" s="115">
        <f>S73*P73</f>
        <v>15900</v>
      </c>
      <c r="S73" s="15">
        <f>LOOKUP(M73,[2]Sheet1!$A:$A,[2]Sheet1!$J:$J)</f>
        <v>795</v>
      </c>
    </row>
    <row r="74" spans="1:19">
      <c r="K74" s="97" t="s">
        <v>824</v>
      </c>
      <c r="L74" s="17">
        <v>2</v>
      </c>
      <c r="M74" s="113">
        <v>10020105</v>
      </c>
      <c r="N74" s="15">
        <v>18</v>
      </c>
      <c r="O74" s="17">
        <v>1</v>
      </c>
      <c r="P74" s="15">
        <v>20</v>
      </c>
      <c r="Q74" s="17">
        <v>1</v>
      </c>
      <c r="R74" s="115">
        <f>S74*P74</f>
        <v>16400</v>
      </c>
      <c r="S74" s="15">
        <f>LOOKUP(M74,[2]Sheet1!$A:$A,[2]Sheet1!$J:$J)</f>
        <v>820</v>
      </c>
    </row>
    <row r="75" spans="1:19">
      <c r="K75" s="97" t="s">
        <v>482</v>
      </c>
      <c r="L75" s="17">
        <v>1</v>
      </c>
      <c r="M75" s="113">
        <v>10020101</v>
      </c>
      <c r="N75" s="15">
        <v>18</v>
      </c>
      <c r="O75" s="17">
        <v>1</v>
      </c>
      <c r="P75" s="15">
        <v>20</v>
      </c>
      <c r="Q75" s="17">
        <v>1</v>
      </c>
      <c r="R75" s="111">
        <f>S75/2*P75</f>
        <v>7300</v>
      </c>
      <c r="S75" s="15">
        <f>LOOKUP(M75,[2]Sheet1!$A:$A,[2]Sheet1!$J:$J)</f>
        <v>730</v>
      </c>
    </row>
    <row r="76" spans="1:19">
      <c r="K76" s="97" t="s">
        <v>821</v>
      </c>
      <c r="L76" s="17">
        <v>1</v>
      </c>
      <c r="M76" s="113">
        <v>10020102</v>
      </c>
      <c r="N76" s="15">
        <v>18</v>
      </c>
      <c r="O76" s="17">
        <v>1</v>
      </c>
      <c r="P76" s="15">
        <v>20</v>
      </c>
      <c r="Q76" s="17">
        <v>1</v>
      </c>
      <c r="R76" s="111">
        <f>S76/2*P76</f>
        <v>7500</v>
      </c>
      <c r="S76" s="15">
        <f>LOOKUP(M76,[2]Sheet1!$A:$A,[2]Sheet1!$J:$J)</f>
        <v>750</v>
      </c>
    </row>
    <row r="77" spans="1:19">
      <c r="K77" s="97" t="s">
        <v>822</v>
      </c>
      <c r="L77" s="17">
        <v>1</v>
      </c>
      <c r="M77" s="113">
        <v>10020103</v>
      </c>
      <c r="N77" s="15">
        <v>18</v>
      </c>
      <c r="O77" s="17">
        <v>1</v>
      </c>
      <c r="P77" s="15">
        <v>20</v>
      </c>
      <c r="Q77" s="17">
        <v>1</v>
      </c>
      <c r="R77" s="111">
        <f>S77/2*P77</f>
        <v>7750</v>
      </c>
      <c r="S77" s="15">
        <f>LOOKUP(M77,[2]Sheet1!$A:$A,[2]Sheet1!$J:$J)</f>
        <v>775</v>
      </c>
    </row>
    <row r="78" spans="1:19">
      <c r="K78" s="97" t="s">
        <v>823</v>
      </c>
      <c r="L78" s="17">
        <v>1</v>
      </c>
      <c r="M78" s="113">
        <v>10020104</v>
      </c>
      <c r="N78" s="15">
        <v>18</v>
      </c>
      <c r="O78" s="17">
        <v>1</v>
      </c>
      <c r="P78" s="15">
        <v>20</v>
      </c>
      <c r="Q78" s="17">
        <v>1</v>
      </c>
      <c r="R78" s="111">
        <f>S78/2*P78</f>
        <v>7950</v>
      </c>
      <c r="S78" s="15">
        <f>LOOKUP(M78,[2]Sheet1!$A:$A,[2]Sheet1!$J:$J)</f>
        <v>795</v>
      </c>
    </row>
    <row r="79" spans="1:19">
      <c r="K79" s="97" t="s">
        <v>824</v>
      </c>
      <c r="L79" s="17">
        <v>1</v>
      </c>
      <c r="M79" s="113">
        <v>10020105</v>
      </c>
      <c r="N79" s="15">
        <v>18</v>
      </c>
      <c r="O79" s="17">
        <v>1</v>
      </c>
      <c r="P79" s="15">
        <v>20</v>
      </c>
      <c r="Q79" s="17">
        <v>1</v>
      </c>
      <c r="R79" s="111">
        <f>S79/2*P79</f>
        <v>8200</v>
      </c>
      <c r="S79" s="15">
        <f>LOOKUP(M79,[2]Sheet1!$A:$A,[2]Sheet1!$J:$J)</f>
        <v>820</v>
      </c>
    </row>
    <row r="80" spans="1:19">
      <c r="O80" s="17">
        <v>1</v>
      </c>
      <c r="Q80" s="17">
        <v>1</v>
      </c>
    </row>
    <row r="81" spans="11:19">
      <c r="O81" s="17">
        <v>1</v>
      </c>
      <c r="Q81" s="17">
        <v>1</v>
      </c>
    </row>
    <row r="82" spans="11:19">
      <c r="O82" s="17">
        <v>1</v>
      </c>
      <c r="Q82" s="17">
        <v>1</v>
      </c>
    </row>
    <row r="83" spans="11:19">
      <c r="O83" s="17">
        <v>1</v>
      </c>
      <c r="Q83" s="17">
        <v>1</v>
      </c>
    </row>
    <row r="84" spans="11:19">
      <c r="O84" s="17">
        <v>1</v>
      </c>
      <c r="Q84" s="17">
        <v>1</v>
      </c>
    </row>
    <row r="85" spans="11:19">
      <c r="O85" s="17">
        <v>1</v>
      </c>
      <c r="Q85" s="17">
        <v>1</v>
      </c>
    </row>
    <row r="86" spans="11:19">
      <c r="L86" s="90"/>
      <c r="N86" s="90" t="s">
        <v>952</v>
      </c>
      <c r="O86" s="17">
        <v>1</v>
      </c>
      <c r="P86" s="90" t="s">
        <v>953</v>
      </c>
      <c r="Q86" s="17">
        <v>1</v>
      </c>
      <c r="R86" s="90" t="s">
        <v>955</v>
      </c>
      <c r="S86" s="90" t="s">
        <v>954</v>
      </c>
    </row>
    <row r="87" spans="11:19">
      <c r="K87" s="93" t="s">
        <v>785</v>
      </c>
      <c r="L87" s="17">
        <v>3</v>
      </c>
      <c r="M87" s="94">
        <v>10010409</v>
      </c>
      <c r="N87" s="91">
        <v>40</v>
      </c>
      <c r="O87" s="17">
        <v>1</v>
      </c>
      <c r="P87" s="91">
        <v>1</v>
      </c>
      <c r="Q87" s="17">
        <v>1</v>
      </c>
      <c r="R87" s="86">
        <f>S87*2</f>
        <v>90750</v>
      </c>
      <c r="S87" s="86">
        <f>LOOKUP(M87,[2]Sheet1!$A:$A,[2]Sheet1!$J:$J)</f>
        <v>45375</v>
      </c>
    </row>
    <row r="88" spans="11:19">
      <c r="K88" s="93" t="s">
        <v>790</v>
      </c>
      <c r="L88" s="17">
        <v>3</v>
      </c>
      <c r="M88" s="94">
        <v>10010410</v>
      </c>
      <c r="N88" s="91">
        <v>40</v>
      </c>
      <c r="O88" s="17">
        <v>1</v>
      </c>
      <c r="P88" s="91">
        <v>1</v>
      </c>
      <c r="Q88" s="17">
        <v>1</v>
      </c>
      <c r="R88" s="86">
        <f>S88*2</f>
        <v>77250</v>
      </c>
      <c r="S88" s="86">
        <f>LOOKUP(M88,[2]Sheet1!$A:$A,[2]Sheet1!$J:$J)</f>
        <v>38625</v>
      </c>
    </row>
    <row r="89" spans="11:19">
      <c r="K89" s="93" t="s">
        <v>791</v>
      </c>
      <c r="L89" s="17">
        <v>3</v>
      </c>
      <c r="M89" s="94">
        <v>10010411</v>
      </c>
      <c r="N89" s="91">
        <v>40</v>
      </c>
      <c r="O89" s="17">
        <v>1</v>
      </c>
      <c r="P89" s="91">
        <v>1</v>
      </c>
      <c r="Q89" s="17">
        <v>1</v>
      </c>
      <c r="R89" s="86">
        <f>S89*2</f>
        <v>84000</v>
      </c>
      <c r="S89" s="86">
        <f>LOOKUP(M89,[2]Sheet1!$A:$A,[2]Sheet1!$J:$J)</f>
        <v>42000</v>
      </c>
    </row>
    <row r="90" spans="11:19">
      <c r="K90" s="93" t="s">
        <v>792</v>
      </c>
      <c r="L90" s="17">
        <v>3</v>
      </c>
      <c r="M90" s="94">
        <v>10010412</v>
      </c>
      <c r="N90" s="91">
        <v>40</v>
      </c>
      <c r="O90" s="17">
        <v>1</v>
      </c>
      <c r="P90" s="91">
        <v>1</v>
      </c>
      <c r="Q90" s="17">
        <v>1</v>
      </c>
      <c r="R90" s="86">
        <f>S90*2</f>
        <v>90750</v>
      </c>
      <c r="S90" s="86">
        <f>LOOKUP(M90,[2]Sheet1!$A:$A,[2]Sheet1!$J:$J)</f>
        <v>45375</v>
      </c>
    </row>
    <row r="91" spans="11:19">
      <c r="K91" s="102" t="s">
        <v>909</v>
      </c>
      <c r="L91" s="17">
        <v>3</v>
      </c>
      <c r="M91" s="103">
        <v>10030501</v>
      </c>
      <c r="N91" s="91">
        <v>40</v>
      </c>
      <c r="O91" s="17">
        <v>1</v>
      </c>
      <c r="P91" s="91">
        <v>1</v>
      </c>
      <c r="Q91" s="17">
        <v>1</v>
      </c>
      <c r="R91" s="86">
        <f t="shared" ref="R91:R101" si="6">S91*20</f>
        <v>523800</v>
      </c>
      <c r="S91" s="86">
        <f>LOOKUP(M91,[2]Sheet1!$A:$A,[2]Sheet1!$J:$J)</f>
        <v>26190</v>
      </c>
    </row>
    <row r="92" spans="11:19">
      <c r="K92" s="102" t="s">
        <v>910</v>
      </c>
      <c r="L92" s="17">
        <v>3</v>
      </c>
      <c r="M92" s="103">
        <v>10030503</v>
      </c>
      <c r="N92" s="91">
        <v>40</v>
      </c>
      <c r="O92" s="17">
        <v>1</v>
      </c>
      <c r="P92" s="91">
        <v>1</v>
      </c>
      <c r="Q92" s="17">
        <v>1</v>
      </c>
      <c r="R92" s="86">
        <f t="shared" si="6"/>
        <v>476400</v>
      </c>
      <c r="S92" s="86">
        <f>LOOKUP(M92,[2]Sheet1!$A:$A,[2]Sheet1!$J:$J)</f>
        <v>23820</v>
      </c>
    </row>
    <row r="93" spans="11:19">
      <c r="K93" s="102" t="s">
        <v>912</v>
      </c>
      <c r="L93" s="17">
        <v>3</v>
      </c>
      <c r="M93" s="103">
        <v>10030505</v>
      </c>
      <c r="N93" s="91">
        <v>40</v>
      </c>
      <c r="O93" s="17">
        <v>1</v>
      </c>
      <c r="P93" s="91">
        <v>1</v>
      </c>
      <c r="Q93" s="17">
        <v>1</v>
      </c>
      <c r="R93" s="86">
        <f t="shared" si="6"/>
        <v>381000</v>
      </c>
      <c r="S93" s="86">
        <f>LOOKUP(M93,[2]Sheet1!$A:$A,[2]Sheet1!$J:$J)</f>
        <v>19050</v>
      </c>
    </row>
    <row r="94" spans="11:19">
      <c r="K94" s="102" t="s">
        <v>914</v>
      </c>
      <c r="L94" s="17">
        <v>3</v>
      </c>
      <c r="M94" s="103">
        <v>10030507</v>
      </c>
      <c r="N94" s="91">
        <v>40</v>
      </c>
      <c r="O94" s="17">
        <v>1</v>
      </c>
      <c r="P94" s="91">
        <v>1</v>
      </c>
      <c r="Q94" s="17">
        <v>1</v>
      </c>
      <c r="R94" s="86">
        <f t="shared" si="6"/>
        <v>381000</v>
      </c>
      <c r="S94" s="86">
        <f>LOOKUP(M94,[2]Sheet1!$A:$A,[2]Sheet1!$J:$J)</f>
        <v>19050</v>
      </c>
    </row>
    <row r="95" spans="11:19">
      <c r="K95" s="102" t="s">
        <v>917</v>
      </c>
      <c r="L95" s="17">
        <v>3</v>
      </c>
      <c r="M95" s="103">
        <v>10030509</v>
      </c>
      <c r="N95" s="91">
        <v>40</v>
      </c>
      <c r="O95" s="17">
        <v>1</v>
      </c>
      <c r="P95" s="91">
        <v>1</v>
      </c>
      <c r="Q95" s="17">
        <v>1</v>
      </c>
      <c r="R95" s="86">
        <f t="shared" si="6"/>
        <v>571800</v>
      </c>
      <c r="S95" s="86">
        <f>LOOKUP(M95,[2]Sheet1!$A:$A,[2]Sheet1!$J:$J)</f>
        <v>28590</v>
      </c>
    </row>
    <row r="96" spans="11:19">
      <c r="K96" s="102" t="s">
        <v>918</v>
      </c>
      <c r="L96" s="17">
        <v>3</v>
      </c>
      <c r="M96" s="103">
        <v>10030511</v>
      </c>
      <c r="N96" s="91">
        <v>40</v>
      </c>
      <c r="O96" s="17">
        <v>1</v>
      </c>
      <c r="P96" s="91">
        <v>1</v>
      </c>
      <c r="Q96" s="17">
        <v>1</v>
      </c>
      <c r="R96" s="86">
        <f t="shared" si="6"/>
        <v>619200</v>
      </c>
      <c r="S96" s="86">
        <f>LOOKUP(M96,[2]Sheet1!$A:$A,[2]Sheet1!$J:$J)</f>
        <v>30960</v>
      </c>
    </row>
    <row r="97" spans="11:19">
      <c r="K97" s="102" t="s">
        <v>920</v>
      </c>
      <c r="L97" s="17">
        <v>3</v>
      </c>
      <c r="M97" s="103">
        <v>10030513</v>
      </c>
      <c r="N97" s="91">
        <v>40</v>
      </c>
      <c r="O97" s="17">
        <v>1</v>
      </c>
      <c r="P97" s="91">
        <v>1</v>
      </c>
      <c r="Q97" s="17">
        <v>1</v>
      </c>
      <c r="R97" s="86">
        <f t="shared" si="6"/>
        <v>762000</v>
      </c>
      <c r="S97" s="86">
        <f>LOOKUP(M97,[2]Sheet1!$A:$A,[2]Sheet1!$J:$J)</f>
        <v>38100</v>
      </c>
    </row>
    <row r="98" spans="11:19">
      <c r="K98" s="102" t="s">
        <v>921</v>
      </c>
      <c r="L98" s="17">
        <v>3</v>
      </c>
      <c r="M98" s="103">
        <v>10030515</v>
      </c>
      <c r="N98" s="91">
        <v>40</v>
      </c>
      <c r="O98" s="17">
        <v>1</v>
      </c>
      <c r="P98" s="91">
        <v>1</v>
      </c>
      <c r="Q98" s="17">
        <v>1</v>
      </c>
      <c r="R98" s="86">
        <f t="shared" si="6"/>
        <v>1810200</v>
      </c>
      <c r="S98" s="86">
        <f>LOOKUP(M98,[2]Sheet1!$A:$A,[2]Sheet1!$J:$J)</f>
        <v>90510</v>
      </c>
    </row>
    <row r="99" spans="11:19">
      <c r="K99" s="102" t="s">
        <v>922</v>
      </c>
      <c r="L99" s="17">
        <v>3</v>
      </c>
      <c r="M99" s="103">
        <v>10030516</v>
      </c>
      <c r="N99" s="91">
        <v>40</v>
      </c>
      <c r="O99" s="17">
        <v>1</v>
      </c>
      <c r="P99" s="91">
        <v>1</v>
      </c>
      <c r="Q99" s="17">
        <v>1</v>
      </c>
      <c r="R99" s="86">
        <f t="shared" si="6"/>
        <v>1143600</v>
      </c>
      <c r="S99" s="86">
        <f>LOOKUP(M99,[2]Sheet1!$A:$A,[2]Sheet1!$J:$J)</f>
        <v>57180</v>
      </c>
    </row>
    <row r="100" spans="11:19">
      <c r="K100" s="102" t="s">
        <v>925</v>
      </c>
      <c r="L100" s="17">
        <v>3</v>
      </c>
      <c r="M100" s="103">
        <v>10030518</v>
      </c>
      <c r="N100" s="91">
        <v>40</v>
      </c>
      <c r="O100" s="17">
        <v>1</v>
      </c>
      <c r="P100" s="91">
        <v>1</v>
      </c>
      <c r="Q100" s="17">
        <v>1</v>
      </c>
      <c r="R100" s="86">
        <f t="shared" si="6"/>
        <v>2858400</v>
      </c>
      <c r="S100" s="86">
        <f>LOOKUP(M100,[2]Sheet1!$A:$A,[2]Sheet1!$J:$J)</f>
        <v>142920</v>
      </c>
    </row>
    <row r="101" spans="11:19">
      <c r="K101" s="102" t="s">
        <v>927</v>
      </c>
      <c r="L101" s="17">
        <v>3</v>
      </c>
      <c r="M101" s="103">
        <v>10030520</v>
      </c>
      <c r="N101" s="91">
        <v>40</v>
      </c>
      <c r="O101" s="17">
        <v>1</v>
      </c>
      <c r="P101" s="91">
        <v>1</v>
      </c>
      <c r="Q101" s="17">
        <v>1</v>
      </c>
      <c r="R101" s="86">
        <f t="shared" si="6"/>
        <v>1429200</v>
      </c>
      <c r="S101" s="86">
        <f>LOOKUP(M101,[2]Sheet1!$A:$A,[2]Sheet1!$J:$J)</f>
        <v>71460</v>
      </c>
    </row>
    <row r="102" spans="11:19">
      <c r="K102" s="102" t="s">
        <v>908</v>
      </c>
      <c r="L102" s="17">
        <v>3</v>
      </c>
      <c r="M102" s="103">
        <v>10030519</v>
      </c>
      <c r="N102" s="91">
        <v>40</v>
      </c>
      <c r="O102" s="17">
        <v>1</v>
      </c>
      <c r="P102" s="91">
        <v>1</v>
      </c>
      <c r="Q102" s="17">
        <v>1</v>
      </c>
      <c r="R102" s="86">
        <f>S102*3</f>
        <v>428760</v>
      </c>
      <c r="S102" s="86">
        <f>LOOKUP(M102,[2]Sheet1!$A:$A,[2]Sheet1!$J:$J)</f>
        <v>142920</v>
      </c>
    </row>
    <row r="103" spans="11:19">
      <c r="K103" s="97" t="s">
        <v>919</v>
      </c>
      <c r="L103" s="17">
        <v>3</v>
      </c>
      <c r="M103" s="98">
        <v>10010064</v>
      </c>
      <c r="N103" s="91">
        <v>40</v>
      </c>
      <c r="O103" s="17">
        <v>1</v>
      </c>
      <c r="P103" s="91">
        <v>1</v>
      </c>
      <c r="Q103" s="17">
        <v>1</v>
      </c>
      <c r="R103" s="86">
        <f>S103*4</f>
        <v>105480</v>
      </c>
      <c r="S103" s="86">
        <v>26370</v>
      </c>
    </row>
    <row r="104" spans="11:19">
      <c r="K104" s="97" t="s">
        <v>836</v>
      </c>
      <c r="L104" s="17">
        <v>3</v>
      </c>
      <c r="M104" s="94">
        <v>10020157</v>
      </c>
      <c r="N104" s="91">
        <v>40</v>
      </c>
      <c r="O104" s="17">
        <v>1</v>
      </c>
      <c r="P104" s="91">
        <v>1</v>
      </c>
      <c r="Q104" s="17">
        <v>1</v>
      </c>
      <c r="R104" s="17">
        <f>S104*15</f>
        <v>47925</v>
      </c>
      <c r="S104" s="86">
        <f>LOOKUP(M104,[2]Sheet1!$A:$A,[2]Sheet1!$J:$J)</f>
        <v>3195</v>
      </c>
    </row>
    <row r="105" spans="11:19">
      <c r="K105" s="105" t="s">
        <v>933</v>
      </c>
      <c r="L105" s="17">
        <v>3</v>
      </c>
      <c r="M105" s="94">
        <v>10020161</v>
      </c>
      <c r="N105" s="91">
        <v>40</v>
      </c>
      <c r="O105" s="17">
        <v>1</v>
      </c>
      <c r="P105" s="91">
        <v>1</v>
      </c>
      <c r="Q105" s="17">
        <v>1</v>
      </c>
      <c r="R105" s="17">
        <f>S105*10</f>
        <v>106500</v>
      </c>
      <c r="S105" s="86">
        <f>LOOKUP(M105,[2]Sheet1!$A:$A,[2]Sheet1!$J:$J)</f>
        <v>10650</v>
      </c>
    </row>
    <row r="106" spans="11:19">
      <c r="K106" s="93" t="s">
        <v>864</v>
      </c>
      <c r="L106" s="17">
        <v>3</v>
      </c>
      <c r="M106" s="94">
        <v>10010413</v>
      </c>
      <c r="N106" s="91">
        <v>40</v>
      </c>
      <c r="O106" s="17">
        <v>1</v>
      </c>
      <c r="P106" s="91">
        <v>1</v>
      </c>
      <c r="Q106" s="17">
        <v>1</v>
      </c>
      <c r="R106" s="17">
        <f>S106*15*1.5</f>
        <v>3487500</v>
      </c>
      <c r="S106" s="86">
        <f>LOOKUP(M106,[2]Sheet1!$A:$A,[2]Sheet1!$J:$J)</f>
        <v>155000</v>
      </c>
    </row>
    <row r="107" spans="11:19">
      <c r="K107" s="93" t="s">
        <v>865</v>
      </c>
      <c r="L107" s="17">
        <v>3</v>
      </c>
      <c r="M107" s="94">
        <v>10010414</v>
      </c>
      <c r="N107" s="91">
        <v>40</v>
      </c>
      <c r="O107" s="17">
        <v>1</v>
      </c>
      <c r="P107" s="91">
        <v>1</v>
      </c>
      <c r="Q107" s="17">
        <v>1</v>
      </c>
      <c r="R107" s="17">
        <f>S107*10*1.5</f>
        <v>2325000</v>
      </c>
      <c r="S107" s="86">
        <f>LOOKUP(M107,[2]Sheet1!$A:$A,[2]Sheet1!$J:$J)</f>
        <v>155000</v>
      </c>
    </row>
    <row r="108" spans="11:19">
      <c r="K108" s="97" t="s">
        <v>837</v>
      </c>
      <c r="L108" s="17">
        <v>3</v>
      </c>
      <c r="M108" s="94">
        <v>10020158</v>
      </c>
      <c r="N108" s="91">
        <v>40</v>
      </c>
      <c r="O108" s="17">
        <v>1</v>
      </c>
      <c r="P108" s="17">
        <v>20</v>
      </c>
      <c r="Q108" s="17">
        <v>1</v>
      </c>
      <c r="R108" s="17">
        <f>S108/2*P108</f>
        <v>6390</v>
      </c>
      <c r="S108" s="86">
        <f>LOOKUP(M108,[2]Sheet1!$A:$A,[2]Sheet1!$J:$J)</f>
        <v>639</v>
      </c>
    </row>
    <row r="109" spans="11:19">
      <c r="K109" s="104" t="s">
        <v>838</v>
      </c>
      <c r="L109" s="17">
        <v>3</v>
      </c>
      <c r="M109" s="94">
        <v>10020159</v>
      </c>
      <c r="N109" s="91">
        <v>40</v>
      </c>
      <c r="O109" s="17">
        <v>1</v>
      </c>
      <c r="P109" s="17">
        <v>20</v>
      </c>
      <c r="Q109" s="17">
        <v>1</v>
      </c>
      <c r="R109" s="17">
        <f>S109/2*P109</f>
        <v>11180</v>
      </c>
      <c r="S109" s="86">
        <f>LOOKUP(M109,[2]Sheet1!$A:$A,[2]Sheet1!$J:$J)</f>
        <v>1118</v>
      </c>
    </row>
    <row r="110" spans="11:19">
      <c r="K110" s="97" t="s">
        <v>830</v>
      </c>
      <c r="L110" s="17">
        <v>2</v>
      </c>
      <c r="M110" s="94">
        <v>10020151</v>
      </c>
      <c r="N110" s="91">
        <v>40</v>
      </c>
      <c r="O110" s="17">
        <v>1</v>
      </c>
      <c r="P110" s="91">
        <v>20</v>
      </c>
      <c r="Q110" s="17">
        <v>1</v>
      </c>
      <c r="R110" s="111">
        <f t="shared" ref="R110:R116" si="7">S110*P110</f>
        <v>19100</v>
      </c>
      <c r="S110" s="86">
        <f>LOOKUP(M110,[2]Sheet1!$A:$A,[2]Sheet1!$J:$J)</f>
        <v>955</v>
      </c>
    </row>
    <row r="111" spans="11:19">
      <c r="K111" s="97" t="s">
        <v>831</v>
      </c>
      <c r="L111" s="17">
        <v>2</v>
      </c>
      <c r="M111" s="94">
        <v>10020152</v>
      </c>
      <c r="N111" s="91">
        <v>40</v>
      </c>
      <c r="O111" s="17">
        <v>1</v>
      </c>
      <c r="P111" s="91">
        <v>20</v>
      </c>
      <c r="Q111" s="17">
        <v>1</v>
      </c>
      <c r="R111" s="111">
        <f t="shared" si="7"/>
        <v>19500</v>
      </c>
      <c r="S111" s="86">
        <f>LOOKUP(M111,[2]Sheet1!$A:$A,[2]Sheet1!$J:$J)</f>
        <v>975</v>
      </c>
    </row>
    <row r="112" spans="11:19">
      <c r="K112" s="97" t="s">
        <v>832</v>
      </c>
      <c r="L112" s="17">
        <v>2</v>
      </c>
      <c r="M112" s="94">
        <v>10020153</v>
      </c>
      <c r="N112" s="91">
        <v>40</v>
      </c>
      <c r="O112" s="17">
        <v>1</v>
      </c>
      <c r="P112" s="91">
        <v>20</v>
      </c>
      <c r="Q112" s="17">
        <v>1</v>
      </c>
      <c r="R112" s="111">
        <f t="shared" si="7"/>
        <v>20400</v>
      </c>
      <c r="S112" s="86">
        <f>LOOKUP(M112,[2]Sheet1!$A:$A,[2]Sheet1!$J:$J)</f>
        <v>1020</v>
      </c>
    </row>
    <row r="113" spans="11:19">
      <c r="K113" s="97" t="s">
        <v>833</v>
      </c>
      <c r="L113" s="17">
        <v>2</v>
      </c>
      <c r="M113" s="94">
        <v>10020154</v>
      </c>
      <c r="N113" s="91">
        <v>40</v>
      </c>
      <c r="O113" s="17">
        <v>1</v>
      </c>
      <c r="P113" s="91">
        <v>20</v>
      </c>
      <c r="Q113" s="17">
        <v>1</v>
      </c>
      <c r="R113" s="111">
        <f t="shared" si="7"/>
        <v>20900</v>
      </c>
      <c r="S113" s="86">
        <f>LOOKUP(M113,[2]Sheet1!$A:$A,[2]Sheet1!$J:$J)</f>
        <v>1045</v>
      </c>
    </row>
    <row r="114" spans="11:19">
      <c r="K114" s="97" t="s">
        <v>834</v>
      </c>
      <c r="L114" s="17">
        <v>2</v>
      </c>
      <c r="M114" s="94">
        <v>10020155</v>
      </c>
      <c r="N114" s="91">
        <v>40</v>
      </c>
      <c r="O114" s="17">
        <v>1</v>
      </c>
      <c r="P114" s="91">
        <v>20</v>
      </c>
      <c r="Q114" s="17">
        <v>1</v>
      </c>
      <c r="R114" s="111">
        <f t="shared" si="7"/>
        <v>21300</v>
      </c>
      <c r="S114" s="86">
        <f>LOOKUP(M114,[2]Sheet1!$A:$A,[2]Sheet1!$J:$J)</f>
        <v>1065</v>
      </c>
    </row>
    <row r="115" spans="11:19">
      <c r="K115" s="97" t="s">
        <v>835</v>
      </c>
      <c r="L115" s="17">
        <v>2</v>
      </c>
      <c r="M115" s="94">
        <v>10020156</v>
      </c>
      <c r="N115" s="91">
        <v>40</v>
      </c>
      <c r="O115" s="17">
        <v>1</v>
      </c>
      <c r="P115" s="91">
        <v>20</v>
      </c>
      <c r="Q115" s="17">
        <v>1</v>
      </c>
      <c r="R115" s="111">
        <f t="shared" si="7"/>
        <v>16000</v>
      </c>
      <c r="S115" s="86">
        <f>LOOKUP(M115,[2]Sheet1!$A:$A,[2]Sheet1!$J:$J)</f>
        <v>800</v>
      </c>
    </row>
    <row r="116" spans="11:19">
      <c r="K116" s="104" t="s">
        <v>839</v>
      </c>
      <c r="L116" s="17">
        <v>2</v>
      </c>
      <c r="M116" s="94">
        <v>10020160</v>
      </c>
      <c r="N116" s="91">
        <v>40</v>
      </c>
      <c r="O116" s="17">
        <v>1</v>
      </c>
      <c r="P116" s="91">
        <v>20</v>
      </c>
      <c r="Q116" s="17">
        <v>1</v>
      </c>
      <c r="R116" s="111">
        <f t="shared" si="7"/>
        <v>21300</v>
      </c>
      <c r="S116" s="86">
        <f>LOOKUP(M116,[2]Sheet1!$A:$A,[2]Sheet1!$J:$J)</f>
        <v>1065</v>
      </c>
    </row>
    <row r="117" spans="11:19">
      <c r="K117" s="97" t="s">
        <v>830</v>
      </c>
      <c r="L117" s="17">
        <v>1</v>
      </c>
      <c r="M117" s="94">
        <v>10020151</v>
      </c>
      <c r="N117" s="91">
        <v>40</v>
      </c>
      <c r="O117" s="17">
        <v>1</v>
      </c>
      <c r="P117" s="91">
        <v>20</v>
      </c>
      <c r="Q117" s="17">
        <v>1</v>
      </c>
      <c r="R117" s="111">
        <f t="shared" ref="R117:R123" si="8">S117/2*P117</f>
        <v>9550</v>
      </c>
      <c r="S117" s="86">
        <f>LOOKUP(M117,[2]Sheet1!$A:$A,[2]Sheet1!$J:$J)</f>
        <v>955</v>
      </c>
    </row>
    <row r="118" spans="11:19">
      <c r="K118" s="97" t="s">
        <v>831</v>
      </c>
      <c r="L118" s="17">
        <v>1</v>
      </c>
      <c r="M118" s="94">
        <v>10020152</v>
      </c>
      <c r="N118" s="91">
        <v>40</v>
      </c>
      <c r="O118" s="17">
        <v>1</v>
      </c>
      <c r="P118" s="91">
        <v>20</v>
      </c>
      <c r="Q118" s="17">
        <v>1</v>
      </c>
      <c r="R118" s="111">
        <f t="shared" si="8"/>
        <v>9750</v>
      </c>
      <c r="S118" s="86">
        <f>LOOKUP(M118,[2]Sheet1!$A:$A,[2]Sheet1!$J:$J)</f>
        <v>975</v>
      </c>
    </row>
    <row r="119" spans="11:19">
      <c r="K119" s="97" t="s">
        <v>832</v>
      </c>
      <c r="L119" s="17">
        <v>1</v>
      </c>
      <c r="M119" s="94">
        <v>10020153</v>
      </c>
      <c r="N119" s="91">
        <v>40</v>
      </c>
      <c r="O119" s="17">
        <v>1</v>
      </c>
      <c r="P119" s="91">
        <v>20</v>
      </c>
      <c r="Q119" s="17">
        <v>1</v>
      </c>
      <c r="R119" s="111">
        <f t="shared" si="8"/>
        <v>10200</v>
      </c>
      <c r="S119" s="86">
        <f>LOOKUP(M119,[2]Sheet1!$A:$A,[2]Sheet1!$J:$J)</f>
        <v>1020</v>
      </c>
    </row>
    <row r="120" spans="11:19">
      <c r="K120" s="97" t="s">
        <v>833</v>
      </c>
      <c r="L120" s="17">
        <v>1</v>
      </c>
      <c r="M120" s="94">
        <v>10020154</v>
      </c>
      <c r="N120" s="91">
        <v>40</v>
      </c>
      <c r="O120" s="17">
        <v>1</v>
      </c>
      <c r="P120" s="91">
        <v>20</v>
      </c>
      <c r="Q120" s="17">
        <v>1</v>
      </c>
      <c r="R120" s="111">
        <f t="shared" si="8"/>
        <v>10450</v>
      </c>
      <c r="S120" s="86">
        <f>LOOKUP(M120,[2]Sheet1!$A:$A,[2]Sheet1!$J:$J)</f>
        <v>1045</v>
      </c>
    </row>
    <row r="121" spans="11:19">
      <c r="K121" s="97" t="s">
        <v>834</v>
      </c>
      <c r="L121" s="17">
        <v>1</v>
      </c>
      <c r="M121" s="94">
        <v>10020155</v>
      </c>
      <c r="N121" s="91">
        <v>40</v>
      </c>
      <c r="O121" s="17">
        <v>1</v>
      </c>
      <c r="P121" s="91">
        <v>20</v>
      </c>
      <c r="Q121" s="17">
        <v>1</v>
      </c>
      <c r="R121" s="111">
        <f t="shared" si="8"/>
        <v>10650</v>
      </c>
      <c r="S121" s="86">
        <f>LOOKUP(M121,[2]Sheet1!$A:$A,[2]Sheet1!$J:$J)</f>
        <v>1065</v>
      </c>
    </row>
    <row r="122" spans="11:19">
      <c r="K122" s="97" t="s">
        <v>835</v>
      </c>
      <c r="L122" s="17">
        <v>1</v>
      </c>
      <c r="M122" s="94">
        <v>10020156</v>
      </c>
      <c r="N122" s="91">
        <v>40</v>
      </c>
      <c r="O122" s="17">
        <v>1</v>
      </c>
      <c r="P122" s="91">
        <v>20</v>
      </c>
      <c r="Q122" s="17">
        <v>1</v>
      </c>
      <c r="R122" s="111">
        <f t="shared" si="8"/>
        <v>8000</v>
      </c>
      <c r="S122" s="86">
        <f>LOOKUP(M122,[2]Sheet1!$A:$A,[2]Sheet1!$J:$J)</f>
        <v>800</v>
      </c>
    </row>
    <row r="123" spans="11:19">
      <c r="K123" s="104" t="s">
        <v>839</v>
      </c>
      <c r="L123" s="17">
        <v>1</v>
      </c>
      <c r="M123" s="94">
        <v>10020160</v>
      </c>
      <c r="N123" s="91">
        <v>40</v>
      </c>
      <c r="O123" s="17">
        <v>1</v>
      </c>
      <c r="P123" s="91">
        <v>20</v>
      </c>
      <c r="Q123" s="17">
        <v>1</v>
      </c>
      <c r="R123" s="111">
        <f t="shared" si="8"/>
        <v>10650</v>
      </c>
      <c r="S123" s="86">
        <f>LOOKUP(M123,[2]Sheet1!$A:$A,[2]Sheet1!$J:$J)</f>
        <v>1065</v>
      </c>
    </row>
    <row r="124" spans="11:19">
      <c r="O124" s="17">
        <v>1</v>
      </c>
      <c r="Q124" s="17">
        <v>1</v>
      </c>
    </row>
    <row r="125" spans="11:19">
      <c r="O125" s="17">
        <v>1</v>
      </c>
      <c r="Q125" s="17">
        <v>1</v>
      </c>
    </row>
    <row r="126" spans="11:19">
      <c r="O126" s="17">
        <v>1</v>
      </c>
      <c r="Q126" s="17">
        <v>1</v>
      </c>
    </row>
    <row r="127" spans="11:19">
      <c r="O127" s="17">
        <v>1</v>
      </c>
      <c r="Q127" s="17">
        <v>1</v>
      </c>
    </row>
    <row r="128" spans="11:19">
      <c r="O128" s="17">
        <v>1</v>
      </c>
      <c r="Q128" s="17">
        <v>1</v>
      </c>
    </row>
    <row r="129" spans="11:19">
      <c r="O129" s="17">
        <v>1</v>
      </c>
      <c r="Q129" s="17">
        <v>1</v>
      </c>
    </row>
    <row r="130" spans="11:19">
      <c r="L130"/>
      <c r="N130" s="90" t="s">
        <v>952</v>
      </c>
      <c r="O130" s="17">
        <v>1</v>
      </c>
      <c r="P130" s="90" t="s">
        <v>953</v>
      </c>
      <c r="Q130" s="17">
        <v>1</v>
      </c>
      <c r="R130" s="90" t="s">
        <v>955</v>
      </c>
      <c r="S130" s="90" t="s">
        <v>954</v>
      </c>
    </row>
    <row r="131" spans="11:19">
      <c r="K131" s="117" t="s">
        <v>589</v>
      </c>
      <c r="L131" s="17">
        <v>3</v>
      </c>
      <c r="M131" s="116">
        <v>10030601</v>
      </c>
      <c r="N131" s="15">
        <v>50</v>
      </c>
      <c r="O131" s="17">
        <v>1</v>
      </c>
      <c r="P131" s="15">
        <v>1</v>
      </c>
      <c r="Q131" s="17">
        <v>1</v>
      </c>
      <c r="R131" s="90">
        <f t="shared" ref="R131:R141" si="9">S131*20</f>
        <v>648000</v>
      </c>
      <c r="S131" s="90">
        <f>LOOKUP(M131,[2]Sheet1!$A:$A,[2]Sheet1!$J:$J)</f>
        <v>32400</v>
      </c>
    </row>
    <row r="132" spans="11:19">
      <c r="K132" s="94" t="s">
        <v>591</v>
      </c>
      <c r="L132" s="17">
        <v>3</v>
      </c>
      <c r="M132" s="116">
        <v>10030603</v>
      </c>
      <c r="N132" s="15">
        <v>50</v>
      </c>
      <c r="O132" s="17">
        <v>1</v>
      </c>
      <c r="P132" s="15">
        <v>1</v>
      </c>
      <c r="Q132" s="17">
        <v>1</v>
      </c>
      <c r="R132" s="90">
        <f t="shared" si="9"/>
        <v>589200</v>
      </c>
      <c r="S132" s="90">
        <f>LOOKUP(M132,[2]Sheet1!$A:$A,[2]Sheet1!$J:$J)</f>
        <v>29460</v>
      </c>
    </row>
    <row r="133" spans="11:19">
      <c r="K133" s="94" t="s">
        <v>593</v>
      </c>
      <c r="L133" s="17">
        <v>3</v>
      </c>
      <c r="M133" s="116">
        <v>10030605</v>
      </c>
      <c r="N133" s="15">
        <v>50</v>
      </c>
      <c r="O133" s="17">
        <v>1</v>
      </c>
      <c r="P133" s="15">
        <v>1</v>
      </c>
      <c r="Q133" s="17">
        <v>1</v>
      </c>
      <c r="R133" s="90">
        <f t="shared" si="9"/>
        <v>471000</v>
      </c>
      <c r="S133" s="90">
        <f>LOOKUP(M133,[2]Sheet1!$A:$A,[2]Sheet1!$J:$J)</f>
        <v>23550</v>
      </c>
    </row>
    <row r="134" spans="11:19">
      <c r="K134" s="94" t="s">
        <v>595</v>
      </c>
      <c r="L134" s="17">
        <v>3</v>
      </c>
      <c r="M134" s="116">
        <v>10030607</v>
      </c>
      <c r="N134" s="15">
        <v>50</v>
      </c>
      <c r="O134" s="17">
        <v>1</v>
      </c>
      <c r="P134" s="15">
        <v>1</v>
      </c>
      <c r="Q134" s="17">
        <v>1</v>
      </c>
      <c r="R134" s="90">
        <f t="shared" si="9"/>
        <v>471000</v>
      </c>
      <c r="S134" s="90">
        <f>LOOKUP(M134,[2]Sheet1!$A:$A,[2]Sheet1!$J:$J)</f>
        <v>23550</v>
      </c>
    </row>
    <row r="135" spans="11:19">
      <c r="K135" s="94" t="s">
        <v>597</v>
      </c>
      <c r="L135" s="17">
        <v>3</v>
      </c>
      <c r="M135" s="116">
        <v>10030609</v>
      </c>
      <c r="N135" s="15">
        <v>50</v>
      </c>
      <c r="O135" s="17">
        <v>1</v>
      </c>
      <c r="P135" s="15">
        <v>1</v>
      </c>
      <c r="Q135" s="17">
        <v>1</v>
      </c>
      <c r="R135" s="90">
        <f t="shared" si="9"/>
        <v>706800</v>
      </c>
      <c r="S135" s="90">
        <f>LOOKUP(M135,[2]Sheet1!$A:$A,[2]Sheet1!$J:$J)</f>
        <v>35340</v>
      </c>
    </row>
    <row r="136" spans="11:19">
      <c r="K136" s="94" t="s">
        <v>599</v>
      </c>
      <c r="L136" s="17">
        <v>3</v>
      </c>
      <c r="M136" s="116">
        <v>10030611</v>
      </c>
      <c r="N136" s="15">
        <v>50</v>
      </c>
      <c r="O136" s="17">
        <v>1</v>
      </c>
      <c r="P136" s="15">
        <v>1</v>
      </c>
      <c r="Q136" s="17">
        <v>1</v>
      </c>
      <c r="R136" s="90">
        <f t="shared" si="9"/>
        <v>765600</v>
      </c>
      <c r="S136" s="90">
        <f>LOOKUP(M136,[2]Sheet1!$A:$A,[2]Sheet1!$J:$J)</f>
        <v>38280</v>
      </c>
    </row>
    <row r="137" spans="11:19">
      <c r="K137" s="94" t="s">
        <v>601</v>
      </c>
      <c r="L137" s="17">
        <v>3</v>
      </c>
      <c r="M137" s="116">
        <v>10030613</v>
      </c>
      <c r="N137" s="15">
        <v>50</v>
      </c>
      <c r="O137" s="17">
        <v>1</v>
      </c>
      <c r="P137" s="15">
        <v>1</v>
      </c>
      <c r="Q137" s="17">
        <v>1</v>
      </c>
      <c r="R137" s="90">
        <f t="shared" si="9"/>
        <v>942000</v>
      </c>
      <c r="S137" s="90">
        <f>LOOKUP(M137,[2]Sheet1!$A:$A,[2]Sheet1!$J:$J)</f>
        <v>47100</v>
      </c>
    </row>
    <row r="138" spans="11:19">
      <c r="K138" s="94" t="s">
        <v>915</v>
      </c>
      <c r="L138" s="17">
        <v>3</v>
      </c>
      <c r="M138" s="116">
        <v>10030615</v>
      </c>
      <c r="N138" s="15">
        <v>50</v>
      </c>
      <c r="O138" s="17">
        <v>1</v>
      </c>
      <c r="P138" s="15">
        <v>1</v>
      </c>
      <c r="Q138" s="17">
        <v>1</v>
      </c>
      <c r="R138" s="90">
        <f t="shared" si="9"/>
        <v>2238000</v>
      </c>
      <c r="S138" s="90">
        <f>LOOKUP(M138,[2]Sheet1!$A:$A,[2]Sheet1!$J:$J)</f>
        <v>111900</v>
      </c>
    </row>
    <row r="139" spans="11:19">
      <c r="K139" s="94" t="s">
        <v>604</v>
      </c>
      <c r="L139" s="17">
        <v>3</v>
      </c>
      <c r="M139" s="116">
        <v>10030616</v>
      </c>
      <c r="N139" s="15">
        <v>50</v>
      </c>
      <c r="O139" s="17">
        <v>1</v>
      </c>
      <c r="P139" s="15">
        <v>1</v>
      </c>
      <c r="Q139" s="17">
        <v>1</v>
      </c>
      <c r="R139" s="90">
        <f t="shared" si="9"/>
        <v>1413600</v>
      </c>
      <c r="S139" s="90">
        <f>LOOKUP(M139,[2]Sheet1!$A:$A,[2]Sheet1!$J:$J)</f>
        <v>70680</v>
      </c>
    </row>
    <row r="140" spans="11:19">
      <c r="K140" s="117" t="s">
        <v>606</v>
      </c>
      <c r="L140" s="17">
        <v>3</v>
      </c>
      <c r="M140" s="116">
        <v>10030618</v>
      </c>
      <c r="N140" s="15">
        <v>50</v>
      </c>
      <c r="O140" s="17">
        <v>1</v>
      </c>
      <c r="P140" s="15">
        <v>1</v>
      </c>
      <c r="Q140" s="17">
        <v>1</v>
      </c>
      <c r="R140" s="90">
        <f t="shared" si="9"/>
        <v>3533400</v>
      </c>
      <c r="S140" s="90">
        <f>LOOKUP(M140,[2]Sheet1!$A:$A,[2]Sheet1!$J:$J)</f>
        <v>176670</v>
      </c>
    </row>
    <row r="141" spans="11:19">
      <c r="K141" s="94" t="s">
        <v>608</v>
      </c>
      <c r="L141" s="17">
        <v>3</v>
      </c>
      <c r="M141" s="116">
        <v>10030620</v>
      </c>
      <c r="N141" s="15">
        <v>50</v>
      </c>
      <c r="O141" s="17">
        <v>1</v>
      </c>
      <c r="P141" s="15">
        <v>1</v>
      </c>
      <c r="Q141" s="17">
        <v>1</v>
      </c>
      <c r="R141" s="90">
        <f t="shared" si="9"/>
        <v>1767000</v>
      </c>
      <c r="S141" s="90">
        <f>LOOKUP(M141,[2]Sheet1!$A:$A,[2]Sheet1!$J:$J)</f>
        <v>88350</v>
      </c>
    </row>
    <row r="142" spans="11:19">
      <c r="K142" s="97" t="s">
        <v>919</v>
      </c>
      <c r="L142" s="17">
        <v>3</v>
      </c>
      <c r="M142" s="98">
        <v>10010065</v>
      </c>
      <c r="N142" s="15">
        <v>50</v>
      </c>
      <c r="O142" s="17">
        <v>1</v>
      </c>
      <c r="P142" s="15">
        <v>1</v>
      </c>
      <c r="Q142" s="17">
        <v>1</v>
      </c>
      <c r="R142" s="90">
        <f>S142*4</f>
        <v>185640</v>
      </c>
      <c r="S142" s="15">
        <v>46410</v>
      </c>
    </row>
    <row r="143" spans="11:19">
      <c r="K143" s="106" t="s">
        <v>854</v>
      </c>
      <c r="L143" s="17">
        <v>3</v>
      </c>
      <c r="M143" s="94">
        <v>10020213</v>
      </c>
      <c r="N143" s="15">
        <v>50</v>
      </c>
      <c r="O143" s="17">
        <v>1</v>
      </c>
      <c r="P143" s="15">
        <v>20</v>
      </c>
      <c r="Q143" s="17">
        <v>1</v>
      </c>
      <c r="R143" s="17">
        <f>S143/2*P143</f>
        <v>7740</v>
      </c>
      <c r="S143" s="90">
        <f>LOOKUP(M143,[2]Sheet1!$A:$A,[2]Sheet1!$J:$J)</f>
        <v>774</v>
      </c>
    </row>
    <row r="144" spans="11:19">
      <c r="K144" s="106" t="s">
        <v>855</v>
      </c>
      <c r="L144" s="17">
        <v>3</v>
      </c>
      <c r="M144" s="94">
        <v>10020214</v>
      </c>
      <c r="N144" s="15">
        <v>50</v>
      </c>
      <c r="O144" s="17">
        <v>1</v>
      </c>
      <c r="P144" s="15">
        <v>20</v>
      </c>
      <c r="Q144" s="17">
        <v>1</v>
      </c>
      <c r="R144" s="17">
        <f>S144/2*P144</f>
        <v>13550</v>
      </c>
      <c r="S144" s="90">
        <f>LOOKUP(M144,[2]Sheet1!$A:$A,[2]Sheet1!$J:$J)</f>
        <v>1355</v>
      </c>
    </row>
    <row r="145" spans="11:19">
      <c r="K145" s="97" t="s">
        <v>848</v>
      </c>
      <c r="L145" s="17">
        <v>3</v>
      </c>
      <c r="M145" s="94">
        <v>10020208</v>
      </c>
      <c r="N145" s="15">
        <v>50</v>
      </c>
      <c r="O145" s="17">
        <v>1</v>
      </c>
      <c r="P145" s="90">
        <v>1</v>
      </c>
      <c r="Q145" s="17">
        <v>1</v>
      </c>
      <c r="R145" s="17">
        <f>S145*15</f>
        <v>58050</v>
      </c>
      <c r="S145" s="90">
        <f>LOOKUP(M145,[2]Sheet1!$A:$A,[2]Sheet1!$J:$J)</f>
        <v>3870</v>
      </c>
    </row>
    <row r="146" spans="11:19">
      <c r="K146" s="101" t="s">
        <v>929</v>
      </c>
      <c r="L146" s="17">
        <v>3</v>
      </c>
      <c r="M146" s="94">
        <v>10020215</v>
      </c>
      <c r="N146" s="15">
        <v>50</v>
      </c>
      <c r="O146" s="17">
        <v>1</v>
      </c>
      <c r="P146" s="90">
        <v>1</v>
      </c>
      <c r="Q146" s="17">
        <v>1</v>
      </c>
      <c r="R146" s="17">
        <f>S146*30</f>
        <v>226140</v>
      </c>
      <c r="S146" s="90">
        <v>7538</v>
      </c>
    </row>
    <row r="147" spans="11:19">
      <c r="K147" s="101" t="s">
        <v>930</v>
      </c>
      <c r="L147" s="17">
        <v>3</v>
      </c>
      <c r="M147" s="94">
        <v>10020216</v>
      </c>
      <c r="N147" s="15">
        <v>50</v>
      </c>
      <c r="O147" s="17">
        <v>1</v>
      </c>
      <c r="P147" s="90">
        <v>1</v>
      </c>
      <c r="Q147" s="17">
        <v>1</v>
      </c>
      <c r="R147" s="17">
        <f>S147*30</f>
        <v>407940</v>
      </c>
      <c r="S147" s="90">
        <v>13598</v>
      </c>
    </row>
    <row r="148" spans="11:19">
      <c r="K148" s="97" t="s">
        <v>841</v>
      </c>
      <c r="L148" s="17">
        <v>2</v>
      </c>
      <c r="M148" s="94">
        <v>10020201</v>
      </c>
      <c r="N148" s="15">
        <v>50</v>
      </c>
      <c r="O148" s="17">
        <v>1</v>
      </c>
      <c r="P148" s="15">
        <v>20</v>
      </c>
      <c r="Q148" s="17">
        <v>1</v>
      </c>
      <c r="R148" s="115">
        <f t="shared" ref="R148:R154" si="10">S148*P148</f>
        <v>23600</v>
      </c>
      <c r="S148" s="90">
        <f>LOOKUP(M148,[2]Sheet1!$A:$A,[2]Sheet1!$J:$J)</f>
        <v>1180</v>
      </c>
    </row>
    <row r="149" spans="11:19">
      <c r="K149" s="97" t="s">
        <v>842</v>
      </c>
      <c r="L149" s="17">
        <v>2</v>
      </c>
      <c r="M149" s="94">
        <v>10020202</v>
      </c>
      <c r="N149" s="15">
        <v>50</v>
      </c>
      <c r="O149" s="17">
        <v>1</v>
      </c>
      <c r="P149" s="15">
        <v>20</v>
      </c>
      <c r="Q149" s="17">
        <v>1</v>
      </c>
      <c r="R149" s="115">
        <f t="shared" si="10"/>
        <v>24000</v>
      </c>
      <c r="S149" s="90">
        <f>LOOKUP(M149,[2]Sheet1!$A:$A,[2]Sheet1!$J:$J)</f>
        <v>1200</v>
      </c>
    </row>
    <row r="150" spans="11:19">
      <c r="K150" s="97" t="s">
        <v>843</v>
      </c>
      <c r="L150" s="17">
        <v>2</v>
      </c>
      <c r="M150" s="94">
        <v>10020203</v>
      </c>
      <c r="N150" s="15">
        <v>50</v>
      </c>
      <c r="O150" s="17">
        <v>1</v>
      </c>
      <c r="P150" s="15">
        <v>20</v>
      </c>
      <c r="Q150" s="17">
        <v>1</v>
      </c>
      <c r="R150" s="115">
        <f t="shared" si="10"/>
        <v>24500</v>
      </c>
      <c r="S150" s="90">
        <f>LOOKUP(M150,[2]Sheet1!$A:$A,[2]Sheet1!$J:$J)</f>
        <v>1225</v>
      </c>
    </row>
    <row r="151" spans="11:19">
      <c r="K151" s="97" t="s">
        <v>844</v>
      </c>
      <c r="L151" s="17">
        <v>2</v>
      </c>
      <c r="M151" s="94">
        <v>10020204</v>
      </c>
      <c r="N151" s="15">
        <v>50</v>
      </c>
      <c r="O151" s="17">
        <v>1</v>
      </c>
      <c r="P151" s="15">
        <v>20</v>
      </c>
      <c r="Q151" s="17">
        <v>1</v>
      </c>
      <c r="R151" s="115">
        <f t="shared" si="10"/>
        <v>24900</v>
      </c>
      <c r="S151" s="90">
        <f>LOOKUP(M151,[2]Sheet1!$A:$A,[2]Sheet1!$J:$J)</f>
        <v>1245</v>
      </c>
    </row>
    <row r="152" spans="11:19">
      <c r="K152" s="97" t="s">
        <v>845</v>
      </c>
      <c r="L152" s="17">
        <v>2</v>
      </c>
      <c r="M152" s="94">
        <v>10020205</v>
      </c>
      <c r="N152" s="15">
        <v>50</v>
      </c>
      <c r="O152" s="17">
        <v>1</v>
      </c>
      <c r="P152" s="15">
        <v>20</v>
      </c>
      <c r="Q152" s="17">
        <v>1</v>
      </c>
      <c r="R152" s="115">
        <f t="shared" si="10"/>
        <v>18700</v>
      </c>
      <c r="S152" s="90">
        <f>LOOKUP(M152,[2]Sheet1!$A:$A,[2]Sheet1!$J:$J)</f>
        <v>935</v>
      </c>
    </row>
    <row r="153" spans="11:19">
      <c r="K153" s="97" t="s">
        <v>846</v>
      </c>
      <c r="L153" s="17">
        <v>2</v>
      </c>
      <c r="M153" s="94">
        <v>10020206</v>
      </c>
      <c r="N153" s="15">
        <v>50</v>
      </c>
      <c r="O153" s="17">
        <v>1</v>
      </c>
      <c r="P153" s="15">
        <v>20</v>
      </c>
      <c r="Q153" s="17">
        <v>1</v>
      </c>
      <c r="R153" s="115">
        <f t="shared" si="10"/>
        <v>25800</v>
      </c>
      <c r="S153" s="90">
        <f>LOOKUP(M153,[2]Sheet1!$A:$A,[2]Sheet1!$J:$J)</f>
        <v>1290</v>
      </c>
    </row>
    <row r="154" spans="11:19">
      <c r="K154" s="97" t="s">
        <v>847</v>
      </c>
      <c r="L154" s="17">
        <v>2</v>
      </c>
      <c r="M154" s="94">
        <v>10020207</v>
      </c>
      <c r="N154" s="15">
        <v>50</v>
      </c>
      <c r="O154" s="17">
        <v>1</v>
      </c>
      <c r="P154" s="15">
        <v>20</v>
      </c>
      <c r="Q154" s="17">
        <v>1</v>
      </c>
      <c r="R154" s="115">
        <f t="shared" si="10"/>
        <v>77400</v>
      </c>
      <c r="S154" s="90">
        <f>LOOKUP(M154,[2]Sheet1!$A:$A,[2]Sheet1!$J:$J)</f>
        <v>3870</v>
      </c>
    </row>
    <row r="155" spans="11:19">
      <c r="K155" s="97" t="s">
        <v>841</v>
      </c>
      <c r="L155" s="17">
        <v>1</v>
      </c>
      <c r="M155" s="94">
        <v>10020201</v>
      </c>
      <c r="N155" s="15">
        <v>50</v>
      </c>
      <c r="O155" s="17">
        <v>1</v>
      </c>
      <c r="P155" s="15">
        <v>20</v>
      </c>
      <c r="Q155" s="17">
        <v>1</v>
      </c>
      <c r="R155" s="115">
        <f t="shared" ref="R155:R161" si="11">S155/2*P155</f>
        <v>11800</v>
      </c>
      <c r="S155" s="90">
        <f>LOOKUP(M155,[2]Sheet1!$A:$A,[2]Sheet1!$J:$J)</f>
        <v>1180</v>
      </c>
    </row>
    <row r="156" spans="11:19">
      <c r="K156" s="97" t="s">
        <v>842</v>
      </c>
      <c r="L156" s="17">
        <v>1</v>
      </c>
      <c r="M156" s="94">
        <v>10020202</v>
      </c>
      <c r="N156" s="15">
        <v>50</v>
      </c>
      <c r="O156" s="17">
        <v>1</v>
      </c>
      <c r="P156" s="15">
        <v>20</v>
      </c>
      <c r="Q156" s="17">
        <v>1</v>
      </c>
      <c r="R156" s="115">
        <f t="shared" si="11"/>
        <v>12000</v>
      </c>
      <c r="S156" s="90">
        <f>LOOKUP(M156,[2]Sheet1!$A:$A,[2]Sheet1!$J:$J)</f>
        <v>1200</v>
      </c>
    </row>
    <row r="157" spans="11:19">
      <c r="K157" s="97" t="s">
        <v>843</v>
      </c>
      <c r="L157" s="17">
        <v>1</v>
      </c>
      <c r="M157" s="94">
        <v>10020203</v>
      </c>
      <c r="N157" s="15">
        <v>50</v>
      </c>
      <c r="O157" s="17">
        <v>1</v>
      </c>
      <c r="P157" s="15">
        <v>20</v>
      </c>
      <c r="Q157" s="17">
        <v>1</v>
      </c>
      <c r="R157" s="115">
        <f t="shared" si="11"/>
        <v>12250</v>
      </c>
      <c r="S157" s="90">
        <f>LOOKUP(M157,[2]Sheet1!$A:$A,[2]Sheet1!$J:$J)</f>
        <v>1225</v>
      </c>
    </row>
    <row r="158" spans="11:19">
      <c r="K158" s="97" t="s">
        <v>844</v>
      </c>
      <c r="L158" s="17">
        <v>1</v>
      </c>
      <c r="M158" s="94">
        <v>10020204</v>
      </c>
      <c r="N158" s="15">
        <v>50</v>
      </c>
      <c r="O158" s="17">
        <v>1</v>
      </c>
      <c r="P158" s="15">
        <v>20</v>
      </c>
      <c r="Q158" s="17">
        <v>1</v>
      </c>
      <c r="R158" s="115">
        <f t="shared" si="11"/>
        <v>12450</v>
      </c>
      <c r="S158" s="90">
        <f>LOOKUP(M158,[2]Sheet1!$A:$A,[2]Sheet1!$J:$J)</f>
        <v>1245</v>
      </c>
    </row>
    <row r="159" spans="11:19">
      <c r="K159" s="97" t="s">
        <v>845</v>
      </c>
      <c r="L159" s="17">
        <v>1</v>
      </c>
      <c r="M159" s="94">
        <v>10020205</v>
      </c>
      <c r="N159" s="15">
        <v>50</v>
      </c>
      <c r="O159" s="17">
        <v>1</v>
      </c>
      <c r="P159" s="15">
        <v>20</v>
      </c>
      <c r="Q159" s="17">
        <v>1</v>
      </c>
      <c r="R159" s="115">
        <f t="shared" si="11"/>
        <v>9350</v>
      </c>
      <c r="S159" s="90">
        <f>LOOKUP(M159,[2]Sheet1!$A:$A,[2]Sheet1!$J:$J)</f>
        <v>935</v>
      </c>
    </row>
    <row r="160" spans="11:19">
      <c r="K160" s="97" t="s">
        <v>846</v>
      </c>
      <c r="L160" s="17">
        <v>1</v>
      </c>
      <c r="M160" s="94">
        <v>10020206</v>
      </c>
      <c r="N160" s="15">
        <v>50</v>
      </c>
      <c r="O160" s="17">
        <v>1</v>
      </c>
      <c r="P160" s="15">
        <v>20</v>
      </c>
      <c r="Q160" s="17">
        <v>1</v>
      </c>
      <c r="R160" s="115">
        <f t="shared" si="11"/>
        <v>12900</v>
      </c>
      <c r="S160" s="90">
        <f>LOOKUP(M160,[2]Sheet1!$A:$A,[2]Sheet1!$J:$J)</f>
        <v>1290</v>
      </c>
    </row>
    <row r="161" spans="11:19">
      <c r="K161" s="97" t="s">
        <v>847</v>
      </c>
      <c r="L161" s="17">
        <v>1</v>
      </c>
      <c r="M161" s="94">
        <v>10020207</v>
      </c>
      <c r="N161" s="15">
        <v>50</v>
      </c>
      <c r="O161" s="17">
        <v>1</v>
      </c>
      <c r="P161" s="15">
        <v>20</v>
      </c>
      <c r="Q161" s="17">
        <v>1</v>
      </c>
      <c r="R161" s="115">
        <f t="shared" si="11"/>
        <v>38700</v>
      </c>
      <c r="S161" s="90">
        <f>LOOKUP(M161,[2]Sheet1!$A:$A,[2]Sheet1!$J:$J)</f>
        <v>3870</v>
      </c>
    </row>
  </sheetData>
  <phoneticPr fontId="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I50"/>
  <sheetViews>
    <sheetView topLeftCell="A22" workbookViewId="0">
      <selection activeCell="P37" sqref="P37"/>
    </sheetView>
  </sheetViews>
  <sheetFormatPr defaultRowHeight="13.5"/>
  <cols>
    <col min="1" max="1" width="9" style="84"/>
    <col min="3" max="3" width="9" style="17"/>
    <col min="4" max="4" width="13.125" style="17" bestFit="1" customWidth="1"/>
    <col min="6" max="6" width="13" bestFit="1" customWidth="1"/>
    <col min="8" max="8" width="11.375" bestFit="1" customWidth="1"/>
    <col min="10" max="10" width="13.125" bestFit="1" customWidth="1"/>
    <col min="11" max="11" width="9.5" bestFit="1" customWidth="1"/>
    <col min="12" max="12" width="14.5" customWidth="1"/>
    <col min="14" max="14" width="11.375" bestFit="1" customWidth="1"/>
    <col min="16" max="16" width="11.375" bestFit="1" customWidth="1"/>
    <col min="19" max="19" width="11.375" bestFit="1" customWidth="1"/>
  </cols>
  <sheetData>
    <row r="1" spans="3:22" s="13" customFormat="1" ht="20.100000000000001" customHeight="1">
      <c r="C1" s="86"/>
      <c r="D1" s="86"/>
    </row>
    <row r="2" spans="3:22" s="13" customFormat="1" ht="20.100000000000001" customHeight="1">
      <c r="C2" s="86"/>
      <c r="D2" s="86"/>
    </row>
    <row r="3" spans="3:22" s="13" customFormat="1" ht="20.100000000000001" customHeight="1">
      <c r="C3" s="92" t="s">
        <v>960</v>
      </c>
      <c r="D3" s="92" t="s">
        <v>962</v>
      </c>
      <c r="E3" s="92" t="s">
        <v>963</v>
      </c>
    </row>
    <row r="4" spans="3:22" s="13" customFormat="1" ht="20.100000000000001" customHeight="1">
      <c r="D4" s="86" t="s">
        <v>961</v>
      </c>
      <c r="E4" s="90">
        <v>1000</v>
      </c>
      <c r="H4" s="86">
        <f>SUMIF([2]Sheet1!$B:$B,"="&amp;D4,[2]Sheet1!$A:$A)</f>
        <v>3</v>
      </c>
      <c r="I4" s="86">
        <f>E4</f>
        <v>1000</v>
      </c>
      <c r="J4" s="13" t="str">
        <f>H4&amp;","&amp;I4&amp;IF(H5="","",";")</f>
        <v>3,1000;</v>
      </c>
      <c r="L4" s="13" t="str">
        <f>J4&amp;J5&amp;J6</f>
        <v>3,1000;10010041,10;10010083,5</v>
      </c>
      <c r="N4" s="90" t="s">
        <v>978</v>
      </c>
      <c r="O4" s="90">
        <v>20</v>
      </c>
    </row>
    <row r="5" spans="3:22" s="13" customFormat="1" ht="20.100000000000001" customHeight="1">
      <c r="C5" s="86"/>
      <c r="D5" s="90" t="s">
        <v>964</v>
      </c>
      <c r="E5" s="90">
        <v>10</v>
      </c>
      <c r="H5" s="86">
        <f>SUMIF([2]Sheet1!$B:$B,"="&amp;D5,[2]Sheet1!$A:$A)</f>
        <v>10010041</v>
      </c>
      <c r="I5" s="86">
        <f t="shared" ref="I5:I6" si="0">E5</f>
        <v>10</v>
      </c>
      <c r="J5" s="13" t="str">
        <f t="shared" ref="J5:J6" si="1">H5&amp;","&amp;I5&amp;IF(H6="","",";")</f>
        <v>10010041,10;</v>
      </c>
    </row>
    <row r="6" spans="3:22" s="13" customFormat="1" ht="20.100000000000001" customHeight="1">
      <c r="C6" s="86"/>
      <c r="D6" s="90" t="s">
        <v>982</v>
      </c>
      <c r="E6" s="90">
        <v>5</v>
      </c>
      <c r="H6" s="86">
        <f>SUMIF([2]Sheet1!$B:$B,"="&amp;D6,[2]Sheet1!$A:$A)</f>
        <v>10010083</v>
      </c>
      <c r="I6" s="86">
        <f t="shared" si="0"/>
        <v>5</v>
      </c>
      <c r="J6" s="13" t="str">
        <f t="shared" si="1"/>
        <v>10010083,5</v>
      </c>
      <c r="N6" s="89"/>
      <c r="P6" s="85" t="s">
        <v>977</v>
      </c>
      <c r="Q6" s="85">
        <v>10</v>
      </c>
    </row>
    <row r="7" spans="3:22" s="13" customFormat="1" ht="20.100000000000001" customHeight="1">
      <c r="C7" s="86"/>
      <c r="D7" s="86"/>
      <c r="T7" s="89" t="s">
        <v>938</v>
      </c>
      <c r="U7" s="90">
        <v>1</v>
      </c>
    </row>
    <row r="8" spans="3:22" s="13" customFormat="1" ht="20.100000000000001" customHeight="1">
      <c r="C8" s="86"/>
      <c r="D8" s="86"/>
      <c r="F8" s="90"/>
      <c r="G8" s="85"/>
    </row>
    <row r="9" spans="3:22" s="13" customFormat="1" ht="20.100000000000001" customHeight="1">
      <c r="C9" s="86"/>
      <c r="D9" s="86"/>
    </row>
    <row r="10" spans="3:22" s="13" customFormat="1" ht="20.100000000000001" customHeight="1">
      <c r="C10" s="86" t="s">
        <v>966</v>
      </c>
      <c r="D10" s="86"/>
    </row>
    <row r="11" spans="3:22" s="13" customFormat="1" ht="20.100000000000001" customHeight="1">
      <c r="C11" s="86" t="s">
        <v>969</v>
      </c>
      <c r="D11" s="86" t="s">
        <v>983</v>
      </c>
      <c r="E11" s="90">
        <v>1</v>
      </c>
      <c r="F11" s="86" t="s">
        <v>982</v>
      </c>
      <c r="G11" s="85">
        <v>1</v>
      </c>
      <c r="H11" s="86" t="s">
        <v>979</v>
      </c>
      <c r="I11" s="90">
        <v>20</v>
      </c>
      <c r="J11" s="89"/>
      <c r="K11" s="89"/>
      <c r="M11" s="86">
        <f>SUMIF([2]Sheet1!$B:$B,"="&amp;D11,[2]Sheet1!$A:$A)</f>
        <v>10010071</v>
      </c>
      <c r="N11" s="86">
        <f>E11</f>
        <v>1</v>
      </c>
      <c r="O11" s="86">
        <f>SUMIF([2]Sheet1!$B:$B,"="&amp;F11,[2]Sheet1!$A:$A)</f>
        <v>10010083</v>
      </c>
      <c r="P11" s="86">
        <f>G11</f>
        <v>1</v>
      </c>
      <c r="Q11" s="86">
        <f>SUMIF([2]Sheet1!$B:$B,"="&amp;H11,[2]Sheet1!$A:$A)</f>
        <v>10010011</v>
      </c>
      <c r="R11" s="86">
        <f>I11</f>
        <v>20</v>
      </c>
      <c r="S11" s="86"/>
      <c r="T11" s="86"/>
      <c r="V11" s="88" t="str">
        <f t="shared" ref="V11:V17" si="2">M11&amp;","&amp;N11&amp;";"&amp;O11&amp;","&amp;P11&amp;";"&amp;Q11&amp;","&amp;R11&amp;";"&amp;S11&amp;","&amp;T11</f>
        <v>10010071,1;10010083,1;10010011,20;,</v>
      </c>
    </row>
    <row r="12" spans="3:22" s="13" customFormat="1" ht="20.100000000000001" customHeight="1">
      <c r="C12" s="86" t="s">
        <v>970</v>
      </c>
      <c r="D12" s="90" t="s">
        <v>961</v>
      </c>
      <c r="E12" s="90">
        <v>200</v>
      </c>
      <c r="F12" s="86" t="s">
        <v>982</v>
      </c>
      <c r="G12" s="90">
        <v>2</v>
      </c>
      <c r="H12" s="86" t="s">
        <v>984</v>
      </c>
      <c r="I12" s="90">
        <v>5</v>
      </c>
      <c r="J12" s="90" t="s">
        <v>980</v>
      </c>
      <c r="K12" s="90">
        <v>5</v>
      </c>
      <c r="M12" s="86">
        <f>SUMIF([2]Sheet1!$B:$B,"="&amp;D12,[2]Sheet1!$A:$A)</f>
        <v>3</v>
      </c>
      <c r="N12" s="86">
        <f t="shared" ref="N12:N13" si="3">E12</f>
        <v>200</v>
      </c>
      <c r="O12" s="86">
        <f>SUMIF([2]Sheet1!$B:$B,"="&amp;F12,[2]Sheet1!$A:$A)</f>
        <v>10010083</v>
      </c>
      <c r="P12" s="86">
        <f t="shared" ref="P12:P17" si="4">G12</f>
        <v>2</v>
      </c>
      <c r="Q12" s="86">
        <f>SUMIF([2]Sheet1!$B:$B,"="&amp;H12,[2]Sheet1!$A:$A)</f>
        <v>10010062</v>
      </c>
      <c r="R12" s="86">
        <f t="shared" ref="R12:R17" si="5">I12</f>
        <v>5</v>
      </c>
      <c r="S12" s="86">
        <f>SUMIF([2]Sheet1!$B:$B,"="&amp;J12,[2]Sheet1!$A:$A)</f>
        <v>10010034</v>
      </c>
      <c r="T12" s="86">
        <f t="shared" ref="T12:T17" si="6">K12</f>
        <v>5</v>
      </c>
      <c r="V12" s="88" t="str">
        <f t="shared" si="2"/>
        <v>3,200;10010083,2;10010062,5;10010034,5</v>
      </c>
    </row>
    <row r="13" spans="3:22" s="13" customFormat="1" ht="20.100000000000001" customHeight="1">
      <c r="C13" s="86" t="s">
        <v>971</v>
      </c>
      <c r="D13" s="90" t="s">
        <v>961</v>
      </c>
      <c r="E13" s="90">
        <v>300</v>
      </c>
      <c r="F13" s="86" t="s">
        <v>982</v>
      </c>
      <c r="G13" s="90">
        <v>2</v>
      </c>
      <c r="H13" s="86" t="s">
        <v>984</v>
      </c>
      <c r="I13" s="90">
        <v>5</v>
      </c>
      <c r="J13" s="90" t="s">
        <v>938</v>
      </c>
      <c r="K13" s="90">
        <v>1</v>
      </c>
      <c r="M13" s="86">
        <f>SUMIF([2]Sheet1!$B:$B,"="&amp;D13,[2]Sheet1!$A:$A)</f>
        <v>3</v>
      </c>
      <c r="N13" s="86">
        <f t="shared" si="3"/>
        <v>300</v>
      </c>
      <c r="O13" s="86">
        <f>SUMIF([2]Sheet1!$B:$B,"="&amp;F13,[2]Sheet1!$A:$A)</f>
        <v>10010083</v>
      </c>
      <c r="P13" s="86">
        <f t="shared" si="4"/>
        <v>2</v>
      </c>
      <c r="Q13" s="86">
        <f>SUMIF([2]Sheet1!$B:$B,"="&amp;H13,[2]Sheet1!$A:$A)</f>
        <v>10010062</v>
      </c>
      <c r="R13" s="86">
        <f t="shared" si="5"/>
        <v>5</v>
      </c>
      <c r="S13" s="86">
        <f>SUMIF([2]Sheet1!$B:$B,"="&amp;J13,[2]Sheet1!$A:$A)</f>
        <v>10010082</v>
      </c>
      <c r="T13" s="86">
        <f t="shared" si="6"/>
        <v>1</v>
      </c>
      <c r="V13" s="88" t="str">
        <f t="shared" si="2"/>
        <v>3,300;10010083,2;10010062,5;10010082,1</v>
      </c>
    </row>
    <row r="14" spans="3:22" s="13" customFormat="1" ht="20.100000000000001" customHeight="1">
      <c r="C14" s="86" t="s">
        <v>972</v>
      </c>
      <c r="D14" s="90" t="s">
        <v>961</v>
      </c>
      <c r="E14" s="90">
        <v>300</v>
      </c>
      <c r="F14" s="86" t="s">
        <v>982</v>
      </c>
      <c r="G14" s="90">
        <v>2</v>
      </c>
      <c r="H14" s="86" t="s">
        <v>985</v>
      </c>
      <c r="I14" s="90">
        <v>5</v>
      </c>
      <c r="J14" s="86" t="s">
        <v>986</v>
      </c>
      <c r="K14" s="90">
        <v>5</v>
      </c>
      <c r="M14" s="86">
        <f>SUMIF([2]Sheet1!$B:$B,"="&amp;D14,[2]Sheet1!$A:$A)</f>
        <v>3</v>
      </c>
      <c r="N14" s="86">
        <f t="shared" ref="N14:N17" si="7">E14</f>
        <v>300</v>
      </c>
      <c r="O14" s="86">
        <f>SUMIF([2]Sheet1!$B:$B,"="&amp;F14,[2]Sheet1!$A:$A)</f>
        <v>10010083</v>
      </c>
      <c r="P14" s="86">
        <f t="shared" si="4"/>
        <v>2</v>
      </c>
      <c r="Q14" s="86">
        <f>SUMIF([2]Sheet1!$B:$B,"="&amp;H14,[2]Sheet1!$A:$A)</f>
        <v>10010063</v>
      </c>
      <c r="R14" s="86">
        <f t="shared" si="5"/>
        <v>5</v>
      </c>
      <c r="S14" s="86">
        <f>SUMIF([2]Sheet1!$B:$B,"="&amp;J14,[2]Sheet1!$A:$A)</f>
        <v>10010073</v>
      </c>
      <c r="T14" s="86">
        <f t="shared" si="6"/>
        <v>5</v>
      </c>
      <c r="V14" s="88" t="str">
        <f t="shared" si="2"/>
        <v>3,300;10010083,2;10010063,5;10010073,5</v>
      </c>
    </row>
    <row r="15" spans="3:22" s="13" customFormat="1" ht="20.100000000000001" customHeight="1">
      <c r="C15" s="86" t="s">
        <v>973</v>
      </c>
      <c r="D15" s="90" t="s">
        <v>961</v>
      </c>
      <c r="E15" s="90">
        <v>300</v>
      </c>
      <c r="F15" s="86" t="s">
        <v>982</v>
      </c>
      <c r="G15" s="90">
        <v>3</v>
      </c>
      <c r="H15" s="86" t="s">
        <v>985</v>
      </c>
      <c r="I15" s="90">
        <v>5</v>
      </c>
      <c r="J15" s="86" t="s">
        <v>981</v>
      </c>
      <c r="K15" s="90">
        <v>1</v>
      </c>
      <c r="M15" s="86">
        <f>SUMIF([2]Sheet1!$B:$B,"="&amp;D15,[2]Sheet1!$A:$A)</f>
        <v>3</v>
      </c>
      <c r="N15" s="86">
        <f t="shared" si="7"/>
        <v>300</v>
      </c>
      <c r="O15" s="86">
        <f>SUMIF([2]Sheet1!$B:$B,"="&amp;F15,[2]Sheet1!$A:$A)</f>
        <v>10010083</v>
      </c>
      <c r="P15" s="86">
        <f t="shared" si="4"/>
        <v>3</v>
      </c>
      <c r="Q15" s="86">
        <f>SUMIF([2]Sheet1!$B:$B,"="&amp;H15,[2]Sheet1!$A:$A)</f>
        <v>10010063</v>
      </c>
      <c r="R15" s="86">
        <f t="shared" si="5"/>
        <v>5</v>
      </c>
      <c r="S15" s="86">
        <f>SUMIF([2]Sheet1!$B:$B,"="&amp;J15,[2]Sheet1!$A:$A)</f>
        <v>10010081</v>
      </c>
      <c r="T15" s="86">
        <f t="shared" si="6"/>
        <v>1</v>
      </c>
      <c r="V15" s="88" t="str">
        <f t="shared" si="2"/>
        <v>3,300;10010083,3;10010063,5;10010081,1</v>
      </c>
    </row>
    <row r="16" spans="3:22" s="13" customFormat="1" ht="20.100000000000001" customHeight="1">
      <c r="C16" s="86" t="s">
        <v>974</v>
      </c>
      <c r="D16" s="90" t="s">
        <v>961</v>
      </c>
      <c r="E16" s="90">
        <v>500</v>
      </c>
      <c r="F16" s="86" t="s">
        <v>982</v>
      </c>
      <c r="G16" s="90">
        <v>4</v>
      </c>
      <c r="H16" s="86" t="s">
        <v>985</v>
      </c>
      <c r="I16" s="90">
        <v>5</v>
      </c>
      <c r="J16" s="90" t="s">
        <v>938</v>
      </c>
      <c r="K16" s="90">
        <v>2</v>
      </c>
      <c r="M16" s="86">
        <f>SUMIF([2]Sheet1!$B:$B,"="&amp;D16,[2]Sheet1!$A:$A)</f>
        <v>3</v>
      </c>
      <c r="N16" s="86">
        <f t="shared" si="7"/>
        <v>500</v>
      </c>
      <c r="O16" s="86">
        <f>SUMIF([2]Sheet1!$B:$B,"="&amp;F16,[2]Sheet1!$A:$A)</f>
        <v>10010083</v>
      </c>
      <c r="P16" s="86">
        <f t="shared" si="4"/>
        <v>4</v>
      </c>
      <c r="Q16" s="86">
        <f>SUMIF([2]Sheet1!$B:$B,"="&amp;H16,[2]Sheet1!$A:$A)</f>
        <v>10010063</v>
      </c>
      <c r="R16" s="86">
        <f t="shared" si="5"/>
        <v>5</v>
      </c>
      <c r="S16" s="86">
        <f>SUMIF([2]Sheet1!$B:$B,"="&amp;J16,[2]Sheet1!$A:$A)</f>
        <v>10010082</v>
      </c>
      <c r="T16" s="86">
        <f t="shared" si="6"/>
        <v>2</v>
      </c>
      <c r="V16" s="88" t="str">
        <f t="shared" si="2"/>
        <v>3,500;10010083,4;10010063,5;10010082,2</v>
      </c>
    </row>
    <row r="17" spans="1:35" s="13" customFormat="1" ht="20.100000000000001" customHeight="1">
      <c r="C17" s="86" t="s">
        <v>975</v>
      </c>
      <c r="D17" s="90" t="s">
        <v>961</v>
      </c>
      <c r="E17" s="90">
        <v>500</v>
      </c>
      <c r="F17" s="86" t="s">
        <v>982</v>
      </c>
      <c r="G17" s="90">
        <v>5</v>
      </c>
      <c r="H17" s="86" t="s">
        <v>985</v>
      </c>
      <c r="I17" s="90">
        <v>5</v>
      </c>
      <c r="J17" s="90" t="s">
        <v>976</v>
      </c>
      <c r="K17" s="90">
        <v>1</v>
      </c>
      <c r="M17" s="86">
        <f>SUMIF([2]Sheet1!$B:$B,"="&amp;D17,[2]Sheet1!$A:$A)</f>
        <v>3</v>
      </c>
      <c r="N17" s="86">
        <f t="shared" si="7"/>
        <v>500</v>
      </c>
      <c r="O17" s="86">
        <f>SUMIF([2]Sheet1!$B:$B,"="&amp;F17,[2]Sheet1!$A:$A)</f>
        <v>10010083</v>
      </c>
      <c r="P17" s="86">
        <f t="shared" si="4"/>
        <v>5</v>
      </c>
      <c r="Q17" s="86">
        <f>SUMIF([2]Sheet1!$B:$B,"="&amp;H17,[2]Sheet1!$A:$A)</f>
        <v>10010063</v>
      </c>
      <c r="R17" s="86">
        <f t="shared" si="5"/>
        <v>5</v>
      </c>
      <c r="S17" s="86">
        <f>SUMIF([2]Sheet1!$B:$B,"="&amp;J17,[2]Sheet1!$A:$A)</f>
        <v>10010033</v>
      </c>
      <c r="T17" s="86">
        <f t="shared" si="6"/>
        <v>1</v>
      </c>
      <c r="V17" s="88" t="str">
        <f t="shared" si="2"/>
        <v>3,500;10010083,5;10010063,5;10010033,1</v>
      </c>
    </row>
    <row r="18" spans="1:35" s="13" customFormat="1" ht="20.100000000000001" customHeight="1">
      <c r="C18" s="86"/>
      <c r="D18" s="86"/>
    </row>
    <row r="19" spans="1:35" s="13" customFormat="1" ht="20.100000000000001" customHeight="1">
      <c r="C19" s="86"/>
      <c r="D19" s="86"/>
    </row>
    <row r="20" spans="1:35" s="13" customFormat="1" ht="20.100000000000001" customHeight="1">
      <c r="C20" s="86" t="s">
        <v>967</v>
      </c>
      <c r="D20" s="86"/>
      <c r="E20" s="89"/>
      <c r="F20" s="89"/>
      <c r="G20" s="89"/>
      <c r="H20" s="89"/>
      <c r="I20" s="89"/>
      <c r="J20" s="89"/>
      <c r="K20" s="89"/>
    </row>
    <row r="21" spans="1:35" s="13" customFormat="1" ht="20.100000000000001" customHeight="1">
      <c r="C21" s="86" t="s">
        <v>968</v>
      </c>
      <c r="D21" s="86" t="s">
        <v>962</v>
      </c>
      <c r="E21" s="90" t="s">
        <v>963</v>
      </c>
      <c r="F21" s="89"/>
      <c r="G21" s="89"/>
      <c r="H21" s="89"/>
      <c r="I21" s="89"/>
      <c r="J21" s="89"/>
      <c r="K21" s="89"/>
    </row>
    <row r="22" spans="1:35" s="13" customFormat="1" ht="20.100000000000001" customHeight="1">
      <c r="A22" s="86">
        <f>ROUND(B22/3*100,-3)</f>
        <v>1000</v>
      </c>
      <c r="B22" s="86">
        <f>C22</f>
        <v>30</v>
      </c>
      <c r="C22" s="86">
        <v>30</v>
      </c>
      <c r="D22" s="86" t="s">
        <v>961</v>
      </c>
      <c r="E22" s="90">
        <v>1000</v>
      </c>
      <c r="F22" s="90" t="s">
        <v>982</v>
      </c>
      <c r="G22" s="90">
        <v>5</v>
      </c>
      <c r="H22" s="90" t="s">
        <v>964</v>
      </c>
      <c r="I22" s="90">
        <v>10</v>
      </c>
      <c r="J22" s="90" t="s">
        <v>965</v>
      </c>
      <c r="K22" s="90">
        <f>I22</f>
        <v>10</v>
      </c>
      <c r="L22" s="86" t="s">
        <v>981</v>
      </c>
      <c r="M22" s="90">
        <v>5</v>
      </c>
      <c r="N22" s="86" t="s">
        <v>987</v>
      </c>
      <c r="O22" s="90">
        <v>1</v>
      </c>
      <c r="R22" s="120"/>
      <c r="S22" s="86">
        <f>C22</f>
        <v>30</v>
      </c>
      <c r="T22" s="86" t="e">
        <f>SUMIF([4]Sheet1!$B:$B,"="&amp;D22,[4]Sheet1!$A:$A)</f>
        <v>#VALUE!</v>
      </c>
      <c r="U22" s="86">
        <f>E22</f>
        <v>1000</v>
      </c>
      <c r="V22" s="86" t="e">
        <f>SUMIF([4]Sheet1!$B:$B,"="&amp;F22,[4]Sheet1!$A:$A)</f>
        <v>#VALUE!</v>
      </c>
      <c r="W22" s="86">
        <f>G22</f>
        <v>5</v>
      </c>
      <c r="X22" s="86" t="e">
        <f>SUMIF([4]Sheet1!$B:$B,"="&amp;H22,[4]Sheet1!$A:$A)</f>
        <v>#VALUE!</v>
      </c>
      <c r="Y22" s="86">
        <f>I22</f>
        <v>10</v>
      </c>
      <c r="Z22" s="86" t="e">
        <f>SUMIF([4]Sheet1!$B:$B,"="&amp;J22,[4]Sheet1!$A:$A)</f>
        <v>#VALUE!</v>
      </c>
      <c r="AA22" s="86">
        <f>K22</f>
        <v>10</v>
      </c>
      <c r="AB22" s="119">
        <v>10010081</v>
      </c>
      <c r="AC22" s="86">
        <f>M22</f>
        <v>5</v>
      </c>
      <c r="AD22" s="118">
        <v>10010026</v>
      </c>
      <c r="AE22" s="86">
        <f>O22</f>
        <v>1</v>
      </c>
      <c r="AI22" s="88" t="e">
        <f>S22&amp;";"&amp;T22&amp;","&amp;U22&amp;";"&amp;V22&amp;","&amp;W22&amp;";"&amp;X22&amp;","&amp;Y22&amp;";"&amp;Z22&amp;","&amp;AA22&amp;";"&amp;AB22&amp;","&amp;AC22&amp;";"&amp;AD22&amp;","&amp;AE22&amp;";"&amp;AF22&amp;","&amp;AG22</f>
        <v>#VALUE!</v>
      </c>
    </row>
    <row r="23" spans="1:35" s="13" customFormat="1" ht="20.100000000000001" customHeight="1">
      <c r="A23" s="86">
        <f t="shared" ref="A23:A34" si="8">ROUND(B23/3*100,-3)</f>
        <v>1000</v>
      </c>
      <c r="B23" s="86">
        <f>C23-C22</f>
        <v>40</v>
      </c>
      <c r="C23" s="86">
        <v>70</v>
      </c>
      <c r="D23" s="86" t="s">
        <v>961</v>
      </c>
      <c r="E23" s="90">
        <v>1500</v>
      </c>
      <c r="F23" s="90" t="s">
        <v>982</v>
      </c>
      <c r="G23" s="90">
        <v>10</v>
      </c>
      <c r="H23" s="90" t="s">
        <v>964</v>
      </c>
      <c r="I23" s="90">
        <v>10</v>
      </c>
      <c r="J23" s="90" t="s">
        <v>965</v>
      </c>
      <c r="K23" s="90">
        <f t="shared" ref="K23:K34" si="9">I23</f>
        <v>10</v>
      </c>
      <c r="L23" s="86" t="s">
        <v>981</v>
      </c>
      <c r="M23" s="90">
        <v>5</v>
      </c>
      <c r="N23" s="86" t="s">
        <v>987</v>
      </c>
      <c r="O23" s="90">
        <v>1</v>
      </c>
      <c r="P23" s="86" t="s">
        <v>976</v>
      </c>
      <c r="Q23" s="90">
        <v>2</v>
      </c>
      <c r="S23" s="86">
        <f t="shared" ref="S23:S34" si="10">C23</f>
        <v>70</v>
      </c>
      <c r="T23" s="86" t="e">
        <f>SUMIF([4]Sheet1!$B:$B,"="&amp;D23,[4]Sheet1!$A:$A)</f>
        <v>#VALUE!</v>
      </c>
      <c r="U23" s="86">
        <f t="shared" ref="U23:U34" si="11">E23</f>
        <v>1500</v>
      </c>
      <c r="V23" s="86" t="e">
        <f>SUMIF([4]Sheet1!$B:$B,"="&amp;F23,[4]Sheet1!$A:$A)</f>
        <v>#VALUE!</v>
      </c>
      <c r="W23" s="86">
        <f t="shared" ref="W23:W34" si="12">G23</f>
        <v>10</v>
      </c>
      <c r="X23" s="86" t="e">
        <f>SUMIF([4]Sheet1!$B:$B,"="&amp;H23,[4]Sheet1!$A:$A)</f>
        <v>#VALUE!</v>
      </c>
      <c r="Y23" s="86">
        <f t="shared" ref="Y23:Y34" si="13">I23</f>
        <v>10</v>
      </c>
      <c r="Z23" s="86" t="e">
        <f>SUMIF([4]Sheet1!$B:$B,"="&amp;J23,[4]Sheet1!$A:$A)</f>
        <v>#VALUE!</v>
      </c>
      <c r="AA23" s="86">
        <f t="shared" ref="AA23:AA34" si="14">K23</f>
        <v>10</v>
      </c>
      <c r="AB23" s="119">
        <v>10010081</v>
      </c>
      <c r="AC23" s="86">
        <f t="shared" ref="AC23:AC34" si="15">M23</f>
        <v>5</v>
      </c>
      <c r="AD23" s="118">
        <v>10010026</v>
      </c>
      <c r="AE23" s="86">
        <f t="shared" ref="AE23:AE34" si="16">O23</f>
        <v>1</v>
      </c>
      <c r="AF23" s="86">
        <f>SUMIF([2]Sheet1!$B:$B,"="&amp;P23,[2]Sheet1!$A:$A)</f>
        <v>10010033</v>
      </c>
      <c r="AG23" s="86">
        <f>Q23</f>
        <v>2</v>
      </c>
      <c r="AI23" s="88" t="e">
        <f>S23&amp;";"&amp;T23&amp;","&amp;U23&amp;";"&amp;V23&amp;","&amp;W23&amp;";"&amp;X23&amp;","&amp;Y23&amp;";"&amp;Z23&amp;","&amp;AA23&amp;";"&amp;AB23&amp;","&amp;AC23&amp;";"&amp;AD23&amp;","&amp;AE23&amp;";"&amp;AF23&amp;","&amp;AG23</f>
        <v>#VALUE!</v>
      </c>
    </row>
    <row r="24" spans="1:35" s="13" customFormat="1" ht="20.100000000000001" customHeight="1">
      <c r="A24" s="86">
        <f t="shared" si="8"/>
        <v>3000</v>
      </c>
      <c r="B24" s="86">
        <f t="shared" ref="B24:B34" si="17">C24-C23</f>
        <v>80</v>
      </c>
      <c r="C24" s="86">
        <v>150</v>
      </c>
      <c r="D24" s="86" t="s">
        <v>961</v>
      </c>
      <c r="E24" s="90">
        <v>3000</v>
      </c>
      <c r="F24" s="90" t="s">
        <v>982</v>
      </c>
      <c r="G24" s="90">
        <v>15</v>
      </c>
      <c r="H24" s="90" t="s">
        <v>964</v>
      </c>
      <c r="I24" s="90">
        <v>20</v>
      </c>
      <c r="J24" s="90" t="s">
        <v>965</v>
      </c>
      <c r="K24" s="90">
        <f t="shared" si="9"/>
        <v>20</v>
      </c>
      <c r="L24" s="86" t="s">
        <v>981</v>
      </c>
      <c r="M24" s="90">
        <v>10</v>
      </c>
      <c r="N24" s="86" t="s">
        <v>987</v>
      </c>
      <c r="O24" s="90">
        <v>1</v>
      </c>
      <c r="P24" s="86" t="s">
        <v>976</v>
      </c>
      <c r="Q24" s="90">
        <v>3</v>
      </c>
      <c r="S24" s="86">
        <f t="shared" si="10"/>
        <v>150</v>
      </c>
      <c r="T24" s="86" t="e">
        <f>SUMIF([4]Sheet1!$B:$B,"="&amp;D24,[4]Sheet1!$A:$A)</f>
        <v>#VALUE!</v>
      </c>
      <c r="U24" s="86">
        <f t="shared" si="11"/>
        <v>3000</v>
      </c>
      <c r="V24" s="86" t="e">
        <f>SUMIF([4]Sheet1!$B:$B,"="&amp;F24,[4]Sheet1!$A:$A)</f>
        <v>#VALUE!</v>
      </c>
      <c r="W24" s="86">
        <f t="shared" si="12"/>
        <v>15</v>
      </c>
      <c r="X24" s="86" t="e">
        <f>SUMIF([4]Sheet1!$B:$B,"="&amp;H24,[4]Sheet1!$A:$A)</f>
        <v>#VALUE!</v>
      </c>
      <c r="Y24" s="86">
        <f t="shared" si="13"/>
        <v>20</v>
      </c>
      <c r="Z24" s="86" t="e">
        <f>SUMIF([4]Sheet1!$B:$B,"="&amp;J24,[4]Sheet1!$A:$A)</f>
        <v>#VALUE!</v>
      </c>
      <c r="AA24" s="86">
        <f t="shared" si="14"/>
        <v>20</v>
      </c>
      <c r="AB24" s="119">
        <v>10010081</v>
      </c>
      <c r="AC24" s="86">
        <f t="shared" si="15"/>
        <v>10</v>
      </c>
      <c r="AD24" s="118">
        <v>10010026</v>
      </c>
      <c r="AE24" s="86">
        <f t="shared" si="16"/>
        <v>1</v>
      </c>
      <c r="AF24" s="86">
        <f>SUMIF([2]Sheet1!$B:$B,"="&amp;P24,[2]Sheet1!$A:$A)</f>
        <v>10010033</v>
      </c>
      <c r="AG24" s="86">
        <f t="shared" ref="AG24:AG34" si="18">Q24</f>
        <v>3</v>
      </c>
      <c r="AI24" s="88" t="e">
        <f t="shared" ref="AI24:AI34" si="19">S24&amp;";"&amp;T24&amp;","&amp;U24&amp;";"&amp;V24&amp;","&amp;W24&amp;";"&amp;X24&amp;","&amp;Y24&amp;";"&amp;Z24&amp;","&amp;AA24&amp;";"&amp;AB24&amp;","&amp;AC24&amp;";"&amp;AD24&amp;","&amp;AE24&amp;";"&amp;AF24&amp;","&amp;AG24</f>
        <v>#VALUE!</v>
      </c>
    </row>
    <row r="25" spans="1:35" s="13" customFormat="1" ht="20.100000000000001" customHeight="1">
      <c r="A25" s="86">
        <f t="shared" si="8"/>
        <v>5000</v>
      </c>
      <c r="B25" s="86">
        <f t="shared" si="17"/>
        <v>150</v>
      </c>
      <c r="C25" s="86">
        <v>300</v>
      </c>
      <c r="D25" s="86" t="s">
        <v>961</v>
      </c>
      <c r="E25" s="90">
        <v>5000</v>
      </c>
      <c r="F25" s="90" t="s">
        <v>982</v>
      </c>
      <c r="G25" s="90">
        <v>20</v>
      </c>
      <c r="H25" s="90" t="s">
        <v>964</v>
      </c>
      <c r="I25" s="90">
        <v>30</v>
      </c>
      <c r="J25" s="90" t="s">
        <v>965</v>
      </c>
      <c r="K25" s="90">
        <f t="shared" si="9"/>
        <v>30</v>
      </c>
      <c r="L25" s="86" t="s">
        <v>981</v>
      </c>
      <c r="M25" s="90">
        <v>10</v>
      </c>
      <c r="N25" s="86" t="s">
        <v>987</v>
      </c>
      <c r="O25" s="90">
        <v>2</v>
      </c>
      <c r="P25" s="86" t="s">
        <v>976</v>
      </c>
      <c r="Q25" s="90">
        <v>4</v>
      </c>
      <c r="S25" s="86">
        <f t="shared" si="10"/>
        <v>300</v>
      </c>
      <c r="T25" s="86" t="e">
        <f>SUMIF([4]Sheet1!$B:$B,"="&amp;D25,[4]Sheet1!$A:$A)</f>
        <v>#VALUE!</v>
      </c>
      <c r="U25" s="86">
        <f t="shared" si="11"/>
        <v>5000</v>
      </c>
      <c r="V25" s="86" t="e">
        <f>SUMIF([4]Sheet1!$B:$B,"="&amp;F25,[4]Sheet1!$A:$A)</f>
        <v>#VALUE!</v>
      </c>
      <c r="W25" s="86">
        <f t="shared" si="12"/>
        <v>20</v>
      </c>
      <c r="X25" s="86" t="e">
        <f>SUMIF([4]Sheet1!$B:$B,"="&amp;H25,[4]Sheet1!$A:$A)</f>
        <v>#VALUE!</v>
      </c>
      <c r="Y25" s="86">
        <f t="shared" si="13"/>
        <v>30</v>
      </c>
      <c r="Z25" s="86" t="e">
        <f>SUMIF([4]Sheet1!$B:$B,"="&amp;J25,[4]Sheet1!$A:$A)</f>
        <v>#VALUE!</v>
      </c>
      <c r="AA25" s="86">
        <f t="shared" si="14"/>
        <v>30</v>
      </c>
      <c r="AB25" s="119">
        <v>10010081</v>
      </c>
      <c r="AC25" s="86">
        <f t="shared" si="15"/>
        <v>10</v>
      </c>
      <c r="AD25" s="118">
        <v>10010026</v>
      </c>
      <c r="AE25" s="86">
        <f t="shared" si="16"/>
        <v>2</v>
      </c>
      <c r="AF25" s="86">
        <f>SUMIF([2]Sheet1!$B:$B,"="&amp;P25,[2]Sheet1!$A:$A)</f>
        <v>10010033</v>
      </c>
      <c r="AG25" s="86">
        <f t="shared" si="18"/>
        <v>4</v>
      </c>
      <c r="AI25" s="88" t="e">
        <f t="shared" si="19"/>
        <v>#VALUE!</v>
      </c>
    </row>
    <row r="26" spans="1:35" s="13" customFormat="1" ht="20.100000000000001" customHeight="1">
      <c r="A26" s="86">
        <f t="shared" si="8"/>
        <v>7000</v>
      </c>
      <c r="B26" s="86">
        <f t="shared" si="17"/>
        <v>200</v>
      </c>
      <c r="C26" s="86">
        <v>500</v>
      </c>
      <c r="D26" s="86" t="s">
        <v>961</v>
      </c>
      <c r="E26" s="90">
        <v>7000</v>
      </c>
      <c r="F26" s="90" t="s">
        <v>982</v>
      </c>
      <c r="G26" s="90">
        <v>25</v>
      </c>
      <c r="H26" s="90" t="s">
        <v>964</v>
      </c>
      <c r="I26" s="90">
        <v>40</v>
      </c>
      <c r="J26" s="90" t="s">
        <v>965</v>
      </c>
      <c r="K26" s="90">
        <f t="shared" si="9"/>
        <v>40</v>
      </c>
      <c r="L26" s="86" t="s">
        <v>981</v>
      </c>
      <c r="M26" s="90">
        <v>15</v>
      </c>
      <c r="N26" s="86" t="s">
        <v>987</v>
      </c>
      <c r="O26" s="90">
        <v>2</v>
      </c>
      <c r="P26" s="86" t="s">
        <v>976</v>
      </c>
      <c r="Q26" s="90">
        <v>5</v>
      </c>
      <c r="S26" s="86">
        <f t="shared" si="10"/>
        <v>500</v>
      </c>
      <c r="T26" s="86" t="e">
        <f>SUMIF([4]Sheet1!$B:$B,"="&amp;D26,[4]Sheet1!$A:$A)</f>
        <v>#VALUE!</v>
      </c>
      <c r="U26" s="86">
        <f t="shared" si="11"/>
        <v>7000</v>
      </c>
      <c r="V26" s="86" t="e">
        <f>SUMIF([4]Sheet1!$B:$B,"="&amp;F26,[4]Sheet1!$A:$A)</f>
        <v>#VALUE!</v>
      </c>
      <c r="W26" s="86">
        <f t="shared" si="12"/>
        <v>25</v>
      </c>
      <c r="X26" s="86" t="e">
        <f>SUMIF([4]Sheet1!$B:$B,"="&amp;H26,[4]Sheet1!$A:$A)</f>
        <v>#VALUE!</v>
      </c>
      <c r="Y26" s="86">
        <f t="shared" si="13"/>
        <v>40</v>
      </c>
      <c r="Z26" s="86" t="e">
        <f>SUMIF([4]Sheet1!$B:$B,"="&amp;J26,[4]Sheet1!$A:$A)</f>
        <v>#VALUE!</v>
      </c>
      <c r="AA26" s="86">
        <f t="shared" si="14"/>
        <v>40</v>
      </c>
      <c r="AB26" s="119">
        <v>10010081</v>
      </c>
      <c r="AC26" s="86">
        <f t="shared" si="15"/>
        <v>15</v>
      </c>
      <c r="AD26" s="118">
        <v>10010026</v>
      </c>
      <c r="AE26" s="86">
        <f t="shared" si="16"/>
        <v>2</v>
      </c>
      <c r="AF26" s="86">
        <f>SUMIF([2]Sheet1!$B:$B,"="&amp;P26,[2]Sheet1!$A:$A)</f>
        <v>10010033</v>
      </c>
      <c r="AG26" s="86">
        <f t="shared" si="18"/>
        <v>5</v>
      </c>
      <c r="AI26" s="88" t="e">
        <f t="shared" si="19"/>
        <v>#VALUE!</v>
      </c>
    </row>
    <row r="27" spans="1:35" s="13" customFormat="1" ht="20.100000000000001" customHeight="1">
      <c r="A27" s="86">
        <f t="shared" si="8"/>
        <v>10000</v>
      </c>
      <c r="B27" s="86">
        <f t="shared" si="17"/>
        <v>300</v>
      </c>
      <c r="C27" s="86">
        <v>800</v>
      </c>
      <c r="D27" s="86" t="s">
        <v>961</v>
      </c>
      <c r="E27" s="90">
        <v>10000</v>
      </c>
      <c r="F27" s="90" t="s">
        <v>982</v>
      </c>
      <c r="G27" s="90">
        <v>30</v>
      </c>
      <c r="H27" s="90" t="s">
        <v>964</v>
      </c>
      <c r="I27" s="90">
        <v>50</v>
      </c>
      <c r="J27" s="90" t="s">
        <v>965</v>
      </c>
      <c r="K27" s="90">
        <f t="shared" si="9"/>
        <v>50</v>
      </c>
      <c r="L27" s="86" t="s">
        <v>981</v>
      </c>
      <c r="M27" s="90">
        <v>15</v>
      </c>
      <c r="N27" s="86" t="s">
        <v>987</v>
      </c>
      <c r="O27" s="90">
        <v>2</v>
      </c>
      <c r="P27" s="86" t="s">
        <v>976</v>
      </c>
      <c r="Q27" s="90">
        <v>7</v>
      </c>
      <c r="S27" s="86">
        <f t="shared" si="10"/>
        <v>800</v>
      </c>
      <c r="T27" s="86" t="e">
        <f>SUMIF([4]Sheet1!$B:$B,"="&amp;D27,[4]Sheet1!$A:$A)</f>
        <v>#VALUE!</v>
      </c>
      <c r="U27" s="86">
        <f t="shared" si="11"/>
        <v>10000</v>
      </c>
      <c r="V27" s="86" t="e">
        <f>SUMIF([4]Sheet1!$B:$B,"="&amp;F27,[4]Sheet1!$A:$A)</f>
        <v>#VALUE!</v>
      </c>
      <c r="W27" s="86">
        <f t="shared" si="12"/>
        <v>30</v>
      </c>
      <c r="X27" s="86" t="e">
        <f>SUMIF([4]Sheet1!$B:$B,"="&amp;H27,[4]Sheet1!$A:$A)</f>
        <v>#VALUE!</v>
      </c>
      <c r="Y27" s="86">
        <f t="shared" si="13"/>
        <v>50</v>
      </c>
      <c r="Z27" s="86" t="e">
        <f>SUMIF([4]Sheet1!$B:$B,"="&amp;J27,[4]Sheet1!$A:$A)</f>
        <v>#VALUE!</v>
      </c>
      <c r="AA27" s="86">
        <f t="shared" si="14"/>
        <v>50</v>
      </c>
      <c r="AB27" s="119">
        <v>10010081</v>
      </c>
      <c r="AC27" s="86">
        <f t="shared" si="15"/>
        <v>15</v>
      </c>
      <c r="AD27" s="118">
        <v>10010026</v>
      </c>
      <c r="AE27" s="86">
        <f t="shared" si="16"/>
        <v>2</v>
      </c>
      <c r="AF27" s="86">
        <f>SUMIF([2]Sheet1!$B:$B,"="&amp;P27,[2]Sheet1!$A:$A)</f>
        <v>10010033</v>
      </c>
      <c r="AG27" s="86">
        <f t="shared" si="18"/>
        <v>7</v>
      </c>
      <c r="AI27" s="88" t="e">
        <f t="shared" si="19"/>
        <v>#VALUE!</v>
      </c>
    </row>
    <row r="28" spans="1:35" s="13" customFormat="1" ht="20.100000000000001" customHeight="1">
      <c r="A28" s="86">
        <f t="shared" si="8"/>
        <v>17000</v>
      </c>
      <c r="B28" s="86">
        <f t="shared" si="17"/>
        <v>500</v>
      </c>
      <c r="C28" s="86">
        <v>1300</v>
      </c>
      <c r="D28" s="86" t="s">
        <v>961</v>
      </c>
      <c r="E28" s="90">
        <v>15000</v>
      </c>
      <c r="F28" s="90" t="s">
        <v>982</v>
      </c>
      <c r="G28" s="90">
        <v>40</v>
      </c>
      <c r="H28" s="90" t="s">
        <v>964</v>
      </c>
      <c r="I28" s="90">
        <v>50</v>
      </c>
      <c r="J28" s="90" t="s">
        <v>965</v>
      </c>
      <c r="K28" s="90">
        <f t="shared" si="9"/>
        <v>50</v>
      </c>
      <c r="L28" s="86" t="s">
        <v>981</v>
      </c>
      <c r="M28" s="90">
        <v>20</v>
      </c>
      <c r="N28" s="86" t="s">
        <v>987</v>
      </c>
      <c r="O28" s="90">
        <v>3</v>
      </c>
      <c r="P28" s="86" t="s">
        <v>976</v>
      </c>
      <c r="Q28" s="90">
        <v>10</v>
      </c>
      <c r="S28" s="86">
        <f t="shared" si="10"/>
        <v>1300</v>
      </c>
      <c r="T28" s="86" t="e">
        <f>SUMIF([4]Sheet1!$B:$B,"="&amp;D28,[4]Sheet1!$A:$A)</f>
        <v>#VALUE!</v>
      </c>
      <c r="U28" s="86">
        <f t="shared" si="11"/>
        <v>15000</v>
      </c>
      <c r="V28" s="86" t="e">
        <f>SUMIF([4]Sheet1!$B:$B,"="&amp;F28,[4]Sheet1!$A:$A)</f>
        <v>#VALUE!</v>
      </c>
      <c r="W28" s="86">
        <f t="shared" si="12"/>
        <v>40</v>
      </c>
      <c r="X28" s="86" t="e">
        <f>SUMIF([4]Sheet1!$B:$B,"="&amp;H28,[4]Sheet1!$A:$A)</f>
        <v>#VALUE!</v>
      </c>
      <c r="Y28" s="86">
        <f t="shared" si="13"/>
        <v>50</v>
      </c>
      <c r="Z28" s="86" t="e">
        <f>SUMIF([4]Sheet1!$B:$B,"="&amp;J28,[4]Sheet1!$A:$A)</f>
        <v>#VALUE!</v>
      </c>
      <c r="AA28" s="86">
        <f t="shared" si="14"/>
        <v>50</v>
      </c>
      <c r="AB28" s="119">
        <v>10010081</v>
      </c>
      <c r="AC28" s="86">
        <f t="shared" si="15"/>
        <v>20</v>
      </c>
      <c r="AD28" s="118">
        <v>10010026</v>
      </c>
      <c r="AE28" s="86">
        <f t="shared" si="16"/>
        <v>3</v>
      </c>
      <c r="AF28" s="86">
        <f>SUMIF([2]Sheet1!$B:$B,"="&amp;P28,[2]Sheet1!$A:$A)</f>
        <v>10010033</v>
      </c>
      <c r="AG28" s="86">
        <f t="shared" si="18"/>
        <v>10</v>
      </c>
      <c r="AI28" s="88" t="e">
        <f t="shared" si="19"/>
        <v>#VALUE!</v>
      </c>
    </row>
    <row r="29" spans="1:35" s="13" customFormat="1" ht="20.100000000000001" customHeight="1">
      <c r="A29" s="86">
        <f t="shared" si="8"/>
        <v>23000</v>
      </c>
      <c r="B29" s="86">
        <f t="shared" si="17"/>
        <v>700</v>
      </c>
      <c r="C29" s="86">
        <v>2000</v>
      </c>
      <c r="D29" s="86" t="s">
        <v>961</v>
      </c>
      <c r="E29" s="90">
        <v>20000</v>
      </c>
      <c r="F29" s="90" t="s">
        <v>982</v>
      </c>
      <c r="G29" s="90">
        <v>50</v>
      </c>
      <c r="H29" s="90" t="s">
        <v>964</v>
      </c>
      <c r="I29" s="90">
        <v>60</v>
      </c>
      <c r="J29" s="90" t="s">
        <v>965</v>
      </c>
      <c r="K29" s="90">
        <f t="shared" si="9"/>
        <v>60</v>
      </c>
      <c r="L29" s="86" t="s">
        <v>981</v>
      </c>
      <c r="M29" s="90">
        <v>20</v>
      </c>
      <c r="N29" s="86" t="s">
        <v>987</v>
      </c>
      <c r="O29" s="90">
        <v>3</v>
      </c>
      <c r="P29" s="86" t="s">
        <v>976</v>
      </c>
      <c r="Q29" s="90">
        <v>12</v>
      </c>
      <c r="S29" s="86">
        <f t="shared" si="10"/>
        <v>2000</v>
      </c>
      <c r="T29" s="86" t="e">
        <f>SUMIF([4]Sheet1!$B:$B,"="&amp;D29,[4]Sheet1!$A:$A)</f>
        <v>#VALUE!</v>
      </c>
      <c r="U29" s="86">
        <f t="shared" si="11"/>
        <v>20000</v>
      </c>
      <c r="V29" s="86" t="e">
        <f>SUMIF([4]Sheet1!$B:$B,"="&amp;F29,[4]Sheet1!$A:$A)</f>
        <v>#VALUE!</v>
      </c>
      <c r="W29" s="86">
        <f t="shared" si="12"/>
        <v>50</v>
      </c>
      <c r="X29" s="86" t="e">
        <f>SUMIF([4]Sheet1!$B:$B,"="&amp;H29,[4]Sheet1!$A:$A)</f>
        <v>#VALUE!</v>
      </c>
      <c r="Y29" s="86">
        <f t="shared" si="13"/>
        <v>60</v>
      </c>
      <c r="Z29" s="86" t="e">
        <f>SUMIF([4]Sheet1!$B:$B,"="&amp;J29,[4]Sheet1!$A:$A)</f>
        <v>#VALUE!</v>
      </c>
      <c r="AA29" s="86">
        <f t="shared" si="14"/>
        <v>60</v>
      </c>
      <c r="AB29" s="119">
        <v>10010081</v>
      </c>
      <c r="AC29" s="86">
        <f t="shared" si="15"/>
        <v>20</v>
      </c>
      <c r="AD29" s="118">
        <v>10010026</v>
      </c>
      <c r="AE29" s="86">
        <f t="shared" si="16"/>
        <v>3</v>
      </c>
      <c r="AF29" s="86">
        <f>SUMIF([2]Sheet1!$B:$B,"="&amp;P29,[2]Sheet1!$A:$A)</f>
        <v>10010033</v>
      </c>
      <c r="AG29" s="86">
        <f t="shared" si="18"/>
        <v>12</v>
      </c>
      <c r="AI29" s="88" t="e">
        <f t="shared" si="19"/>
        <v>#VALUE!</v>
      </c>
    </row>
    <row r="30" spans="1:35" s="13" customFormat="1" ht="20.100000000000001" customHeight="1">
      <c r="A30" s="86">
        <f t="shared" si="8"/>
        <v>33000</v>
      </c>
      <c r="B30" s="86">
        <f t="shared" si="17"/>
        <v>1000</v>
      </c>
      <c r="C30" s="86">
        <v>3000</v>
      </c>
      <c r="D30" s="86" t="s">
        <v>961</v>
      </c>
      <c r="E30" s="90">
        <v>30000</v>
      </c>
      <c r="F30" s="90" t="s">
        <v>982</v>
      </c>
      <c r="G30" s="90">
        <v>60</v>
      </c>
      <c r="H30" s="90" t="s">
        <v>964</v>
      </c>
      <c r="I30" s="90">
        <v>60</v>
      </c>
      <c r="J30" s="90" t="s">
        <v>965</v>
      </c>
      <c r="K30" s="90">
        <f t="shared" si="9"/>
        <v>60</v>
      </c>
      <c r="L30" s="86" t="s">
        <v>981</v>
      </c>
      <c r="M30" s="90">
        <v>25</v>
      </c>
      <c r="N30" s="86" t="s">
        <v>987</v>
      </c>
      <c r="O30" s="90">
        <v>3</v>
      </c>
      <c r="P30" s="86" t="s">
        <v>976</v>
      </c>
      <c r="Q30" s="90">
        <v>15</v>
      </c>
      <c r="S30" s="86">
        <f t="shared" si="10"/>
        <v>3000</v>
      </c>
      <c r="T30" s="86" t="e">
        <f>SUMIF([4]Sheet1!$B:$B,"="&amp;D30,[4]Sheet1!$A:$A)</f>
        <v>#VALUE!</v>
      </c>
      <c r="U30" s="86">
        <f t="shared" si="11"/>
        <v>30000</v>
      </c>
      <c r="V30" s="86" t="e">
        <f>SUMIF([4]Sheet1!$B:$B,"="&amp;F30,[4]Sheet1!$A:$A)</f>
        <v>#VALUE!</v>
      </c>
      <c r="W30" s="86">
        <f t="shared" si="12"/>
        <v>60</v>
      </c>
      <c r="X30" s="86" t="e">
        <f>SUMIF([4]Sheet1!$B:$B,"="&amp;H30,[4]Sheet1!$A:$A)</f>
        <v>#VALUE!</v>
      </c>
      <c r="Y30" s="86">
        <f t="shared" si="13"/>
        <v>60</v>
      </c>
      <c r="Z30" s="86" t="e">
        <f>SUMIF([4]Sheet1!$B:$B,"="&amp;J30,[4]Sheet1!$A:$A)</f>
        <v>#VALUE!</v>
      </c>
      <c r="AA30" s="86">
        <f t="shared" si="14"/>
        <v>60</v>
      </c>
      <c r="AB30" s="119">
        <v>10010081</v>
      </c>
      <c r="AC30" s="86">
        <f t="shared" si="15"/>
        <v>25</v>
      </c>
      <c r="AD30" s="118">
        <v>10010026</v>
      </c>
      <c r="AE30" s="86">
        <f t="shared" si="16"/>
        <v>3</v>
      </c>
      <c r="AF30" s="86">
        <f>SUMIF([2]Sheet1!$B:$B,"="&amp;P30,[2]Sheet1!$A:$A)</f>
        <v>10010033</v>
      </c>
      <c r="AG30" s="86">
        <f t="shared" si="18"/>
        <v>15</v>
      </c>
      <c r="AI30" s="88" t="e">
        <f t="shared" si="19"/>
        <v>#VALUE!</v>
      </c>
    </row>
    <row r="31" spans="1:35" s="13" customFormat="1" ht="20.100000000000001" customHeight="1">
      <c r="A31" s="86">
        <f t="shared" si="8"/>
        <v>67000</v>
      </c>
      <c r="B31" s="86">
        <f t="shared" si="17"/>
        <v>2000</v>
      </c>
      <c r="C31" s="86">
        <v>5000</v>
      </c>
      <c r="D31" s="86" t="s">
        <v>961</v>
      </c>
      <c r="E31" s="90">
        <v>50000</v>
      </c>
      <c r="F31" s="90" t="s">
        <v>982</v>
      </c>
      <c r="G31" s="90">
        <v>70</v>
      </c>
      <c r="H31" s="90" t="s">
        <v>964</v>
      </c>
      <c r="I31" s="90">
        <v>70</v>
      </c>
      <c r="J31" s="90" t="s">
        <v>965</v>
      </c>
      <c r="K31" s="90">
        <f t="shared" si="9"/>
        <v>70</v>
      </c>
      <c r="L31" s="86" t="s">
        <v>981</v>
      </c>
      <c r="M31" s="90">
        <v>25</v>
      </c>
      <c r="N31" s="86" t="s">
        <v>987</v>
      </c>
      <c r="O31" s="90">
        <v>4</v>
      </c>
      <c r="P31" s="86" t="s">
        <v>976</v>
      </c>
      <c r="Q31" s="90">
        <v>20</v>
      </c>
      <c r="S31" s="86">
        <f t="shared" si="10"/>
        <v>5000</v>
      </c>
      <c r="T31" s="86" t="e">
        <f>SUMIF([4]Sheet1!$B:$B,"="&amp;D31,[4]Sheet1!$A:$A)</f>
        <v>#VALUE!</v>
      </c>
      <c r="U31" s="86">
        <f t="shared" si="11"/>
        <v>50000</v>
      </c>
      <c r="V31" s="86" t="e">
        <f>SUMIF([4]Sheet1!$B:$B,"="&amp;F31,[4]Sheet1!$A:$A)</f>
        <v>#VALUE!</v>
      </c>
      <c r="W31" s="86">
        <f t="shared" si="12"/>
        <v>70</v>
      </c>
      <c r="X31" s="86" t="e">
        <f>SUMIF([4]Sheet1!$B:$B,"="&amp;H31,[4]Sheet1!$A:$A)</f>
        <v>#VALUE!</v>
      </c>
      <c r="Y31" s="86">
        <f t="shared" si="13"/>
        <v>70</v>
      </c>
      <c r="Z31" s="86" t="e">
        <f>SUMIF([4]Sheet1!$B:$B,"="&amp;J31,[4]Sheet1!$A:$A)</f>
        <v>#VALUE!</v>
      </c>
      <c r="AA31" s="86">
        <f t="shared" si="14"/>
        <v>70</v>
      </c>
      <c r="AB31" s="119">
        <v>10010081</v>
      </c>
      <c r="AC31" s="86">
        <f t="shared" si="15"/>
        <v>25</v>
      </c>
      <c r="AD31" s="118">
        <v>10010026</v>
      </c>
      <c r="AE31" s="86">
        <f t="shared" si="16"/>
        <v>4</v>
      </c>
      <c r="AF31" s="86">
        <f>SUMIF([2]Sheet1!$B:$B,"="&amp;P31,[2]Sheet1!$A:$A)</f>
        <v>10010033</v>
      </c>
      <c r="AG31" s="86">
        <f t="shared" si="18"/>
        <v>20</v>
      </c>
      <c r="AI31" s="88" t="e">
        <f t="shared" si="19"/>
        <v>#VALUE!</v>
      </c>
    </row>
    <row r="32" spans="1:35" s="13" customFormat="1" ht="20.100000000000001" customHeight="1">
      <c r="A32" s="86">
        <f t="shared" si="8"/>
        <v>100000</v>
      </c>
      <c r="B32" s="86">
        <f t="shared" si="17"/>
        <v>3000</v>
      </c>
      <c r="C32" s="86">
        <v>8000</v>
      </c>
      <c r="D32" s="86" t="s">
        <v>961</v>
      </c>
      <c r="E32" s="90">
        <v>100000</v>
      </c>
      <c r="F32" s="90" t="s">
        <v>982</v>
      </c>
      <c r="G32" s="90">
        <v>80</v>
      </c>
      <c r="H32" s="90" t="s">
        <v>964</v>
      </c>
      <c r="I32" s="90">
        <v>80</v>
      </c>
      <c r="J32" s="90" t="s">
        <v>965</v>
      </c>
      <c r="K32" s="90">
        <f t="shared" si="9"/>
        <v>80</v>
      </c>
      <c r="L32" s="86" t="s">
        <v>981</v>
      </c>
      <c r="M32" s="90">
        <v>30</v>
      </c>
      <c r="N32" s="86" t="s">
        <v>987</v>
      </c>
      <c r="O32" s="90">
        <v>4</v>
      </c>
      <c r="P32" s="86" t="s">
        <v>976</v>
      </c>
      <c r="Q32" s="90">
        <v>20</v>
      </c>
      <c r="S32" s="86">
        <f t="shared" si="10"/>
        <v>8000</v>
      </c>
      <c r="T32" s="86" t="e">
        <f>SUMIF([4]Sheet1!$B:$B,"="&amp;D32,[4]Sheet1!$A:$A)</f>
        <v>#VALUE!</v>
      </c>
      <c r="U32" s="86">
        <f t="shared" si="11"/>
        <v>100000</v>
      </c>
      <c r="V32" s="86" t="e">
        <f>SUMIF([4]Sheet1!$B:$B,"="&amp;F32,[4]Sheet1!$A:$A)</f>
        <v>#VALUE!</v>
      </c>
      <c r="W32" s="86">
        <f t="shared" si="12"/>
        <v>80</v>
      </c>
      <c r="X32" s="86" t="e">
        <f>SUMIF([4]Sheet1!$B:$B,"="&amp;H32,[4]Sheet1!$A:$A)</f>
        <v>#VALUE!</v>
      </c>
      <c r="Y32" s="86">
        <f t="shared" si="13"/>
        <v>80</v>
      </c>
      <c r="Z32" s="86" t="e">
        <f>SUMIF([4]Sheet1!$B:$B,"="&amp;J32,[4]Sheet1!$A:$A)</f>
        <v>#VALUE!</v>
      </c>
      <c r="AA32" s="86">
        <f t="shared" si="14"/>
        <v>80</v>
      </c>
      <c r="AB32" s="119">
        <v>10010081</v>
      </c>
      <c r="AC32" s="86">
        <f t="shared" si="15"/>
        <v>30</v>
      </c>
      <c r="AD32" s="118">
        <v>10010026</v>
      </c>
      <c r="AE32" s="86">
        <f t="shared" si="16"/>
        <v>4</v>
      </c>
      <c r="AF32" s="86">
        <f>SUMIF([2]Sheet1!$B:$B,"="&amp;P32,[2]Sheet1!$A:$A)</f>
        <v>10010033</v>
      </c>
      <c r="AG32" s="86">
        <f t="shared" si="18"/>
        <v>20</v>
      </c>
      <c r="AI32" s="88" t="e">
        <f t="shared" si="19"/>
        <v>#VALUE!</v>
      </c>
    </row>
    <row r="33" spans="1:35" s="13" customFormat="1" ht="20.100000000000001" customHeight="1">
      <c r="A33" s="86">
        <f t="shared" si="8"/>
        <v>167000</v>
      </c>
      <c r="B33" s="86">
        <f t="shared" si="17"/>
        <v>5000</v>
      </c>
      <c r="C33" s="86">
        <v>13000</v>
      </c>
      <c r="D33" s="86" t="s">
        <v>961</v>
      </c>
      <c r="E33" s="90">
        <v>150000</v>
      </c>
      <c r="F33" s="90" t="s">
        <v>982</v>
      </c>
      <c r="G33" s="90">
        <v>90</v>
      </c>
      <c r="H33" s="90" t="s">
        <v>964</v>
      </c>
      <c r="I33" s="90">
        <v>90</v>
      </c>
      <c r="J33" s="90" t="s">
        <v>965</v>
      </c>
      <c r="K33" s="90">
        <f t="shared" si="9"/>
        <v>90</v>
      </c>
      <c r="L33" s="86" t="s">
        <v>981</v>
      </c>
      <c r="M33" s="90">
        <v>30</v>
      </c>
      <c r="N33" s="86" t="s">
        <v>987</v>
      </c>
      <c r="O33" s="90">
        <v>5</v>
      </c>
      <c r="P33" s="86" t="s">
        <v>976</v>
      </c>
      <c r="Q33" s="90">
        <v>25</v>
      </c>
      <c r="S33" s="86">
        <f t="shared" si="10"/>
        <v>13000</v>
      </c>
      <c r="T33" s="86" t="e">
        <f>SUMIF([4]Sheet1!$B:$B,"="&amp;D33,[4]Sheet1!$A:$A)</f>
        <v>#VALUE!</v>
      </c>
      <c r="U33" s="86">
        <f t="shared" si="11"/>
        <v>150000</v>
      </c>
      <c r="V33" s="86" t="e">
        <f>SUMIF([4]Sheet1!$B:$B,"="&amp;F33,[4]Sheet1!$A:$A)</f>
        <v>#VALUE!</v>
      </c>
      <c r="W33" s="86">
        <f t="shared" si="12"/>
        <v>90</v>
      </c>
      <c r="X33" s="86" t="e">
        <f>SUMIF([4]Sheet1!$B:$B,"="&amp;H33,[4]Sheet1!$A:$A)</f>
        <v>#VALUE!</v>
      </c>
      <c r="Y33" s="86">
        <f t="shared" si="13"/>
        <v>90</v>
      </c>
      <c r="Z33" s="86" t="e">
        <f>SUMIF([4]Sheet1!$B:$B,"="&amp;J33,[4]Sheet1!$A:$A)</f>
        <v>#VALUE!</v>
      </c>
      <c r="AA33" s="86">
        <f t="shared" si="14"/>
        <v>90</v>
      </c>
      <c r="AB33" s="119">
        <v>10010081</v>
      </c>
      <c r="AC33" s="86">
        <f t="shared" si="15"/>
        <v>30</v>
      </c>
      <c r="AD33" s="118">
        <v>10010026</v>
      </c>
      <c r="AE33" s="86">
        <f t="shared" si="16"/>
        <v>5</v>
      </c>
      <c r="AF33" s="86">
        <f>SUMIF([2]Sheet1!$B:$B,"="&amp;P33,[2]Sheet1!$A:$A)</f>
        <v>10010033</v>
      </c>
      <c r="AG33" s="86">
        <f t="shared" si="18"/>
        <v>25</v>
      </c>
      <c r="AI33" s="88" t="e">
        <f t="shared" si="19"/>
        <v>#VALUE!</v>
      </c>
    </row>
    <row r="34" spans="1:35" s="13" customFormat="1" ht="20.100000000000001" customHeight="1">
      <c r="A34" s="86">
        <f t="shared" si="8"/>
        <v>233000</v>
      </c>
      <c r="B34" s="86">
        <f t="shared" si="17"/>
        <v>7000</v>
      </c>
      <c r="C34" s="86">
        <v>20000</v>
      </c>
      <c r="D34" s="86" t="s">
        <v>961</v>
      </c>
      <c r="E34" s="90">
        <v>200000</v>
      </c>
      <c r="F34" s="90" t="s">
        <v>982</v>
      </c>
      <c r="G34" s="90">
        <v>100</v>
      </c>
      <c r="H34" s="90" t="s">
        <v>964</v>
      </c>
      <c r="I34" s="90">
        <v>100</v>
      </c>
      <c r="J34" s="90" t="s">
        <v>965</v>
      </c>
      <c r="K34" s="90">
        <f t="shared" si="9"/>
        <v>100</v>
      </c>
      <c r="L34" s="86" t="s">
        <v>981</v>
      </c>
      <c r="M34" s="90">
        <v>30</v>
      </c>
      <c r="N34" s="86" t="s">
        <v>987</v>
      </c>
      <c r="O34" s="90">
        <v>5</v>
      </c>
      <c r="P34" s="86" t="s">
        <v>976</v>
      </c>
      <c r="Q34" s="90">
        <v>25</v>
      </c>
      <c r="S34" s="86">
        <f t="shared" si="10"/>
        <v>20000</v>
      </c>
      <c r="T34" s="86" t="e">
        <f>SUMIF([4]Sheet1!$B:$B,"="&amp;D34,[4]Sheet1!$A:$A)</f>
        <v>#VALUE!</v>
      </c>
      <c r="U34" s="86">
        <f t="shared" si="11"/>
        <v>200000</v>
      </c>
      <c r="V34" s="86" t="e">
        <f>SUMIF([4]Sheet1!$B:$B,"="&amp;F34,[4]Sheet1!$A:$A)</f>
        <v>#VALUE!</v>
      </c>
      <c r="W34" s="86">
        <f t="shared" si="12"/>
        <v>100</v>
      </c>
      <c r="X34" s="86" t="e">
        <f>SUMIF([4]Sheet1!$B:$B,"="&amp;H34,[4]Sheet1!$A:$A)</f>
        <v>#VALUE!</v>
      </c>
      <c r="Y34" s="86">
        <f t="shared" si="13"/>
        <v>100</v>
      </c>
      <c r="Z34" s="86" t="e">
        <f>SUMIF([4]Sheet1!$B:$B,"="&amp;J34,[4]Sheet1!$A:$A)</f>
        <v>#VALUE!</v>
      </c>
      <c r="AA34" s="86">
        <f t="shared" si="14"/>
        <v>100</v>
      </c>
      <c r="AB34" s="119">
        <v>10010081</v>
      </c>
      <c r="AC34" s="86">
        <f t="shared" si="15"/>
        <v>30</v>
      </c>
      <c r="AD34" s="118">
        <v>10010026</v>
      </c>
      <c r="AE34" s="86">
        <f t="shared" si="16"/>
        <v>5</v>
      </c>
      <c r="AF34" s="86">
        <f>SUMIF([2]Sheet1!$B:$B,"="&amp;P34,[2]Sheet1!$A:$A)</f>
        <v>10010033</v>
      </c>
      <c r="AG34" s="86">
        <f t="shared" si="18"/>
        <v>25</v>
      </c>
      <c r="AI34" s="88" t="e">
        <f t="shared" si="19"/>
        <v>#VALUE!</v>
      </c>
    </row>
    <row r="35" spans="1:35" s="13" customFormat="1" ht="20.100000000000001" customHeight="1">
      <c r="C35" s="86"/>
      <c r="D35" s="86"/>
    </row>
    <row r="36" spans="1:35" s="13" customFormat="1" ht="20.100000000000001" customHeight="1">
      <c r="C36" s="86"/>
      <c r="D36" s="86"/>
      <c r="F36" s="122"/>
    </row>
    <row r="37" spans="1:35" s="13" customFormat="1" ht="20.100000000000001" customHeight="1">
      <c r="C37" s="86"/>
      <c r="D37" s="86">
        <v>30</v>
      </c>
      <c r="F37" s="125" t="s">
        <v>990</v>
      </c>
      <c r="H37" s="88" t="s">
        <v>988</v>
      </c>
      <c r="I37" s="13">
        <f>SUMIF(H37,T34)</f>
        <v>0</v>
      </c>
      <c r="K37" s="128">
        <v>10011001</v>
      </c>
      <c r="L37" s="129" t="s">
        <v>939</v>
      </c>
      <c r="M37" s="86">
        <v>2</v>
      </c>
      <c r="N37" s="13" t="str">
        <f>K37&amp;","&amp;M37</f>
        <v>10011001,2</v>
      </c>
    </row>
    <row r="38" spans="1:35" s="13" customFormat="1" ht="20.100000000000001" customHeight="1">
      <c r="C38" s="86"/>
      <c r="D38" s="86">
        <v>70</v>
      </c>
      <c r="F38" s="123" t="s">
        <v>994</v>
      </c>
      <c r="H38" s="88" t="s">
        <v>995</v>
      </c>
      <c r="K38" s="13">
        <v>10030317</v>
      </c>
      <c r="L38" s="129" t="s">
        <v>940</v>
      </c>
      <c r="M38" s="86">
        <v>1</v>
      </c>
      <c r="N38" s="130" t="str">
        <f t="shared" ref="N38:N49" si="20">K38&amp;","&amp;M38</f>
        <v>10030317,1</v>
      </c>
    </row>
    <row r="39" spans="1:35" s="13" customFormat="1" ht="20.100000000000001" customHeight="1">
      <c r="C39" s="86"/>
      <c r="D39" s="86">
        <v>150</v>
      </c>
      <c r="F39" s="90" t="s">
        <v>993</v>
      </c>
      <c r="H39" s="88" t="s">
        <v>996</v>
      </c>
      <c r="K39" s="128">
        <v>10011002</v>
      </c>
      <c r="L39" s="129" t="s">
        <v>942</v>
      </c>
      <c r="M39" s="86">
        <v>2</v>
      </c>
      <c r="N39" s="130" t="str">
        <f t="shared" si="20"/>
        <v>10011002,2</v>
      </c>
    </row>
    <row r="40" spans="1:35" s="13" customFormat="1" ht="20.100000000000001" customHeight="1">
      <c r="C40" s="86"/>
      <c r="D40" s="86">
        <v>300</v>
      </c>
      <c r="F40" s="123" t="s">
        <v>997</v>
      </c>
      <c r="H40" s="88" t="s">
        <v>998</v>
      </c>
      <c r="K40" s="13">
        <v>10030418</v>
      </c>
      <c r="L40" s="133" t="s">
        <v>1007</v>
      </c>
      <c r="M40" s="86">
        <v>1</v>
      </c>
      <c r="N40" s="130" t="str">
        <f t="shared" si="20"/>
        <v>10030418,1</v>
      </c>
    </row>
    <row r="41" spans="1:35" s="13" customFormat="1" ht="20.100000000000001" customHeight="1">
      <c r="C41" s="86"/>
      <c r="D41" s="86">
        <v>500</v>
      </c>
      <c r="F41" s="90" t="s">
        <v>991</v>
      </c>
      <c r="H41" s="88" t="s">
        <v>999</v>
      </c>
      <c r="K41" s="128">
        <v>10011003</v>
      </c>
      <c r="M41" s="86">
        <v>2</v>
      </c>
      <c r="N41" s="130" t="str">
        <f t="shared" si="20"/>
        <v>10011003,2</v>
      </c>
    </row>
    <row r="42" spans="1:35" s="13" customFormat="1" ht="20.100000000000001" customHeight="1">
      <c r="C42" s="86"/>
      <c r="D42" s="86">
        <v>800</v>
      </c>
      <c r="F42" s="123" t="s">
        <v>1000</v>
      </c>
      <c r="H42" s="88" t="s">
        <v>1001</v>
      </c>
      <c r="K42" s="13">
        <v>10030518</v>
      </c>
      <c r="M42" s="86">
        <v>1</v>
      </c>
      <c r="N42" s="130" t="str">
        <f t="shared" si="20"/>
        <v>10030518,1</v>
      </c>
    </row>
    <row r="43" spans="1:35" s="13" customFormat="1" ht="20.100000000000001" customHeight="1">
      <c r="C43" s="86"/>
      <c r="D43" s="86">
        <v>1300</v>
      </c>
      <c r="F43" s="90" t="s">
        <v>992</v>
      </c>
      <c r="H43" s="88" t="s">
        <v>1002</v>
      </c>
      <c r="K43" s="128">
        <v>10011004</v>
      </c>
      <c r="M43" s="86">
        <v>2</v>
      </c>
      <c r="N43" s="130" t="str">
        <f t="shared" si="20"/>
        <v>10011004,2</v>
      </c>
    </row>
    <row r="44" spans="1:35" s="13" customFormat="1" ht="20.100000000000001" customHeight="1">
      <c r="C44" s="86"/>
      <c r="D44" s="86">
        <v>2000</v>
      </c>
      <c r="F44" s="123" t="s">
        <v>1003</v>
      </c>
      <c r="H44" s="88" t="s">
        <v>1004</v>
      </c>
      <c r="K44" s="13">
        <v>10030618</v>
      </c>
      <c r="M44" s="86">
        <v>1</v>
      </c>
      <c r="N44" s="130" t="str">
        <f t="shared" si="20"/>
        <v>10030618,1</v>
      </c>
    </row>
    <row r="45" spans="1:35" s="13" customFormat="1" ht="20.100000000000001" customHeight="1">
      <c r="C45" s="86"/>
      <c r="D45" s="86">
        <v>3000</v>
      </c>
      <c r="F45" s="121" t="s">
        <v>989</v>
      </c>
      <c r="H45" s="89" t="s">
        <v>1006</v>
      </c>
      <c r="J45" s="127"/>
      <c r="K45" s="132">
        <v>10010531</v>
      </c>
      <c r="L45" s="134" t="s">
        <v>1006</v>
      </c>
      <c r="M45" s="86">
        <v>1</v>
      </c>
      <c r="N45" s="130" t="str">
        <f t="shared" si="20"/>
        <v>10010531,1</v>
      </c>
    </row>
    <row r="46" spans="1:35" s="13" customFormat="1" ht="20.100000000000001" customHeight="1">
      <c r="C46" s="86"/>
      <c r="D46" s="86">
        <v>5000</v>
      </c>
      <c r="F46" s="124" t="s">
        <v>989</v>
      </c>
      <c r="H46" s="89" t="s">
        <v>1005</v>
      </c>
      <c r="K46" s="132">
        <v>10010530</v>
      </c>
      <c r="L46" s="131" t="s">
        <v>1005</v>
      </c>
      <c r="M46" s="86">
        <v>1</v>
      </c>
      <c r="N46" s="130" t="str">
        <f t="shared" si="20"/>
        <v>10010530,1</v>
      </c>
    </row>
    <row r="47" spans="1:35" s="13" customFormat="1" ht="20.100000000000001" customHeight="1">
      <c r="C47" s="86"/>
      <c r="D47" s="86">
        <v>8000</v>
      </c>
      <c r="F47" s="126" t="s">
        <v>852</v>
      </c>
      <c r="H47" s="89" t="s">
        <v>852</v>
      </c>
      <c r="K47" s="13">
        <v>10020212</v>
      </c>
      <c r="M47" s="86">
        <v>5</v>
      </c>
      <c r="N47" s="130" t="str">
        <f t="shared" si="20"/>
        <v>10020212,5</v>
      </c>
    </row>
    <row r="48" spans="1:35" s="13" customFormat="1" ht="20.100000000000001" customHeight="1">
      <c r="C48" s="86"/>
      <c r="D48" s="86">
        <v>13000</v>
      </c>
      <c r="F48" s="126" t="s">
        <v>852</v>
      </c>
      <c r="G48" s="122"/>
      <c r="H48" s="89" t="s">
        <v>852</v>
      </c>
      <c r="K48" s="13">
        <v>10020212</v>
      </c>
      <c r="M48" s="86">
        <v>10</v>
      </c>
      <c r="N48" s="130" t="str">
        <f t="shared" si="20"/>
        <v>10020212,10</v>
      </c>
    </row>
    <row r="49" spans="3:14" s="13" customFormat="1" ht="20.100000000000001" customHeight="1">
      <c r="C49" s="86"/>
      <c r="D49" s="86">
        <v>20000</v>
      </c>
      <c r="F49" s="126" t="s">
        <v>852</v>
      </c>
      <c r="G49" s="122"/>
      <c r="H49" s="89" t="s">
        <v>852</v>
      </c>
      <c r="K49" s="13">
        <v>10020212</v>
      </c>
      <c r="M49" s="86">
        <v>20</v>
      </c>
      <c r="N49" s="130" t="str">
        <f t="shared" si="20"/>
        <v>10020212,20</v>
      </c>
    </row>
    <row r="50" spans="3:14" s="13" customFormat="1" ht="20.100000000000001" customHeight="1">
      <c r="C50" s="86"/>
      <c r="D50" s="86"/>
    </row>
  </sheetData>
  <phoneticPr fontId="5" type="noConversion"/>
  <pageMargins left="0.7" right="0.7" top="0.75" bottom="0.75" header="0.3" footer="0.3"/>
  <pageSetup paperSize="9" orientation="portrait" r:id="rId1"/>
  <ignoredErrors>
    <ignoredError sqref="N11:N17 AC22:AC34 AE23:AE34 AA22:AA34 Y22:Y34 W22:W34 U22:U34 S12:S17 Q11:Q17 O11:O1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BA180"/>
  <sheetViews>
    <sheetView workbookViewId="0">
      <selection activeCell="H11" sqref="H11"/>
    </sheetView>
  </sheetViews>
  <sheetFormatPr defaultRowHeight="13.5"/>
  <cols>
    <col min="2" max="2" width="10.125" customWidth="1"/>
    <col min="3" max="3" width="13.125" style="54" bestFit="1" customWidth="1"/>
    <col min="4" max="4" width="13" bestFit="1" customWidth="1"/>
    <col min="5" max="6" width="13" style="28" customWidth="1"/>
    <col min="7" max="7" width="16.75" style="28" bestFit="1" customWidth="1"/>
    <col min="8" max="8" width="18.625" style="28" bestFit="1" customWidth="1"/>
    <col min="9" max="9" width="18.625" style="28" customWidth="1"/>
    <col min="10" max="10" width="16.625" style="28" customWidth="1"/>
    <col min="11" max="11" width="14.5" style="28" customWidth="1"/>
    <col min="12" max="12" width="13.25" customWidth="1"/>
    <col min="13" max="15" width="15.5" style="28" customWidth="1"/>
    <col min="16" max="16" width="15.5" style="54" customWidth="1"/>
    <col min="18" max="18" width="19.25" bestFit="1" customWidth="1"/>
    <col min="20" max="20" width="11.375" bestFit="1" customWidth="1"/>
    <col min="21" max="21" width="13" style="28" bestFit="1" customWidth="1"/>
    <col min="22" max="22" width="15.125" style="28" bestFit="1" customWidth="1"/>
    <col min="23" max="23" width="15" style="54" bestFit="1" customWidth="1"/>
    <col min="24" max="24" width="9" style="28"/>
    <col min="25" max="25" width="11" customWidth="1"/>
    <col min="26" max="26" width="11.375" bestFit="1" customWidth="1"/>
    <col min="27" max="29" width="9" style="29"/>
    <col min="30" max="32" width="9" style="6"/>
    <col min="33" max="34" width="9" style="12"/>
    <col min="37" max="37" width="16.75" style="6" bestFit="1" customWidth="1"/>
    <col min="38" max="42" width="9" style="6"/>
    <col min="46" max="46" width="21.375" bestFit="1" customWidth="1"/>
    <col min="49" max="49" width="9" style="6"/>
    <col min="51" max="51" width="9" style="6"/>
    <col min="53" max="53" width="9" style="65"/>
  </cols>
  <sheetData>
    <row r="1" spans="1:53" ht="30" customHeight="1">
      <c r="A1" s="1" t="s">
        <v>0</v>
      </c>
      <c r="B1" s="1" t="s">
        <v>1</v>
      </c>
      <c r="C1" s="1" t="s">
        <v>727</v>
      </c>
      <c r="D1" s="1" t="s">
        <v>205</v>
      </c>
      <c r="E1" s="1" t="s">
        <v>206</v>
      </c>
      <c r="F1" s="1" t="s">
        <v>211</v>
      </c>
      <c r="G1" s="1" t="s">
        <v>215</v>
      </c>
      <c r="H1" s="1" t="s">
        <v>209</v>
      </c>
      <c r="I1" s="1" t="s">
        <v>213</v>
      </c>
      <c r="J1" s="1" t="s">
        <v>214</v>
      </c>
      <c r="K1" s="1" t="s">
        <v>212</v>
      </c>
      <c r="L1" s="1" t="s">
        <v>309</v>
      </c>
      <c r="M1" s="37" t="s">
        <v>308</v>
      </c>
      <c r="N1" s="37" t="s">
        <v>311</v>
      </c>
      <c r="O1" s="37" t="s">
        <v>375</v>
      </c>
      <c r="P1" s="37" t="s">
        <v>726</v>
      </c>
      <c r="R1" s="19" t="s">
        <v>208</v>
      </c>
      <c r="S1" s="14">
        <v>0.15</v>
      </c>
      <c r="U1" s="60" t="s">
        <v>348</v>
      </c>
      <c r="Z1" s="19" t="s">
        <v>217</v>
      </c>
      <c r="AA1" s="35" t="s">
        <v>218</v>
      </c>
      <c r="AB1" s="34" t="s">
        <v>219</v>
      </c>
      <c r="AC1" s="35" t="s">
        <v>301</v>
      </c>
      <c r="AD1" s="19" t="s">
        <v>298</v>
      </c>
      <c r="AE1" s="19" t="s">
        <v>299</v>
      </c>
      <c r="AF1" s="19" t="s">
        <v>300</v>
      </c>
      <c r="AG1" s="19" t="s">
        <v>302</v>
      </c>
      <c r="AH1" s="19" t="s">
        <v>303</v>
      </c>
      <c r="AI1" s="19" t="s">
        <v>304</v>
      </c>
      <c r="AK1" s="19" t="s">
        <v>808</v>
      </c>
      <c r="AL1" s="19" t="s">
        <v>811</v>
      </c>
      <c r="AM1" s="19" t="s">
        <v>853</v>
      </c>
      <c r="AN1" s="19" t="s">
        <v>812</v>
      </c>
      <c r="AO1" s="19" t="s">
        <v>856</v>
      </c>
      <c r="AP1" s="19" t="s">
        <v>813</v>
      </c>
      <c r="AQ1" s="19" t="s">
        <v>857</v>
      </c>
      <c r="AR1" s="19" t="s">
        <v>858</v>
      </c>
      <c r="AT1" s="19" t="s">
        <v>808</v>
      </c>
      <c r="AU1" s="19" t="s">
        <v>853</v>
      </c>
      <c r="AV1" s="19" t="s">
        <v>811</v>
      </c>
      <c r="AW1" s="19" t="s">
        <v>812</v>
      </c>
      <c r="AX1" s="19" t="s">
        <v>866</v>
      </c>
      <c r="AY1" s="19" t="s">
        <v>813</v>
      </c>
      <c r="AZ1" s="19" t="s">
        <v>857</v>
      </c>
      <c r="BA1" s="19" t="s">
        <v>858</v>
      </c>
    </row>
    <row r="2" spans="1:53" ht="20.100000000000001" customHeight="1">
      <c r="A2" s="30">
        <v>1</v>
      </c>
      <c r="B2" s="2">
        <v>10</v>
      </c>
      <c r="C2" s="2">
        <f>G2*$S$1*$S$3+H2*$S$3+K2*$S$3+O2*N2*$S$3</f>
        <v>2700</v>
      </c>
      <c r="D2" s="2">
        <v>20</v>
      </c>
      <c r="E2" s="2">
        <f>D2*B2</f>
        <v>200</v>
      </c>
      <c r="F2" s="2">
        <v>5</v>
      </c>
      <c r="G2" s="2">
        <f>B2*5</f>
        <v>50</v>
      </c>
      <c r="H2" s="2">
        <f t="shared" ref="H2:H33" si="0">ROUND(G2*$S$1,0)</f>
        <v>8</v>
      </c>
      <c r="I2" s="2">
        <v>1.5</v>
      </c>
      <c r="J2" s="2">
        <f>ROUND(B2*I2,0)</f>
        <v>15</v>
      </c>
      <c r="K2" s="2">
        <f t="shared" ref="K2:K33" si="1">ROUND(J2*$S$2,0)</f>
        <v>5</v>
      </c>
      <c r="L2" s="2">
        <f>ROUNDUP(A2,-1)</f>
        <v>10</v>
      </c>
      <c r="M2" s="2">
        <f t="shared" ref="M2:M33" si="2">LOOKUP(L2,$S$29:$S$34,$X$29:$X$34)</f>
        <v>4000</v>
      </c>
      <c r="N2" s="38">
        <v>0.01</v>
      </c>
      <c r="O2" s="38">
        <v>200</v>
      </c>
      <c r="P2" s="38">
        <v>0.1</v>
      </c>
      <c r="Q2" s="27"/>
      <c r="R2" s="19" t="s">
        <v>210</v>
      </c>
      <c r="S2" s="14">
        <v>0.3</v>
      </c>
      <c r="U2" s="26" t="s">
        <v>349</v>
      </c>
      <c r="V2" s="65">
        <v>100</v>
      </c>
      <c r="W2" s="65"/>
      <c r="Z2" s="33" t="s">
        <v>222</v>
      </c>
      <c r="AA2" s="33">
        <v>1</v>
      </c>
      <c r="AB2" s="33">
        <v>1</v>
      </c>
      <c r="AC2" s="33">
        <v>10</v>
      </c>
      <c r="AD2" s="14">
        <f>LOOKUP(AA2,$A$2:$A$66,$G$2:$G$66)</f>
        <v>50</v>
      </c>
      <c r="AE2" s="33">
        <f t="shared" ref="AE2:AE33" si="3">ROUND(AD2*LOOKUP(AB2,$S$9:$S$12,$T$9:$T$12),0)</f>
        <v>38</v>
      </c>
      <c r="AF2" s="33">
        <f>ROUND(LOOKUP(AC2,$S$15:$S$25,$T$15:$T$25)*AE2,0)</f>
        <v>21</v>
      </c>
      <c r="AG2" s="14">
        <f>AF2</f>
        <v>21</v>
      </c>
      <c r="AH2" s="14">
        <f>AG2*$S$4</f>
        <v>420</v>
      </c>
      <c r="AI2" s="26">
        <f>LOOKUP(AA2,$A$2:$A$66,$M$2:$M$66)</f>
        <v>4000</v>
      </c>
      <c r="AK2" s="74" t="s">
        <v>327</v>
      </c>
      <c r="AL2" s="65">
        <v>3</v>
      </c>
      <c r="AM2" s="79">
        <v>3</v>
      </c>
      <c r="AN2" s="65">
        <f>LOOKUP(AL2,A:A,J:J)</f>
        <v>24</v>
      </c>
      <c r="AO2" s="65">
        <v>2</v>
      </c>
      <c r="AP2" s="33">
        <f>ROUND(AN2*LOOKUP(AM2,$S$9:$S$13,$U$9:$U$13)*AO2,0)</f>
        <v>144</v>
      </c>
      <c r="AQ2" s="26">
        <v>5</v>
      </c>
      <c r="AR2" s="26">
        <f>ROUND(AP2*AQ2,0)</f>
        <v>720</v>
      </c>
      <c r="AT2" s="81" t="s">
        <v>318</v>
      </c>
      <c r="AU2" s="83">
        <v>3</v>
      </c>
      <c r="AV2" s="82">
        <v>5</v>
      </c>
      <c r="AW2" s="65">
        <f>LOOKUP(AV2,A:A,G:G)</f>
        <v>110</v>
      </c>
      <c r="AX2" s="26">
        <v>1</v>
      </c>
      <c r="AY2" s="65">
        <f>AX2*AW2*LOOKUP(AU2,$S$9:$S$13,$V$9:$V$13)</f>
        <v>330</v>
      </c>
      <c r="AZ2" s="26">
        <v>10</v>
      </c>
      <c r="BA2" s="65">
        <f>AZ2*AY2</f>
        <v>3300</v>
      </c>
    </row>
    <row r="3" spans="1:53" ht="20.100000000000001" customHeight="1">
      <c r="A3" s="30">
        <v>2</v>
      </c>
      <c r="B3" s="2">
        <f t="shared" ref="B3:B34" si="4">B2+3</f>
        <v>13</v>
      </c>
      <c r="C3" s="2">
        <f t="shared" ref="C3:C66" si="5">G3*$S$1*$S$3+H3*$S$3+K3*$S$3+O3*N3*$S$3</f>
        <v>3330</v>
      </c>
      <c r="D3" s="2">
        <v>20</v>
      </c>
      <c r="E3" s="2">
        <f t="shared" ref="E3:E66" si="6">D3*B3</f>
        <v>260</v>
      </c>
      <c r="F3" s="2">
        <v>5</v>
      </c>
      <c r="G3" s="2">
        <f t="shared" ref="G3:G66" si="7">B3*5</f>
        <v>65</v>
      </c>
      <c r="H3" s="2">
        <f t="shared" si="0"/>
        <v>10</v>
      </c>
      <c r="I3" s="2">
        <v>1.5</v>
      </c>
      <c r="J3" s="2">
        <f t="shared" ref="J3:J66" si="8">ROUND(B3*I3,0)</f>
        <v>20</v>
      </c>
      <c r="K3" s="2">
        <f t="shared" si="1"/>
        <v>6</v>
      </c>
      <c r="L3" s="2">
        <f t="shared" ref="L3:L66" si="9">ROUNDUP(A3,-1)</f>
        <v>10</v>
      </c>
      <c r="M3" s="2">
        <f t="shared" si="2"/>
        <v>4000</v>
      </c>
      <c r="N3" s="38">
        <v>0.01</v>
      </c>
      <c r="O3" s="38">
        <v>200</v>
      </c>
      <c r="P3" s="38">
        <v>0.1</v>
      </c>
      <c r="R3" s="19" t="s">
        <v>728</v>
      </c>
      <c r="S3" s="65">
        <v>120</v>
      </c>
      <c r="Z3" s="33" t="s">
        <v>223</v>
      </c>
      <c r="AA3" s="33">
        <v>2</v>
      </c>
      <c r="AB3" s="33">
        <v>2</v>
      </c>
      <c r="AC3" s="33">
        <v>10</v>
      </c>
      <c r="AD3" s="14">
        <f t="shared" ref="AD3:AD66" si="10">LOOKUP(AA3,$A$2:$A$66,$G$2:$G$66)</f>
        <v>65</v>
      </c>
      <c r="AE3" s="33">
        <f t="shared" si="3"/>
        <v>65</v>
      </c>
      <c r="AF3" s="33">
        <f t="shared" ref="AF3:AF66" si="11">ROUND(LOOKUP(AC3,$S$15:$S$25,$T$15:$T$25)*AE3,0)</f>
        <v>36</v>
      </c>
      <c r="AG3" s="14">
        <f t="shared" ref="AG3:AG66" si="12">AF3</f>
        <v>36</v>
      </c>
      <c r="AH3" s="14">
        <f t="shared" ref="AH3:AH66" si="13">AG3*$S$4</f>
        <v>720</v>
      </c>
      <c r="AI3" s="26">
        <f t="shared" ref="AI3:AI66" si="14">LOOKUP(AA3,$A$2:$A$66,$M$2:$M$66)</f>
        <v>4000</v>
      </c>
      <c r="AK3" s="72" t="s">
        <v>328</v>
      </c>
      <c r="AL3" s="65">
        <v>1</v>
      </c>
      <c r="AM3" s="80">
        <v>2</v>
      </c>
      <c r="AN3" s="65">
        <f t="shared" ref="AN3:AN64" si="15">LOOKUP(AL3,A:A,J:J)</f>
        <v>15</v>
      </c>
      <c r="AO3" s="65">
        <v>1</v>
      </c>
      <c r="AP3" s="33">
        <f t="shared" ref="AP3:AP66" si="16">ROUND(AN3*LOOKUP(AM3,$S$9:$S$13,$U$9:$U$13)*AO3,0)</f>
        <v>15</v>
      </c>
      <c r="AQ3" s="26">
        <v>5</v>
      </c>
      <c r="AR3" s="26">
        <f t="shared" ref="AR3:AR66" si="17">ROUND(AP3*AQ3,0)</f>
        <v>75</v>
      </c>
      <c r="AT3" s="81" t="s">
        <v>319</v>
      </c>
      <c r="AU3" s="83">
        <v>2</v>
      </c>
      <c r="AV3" s="82">
        <v>6</v>
      </c>
      <c r="AW3" s="65">
        <f t="shared" ref="AW3:AW55" si="18">LOOKUP(AV3,A:A,G:G)</f>
        <v>125</v>
      </c>
      <c r="AX3" s="26">
        <v>1</v>
      </c>
      <c r="AY3" s="65">
        <f t="shared" ref="AY3:AY55" si="19">AX3*AW3*LOOKUP(AU3,$S$9:$S$13,$V$9:$V$13)</f>
        <v>125</v>
      </c>
      <c r="AZ3" s="26">
        <v>10</v>
      </c>
      <c r="BA3" s="65">
        <f t="shared" ref="BA3:BA55" si="20">AZ3*AY3</f>
        <v>1250</v>
      </c>
    </row>
    <row r="4" spans="1:53" ht="20.100000000000001" customHeight="1">
      <c r="A4" s="30">
        <v>3</v>
      </c>
      <c r="B4" s="2">
        <f t="shared" si="4"/>
        <v>16</v>
      </c>
      <c r="C4" s="2">
        <f t="shared" si="5"/>
        <v>3960</v>
      </c>
      <c r="D4" s="2">
        <v>20</v>
      </c>
      <c r="E4" s="2">
        <f t="shared" si="6"/>
        <v>320</v>
      </c>
      <c r="F4" s="2">
        <v>5</v>
      </c>
      <c r="G4" s="2">
        <f t="shared" si="7"/>
        <v>80</v>
      </c>
      <c r="H4" s="2">
        <f t="shared" si="0"/>
        <v>12</v>
      </c>
      <c r="I4" s="2">
        <v>1.5</v>
      </c>
      <c r="J4" s="2">
        <f t="shared" si="8"/>
        <v>24</v>
      </c>
      <c r="K4" s="2">
        <f t="shared" si="1"/>
        <v>7</v>
      </c>
      <c r="L4" s="2">
        <f t="shared" si="9"/>
        <v>10</v>
      </c>
      <c r="M4" s="2">
        <f t="shared" si="2"/>
        <v>4000</v>
      </c>
      <c r="N4" s="38">
        <v>0.01</v>
      </c>
      <c r="O4" s="38">
        <v>200</v>
      </c>
      <c r="P4" s="38">
        <v>0.1</v>
      </c>
      <c r="R4" s="19" t="s">
        <v>220</v>
      </c>
      <c r="S4" s="14">
        <v>20</v>
      </c>
      <c r="Z4" s="33" t="s">
        <v>224</v>
      </c>
      <c r="AA4" s="33">
        <v>1</v>
      </c>
      <c r="AB4" s="33">
        <v>1</v>
      </c>
      <c r="AC4" s="33">
        <v>9</v>
      </c>
      <c r="AD4" s="14">
        <f t="shared" si="10"/>
        <v>50</v>
      </c>
      <c r="AE4" s="33">
        <f t="shared" si="3"/>
        <v>38</v>
      </c>
      <c r="AF4" s="33">
        <f t="shared" si="11"/>
        <v>19</v>
      </c>
      <c r="AG4" s="14">
        <f t="shared" si="12"/>
        <v>19</v>
      </c>
      <c r="AH4" s="14">
        <f t="shared" si="13"/>
        <v>380</v>
      </c>
      <c r="AI4" s="26">
        <f t="shared" si="14"/>
        <v>4000</v>
      </c>
      <c r="AK4" s="72" t="s">
        <v>329</v>
      </c>
      <c r="AL4" s="65">
        <v>3</v>
      </c>
      <c r="AM4" s="80">
        <v>2</v>
      </c>
      <c r="AN4" s="65">
        <f t="shared" si="15"/>
        <v>24</v>
      </c>
      <c r="AO4" s="65">
        <v>0.5</v>
      </c>
      <c r="AP4" s="33">
        <f t="shared" si="16"/>
        <v>12</v>
      </c>
      <c r="AQ4" s="26">
        <v>5</v>
      </c>
      <c r="AR4" s="26">
        <f t="shared" si="17"/>
        <v>60</v>
      </c>
      <c r="AT4" s="81" t="s">
        <v>320</v>
      </c>
      <c r="AU4" s="83">
        <v>3</v>
      </c>
      <c r="AV4" s="82">
        <v>7</v>
      </c>
      <c r="AW4" s="65">
        <f t="shared" si="18"/>
        <v>140</v>
      </c>
      <c r="AX4" s="26">
        <v>1</v>
      </c>
      <c r="AY4" s="65">
        <f t="shared" si="19"/>
        <v>420</v>
      </c>
      <c r="AZ4" s="26">
        <v>10</v>
      </c>
      <c r="BA4" s="65">
        <f t="shared" si="20"/>
        <v>4200</v>
      </c>
    </row>
    <row r="5" spans="1:53" ht="20.100000000000001" customHeight="1">
      <c r="A5" s="30">
        <v>4</v>
      </c>
      <c r="B5" s="2">
        <f t="shared" si="4"/>
        <v>19</v>
      </c>
      <c r="C5" s="2">
        <f t="shared" si="5"/>
        <v>4710</v>
      </c>
      <c r="D5" s="2">
        <v>20</v>
      </c>
      <c r="E5" s="2">
        <f t="shared" si="6"/>
        <v>380</v>
      </c>
      <c r="F5" s="2">
        <v>5</v>
      </c>
      <c r="G5" s="2">
        <f t="shared" si="7"/>
        <v>95</v>
      </c>
      <c r="H5" s="2">
        <f t="shared" si="0"/>
        <v>14</v>
      </c>
      <c r="I5" s="2">
        <v>1.5</v>
      </c>
      <c r="J5" s="2">
        <f t="shared" si="8"/>
        <v>29</v>
      </c>
      <c r="K5" s="2">
        <f t="shared" si="1"/>
        <v>9</v>
      </c>
      <c r="L5" s="2">
        <f t="shared" si="9"/>
        <v>10</v>
      </c>
      <c r="M5" s="2">
        <f t="shared" si="2"/>
        <v>4000</v>
      </c>
      <c r="N5" s="38">
        <v>0.01</v>
      </c>
      <c r="O5" s="38">
        <v>200</v>
      </c>
      <c r="P5" s="38">
        <v>0.1</v>
      </c>
      <c r="R5" s="19" t="s">
        <v>221</v>
      </c>
      <c r="S5" s="14">
        <v>10</v>
      </c>
      <c r="Z5" s="33" t="s">
        <v>225</v>
      </c>
      <c r="AA5" s="33">
        <v>1</v>
      </c>
      <c r="AB5" s="33">
        <v>2</v>
      </c>
      <c r="AC5" s="33">
        <v>9</v>
      </c>
      <c r="AD5" s="14">
        <f t="shared" si="10"/>
        <v>50</v>
      </c>
      <c r="AE5" s="33">
        <f t="shared" si="3"/>
        <v>50</v>
      </c>
      <c r="AF5" s="33">
        <f t="shared" si="11"/>
        <v>25</v>
      </c>
      <c r="AG5" s="14">
        <f t="shared" si="12"/>
        <v>25</v>
      </c>
      <c r="AH5" s="14">
        <f t="shared" si="13"/>
        <v>500</v>
      </c>
      <c r="AI5" s="26">
        <f t="shared" si="14"/>
        <v>4000</v>
      </c>
      <c r="AK5" s="72" t="s">
        <v>814</v>
      </c>
      <c r="AL5" s="65">
        <v>3</v>
      </c>
      <c r="AM5" s="80">
        <v>2</v>
      </c>
      <c r="AN5" s="65">
        <f t="shared" si="15"/>
        <v>24</v>
      </c>
      <c r="AO5" s="65">
        <v>1</v>
      </c>
      <c r="AP5" s="33">
        <f t="shared" si="16"/>
        <v>24</v>
      </c>
      <c r="AQ5" s="26">
        <v>5</v>
      </c>
      <c r="AR5" s="26">
        <f t="shared" si="17"/>
        <v>120</v>
      </c>
      <c r="AT5" s="81" t="s">
        <v>321</v>
      </c>
      <c r="AU5" s="83">
        <v>2</v>
      </c>
      <c r="AV5" s="82">
        <v>8</v>
      </c>
      <c r="AW5" s="65">
        <f t="shared" si="18"/>
        <v>155</v>
      </c>
      <c r="AX5" s="26">
        <v>1</v>
      </c>
      <c r="AY5" s="65">
        <f t="shared" si="19"/>
        <v>155</v>
      </c>
      <c r="AZ5" s="26">
        <v>10</v>
      </c>
      <c r="BA5" s="65">
        <f t="shared" si="20"/>
        <v>1550</v>
      </c>
    </row>
    <row r="6" spans="1:53" ht="20.100000000000001" customHeight="1">
      <c r="A6" s="30">
        <v>5</v>
      </c>
      <c r="B6" s="2">
        <f t="shared" si="4"/>
        <v>22</v>
      </c>
      <c r="C6" s="2">
        <f t="shared" si="5"/>
        <v>5460</v>
      </c>
      <c r="D6" s="2">
        <v>20</v>
      </c>
      <c r="E6" s="2">
        <f t="shared" si="6"/>
        <v>440</v>
      </c>
      <c r="F6" s="2">
        <v>5</v>
      </c>
      <c r="G6" s="2">
        <f t="shared" si="7"/>
        <v>110</v>
      </c>
      <c r="H6" s="2">
        <f t="shared" si="0"/>
        <v>17</v>
      </c>
      <c r="I6" s="2">
        <v>1.5</v>
      </c>
      <c r="J6" s="2">
        <f t="shared" si="8"/>
        <v>33</v>
      </c>
      <c r="K6" s="2">
        <f t="shared" si="1"/>
        <v>10</v>
      </c>
      <c r="L6" s="2">
        <f t="shared" si="9"/>
        <v>10</v>
      </c>
      <c r="M6" s="2">
        <f t="shared" si="2"/>
        <v>4000</v>
      </c>
      <c r="N6" s="38">
        <v>0.01</v>
      </c>
      <c r="O6" s="38">
        <v>200</v>
      </c>
      <c r="P6" s="38">
        <v>0.1</v>
      </c>
      <c r="R6" s="19" t="s">
        <v>305</v>
      </c>
      <c r="S6" s="14">
        <v>20</v>
      </c>
      <c r="Z6" s="33" t="s">
        <v>226</v>
      </c>
      <c r="AA6" s="33">
        <v>2</v>
      </c>
      <c r="AB6" s="33">
        <v>2</v>
      </c>
      <c r="AC6" s="33">
        <v>9</v>
      </c>
      <c r="AD6" s="14">
        <f t="shared" si="10"/>
        <v>65</v>
      </c>
      <c r="AE6" s="33">
        <f t="shared" si="3"/>
        <v>65</v>
      </c>
      <c r="AF6" s="33">
        <f t="shared" si="11"/>
        <v>33</v>
      </c>
      <c r="AG6" s="14">
        <f t="shared" si="12"/>
        <v>33</v>
      </c>
      <c r="AH6" s="14">
        <f t="shared" si="13"/>
        <v>660</v>
      </c>
      <c r="AI6" s="26">
        <f t="shared" si="14"/>
        <v>4000</v>
      </c>
      <c r="AK6" s="72" t="s">
        <v>330</v>
      </c>
      <c r="AL6" s="65">
        <v>3</v>
      </c>
      <c r="AM6" s="80">
        <v>2</v>
      </c>
      <c r="AN6" s="65">
        <f t="shared" si="15"/>
        <v>24</v>
      </c>
      <c r="AO6" s="65">
        <v>1</v>
      </c>
      <c r="AP6" s="33">
        <f t="shared" si="16"/>
        <v>24</v>
      </c>
      <c r="AQ6" s="26">
        <v>5</v>
      </c>
      <c r="AR6" s="26">
        <f t="shared" si="17"/>
        <v>120</v>
      </c>
      <c r="AT6" s="81" t="s">
        <v>322</v>
      </c>
      <c r="AU6" s="83">
        <v>2</v>
      </c>
      <c r="AV6" s="82">
        <v>9</v>
      </c>
      <c r="AW6" s="65">
        <f t="shared" si="18"/>
        <v>170</v>
      </c>
      <c r="AX6" s="26">
        <v>1</v>
      </c>
      <c r="AY6" s="65">
        <f t="shared" si="19"/>
        <v>170</v>
      </c>
      <c r="AZ6" s="26">
        <v>10</v>
      </c>
      <c r="BA6" s="65">
        <f t="shared" si="20"/>
        <v>1700</v>
      </c>
    </row>
    <row r="7" spans="1:53" ht="20.100000000000001" customHeight="1">
      <c r="A7" s="30">
        <v>6</v>
      </c>
      <c r="B7" s="2">
        <f t="shared" si="4"/>
        <v>25</v>
      </c>
      <c r="C7" s="2">
        <f t="shared" si="5"/>
        <v>6090</v>
      </c>
      <c r="D7" s="2">
        <v>20</v>
      </c>
      <c r="E7" s="2">
        <f t="shared" si="6"/>
        <v>500</v>
      </c>
      <c r="F7" s="2">
        <v>5</v>
      </c>
      <c r="G7" s="2">
        <f t="shared" si="7"/>
        <v>125</v>
      </c>
      <c r="H7" s="2">
        <f t="shared" si="0"/>
        <v>19</v>
      </c>
      <c r="I7" s="2">
        <v>1.5</v>
      </c>
      <c r="J7" s="2">
        <f t="shared" si="8"/>
        <v>38</v>
      </c>
      <c r="K7" s="2">
        <f t="shared" si="1"/>
        <v>11</v>
      </c>
      <c r="L7" s="2">
        <f t="shared" si="9"/>
        <v>10</v>
      </c>
      <c r="M7" s="2">
        <f t="shared" si="2"/>
        <v>4000</v>
      </c>
      <c r="N7" s="38">
        <v>0.01</v>
      </c>
      <c r="O7" s="38">
        <v>200</v>
      </c>
      <c r="P7" s="38">
        <v>0.1</v>
      </c>
      <c r="R7" s="19"/>
      <c r="Z7" s="33" t="s">
        <v>227</v>
      </c>
      <c r="AA7" s="33">
        <v>1</v>
      </c>
      <c r="AB7" s="33">
        <v>1</v>
      </c>
      <c r="AC7" s="33">
        <v>8</v>
      </c>
      <c r="AD7" s="14">
        <f t="shared" si="10"/>
        <v>50</v>
      </c>
      <c r="AE7" s="33">
        <f t="shared" si="3"/>
        <v>38</v>
      </c>
      <c r="AF7" s="33">
        <f t="shared" si="11"/>
        <v>15</v>
      </c>
      <c r="AG7" s="14">
        <f t="shared" si="12"/>
        <v>15</v>
      </c>
      <c r="AH7" s="14">
        <f t="shared" si="13"/>
        <v>300</v>
      </c>
      <c r="AI7" s="26">
        <f t="shared" si="14"/>
        <v>4000</v>
      </c>
      <c r="AK7" s="72" t="s">
        <v>815</v>
      </c>
      <c r="AL7" s="65">
        <v>3</v>
      </c>
      <c r="AM7" s="80">
        <v>2</v>
      </c>
      <c r="AN7" s="65">
        <f t="shared" si="15"/>
        <v>24</v>
      </c>
      <c r="AO7" s="65">
        <v>0.5</v>
      </c>
      <c r="AP7" s="33">
        <f t="shared" si="16"/>
        <v>12</v>
      </c>
      <c r="AQ7" s="26">
        <v>5</v>
      </c>
      <c r="AR7" s="26">
        <f t="shared" si="17"/>
        <v>60</v>
      </c>
      <c r="AT7" s="81" t="s">
        <v>323</v>
      </c>
      <c r="AU7" s="83">
        <v>2</v>
      </c>
      <c r="AV7" s="82">
        <v>10</v>
      </c>
      <c r="AW7" s="65">
        <f t="shared" si="18"/>
        <v>185</v>
      </c>
      <c r="AX7" s="26">
        <v>1</v>
      </c>
      <c r="AY7" s="65">
        <f t="shared" si="19"/>
        <v>185</v>
      </c>
      <c r="AZ7" s="26">
        <v>10</v>
      </c>
      <c r="BA7" s="65">
        <f t="shared" si="20"/>
        <v>1850</v>
      </c>
    </row>
    <row r="8" spans="1:53" ht="20.100000000000001" customHeight="1">
      <c r="A8" s="30">
        <v>7</v>
      </c>
      <c r="B8" s="2">
        <f t="shared" si="4"/>
        <v>28</v>
      </c>
      <c r="C8" s="2">
        <f t="shared" si="5"/>
        <v>6840</v>
      </c>
      <c r="D8" s="2">
        <v>20</v>
      </c>
      <c r="E8" s="2">
        <f t="shared" si="6"/>
        <v>560</v>
      </c>
      <c r="F8" s="2">
        <v>5</v>
      </c>
      <c r="G8" s="2">
        <f t="shared" si="7"/>
        <v>140</v>
      </c>
      <c r="H8" s="2">
        <f t="shared" si="0"/>
        <v>21</v>
      </c>
      <c r="I8" s="2">
        <v>1.5</v>
      </c>
      <c r="J8" s="2">
        <f t="shared" si="8"/>
        <v>42</v>
      </c>
      <c r="K8" s="2">
        <f t="shared" si="1"/>
        <v>13</v>
      </c>
      <c r="L8" s="2">
        <f t="shared" si="9"/>
        <v>10</v>
      </c>
      <c r="M8" s="2">
        <f t="shared" si="2"/>
        <v>4000</v>
      </c>
      <c r="N8" s="38">
        <v>0.01</v>
      </c>
      <c r="O8" s="38">
        <v>200</v>
      </c>
      <c r="P8" s="38">
        <v>0.1</v>
      </c>
      <c r="R8" s="36"/>
      <c r="S8" s="8"/>
      <c r="T8" s="26" t="s">
        <v>809</v>
      </c>
      <c r="U8" s="26" t="s">
        <v>810</v>
      </c>
      <c r="V8" s="65" t="s">
        <v>867</v>
      </c>
      <c r="Z8" s="33" t="s">
        <v>228</v>
      </c>
      <c r="AA8" s="33">
        <v>2</v>
      </c>
      <c r="AB8" s="33">
        <v>2</v>
      </c>
      <c r="AC8" s="33">
        <v>8</v>
      </c>
      <c r="AD8" s="14">
        <f t="shared" si="10"/>
        <v>65</v>
      </c>
      <c r="AE8" s="33">
        <f t="shared" si="3"/>
        <v>65</v>
      </c>
      <c r="AF8" s="33">
        <f t="shared" si="11"/>
        <v>26</v>
      </c>
      <c r="AG8" s="14">
        <f t="shared" si="12"/>
        <v>26</v>
      </c>
      <c r="AH8" s="14">
        <f t="shared" si="13"/>
        <v>520</v>
      </c>
      <c r="AI8" s="26">
        <f t="shared" si="14"/>
        <v>4000</v>
      </c>
      <c r="AK8" s="72" t="s">
        <v>331</v>
      </c>
      <c r="AL8" s="65">
        <v>5</v>
      </c>
      <c r="AM8" s="80">
        <v>2</v>
      </c>
      <c r="AN8" s="65">
        <f t="shared" si="15"/>
        <v>33</v>
      </c>
      <c r="AO8" s="65">
        <v>0.5</v>
      </c>
      <c r="AP8" s="33">
        <f t="shared" si="16"/>
        <v>17</v>
      </c>
      <c r="AQ8" s="26">
        <v>5</v>
      </c>
      <c r="AR8" s="26">
        <f t="shared" si="17"/>
        <v>85</v>
      </c>
      <c r="AT8" s="81" t="s">
        <v>324</v>
      </c>
      <c r="AU8" s="83">
        <v>2</v>
      </c>
      <c r="AV8" s="82">
        <v>11</v>
      </c>
      <c r="AW8" s="65">
        <f t="shared" si="18"/>
        <v>200</v>
      </c>
      <c r="AX8" s="26">
        <v>1</v>
      </c>
      <c r="AY8" s="65">
        <f t="shared" si="19"/>
        <v>200</v>
      </c>
      <c r="AZ8" s="26">
        <v>10</v>
      </c>
      <c r="BA8" s="65">
        <f t="shared" si="20"/>
        <v>2000</v>
      </c>
    </row>
    <row r="9" spans="1:53" ht="20.100000000000001" customHeight="1">
      <c r="A9" s="30">
        <v>8</v>
      </c>
      <c r="B9" s="2">
        <f t="shared" si="4"/>
        <v>31</v>
      </c>
      <c r="C9" s="2">
        <f t="shared" si="5"/>
        <v>7470</v>
      </c>
      <c r="D9" s="2">
        <v>20</v>
      </c>
      <c r="E9" s="2">
        <f t="shared" si="6"/>
        <v>620</v>
      </c>
      <c r="F9" s="2">
        <v>5</v>
      </c>
      <c r="G9" s="2">
        <f t="shared" si="7"/>
        <v>155</v>
      </c>
      <c r="H9" s="2">
        <f t="shared" si="0"/>
        <v>23</v>
      </c>
      <c r="I9" s="2">
        <v>1.5</v>
      </c>
      <c r="J9" s="2">
        <f t="shared" si="8"/>
        <v>47</v>
      </c>
      <c r="K9" s="2">
        <f t="shared" si="1"/>
        <v>14</v>
      </c>
      <c r="L9" s="2">
        <f t="shared" si="9"/>
        <v>10</v>
      </c>
      <c r="M9" s="2">
        <f t="shared" si="2"/>
        <v>4000</v>
      </c>
      <c r="N9" s="38">
        <v>0.01</v>
      </c>
      <c r="O9" s="38">
        <v>200</v>
      </c>
      <c r="P9" s="38">
        <v>0.1</v>
      </c>
      <c r="R9" s="19" t="s">
        <v>216</v>
      </c>
      <c r="S9" s="26">
        <v>1</v>
      </c>
      <c r="T9" s="26">
        <v>0.75</v>
      </c>
      <c r="U9" s="26">
        <v>0.75</v>
      </c>
      <c r="V9" s="26">
        <v>0.75</v>
      </c>
      <c r="Z9" s="33" t="s">
        <v>229</v>
      </c>
      <c r="AA9" s="33">
        <v>1</v>
      </c>
      <c r="AB9" s="33">
        <v>1</v>
      </c>
      <c r="AC9" s="33">
        <v>6</v>
      </c>
      <c r="AD9" s="14">
        <f t="shared" si="10"/>
        <v>50</v>
      </c>
      <c r="AE9" s="33">
        <f t="shared" si="3"/>
        <v>38</v>
      </c>
      <c r="AF9" s="33">
        <f t="shared" si="11"/>
        <v>15</v>
      </c>
      <c r="AG9" s="14">
        <f t="shared" si="12"/>
        <v>15</v>
      </c>
      <c r="AH9" s="14">
        <f t="shared" si="13"/>
        <v>300</v>
      </c>
      <c r="AI9" s="26">
        <f t="shared" si="14"/>
        <v>4000</v>
      </c>
      <c r="AK9" s="72" t="s">
        <v>816</v>
      </c>
      <c r="AL9" s="65">
        <v>5</v>
      </c>
      <c r="AM9" s="80">
        <v>2</v>
      </c>
      <c r="AN9" s="65">
        <f t="shared" si="15"/>
        <v>33</v>
      </c>
      <c r="AO9" s="65">
        <v>1</v>
      </c>
      <c r="AP9" s="33">
        <f t="shared" si="16"/>
        <v>33</v>
      </c>
      <c r="AQ9" s="26">
        <v>5</v>
      </c>
      <c r="AR9" s="26">
        <f t="shared" si="17"/>
        <v>165</v>
      </c>
      <c r="AT9" s="81" t="s">
        <v>325</v>
      </c>
      <c r="AU9" s="83">
        <v>2</v>
      </c>
      <c r="AV9" s="82">
        <v>12</v>
      </c>
      <c r="AW9" s="65">
        <f t="shared" si="18"/>
        <v>215</v>
      </c>
      <c r="AX9" s="26">
        <v>1</v>
      </c>
      <c r="AY9" s="65">
        <f t="shared" si="19"/>
        <v>215</v>
      </c>
      <c r="AZ9" s="26">
        <v>10</v>
      </c>
      <c r="BA9" s="65">
        <f t="shared" si="20"/>
        <v>2150</v>
      </c>
    </row>
    <row r="10" spans="1:53" ht="20.100000000000001" customHeight="1">
      <c r="A10" s="30">
        <v>9</v>
      </c>
      <c r="B10" s="2">
        <f t="shared" si="4"/>
        <v>34</v>
      </c>
      <c r="C10" s="2">
        <f t="shared" si="5"/>
        <v>8220</v>
      </c>
      <c r="D10" s="2">
        <v>20</v>
      </c>
      <c r="E10" s="2">
        <f t="shared" si="6"/>
        <v>680</v>
      </c>
      <c r="F10" s="2">
        <v>5</v>
      </c>
      <c r="G10" s="2">
        <f t="shared" si="7"/>
        <v>170</v>
      </c>
      <c r="H10" s="2">
        <f t="shared" si="0"/>
        <v>26</v>
      </c>
      <c r="I10" s="2">
        <v>1.5</v>
      </c>
      <c r="J10" s="2">
        <f t="shared" si="8"/>
        <v>51</v>
      </c>
      <c r="K10" s="2">
        <f t="shared" si="1"/>
        <v>15</v>
      </c>
      <c r="L10" s="2">
        <f t="shared" si="9"/>
        <v>10</v>
      </c>
      <c r="M10" s="2">
        <f t="shared" si="2"/>
        <v>4000</v>
      </c>
      <c r="N10" s="38">
        <v>0.01</v>
      </c>
      <c r="O10" s="38">
        <v>200</v>
      </c>
      <c r="P10" s="38">
        <v>0.1</v>
      </c>
      <c r="R10" s="36"/>
      <c r="S10" s="26">
        <v>2</v>
      </c>
      <c r="T10" s="26">
        <v>1</v>
      </c>
      <c r="U10" s="26">
        <v>1</v>
      </c>
      <c r="V10" s="26">
        <v>1</v>
      </c>
      <c r="Z10" s="33" t="s">
        <v>230</v>
      </c>
      <c r="AA10" s="33">
        <v>2</v>
      </c>
      <c r="AB10" s="33">
        <v>2</v>
      </c>
      <c r="AC10" s="33">
        <v>6</v>
      </c>
      <c r="AD10" s="14">
        <f t="shared" si="10"/>
        <v>65</v>
      </c>
      <c r="AE10" s="33">
        <f t="shared" si="3"/>
        <v>65</v>
      </c>
      <c r="AF10" s="33">
        <f t="shared" si="11"/>
        <v>26</v>
      </c>
      <c r="AG10" s="14">
        <f t="shared" si="12"/>
        <v>26</v>
      </c>
      <c r="AH10" s="14">
        <f t="shared" si="13"/>
        <v>520</v>
      </c>
      <c r="AI10" s="26">
        <f t="shared" si="14"/>
        <v>4000</v>
      </c>
      <c r="AK10" s="73" t="s">
        <v>332</v>
      </c>
      <c r="AL10" s="65">
        <v>5</v>
      </c>
      <c r="AM10" s="80">
        <v>2</v>
      </c>
      <c r="AN10" s="65">
        <f t="shared" si="15"/>
        <v>33</v>
      </c>
      <c r="AO10" s="65">
        <v>1</v>
      </c>
      <c r="AP10" s="33">
        <f t="shared" si="16"/>
        <v>33</v>
      </c>
      <c r="AQ10" s="26">
        <v>5</v>
      </c>
      <c r="AR10" s="26">
        <f t="shared" si="17"/>
        <v>165</v>
      </c>
      <c r="AT10" s="81" t="s">
        <v>326</v>
      </c>
      <c r="AU10" s="83">
        <v>4</v>
      </c>
      <c r="AV10" s="82">
        <v>15</v>
      </c>
      <c r="AW10" s="65">
        <f t="shared" si="18"/>
        <v>260</v>
      </c>
      <c r="AX10" s="26">
        <v>1</v>
      </c>
      <c r="AY10" s="65">
        <f t="shared" si="19"/>
        <v>2600</v>
      </c>
      <c r="AZ10" s="26">
        <v>10</v>
      </c>
      <c r="BA10" s="65">
        <f t="shared" si="20"/>
        <v>26000</v>
      </c>
    </row>
    <row r="11" spans="1:53" ht="20.100000000000001" customHeight="1">
      <c r="A11" s="30">
        <v>10</v>
      </c>
      <c r="B11" s="2">
        <f t="shared" si="4"/>
        <v>37</v>
      </c>
      <c r="C11" s="2">
        <f t="shared" si="5"/>
        <v>8970</v>
      </c>
      <c r="D11" s="2">
        <v>20</v>
      </c>
      <c r="E11" s="2">
        <f t="shared" si="6"/>
        <v>740</v>
      </c>
      <c r="F11" s="2">
        <v>5</v>
      </c>
      <c r="G11" s="2">
        <f t="shared" si="7"/>
        <v>185</v>
      </c>
      <c r="H11" s="2">
        <f t="shared" si="0"/>
        <v>28</v>
      </c>
      <c r="I11" s="2">
        <v>1.5</v>
      </c>
      <c r="J11" s="2">
        <f t="shared" si="8"/>
        <v>56</v>
      </c>
      <c r="K11" s="2">
        <f t="shared" si="1"/>
        <v>17</v>
      </c>
      <c r="L11" s="2">
        <f t="shared" si="9"/>
        <v>10</v>
      </c>
      <c r="M11" s="2">
        <f t="shared" si="2"/>
        <v>4000</v>
      </c>
      <c r="N11" s="38">
        <v>0.01</v>
      </c>
      <c r="O11" s="38">
        <v>200</v>
      </c>
      <c r="P11" s="38">
        <v>0.1</v>
      </c>
      <c r="R11" s="36"/>
      <c r="S11" s="26">
        <v>3</v>
      </c>
      <c r="T11" s="26">
        <v>2.5</v>
      </c>
      <c r="U11" s="26">
        <v>3</v>
      </c>
      <c r="V11" s="26">
        <v>3</v>
      </c>
      <c r="Z11" s="33" t="s">
        <v>231</v>
      </c>
      <c r="AA11" s="33">
        <v>3</v>
      </c>
      <c r="AB11" s="33">
        <v>2</v>
      </c>
      <c r="AC11" s="33">
        <v>11</v>
      </c>
      <c r="AD11" s="14">
        <f t="shared" si="10"/>
        <v>80</v>
      </c>
      <c r="AE11" s="33">
        <f t="shared" si="3"/>
        <v>80</v>
      </c>
      <c r="AF11" s="33">
        <f t="shared" si="11"/>
        <v>52</v>
      </c>
      <c r="AG11" s="14">
        <f t="shared" si="12"/>
        <v>52</v>
      </c>
      <c r="AH11" s="14">
        <f t="shared" si="13"/>
        <v>1040</v>
      </c>
      <c r="AI11" s="26">
        <f t="shared" si="14"/>
        <v>4000</v>
      </c>
      <c r="AK11" s="73" t="s">
        <v>333</v>
      </c>
      <c r="AL11" s="65">
        <v>6</v>
      </c>
      <c r="AM11" s="79">
        <v>3</v>
      </c>
      <c r="AN11" s="65">
        <f t="shared" si="15"/>
        <v>38</v>
      </c>
      <c r="AO11" s="65">
        <v>2</v>
      </c>
      <c r="AP11" s="33">
        <f t="shared" si="16"/>
        <v>228</v>
      </c>
      <c r="AQ11" s="26">
        <v>5</v>
      </c>
      <c r="AR11" s="26">
        <f t="shared" si="17"/>
        <v>1140</v>
      </c>
      <c r="AT11" s="81" t="s">
        <v>859</v>
      </c>
      <c r="AU11" s="83">
        <v>3</v>
      </c>
      <c r="AV11" s="82">
        <v>24</v>
      </c>
      <c r="AW11" s="65">
        <f t="shared" si="18"/>
        <v>395</v>
      </c>
      <c r="AX11" s="26">
        <v>1</v>
      </c>
      <c r="AY11" s="65">
        <f t="shared" si="19"/>
        <v>1185</v>
      </c>
      <c r="AZ11" s="26">
        <v>10</v>
      </c>
      <c r="BA11" s="65">
        <f t="shared" si="20"/>
        <v>11850</v>
      </c>
    </row>
    <row r="12" spans="1:53" ht="20.100000000000001" customHeight="1">
      <c r="A12" s="30">
        <v>11</v>
      </c>
      <c r="B12" s="2">
        <f t="shared" si="4"/>
        <v>40</v>
      </c>
      <c r="C12" s="2">
        <f t="shared" si="5"/>
        <v>9600</v>
      </c>
      <c r="D12" s="2">
        <v>20</v>
      </c>
      <c r="E12" s="2">
        <f t="shared" si="6"/>
        <v>800</v>
      </c>
      <c r="F12" s="2">
        <v>5</v>
      </c>
      <c r="G12" s="2">
        <f t="shared" si="7"/>
        <v>200</v>
      </c>
      <c r="H12" s="2">
        <f t="shared" si="0"/>
        <v>30</v>
      </c>
      <c r="I12" s="2">
        <v>1.5</v>
      </c>
      <c r="J12" s="2">
        <f t="shared" si="8"/>
        <v>60</v>
      </c>
      <c r="K12" s="2">
        <f t="shared" si="1"/>
        <v>18</v>
      </c>
      <c r="L12" s="2">
        <f t="shared" si="9"/>
        <v>20</v>
      </c>
      <c r="M12" s="2">
        <f t="shared" si="2"/>
        <v>8000</v>
      </c>
      <c r="N12" s="38">
        <v>0.01</v>
      </c>
      <c r="O12" s="38">
        <v>200</v>
      </c>
      <c r="P12" s="38">
        <v>0.1</v>
      </c>
      <c r="R12" s="36"/>
      <c r="S12" s="26">
        <v>4</v>
      </c>
      <c r="T12" s="26">
        <v>5</v>
      </c>
      <c r="U12" s="26">
        <v>10</v>
      </c>
      <c r="V12" s="26">
        <v>10</v>
      </c>
      <c r="Z12" s="33" t="s">
        <v>232</v>
      </c>
      <c r="AA12" s="33">
        <v>1</v>
      </c>
      <c r="AB12" s="33">
        <v>2</v>
      </c>
      <c r="AC12" s="33">
        <v>4</v>
      </c>
      <c r="AD12" s="14">
        <f t="shared" si="10"/>
        <v>50</v>
      </c>
      <c r="AE12" s="33">
        <f t="shared" si="3"/>
        <v>50</v>
      </c>
      <c r="AF12" s="33">
        <f t="shared" si="11"/>
        <v>40</v>
      </c>
      <c r="AG12" s="14">
        <f t="shared" si="12"/>
        <v>40</v>
      </c>
      <c r="AH12" s="14">
        <f t="shared" si="13"/>
        <v>800</v>
      </c>
      <c r="AI12" s="26">
        <f t="shared" si="14"/>
        <v>4000</v>
      </c>
      <c r="AK12" s="72" t="s">
        <v>334</v>
      </c>
      <c r="AL12" s="65">
        <v>8</v>
      </c>
      <c r="AM12" s="80">
        <v>2</v>
      </c>
      <c r="AN12" s="65">
        <f t="shared" si="15"/>
        <v>47</v>
      </c>
      <c r="AO12" s="65">
        <v>1</v>
      </c>
      <c r="AP12" s="33">
        <f t="shared" si="16"/>
        <v>47</v>
      </c>
      <c r="AQ12" s="26">
        <v>5</v>
      </c>
      <c r="AR12" s="26">
        <f t="shared" si="17"/>
        <v>235</v>
      </c>
      <c r="AT12" s="81" t="s">
        <v>802</v>
      </c>
      <c r="AU12" s="83">
        <v>3</v>
      </c>
      <c r="AV12" s="82">
        <v>26</v>
      </c>
      <c r="AW12" s="65">
        <f t="shared" si="18"/>
        <v>425</v>
      </c>
      <c r="AX12" s="26">
        <v>1</v>
      </c>
      <c r="AY12" s="65">
        <f t="shared" si="19"/>
        <v>1275</v>
      </c>
      <c r="AZ12" s="26">
        <v>10</v>
      </c>
      <c r="BA12" s="65">
        <f t="shared" si="20"/>
        <v>12750</v>
      </c>
    </row>
    <row r="13" spans="1:53" ht="20.100000000000001" customHeight="1">
      <c r="A13" s="30">
        <v>12</v>
      </c>
      <c r="B13" s="2">
        <f t="shared" si="4"/>
        <v>43</v>
      </c>
      <c r="C13" s="2">
        <f t="shared" si="5"/>
        <v>10350</v>
      </c>
      <c r="D13" s="2">
        <v>20</v>
      </c>
      <c r="E13" s="2">
        <f t="shared" si="6"/>
        <v>860</v>
      </c>
      <c r="F13" s="2">
        <v>5</v>
      </c>
      <c r="G13" s="2">
        <f t="shared" si="7"/>
        <v>215</v>
      </c>
      <c r="H13" s="2">
        <f t="shared" si="0"/>
        <v>32</v>
      </c>
      <c r="I13" s="2">
        <v>1.5</v>
      </c>
      <c r="J13" s="2">
        <f t="shared" si="8"/>
        <v>65</v>
      </c>
      <c r="K13" s="2">
        <f t="shared" si="1"/>
        <v>20</v>
      </c>
      <c r="L13" s="2">
        <f t="shared" si="9"/>
        <v>20</v>
      </c>
      <c r="M13" s="2">
        <f t="shared" si="2"/>
        <v>8000</v>
      </c>
      <c r="N13" s="38">
        <v>0.01</v>
      </c>
      <c r="O13" s="38">
        <v>200</v>
      </c>
      <c r="P13" s="38">
        <v>0.1</v>
      </c>
      <c r="R13" s="36"/>
      <c r="S13" s="26">
        <v>5</v>
      </c>
      <c r="T13" s="26">
        <v>10</v>
      </c>
      <c r="U13" s="26">
        <v>20</v>
      </c>
      <c r="V13" s="26">
        <v>20</v>
      </c>
      <c r="Z13" s="33" t="s">
        <v>233</v>
      </c>
      <c r="AA13" s="33">
        <v>1</v>
      </c>
      <c r="AB13" s="33">
        <v>1</v>
      </c>
      <c r="AC13" s="33">
        <v>1</v>
      </c>
      <c r="AD13" s="14">
        <f t="shared" si="10"/>
        <v>50</v>
      </c>
      <c r="AE13" s="33">
        <f t="shared" si="3"/>
        <v>38</v>
      </c>
      <c r="AF13" s="33">
        <f t="shared" si="11"/>
        <v>114</v>
      </c>
      <c r="AG13" s="14">
        <f t="shared" si="12"/>
        <v>114</v>
      </c>
      <c r="AH13" s="14">
        <f t="shared" si="13"/>
        <v>2280</v>
      </c>
      <c r="AI13" s="26">
        <f t="shared" si="14"/>
        <v>4000</v>
      </c>
      <c r="AK13" s="72" t="s">
        <v>335</v>
      </c>
      <c r="AL13" s="65">
        <v>9</v>
      </c>
      <c r="AM13" s="80">
        <v>2</v>
      </c>
      <c r="AN13" s="65">
        <f t="shared" si="15"/>
        <v>51</v>
      </c>
      <c r="AO13" s="65">
        <v>1</v>
      </c>
      <c r="AP13" s="33">
        <f t="shared" si="16"/>
        <v>51</v>
      </c>
      <c r="AQ13" s="26">
        <v>5</v>
      </c>
      <c r="AR13" s="26">
        <f t="shared" si="17"/>
        <v>255</v>
      </c>
      <c r="AT13" s="81" t="s">
        <v>736</v>
      </c>
      <c r="AU13" s="83">
        <v>2</v>
      </c>
      <c r="AV13" s="82">
        <v>20</v>
      </c>
      <c r="AW13" s="65">
        <f t="shared" si="18"/>
        <v>335</v>
      </c>
      <c r="AX13" s="26">
        <v>1</v>
      </c>
      <c r="AY13" s="65">
        <f t="shared" si="19"/>
        <v>335</v>
      </c>
      <c r="AZ13" s="26">
        <v>10</v>
      </c>
      <c r="BA13" s="65">
        <f t="shared" si="20"/>
        <v>3350</v>
      </c>
    </row>
    <row r="14" spans="1:53" ht="20.100000000000001" customHeight="1">
      <c r="A14" s="30">
        <v>13</v>
      </c>
      <c r="B14" s="2">
        <f t="shared" si="4"/>
        <v>46</v>
      </c>
      <c r="C14" s="2">
        <f t="shared" si="5"/>
        <v>11100</v>
      </c>
      <c r="D14" s="2">
        <v>20</v>
      </c>
      <c r="E14" s="2">
        <f t="shared" si="6"/>
        <v>920</v>
      </c>
      <c r="F14" s="2">
        <v>5</v>
      </c>
      <c r="G14" s="2">
        <f t="shared" si="7"/>
        <v>230</v>
      </c>
      <c r="H14" s="2">
        <f t="shared" si="0"/>
        <v>35</v>
      </c>
      <c r="I14" s="2">
        <v>1.5</v>
      </c>
      <c r="J14" s="2">
        <f t="shared" si="8"/>
        <v>69</v>
      </c>
      <c r="K14" s="2">
        <f t="shared" si="1"/>
        <v>21</v>
      </c>
      <c r="L14" s="2">
        <f t="shared" si="9"/>
        <v>20</v>
      </c>
      <c r="M14" s="2">
        <f t="shared" si="2"/>
        <v>8000</v>
      </c>
      <c r="N14" s="38">
        <v>0.01</v>
      </c>
      <c r="O14" s="38">
        <v>200</v>
      </c>
      <c r="P14" s="38">
        <v>0.1</v>
      </c>
      <c r="R14" s="18"/>
      <c r="S14" s="13"/>
      <c r="T14" s="13"/>
      <c r="U14" s="13"/>
      <c r="V14" s="13"/>
      <c r="W14" s="13"/>
      <c r="X14" s="13"/>
      <c r="Y14" s="13"/>
      <c r="Z14" s="33" t="s">
        <v>234</v>
      </c>
      <c r="AA14" s="33">
        <v>3</v>
      </c>
      <c r="AB14" s="33">
        <v>2</v>
      </c>
      <c r="AC14" s="33">
        <v>1</v>
      </c>
      <c r="AD14" s="14">
        <f t="shared" si="10"/>
        <v>80</v>
      </c>
      <c r="AE14" s="33">
        <f t="shared" si="3"/>
        <v>80</v>
      </c>
      <c r="AF14" s="33">
        <f t="shared" si="11"/>
        <v>240</v>
      </c>
      <c r="AG14" s="14">
        <f t="shared" si="12"/>
        <v>240</v>
      </c>
      <c r="AH14" s="14">
        <f t="shared" si="13"/>
        <v>4800</v>
      </c>
      <c r="AI14" s="26">
        <f t="shared" si="14"/>
        <v>4000</v>
      </c>
      <c r="AK14" s="72" t="s">
        <v>336</v>
      </c>
      <c r="AL14" s="65">
        <v>10</v>
      </c>
      <c r="AM14" s="80">
        <v>2</v>
      </c>
      <c r="AN14" s="65">
        <f t="shared" si="15"/>
        <v>56</v>
      </c>
      <c r="AO14" s="65">
        <v>1</v>
      </c>
      <c r="AP14" s="33">
        <f t="shared" si="16"/>
        <v>56</v>
      </c>
      <c r="AQ14" s="26">
        <v>5</v>
      </c>
      <c r="AR14" s="26">
        <f t="shared" si="17"/>
        <v>280</v>
      </c>
      <c r="AT14" s="81" t="s">
        <v>737</v>
      </c>
      <c r="AU14" s="83">
        <v>2</v>
      </c>
      <c r="AV14" s="82">
        <v>22</v>
      </c>
      <c r="AW14" s="65">
        <f t="shared" si="18"/>
        <v>365</v>
      </c>
      <c r="AX14" s="26">
        <v>1</v>
      </c>
      <c r="AY14" s="65">
        <f t="shared" si="19"/>
        <v>365</v>
      </c>
      <c r="AZ14" s="26">
        <v>10</v>
      </c>
      <c r="BA14" s="65">
        <f t="shared" si="20"/>
        <v>3650</v>
      </c>
    </row>
    <row r="15" spans="1:53" ht="20.100000000000001" customHeight="1">
      <c r="A15" s="30">
        <v>14</v>
      </c>
      <c r="B15" s="2">
        <f t="shared" si="4"/>
        <v>49</v>
      </c>
      <c r="C15" s="2">
        <f t="shared" si="5"/>
        <v>11730</v>
      </c>
      <c r="D15" s="2">
        <v>20</v>
      </c>
      <c r="E15" s="2">
        <f t="shared" si="6"/>
        <v>980</v>
      </c>
      <c r="F15" s="2">
        <v>5</v>
      </c>
      <c r="G15" s="2">
        <f t="shared" si="7"/>
        <v>245</v>
      </c>
      <c r="H15" s="2">
        <f t="shared" si="0"/>
        <v>37</v>
      </c>
      <c r="I15" s="2">
        <v>1.5</v>
      </c>
      <c r="J15" s="2">
        <f t="shared" si="8"/>
        <v>74</v>
      </c>
      <c r="K15" s="2">
        <f t="shared" si="1"/>
        <v>22</v>
      </c>
      <c r="L15" s="2">
        <f t="shared" si="9"/>
        <v>20</v>
      </c>
      <c r="M15" s="2">
        <f t="shared" si="2"/>
        <v>8000</v>
      </c>
      <c r="N15" s="38">
        <v>0.01</v>
      </c>
      <c r="O15" s="38">
        <v>200</v>
      </c>
      <c r="P15" s="38">
        <v>0.1</v>
      </c>
      <c r="R15" s="19" t="s">
        <v>286</v>
      </c>
      <c r="S15" s="26">
        <v>1</v>
      </c>
      <c r="T15" s="26">
        <v>3</v>
      </c>
      <c r="U15" s="26" t="s">
        <v>287</v>
      </c>
      <c r="V15" s="26"/>
      <c r="W15" s="26"/>
      <c r="Z15" s="33" t="s">
        <v>235</v>
      </c>
      <c r="AA15" s="33">
        <v>1</v>
      </c>
      <c r="AB15" s="33">
        <v>1</v>
      </c>
      <c r="AC15" s="33">
        <v>2</v>
      </c>
      <c r="AD15" s="14">
        <f t="shared" si="10"/>
        <v>50</v>
      </c>
      <c r="AE15" s="33">
        <f t="shared" si="3"/>
        <v>38</v>
      </c>
      <c r="AF15" s="33">
        <f t="shared" si="11"/>
        <v>57</v>
      </c>
      <c r="AG15" s="14">
        <f t="shared" si="12"/>
        <v>57</v>
      </c>
      <c r="AH15" s="14">
        <f t="shared" si="13"/>
        <v>1140</v>
      </c>
      <c r="AI15" s="26">
        <f t="shared" si="14"/>
        <v>4000</v>
      </c>
      <c r="AK15" s="72" t="s">
        <v>337</v>
      </c>
      <c r="AL15" s="65">
        <v>11</v>
      </c>
      <c r="AM15" s="80">
        <v>2</v>
      </c>
      <c r="AN15" s="65">
        <f t="shared" si="15"/>
        <v>60</v>
      </c>
      <c r="AO15" s="65">
        <v>1</v>
      </c>
      <c r="AP15" s="33">
        <f t="shared" si="16"/>
        <v>60</v>
      </c>
      <c r="AQ15" s="26">
        <v>5</v>
      </c>
      <c r="AR15" s="26">
        <f t="shared" si="17"/>
        <v>300</v>
      </c>
      <c r="AT15" s="81" t="s">
        <v>738</v>
      </c>
      <c r="AU15" s="83">
        <v>2</v>
      </c>
      <c r="AV15" s="82">
        <v>23</v>
      </c>
      <c r="AW15" s="65">
        <f t="shared" si="18"/>
        <v>380</v>
      </c>
      <c r="AX15" s="26">
        <v>1</v>
      </c>
      <c r="AY15" s="65">
        <f t="shared" si="19"/>
        <v>380</v>
      </c>
      <c r="AZ15" s="26">
        <v>10</v>
      </c>
      <c r="BA15" s="65">
        <f t="shared" si="20"/>
        <v>3800</v>
      </c>
    </row>
    <row r="16" spans="1:53" ht="20.100000000000001" customHeight="1">
      <c r="A16" s="30">
        <v>15</v>
      </c>
      <c r="B16" s="2">
        <f t="shared" si="4"/>
        <v>52</v>
      </c>
      <c r="C16" s="2">
        <f t="shared" si="5"/>
        <v>13320</v>
      </c>
      <c r="D16" s="2">
        <v>20</v>
      </c>
      <c r="E16" s="2">
        <f t="shared" si="6"/>
        <v>1040</v>
      </c>
      <c r="F16" s="2">
        <v>5</v>
      </c>
      <c r="G16" s="2">
        <f t="shared" si="7"/>
        <v>260</v>
      </c>
      <c r="H16" s="2">
        <f t="shared" si="0"/>
        <v>39</v>
      </c>
      <c r="I16" s="2">
        <v>1.5</v>
      </c>
      <c r="J16" s="2">
        <f t="shared" si="8"/>
        <v>78</v>
      </c>
      <c r="K16" s="2">
        <f t="shared" si="1"/>
        <v>23</v>
      </c>
      <c r="L16" s="2">
        <f t="shared" si="9"/>
        <v>20</v>
      </c>
      <c r="M16" s="2">
        <f t="shared" si="2"/>
        <v>8000</v>
      </c>
      <c r="N16" s="38">
        <f>N2+0.01</f>
        <v>0.02</v>
      </c>
      <c r="O16" s="38">
        <v>500</v>
      </c>
      <c r="P16" s="38">
        <v>0.1</v>
      </c>
      <c r="R16" s="19"/>
      <c r="S16" s="26">
        <v>2</v>
      </c>
      <c r="T16" s="26">
        <v>1.5</v>
      </c>
      <c r="U16" s="26" t="s">
        <v>288</v>
      </c>
      <c r="V16" s="26"/>
      <c r="W16" s="26"/>
      <c r="Z16" s="33" t="s">
        <v>236</v>
      </c>
      <c r="AA16" s="33">
        <v>6</v>
      </c>
      <c r="AB16" s="33">
        <v>2</v>
      </c>
      <c r="AC16" s="33">
        <v>10</v>
      </c>
      <c r="AD16" s="14">
        <f t="shared" si="10"/>
        <v>125</v>
      </c>
      <c r="AE16" s="33">
        <f t="shared" si="3"/>
        <v>125</v>
      </c>
      <c r="AF16" s="33">
        <f t="shared" si="11"/>
        <v>69</v>
      </c>
      <c r="AG16" s="14">
        <f t="shared" si="12"/>
        <v>69</v>
      </c>
      <c r="AH16" s="14">
        <f t="shared" si="13"/>
        <v>1380</v>
      </c>
      <c r="AI16" s="26">
        <f t="shared" si="14"/>
        <v>4000</v>
      </c>
      <c r="AK16" s="72" t="s">
        <v>338</v>
      </c>
      <c r="AL16" s="65">
        <v>15</v>
      </c>
      <c r="AM16" s="80">
        <v>4</v>
      </c>
      <c r="AN16" s="65">
        <f t="shared" si="15"/>
        <v>78</v>
      </c>
      <c r="AO16" s="65">
        <v>1</v>
      </c>
      <c r="AP16" s="33">
        <f t="shared" si="16"/>
        <v>780</v>
      </c>
      <c r="AQ16" s="26">
        <v>5</v>
      </c>
      <c r="AR16" s="26">
        <f t="shared" si="17"/>
        <v>3900</v>
      </c>
      <c r="AT16" s="81" t="s">
        <v>739</v>
      </c>
      <c r="AU16" s="83">
        <v>2</v>
      </c>
      <c r="AV16" s="82">
        <v>24</v>
      </c>
      <c r="AW16" s="65">
        <f t="shared" si="18"/>
        <v>395</v>
      </c>
      <c r="AX16" s="26">
        <v>1</v>
      </c>
      <c r="AY16" s="65">
        <f t="shared" si="19"/>
        <v>395</v>
      </c>
      <c r="AZ16" s="26">
        <v>10</v>
      </c>
      <c r="BA16" s="65">
        <f t="shared" si="20"/>
        <v>3950</v>
      </c>
    </row>
    <row r="17" spans="1:53" ht="20.100000000000001" customHeight="1">
      <c r="A17" s="30">
        <v>16</v>
      </c>
      <c r="B17" s="2">
        <f t="shared" si="4"/>
        <v>55</v>
      </c>
      <c r="C17" s="2">
        <f t="shared" si="5"/>
        <v>14070</v>
      </c>
      <c r="D17" s="2">
        <v>20</v>
      </c>
      <c r="E17" s="2">
        <f t="shared" si="6"/>
        <v>1100</v>
      </c>
      <c r="F17" s="2">
        <v>5</v>
      </c>
      <c r="G17" s="2">
        <f t="shared" si="7"/>
        <v>275</v>
      </c>
      <c r="H17" s="2">
        <f t="shared" si="0"/>
        <v>41</v>
      </c>
      <c r="I17" s="2">
        <v>1.5</v>
      </c>
      <c r="J17" s="2">
        <f t="shared" si="8"/>
        <v>83</v>
      </c>
      <c r="K17" s="2">
        <f t="shared" si="1"/>
        <v>25</v>
      </c>
      <c r="L17" s="2">
        <f t="shared" si="9"/>
        <v>20</v>
      </c>
      <c r="M17" s="2">
        <f t="shared" si="2"/>
        <v>8000</v>
      </c>
      <c r="N17" s="38">
        <f t="shared" ref="N17:N66" si="21">N3+0.01</f>
        <v>0.02</v>
      </c>
      <c r="O17" s="38">
        <v>500</v>
      </c>
      <c r="P17" s="38">
        <v>0.1</v>
      </c>
      <c r="R17" s="36"/>
      <c r="S17" s="26">
        <v>3</v>
      </c>
      <c r="T17" s="26">
        <v>1.2</v>
      </c>
      <c r="U17" s="26" t="s">
        <v>289</v>
      </c>
      <c r="V17" s="26"/>
      <c r="W17" s="26"/>
      <c r="Z17" s="33" t="s">
        <v>237</v>
      </c>
      <c r="AA17" s="33">
        <v>8</v>
      </c>
      <c r="AB17" s="33">
        <v>2</v>
      </c>
      <c r="AC17" s="33">
        <v>10</v>
      </c>
      <c r="AD17" s="14">
        <f t="shared" si="10"/>
        <v>155</v>
      </c>
      <c r="AE17" s="33">
        <f t="shared" si="3"/>
        <v>155</v>
      </c>
      <c r="AF17" s="33">
        <f t="shared" si="11"/>
        <v>85</v>
      </c>
      <c r="AG17" s="14">
        <f t="shared" si="12"/>
        <v>85</v>
      </c>
      <c r="AH17" s="14">
        <f t="shared" si="13"/>
        <v>1700</v>
      </c>
      <c r="AI17" s="26">
        <f t="shared" si="14"/>
        <v>4000</v>
      </c>
      <c r="AK17" s="72" t="s">
        <v>339</v>
      </c>
      <c r="AL17" s="65">
        <v>15</v>
      </c>
      <c r="AM17" s="79">
        <v>3</v>
      </c>
      <c r="AN17" s="65">
        <f t="shared" si="15"/>
        <v>78</v>
      </c>
      <c r="AO17" s="65">
        <v>1</v>
      </c>
      <c r="AP17" s="33">
        <f t="shared" si="16"/>
        <v>234</v>
      </c>
      <c r="AQ17" s="26">
        <v>1</v>
      </c>
      <c r="AR17" s="26">
        <f t="shared" si="17"/>
        <v>234</v>
      </c>
      <c r="AT17" s="81" t="s">
        <v>744</v>
      </c>
      <c r="AU17" s="83">
        <v>3</v>
      </c>
      <c r="AV17" s="82">
        <v>25</v>
      </c>
      <c r="AW17" s="65">
        <f t="shared" si="18"/>
        <v>410</v>
      </c>
      <c r="AX17" s="26">
        <v>1</v>
      </c>
      <c r="AY17" s="65">
        <f t="shared" si="19"/>
        <v>1230</v>
      </c>
      <c r="AZ17" s="26">
        <v>10</v>
      </c>
      <c r="BA17" s="65">
        <f t="shared" si="20"/>
        <v>12300</v>
      </c>
    </row>
    <row r="18" spans="1:53" ht="20.100000000000001" customHeight="1">
      <c r="A18" s="30">
        <v>17</v>
      </c>
      <c r="B18" s="2">
        <f t="shared" si="4"/>
        <v>58</v>
      </c>
      <c r="C18" s="2">
        <f t="shared" si="5"/>
        <v>14820</v>
      </c>
      <c r="D18" s="2">
        <v>20</v>
      </c>
      <c r="E18" s="2">
        <f t="shared" si="6"/>
        <v>1160</v>
      </c>
      <c r="F18" s="2">
        <v>5</v>
      </c>
      <c r="G18" s="2">
        <f t="shared" si="7"/>
        <v>290</v>
      </c>
      <c r="H18" s="2">
        <f t="shared" si="0"/>
        <v>44</v>
      </c>
      <c r="I18" s="2">
        <v>1.5</v>
      </c>
      <c r="J18" s="2">
        <f t="shared" si="8"/>
        <v>87</v>
      </c>
      <c r="K18" s="2">
        <f t="shared" si="1"/>
        <v>26</v>
      </c>
      <c r="L18" s="2">
        <f t="shared" si="9"/>
        <v>20</v>
      </c>
      <c r="M18" s="2">
        <f t="shared" si="2"/>
        <v>8000</v>
      </c>
      <c r="N18" s="38">
        <f t="shared" si="21"/>
        <v>0.02</v>
      </c>
      <c r="O18" s="38">
        <v>500</v>
      </c>
      <c r="P18" s="38">
        <v>0.1</v>
      </c>
      <c r="R18" s="36"/>
      <c r="S18" s="26">
        <v>4</v>
      </c>
      <c r="T18" s="26">
        <v>0.8</v>
      </c>
      <c r="U18" s="26" t="s">
        <v>290</v>
      </c>
      <c r="V18" s="26"/>
      <c r="W18" s="26"/>
      <c r="Z18" s="33" t="s">
        <v>238</v>
      </c>
      <c r="AA18" s="33">
        <v>10</v>
      </c>
      <c r="AB18" s="33">
        <v>3</v>
      </c>
      <c r="AC18" s="33">
        <v>10</v>
      </c>
      <c r="AD18" s="14">
        <f t="shared" si="10"/>
        <v>185</v>
      </c>
      <c r="AE18" s="33">
        <f t="shared" si="3"/>
        <v>463</v>
      </c>
      <c r="AF18" s="33">
        <f t="shared" si="11"/>
        <v>255</v>
      </c>
      <c r="AG18" s="14">
        <f t="shared" si="12"/>
        <v>255</v>
      </c>
      <c r="AH18" s="14">
        <f t="shared" si="13"/>
        <v>5100</v>
      </c>
      <c r="AI18" s="26">
        <f t="shared" si="14"/>
        <v>4000</v>
      </c>
      <c r="AK18" s="72" t="s">
        <v>340</v>
      </c>
      <c r="AL18" s="65">
        <v>15</v>
      </c>
      <c r="AM18" s="79">
        <v>3</v>
      </c>
      <c r="AN18" s="65">
        <f t="shared" si="15"/>
        <v>78</v>
      </c>
      <c r="AO18" s="65">
        <v>1</v>
      </c>
      <c r="AP18" s="33">
        <f t="shared" si="16"/>
        <v>234</v>
      </c>
      <c r="AQ18" s="26">
        <v>1.75</v>
      </c>
      <c r="AR18" s="26">
        <f t="shared" si="17"/>
        <v>410</v>
      </c>
      <c r="AT18" s="81" t="s">
        <v>745</v>
      </c>
      <c r="AU18" s="83">
        <v>3</v>
      </c>
      <c r="AV18" s="82">
        <v>26</v>
      </c>
      <c r="AW18" s="65">
        <f t="shared" si="18"/>
        <v>425</v>
      </c>
      <c r="AX18" s="26">
        <v>1</v>
      </c>
      <c r="AY18" s="65">
        <f t="shared" si="19"/>
        <v>1275</v>
      </c>
      <c r="AZ18" s="26">
        <v>10</v>
      </c>
      <c r="BA18" s="65">
        <f t="shared" si="20"/>
        <v>12750</v>
      </c>
    </row>
    <row r="19" spans="1:53" ht="20.100000000000001" customHeight="1">
      <c r="A19" s="30">
        <v>18</v>
      </c>
      <c r="B19" s="2">
        <f t="shared" si="4"/>
        <v>61</v>
      </c>
      <c r="C19" s="2">
        <f t="shared" si="5"/>
        <v>15570</v>
      </c>
      <c r="D19" s="2">
        <v>20</v>
      </c>
      <c r="E19" s="2">
        <f t="shared" si="6"/>
        <v>1220</v>
      </c>
      <c r="F19" s="2">
        <v>5</v>
      </c>
      <c r="G19" s="2">
        <f t="shared" si="7"/>
        <v>305</v>
      </c>
      <c r="H19" s="2">
        <f t="shared" si="0"/>
        <v>46</v>
      </c>
      <c r="I19" s="2">
        <v>1.5</v>
      </c>
      <c r="J19" s="2">
        <f t="shared" si="8"/>
        <v>92</v>
      </c>
      <c r="K19" s="2">
        <f t="shared" si="1"/>
        <v>28</v>
      </c>
      <c r="L19" s="2">
        <f t="shared" si="9"/>
        <v>20</v>
      </c>
      <c r="M19" s="2">
        <f t="shared" si="2"/>
        <v>8000</v>
      </c>
      <c r="N19" s="38">
        <f t="shared" si="21"/>
        <v>0.02</v>
      </c>
      <c r="O19" s="38">
        <v>500</v>
      </c>
      <c r="P19" s="38">
        <v>0.1</v>
      </c>
      <c r="S19" s="26">
        <v>5</v>
      </c>
      <c r="T19" s="26">
        <v>1.9</v>
      </c>
      <c r="U19" s="26" t="s">
        <v>291</v>
      </c>
      <c r="V19" s="26"/>
      <c r="W19" s="26"/>
      <c r="Z19" s="33" t="s">
        <v>239</v>
      </c>
      <c r="AA19" s="33">
        <v>5</v>
      </c>
      <c r="AB19" s="33">
        <v>2</v>
      </c>
      <c r="AC19" s="33">
        <v>9</v>
      </c>
      <c r="AD19" s="14">
        <f t="shared" si="10"/>
        <v>110</v>
      </c>
      <c r="AE19" s="33">
        <f t="shared" si="3"/>
        <v>110</v>
      </c>
      <c r="AF19" s="33">
        <f t="shared" si="11"/>
        <v>55</v>
      </c>
      <c r="AG19" s="14">
        <f t="shared" si="12"/>
        <v>55</v>
      </c>
      <c r="AH19" s="14">
        <f t="shared" si="13"/>
        <v>1100</v>
      </c>
      <c r="AI19" s="26">
        <f t="shared" si="14"/>
        <v>4000</v>
      </c>
      <c r="AK19" s="72" t="s">
        <v>817</v>
      </c>
      <c r="AL19" s="65">
        <v>15</v>
      </c>
      <c r="AM19" s="80">
        <v>2</v>
      </c>
      <c r="AN19" s="65">
        <f t="shared" si="15"/>
        <v>78</v>
      </c>
      <c r="AO19" s="65">
        <v>0.5</v>
      </c>
      <c r="AP19" s="33">
        <f t="shared" si="16"/>
        <v>39</v>
      </c>
      <c r="AQ19" s="26">
        <v>5</v>
      </c>
      <c r="AR19" s="26">
        <f t="shared" si="17"/>
        <v>195</v>
      </c>
      <c r="AT19" s="81" t="s">
        <v>741</v>
      </c>
      <c r="AU19" s="83">
        <v>3</v>
      </c>
      <c r="AV19" s="82">
        <v>27</v>
      </c>
      <c r="AW19" s="65">
        <f t="shared" si="18"/>
        <v>440</v>
      </c>
      <c r="AX19" s="26">
        <v>1</v>
      </c>
      <c r="AY19" s="65">
        <f t="shared" si="19"/>
        <v>1320</v>
      </c>
      <c r="AZ19" s="26">
        <v>10</v>
      </c>
      <c r="BA19" s="65">
        <f t="shared" si="20"/>
        <v>13200</v>
      </c>
    </row>
    <row r="20" spans="1:53" ht="20.100000000000001" customHeight="1">
      <c r="A20" s="30">
        <v>19</v>
      </c>
      <c r="B20" s="2">
        <f t="shared" si="4"/>
        <v>64</v>
      </c>
      <c r="C20" s="2">
        <f t="shared" si="5"/>
        <v>16200</v>
      </c>
      <c r="D20" s="2">
        <v>20</v>
      </c>
      <c r="E20" s="2">
        <f t="shared" si="6"/>
        <v>1280</v>
      </c>
      <c r="F20" s="2">
        <v>5</v>
      </c>
      <c r="G20" s="2">
        <f t="shared" si="7"/>
        <v>320</v>
      </c>
      <c r="H20" s="2">
        <f t="shared" si="0"/>
        <v>48</v>
      </c>
      <c r="I20" s="2">
        <v>1.5</v>
      </c>
      <c r="J20" s="2">
        <f t="shared" si="8"/>
        <v>96</v>
      </c>
      <c r="K20" s="2">
        <f t="shared" si="1"/>
        <v>29</v>
      </c>
      <c r="L20" s="2">
        <f t="shared" si="9"/>
        <v>20</v>
      </c>
      <c r="M20" s="2">
        <f t="shared" si="2"/>
        <v>8000</v>
      </c>
      <c r="N20" s="38">
        <f t="shared" si="21"/>
        <v>0.02</v>
      </c>
      <c r="O20" s="38">
        <v>500</v>
      </c>
      <c r="P20" s="38">
        <v>0.1</v>
      </c>
      <c r="S20" s="26">
        <v>6</v>
      </c>
      <c r="T20" s="26">
        <v>0.4</v>
      </c>
      <c r="U20" s="26" t="s">
        <v>292</v>
      </c>
      <c r="V20" s="26"/>
      <c r="W20" s="26"/>
      <c r="Z20" s="33" t="s">
        <v>240</v>
      </c>
      <c r="AA20" s="33">
        <v>7</v>
      </c>
      <c r="AB20" s="33">
        <v>2</v>
      </c>
      <c r="AC20" s="33">
        <v>9</v>
      </c>
      <c r="AD20" s="14">
        <f t="shared" si="10"/>
        <v>140</v>
      </c>
      <c r="AE20" s="33">
        <f t="shared" si="3"/>
        <v>140</v>
      </c>
      <c r="AF20" s="33">
        <f t="shared" si="11"/>
        <v>70</v>
      </c>
      <c r="AG20" s="14">
        <f t="shared" si="12"/>
        <v>70</v>
      </c>
      <c r="AH20" s="14">
        <f t="shared" si="13"/>
        <v>1400</v>
      </c>
      <c r="AI20" s="26">
        <f t="shared" si="14"/>
        <v>4000</v>
      </c>
      <c r="AK20" s="72" t="s">
        <v>428</v>
      </c>
      <c r="AL20" s="65">
        <v>18</v>
      </c>
      <c r="AM20" s="80">
        <v>2</v>
      </c>
      <c r="AN20" s="65">
        <f t="shared" si="15"/>
        <v>92</v>
      </c>
      <c r="AO20" s="65">
        <v>1</v>
      </c>
      <c r="AP20" s="33">
        <f t="shared" si="16"/>
        <v>92</v>
      </c>
      <c r="AQ20" s="26">
        <v>5</v>
      </c>
      <c r="AR20" s="26">
        <f t="shared" si="17"/>
        <v>460</v>
      </c>
      <c r="AT20" s="81" t="s">
        <v>742</v>
      </c>
      <c r="AU20" s="83">
        <v>3</v>
      </c>
      <c r="AV20" s="82">
        <v>28</v>
      </c>
      <c r="AW20" s="65">
        <f t="shared" si="18"/>
        <v>455</v>
      </c>
      <c r="AX20" s="26">
        <v>1</v>
      </c>
      <c r="AY20" s="65">
        <f t="shared" si="19"/>
        <v>1365</v>
      </c>
      <c r="AZ20" s="26">
        <v>10</v>
      </c>
      <c r="BA20" s="65">
        <f t="shared" si="20"/>
        <v>13650</v>
      </c>
    </row>
    <row r="21" spans="1:53" ht="20.100000000000001" customHeight="1">
      <c r="A21" s="30">
        <v>20</v>
      </c>
      <c r="B21" s="2">
        <f t="shared" si="4"/>
        <v>67</v>
      </c>
      <c r="C21" s="2">
        <f t="shared" si="5"/>
        <v>16830</v>
      </c>
      <c r="D21" s="2">
        <v>20</v>
      </c>
      <c r="E21" s="2">
        <f t="shared" si="6"/>
        <v>1340</v>
      </c>
      <c r="F21" s="2">
        <v>5</v>
      </c>
      <c r="G21" s="2">
        <f t="shared" si="7"/>
        <v>335</v>
      </c>
      <c r="H21" s="2">
        <f t="shared" si="0"/>
        <v>50</v>
      </c>
      <c r="I21" s="2">
        <v>1.5</v>
      </c>
      <c r="J21" s="2">
        <f t="shared" si="8"/>
        <v>101</v>
      </c>
      <c r="K21" s="2">
        <f t="shared" si="1"/>
        <v>30</v>
      </c>
      <c r="L21" s="2">
        <f t="shared" si="9"/>
        <v>20</v>
      </c>
      <c r="M21" s="2">
        <f t="shared" si="2"/>
        <v>8000</v>
      </c>
      <c r="N21" s="38">
        <f t="shared" si="21"/>
        <v>0.02</v>
      </c>
      <c r="O21" s="38">
        <v>500</v>
      </c>
      <c r="P21" s="38">
        <v>0.1</v>
      </c>
      <c r="S21" s="26">
        <v>7</v>
      </c>
      <c r="T21" s="26">
        <v>0.6</v>
      </c>
      <c r="U21" s="26" t="s">
        <v>293</v>
      </c>
      <c r="V21" s="26"/>
      <c r="W21" s="26"/>
      <c r="Z21" s="33" t="s">
        <v>241</v>
      </c>
      <c r="AA21" s="33">
        <v>8</v>
      </c>
      <c r="AB21" s="33">
        <v>2</v>
      </c>
      <c r="AC21" s="33">
        <v>9</v>
      </c>
      <c r="AD21" s="14">
        <f t="shared" si="10"/>
        <v>155</v>
      </c>
      <c r="AE21" s="33">
        <f t="shared" si="3"/>
        <v>155</v>
      </c>
      <c r="AF21" s="33">
        <f t="shared" si="11"/>
        <v>78</v>
      </c>
      <c r="AG21" s="14">
        <f t="shared" si="12"/>
        <v>78</v>
      </c>
      <c r="AH21" s="14">
        <f t="shared" si="13"/>
        <v>1560</v>
      </c>
      <c r="AI21" s="26">
        <f t="shared" si="14"/>
        <v>4000</v>
      </c>
      <c r="AK21" s="72" t="s">
        <v>429</v>
      </c>
      <c r="AL21" s="65">
        <v>19</v>
      </c>
      <c r="AM21" s="80">
        <v>2</v>
      </c>
      <c r="AN21" s="65">
        <f t="shared" si="15"/>
        <v>96</v>
      </c>
      <c r="AO21" s="65">
        <v>1</v>
      </c>
      <c r="AP21" s="33">
        <f t="shared" si="16"/>
        <v>96</v>
      </c>
      <c r="AQ21" s="26">
        <v>5</v>
      </c>
      <c r="AR21" s="26">
        <f t="shared" si="17"/>
        <v>480</v>
      </c>
      <c r="AT21" s="81" t="s">
        <v>743</v>
      </c>
      <c r="AU21" s="83">
        <v>3</v>
      </c>
      <c r="AV21" s="82">
        <v>29</v>
      </c>
      <c r="AW21" s="65">
        <f t="shared" si="18"/>
        <v>470</v>
      </c>
      <c r="AX21" s="26">
        <v>1</v>
      </c>
      <c r="AY21" s="65">
        <f t="shared" si="19"/>
        <v>1410</v>
      </c>
      <c r="AZ21" s="26">
        <v>10</v>
      </c>
      <c r="BA21" s="65">
        <f t="shared" si="20"/>
        <v>14100</v>
      </c>
    </row>
    <row r="22" spans="1:53" ht="20.100000000000001" customHeight="1">
      <c r="A22" s="30">
        <v>21</v>
      </c>
      <c r="B22" s="2">
        <f t="shared" si="4"/>
        <v>70</v>
      </c>
      <c r="C22" s="2">
        <f t="shared" si="5"/>
        <v>17700</v>
      </c>
      <c r="D22" s="2">
        <v>20</v>
      </c>
      <c r="E22" s="2">
        <f t="shared" si="6"/>
        <v>1400</v>
      </c>
      <c r="F22" s="2">
        <v>5</v>
      </c>
      <c r="G22" s="2">
        <f t="shared" si="7"/>
        <v>350</v>
      </c>
      <c r="H22" s="2">
        <f t="shared" si="0"/>
        <v>53</v>
      </c>
      <c r="I22" s="2">
        <v>1.5</v>
      </c>
      <c r="J22" s="2">
        <f t="shared" si="8"/>
        <v>105</v>
      </c>
      <c r="K22" s="2">
        <f t="shared" si="1"/>
        <v>32</v>
      </c>
      <c r="L22" s="2">
        <f t="shared" si="9"/>
        <v>30</v>
      </c>
      <c r="M22" s="2">
        <f t="shared" si="2"/>
        <v>12000</v>
      </c>
      <c r="N22" s="38">
        <f t="shared" si="21"/>
        <v>0.02</v>
      </c>
      <c r="O22" s="38">
        <v>500</v>
      </c>
      <c r="P22" s="38">
        <v>0.1</v>
      </c>
      <c r="S22" s="26">
        <v>8</v>
      </c>
      <c r="T22" s="26">
        <v>0.4</v>
      </c>
      <c r="U22" s="26" t="s">
        <v>294</v>
      </c>
      <c r="V22" s="26"/>
      <c r="W22" s="26"/>
      <c r="Z22" s="33" t="s">
        <v>242</v>
      </c>
      <c r="AA22" s="33">
        <v>10</v>
      </c>
      <c r="AB22" s="33">
        <v>3</v>
      </c>
      <c r="AC22" s="33">
        <v>9</v>
      </c>
      <c r="AD22" s="14">
        <f t="shared" si="10"/>
        <v>185</v>
      </c>
      <c r="AE22" s="33">
        <f t="shared" si="3"/>
        <v>463</v>
      </c>
      <c r="AF22" s="33">
        <f t="shared" si="11"/>
        <v>232</v>
      </c>
      <c r="AG22" s="14">
        <f t="shared" si="12"/>
        <v>232</v>
      </c>
      <c r="AH22" s="14">
        <f t="shared" si="13"/>
        <v>4640</v>
      </c>
      <c r="AI22" s="26">
        <f t="shared" si="14"/>
        <v>4000</v>
      </c>
      <c r="AK22" s="72" t="s">
        <v>430</v>
      </c>
      <c r="AL22" s="65">
        <v>20</v>
      </c>
      <c r="AM22" s="80">
        <v>2</v>
      </c>
      <c r="AN22" s="65">
        <f t="shared" si="15"/>
        <v>101</v>
      </c>
      <c r="AO22" s="65">
        <v>1</v>
      </c>
      <c r="AP22" s="33">
        <f t="shared" si="16"/>
        <v>101</v>
      </c>
      <c r="AQ22" s="26">
        <v>5</v>
      </c>
      <c r="AR22" s="26">
        <f t="shared" si="17"/>
        <v>505</v>
      </c>
      <c r="AT22" s="81" t="s">
        <v>860</v>
      </c>
      <c r="AU22" s="83">
        <v>3</v>
      </c>
      <c r="AV22" s="82">
        <v>29</v>
      </c>
      <c r="AW22" s="65">
        <f t="shared" si="18"/>
        <v>470</v>
      </c>
      <c r="AX22" s="26">
        <v>1</v>
      </c>
      <c r="AY22" s="65">
        <f t="shared" si="19"/>
        <v>1410</v>
      </c>
      <c r="AZ22" s="26">
        <v>10</v>
      </c>
      <c r="BA22" s="65">
        <f t="shared" si="20"/>
        <v>14100</v>
      </c>
    </row>
    <row r="23" spans="1:53" ht="20.100000000000001" customHeight="1">
      <c r="A23" s="30">
        <v>22</v>
      </c>
      <c r="B23" s="2">
        <f t="shared" si="4"/>
        <v>73</v>
      </c>
      <c r="C23" s="2">
        <f t="shared" si="5"/>
        <v>18330</v>
      </c>
      <c r="D23" s="2">
        <v>20</v>
      </c>
      <c r="E23" s="2">
        <f t="shared" si="6"/>
        <v>1460</v>
      </c>
      <c r="F23" s="2">
        <v>5</v>
      </c>
      <c r="G23" s="2">
        <f t="shared" si="7"/>
        <v>365</v>
      </c>
      <c r="H23" s="2">
        <f t="shared" si="0"/>
        <v>55</v>
      </c>
      <c r="I23" s="2">
        <v>1.5</v>
      </c>
      <c r="J23" s="2">
        <f t="shared" si="8"/>
        <v>110</v>
      </c>
      <c r="K23" s="2">
        <f t="shared" si="1"/>
        <v>33</v>
      </c>
      <c r="L23" s="2">
        <f t="shared" si="9"/>
        <v>30</v>
      </c>
      <c r="M23" s="2">
        <f t="shared" si="2"/>
        <v>12000</v>
      </c>
      <c r="N23" s="38">
        <f t="shared" si="21"/>
        <v>0.02</v>
      </c>
      <c r="O23" s="38">
        <v>500</v>
      </c>
      <c r="P23" s="38">
        <v>0.1</v>
      </c>
      <c r="S23" s="26">
        <v>9</v>
      </c>
      <c r="T23" s="26">
        <v>0.5</v>
      </c>
      <c r="U23" s="26" t="s">
        <v>295</v>
      </c>
      <c r="V23" s="26"/>
      <c r="W23" s="26"/>
      <c r="Z23" s="33" t="s">
        <v>243</v>
      </c>
      <c r="AA23" s="33">
        <v>7</v>
      </c>
      <c r="AB23" s="33">
        <v>2</v>
      </c>
      <c r="AC23" s="33">
        <v>8</v>
      </c>
      <c r="AD23" s="14">
        <f t="shared" si="10"/>
        <v>140</v>
      </c>
      <c r="AE23" s="33">
        <f t="shared" si="3"/>
        <v>140</v>
      </c>
      <c r="AF23" s="33">
        <f t="shared" si="11"/>
        <v>56</v>
      </c>
      <c r="AG23" s="14">
        <f t="shared" si="12"/>
        <v>56</v>
      </c>
      <c r="AH23" s="14">
        <f t="shared" si="13"/>
        <v>1120</v>
      </c>
      <c r="AI23" s="26">
        <f t="shared" si="14"/>
        <v>4000</v>
      </c>
      <c r="AK23" s="72" t="s">
        <v>431</v>
      </c>
      <c r="AL23" s="65">
        <v>21</v>
      </c>
      <c r="AM23" s="80">
        <v>2</v>
      </c>
      <c r="AN23" s="65">
        <f t="shared" si="15"/>
        <v>105</v>
      </c>
      <c r="AO23" s="65">
        <v>1</v>
      </c>
      <c r="AP23" s="33">
        <f t="shared" si="16"/>
        <v>105</v>
      </c>
      <c r="AQ23" s="26">
        <v>5</v>
      </c>
      <c r="AR23" s="26">
        <f t="shared" si="17"/>
        <v>525</v>
      </c>
      <c r="AT23" s="81" t="s">
        <v>753</v>
      </c>
      <c r="AU23" s="83">
        <v>2</v>
      </c>
      <c r="AV23" s="82">
        <v>30</v>
      </c>
      <c r="AW23" s="65">
        <f t="shared" si="18"/>
        <v>485</v>
      </c>
      <c r="AX23" s="26">
        <v>1</v>
      </c>
      <c r="AY23" s="65">
        <f t="shared" si="19"/>
        <v>485</v>
      </c>
      <c r="AZ23" s="26">
        <v>10</v>
      </c>
      <c r="BA23" s="65">
        <f t="shared" si="20"/>
        <v>4850</v>
      </c>
    </row>
    <row r="24" spans="1:53" ht="20.100000000000001" customHeight="1">
      <c r="A24" s="30">
        <v>23</v>
      </c>
      <c r="B24" s="2">
        <f t="shared" si="4"/>
        <v>76</v>
      </c>
      <c r="C24" s="2">
        <f t="shared" si="5"/>
        <v>18960</v>
      </c>
      <c r="D24" s="2">
        <v>20</v>
      </c>
      <c r="E24" s="2">
        <f t="shared" si="6"/>
        <v>1520</v>
      </c>
      <c r="F24" s="2">
        <v>5</v>
      </c>
      <c r="G24" s="2">
        <f t="shared" si="7"/>
        <v>380</v>
      </c>
      <c r="H24" s="2">
        <f t="shared" si="0"/>
        <v>57</v>
      </c>
      <c r="I24" s="2">
        <v>1.5</v>
      </c>
      <c r="J24" s="2">
        <f t="shared" si="8"/>
        <v>114</v>
      </c>
      <c r="K24" s="2">
        <f t="shared" si="1"/>
        <v>34</v>
      </c>
      <c r="L24" s="2">
        <f t="shared" si="9"/>
        <v>30</v>
      </c>
      <c r="M24" s="2">
        <f t="shared" si="2"/>
        <v>12000</v>
      </c>
      <c r="N24" s="38">
        <f t="shared" si="21"/>
        <v>0.02</v>
      </c>
      <c r="O24" s="38">
        <v>500</v>
      </c>
      <c r="P24" s="38">
        <v>0.1</v>
      </c>
      <c r="S24" s="26">
        <v>10</v>
      </c>
      <c r="T24" s="26">
        <v>0.55000000000000004</v>
      </c>
      <c r="U24" s="26" t="s">
        <v>296</v>
      </c>
      <c r="V24" s="26"/>
      <c r="W24" s="26"/>
      <c r="Z24" s="33" t="s">
        <v>244</v>
      </c>
      <c r="AA24" s="33">
        <v>10</v>
      </c>
      <c r="AB24" s="33">
        <v>3</v>
      </c>
      <c r="AC24" s="33">
        <v>8</v>
      </c>
      <c r="AD24" s="14">
        <f t="shared" si="10"/>
        <v>185</v>
      </c>
      <c r="AE24" s="33">
        <f t="shared" si="3"/>
        <v>463</v>
      </c>
      <c r="AF24" s="33">
        <f t="shared" si="11"/>
        <v>185</v>
      </c>
      <c r="AG24" s="14">
        <f t="shared" si="12"/>
        <v>185</v>
      </c>
      <c r="AH24" s="14">
        <f t="shared" si="13"/>
        <v>3700</v>
      </c>
      <c r="AI24" s="26">
        <f t="shared" si="14"/>
        <v>4000</v>
      </c>
      <c r="AK24" s="72" t="s">
        <v>432</v>
      </c>
      <c r="AL24" s="65">
        <v>25</v>
      </c>
      <c r="AM24" s="80">
        <v>3</v>
      </c>
      <c r="AN24" s="65">
        <f t="shared" si="15"/>
        <v>123</v>
      </c>
      <c r="AO24" s="65">
        <v>1</v>
      </c>
      <c r="AP24" s="33">
        <f t="shared" si="16"/>
        <v>369</v>
      </c>
      <c r="AQ24" s="26">
        <v>5</v>
      </c>
      <c r="AR24" s="26">
        <f t="shared" si="17"/>
        <v>1845</v>
      </c>
      <c r="AT24" s="81" t="s">
        <v>754</v>
      </c>
      <c r="AU24" s="83">
        <v>2</v>
      </c>
      <c r="AV24" s="82">
        <v>31</v>
      </c>
      <c r="AW24" s="65">
        <f t="shared" si="18"/>
        <v>500</v>
      </c>
      <c r="AX24" s="26">
        <v>1</v>
      </c>
      <c r="AY24" s="65">
        <f t="shared" si="19"/>
        <v>500</v>
      </c>
      <c r="AZ24" s="26">
        <v>10</v>
      </c>
      <c r="BA24" s="65">
        <f t="shared" si="20"/>
        <v>5000</v>
      </c>
    </row>
    <row r="25" spans="1:53" ht="20.100000000000001" customHeight="1">
      <c r="A25" s="30">
        <v>24</v>
      </c>
      <c r="B25" s="2">
        <f t="shared" si="4"/>
        <v>79</v>
      </c>
      <c r="C25" s="2">
        <f t="shared" si="5"/>
        <v>19710</v>
      </c>
      <c r="D25" s="2">
        <v>20</v>
      </c>
      <c r="E25" s="2">
        <f t="shared" si="6"/>
        <v>1580</v>
      </c>
      <c r="F25" s="2">
        <v>5</v>
      </c>
      <c r="G25" s="2">
        <f t="shared" si="7"/>
        <v>395</v>
      </c>
      <c r="H25" s="2">
        <f t="shared" si="0"/>
        <v>59</v>
      </c>
      <c r="I25" s="2">
        <v>1.5</v>
      </c>
      <c r="J25" s="2">
        <f t="shared" si="8"/>
        <v>119</v>
      </c>
      <c r="K25" s="2">
        <f t="shared" si="1"/>
        <v>36</v>
      </c>
      <c r="L25" s="2">
        <f t="shared" si="9"/>
        <v>30</v>
      </c>
      <c r="M25" s="2">
        <f t="shared" si="2"/>
        <v>12000</v>
      </c>
      <c r="N25" s="38">
        <f t="shared" si="21"/>
        <v>0.02</v>
      </c>
      <c r="O25" s="38">
        <v>500</v>
      </c>
      <c r="P25" s="38">
        <v>0.1</v>
      </c>
      <c r="S25" s="26">
        <v>11</v>
      </c>
      <c r="T25" s="26">
        <v>0.65</v>
      </c>
      <c r="U25" s="26" t="s">
        <v>297</v>
      </c>
      <c r="V25" s="26"/>
      <c r="W25" s="26"/>
      <c r="Z25" s="33" t="s">
        <v>245</v>
      </c>
      <c r="AA25" s="33">
        <v>6</v>
      </c>
      <c r="AB25" s="33">
        <v>2</v>
      </c>
      <c r="AC25" s="33">
        <v>6</v>
      </c>
      <c r="AD25" s="14">
        <f t="shared" si="10"/>
        <v>125</v>
      </c>
      <c r="AE25" s="33">
        <f t="shared" si="3"/>
        <v>125</v>
      </c>
      <c r="AF25" s="33">
        <f t="shared" si="11"/>
        <v>50</v>
      </c>
      <c r="AG25" s="14">
        <f t="shared" si="12"/>
        <v>50</v>
      </c>
      <c r="AH25" s="14">
        <f t="shared" si="13"/>
        <v>1000</v>
      </c>
      <c r="AI25" s="26">
        <f t="shared" si="14"/>
        <v>4000</v>
      </c>
      <c r="AK25" s="72" t="s">
        <v>433</v>
      </c>
      <c r="AL25" s="65">
        <v>23</v>
      </c>
      <c r="AM25" s="80">
        <v>2</v>
      </c>
      <c r="AN25" s="65">
        <f t="shared" si="15"/>
        <v>114</v>
      </c>
      <c r="AO25" s="65">
        <v>1</v>
      </c>
      <c r="AP25" s="33">
        <f t="shared" si="16"/>
        <v>114</v>
      </c>
      <c r="AQ25" s="26">
        <v>5</v>
      </c>
      <c r="AR25" s="26">
        <f t="shared" si="17"/>
        <v>570</v>
      </c>
      <c r="AT25" s="81" t="s">
        <v>755</v>
      </c>
      <c r="AU25" s="83">
        <v>2</v>
      </c>
      <c r="AV25" s="82">
        <v>32</v>
      </c>
      <c r="AW25" s="65">
        <f t="shared" si="18"/>
        <v>515</v>
      </c>
      <c r="AX25" s="26">
        <v>1</v>
      </c>
      <c r="AY25" s="65">
        <f t="shared" si="19"/>
        <v>515</v>
      </c>
      <c r="AZ25" s="26">
        <v>10</v>
      </c>
      <c r="BA25" s="65">
        <f t="shared" si="20"/>
        <v>5150</v>
      </c>
    </row>
    <row r="26" spans="1:53" ht="20.100000000000001" customHeight="1">
      <c r="A26" s="30">
        <v>25</v>
      </c>
      <c r="B26" s="2">
        <f t="shared" si="4"/>
        <v>82</v>
      </c>
      <c r="C26" s="2">
        <f t="shared" si="5"/>
        <v>20460</v>
      </c>
      <c r="D26" s="2">
        <v>20</v>
      </c>
      <c r="E26" s="2">
        <f t="shared" si="6"/>
        <v>1640</v>
      </c>
      <c r="F26" s="2">
        <v>5</v>
      </c>
      <c r="G26" s="2">
        <f t="shared" si="7"/>
        <v>410</v>
      </c>
      <c r="H26" s="2">
        <f t="shared" si="0"/>
        <v>62</v>
      </c>
      <c r="I26" s="2">
        <v>1.5</v>
      </c>
      <c r="J26" s="2">
        <f t="shared" si="8"/>
        <v>123</v>
      </c>
      <c r="K26" s="2">
        <f t="shared" si="1"/>
        <v>37</v>
      </c>
      <c r="L26" s="2">
        <f t="shared" si="9"/>
        <v>30</v>
      </c>
      <c r="M26" s="2">
        <f t="shared" si="2"/>
        <v>12000</v>
      </c>
      <c r="N26" s="38">
        <f t="shared" si="21"/>
        <v>0.02</v>
      </c>
      <c r="O26" s="38">
        <v>500</v>
      </c>
      <c r="P26" s="38">
        <v>0.1</v>
      </c>
      <c r="W26" s="27" t="s">
        <v>731</v>
      </c>
      <c r="Z26" s="33" t="s">
        <v>246</v>
      </c>
      <c r="AA26" s="33">
        <v>10</v>
      </c>
      <c r="AB26" s="33">
        <v>2</v>
      </c>
      <c r="AC26" s="33">
        <v>7</v>
      </c>
      <c r="AD26" s="14">
        <f t="shared" si="10"/>
        <v>185</v>
      </c>
      <c r="AE26" s="33">
        <f t="shared" si="3"/>
        <v>185</v>
      </c>
      <c r="AF26" s="33">
        <f t="shared" si="11"/>
        <v>111</v>
      </c>
      <c r="AG26" s="14">
        <f t="shared" si="12"/>
        <v>111</v>
      </c>
      <c r="AH26" s="14">
        <f t="shared" si="13"/>
        <v>2220</v>
      </c>
      <c r="AI26" s="26">
        <f t="shared" si="14"/>
        <v>4000</v>
      </c>
      <c r="AK26" s="72" t="s">
        <v>434</v>
      </c>
      <c r="AL26" s="65">
        <v>25</v>
      </c>
      <c r="AM26" s="79">
        <v>3</v>
      </c>
      <c r="AN26" s="65">
        <f t="shared" si="15"/>
        <v>123</v>
      </c>
      <c r="AO26" s="65">
        <v>1</v>
      </c>
      <c r="AP26" s="33">
        <f t="shared" si="16"/>
        <v>369</v>
      </c>
      <c r="AQ26" s="26">
        <v>1</v>
      </c>
      <c r="AR26" s="26">
        <f t="shared" si="17"/>
        <v>369</v>
      </c>
      <c r="AT26" s="81" t="s">
        <v>756</v>
      </c>
      <c r="AU26" s="83">
        <v>2</v>
      </c>
      <c r="AV26" s="82">
        <v>33</v>
      </c>
      <c r="AW26" s="65">
        <f t="shared" si="18"/>
        <v>530</v>
      </c>
      <c r="AX26" s="26">
        <v>1</v>
      </c>
      <c r="AY26" s="65">
        <f t="shared" si="19"/>
        <v>530</v>
      </c>
      <c r="AZ26" s="26">
        <v>10</v>
      </c>
      <c r="BA26" s="65">
        <f t="shared" si="20"/>
        <v>5300</v>
      </c>
    </row>
    <row r="27" spans="1:53" ht="20.100000000000001" customHeight="1">
      <c r="A27" s="30">
        <v>26</v>
      </c>
      <c r="B27" s="2">
        <f t="shared" si="4"/>
        <v>85</v>
      </c>
      <c r="C27" s="2">
        <f t="shared" si="5"/>
        <v>21090</v>
      </c>
      <c r="D27" s="2">
        <v>20</v>
      </c>
      <c r="E27" s="2">
        <f t="shared" si="6"/>
        <v>1700</v>
      </c>
      <c r="F27" s="2">
        <v>5</v>
      </c>
      <c r="G27" s="2">
        <f t="shared" si="7"/>
        <v>425</v>
      </c>
      <c r="H27" s="2">
        <f t="shared" si="0"/>
        <v>64</v>
      </c>
      <c r="I27" s="2">
        <v>1.5</v>
      </c>
      <c r="J27" s="2">
        <f t="shared" si="8"/>
        <v>128</v>
      </c>
      <c r="K27" s="2">
        <f t="shared" si="1"/>
        <v>38</v>
      </c>
      <c r="L27" s="2">
        <f t="shared" si="9"/>
        <v>30</v>
      </c>
      <c r="M27" s="2">
        <f t="shared" si="2"/>
        <v>12000</v>
      </c>
      <c r="N27" s="38">
        <f t="shared" si="21"/>
        <v>0.02</v>
      </c>
      <c r="O27" s="38">
        <v>500</v>
      </c>
      <c r="P27" s="38">
        <v>0.1</v>
      </c>
      <c r="Q27" s="5"/>
      <c r="R27" s="5"/>
      <c r="S27" s="5"/>
      <c r="T27" s="5"/>
      <c r="U27" s="5"/>
      <c r="V27" s="5"/>
      <c r="W27" s="5"/>
      <c r="X27" s="5"/>
      <c r="Y27" s="5"/>
      <c r="Z27" s="33" t="s">
        <v>247</v>
      </c>
      <c r="AA27" s="33">
        <v>8</v>
      </c>
      <c r="AB27" s="33">
        <v>2</v>
      </c>
      <c r="AC27" s="33">
        <v>11</v>
      </c>
      <c r="AD27" s="14">
        <f t="shared" si="10"/>
        <v>155</v>
      </c>
      <c r="AE27" s="33">
        <f t="shared" si="3"/>
        <v>155</v>
      </c>
      <c r="AF27" s="33">
        <f t="shared" si="11"/>
        <v>101</v>
      </c>
      <c r="AG27" s="14">
        <f t="shared" si="12"/>
        <v>101</v>
      </c>
      <c r="AH27" s="14">
        <f t="shared" si="13"/>
        <v>2020</v>
      </c>
      <c r="AI27" s="26">
        <f t="shared" si="14"/>
        <v>4000</v>
      </c>
      <c r="AK27" s="72" t="s">
        <v>435</v>
      </c>
      <c r="AL27" s="65">
        <v>25</v>
      </c>
      <c r="AM27" s="79">
        <v>3</v>
      </c>
      <c r="AN27" s="65">
        <f t="shared" si="15"/>
        <v>123</v>
      </c>
      <c r="AO27" s="65">
        <v>1</v>
      </c>
      <c r="AP27" s="33">
        <f t="shared" si="16"/>
        <v>369</v>
      </c>
      <c r="AQ27" s="26">
        <v>1.75</v>
      </c>
      <c r="AR27" s="26">
        <f t="shared" si="17"/>
        <v>646</v>
      </c>
      <c r="AT27" s="81" t="s">
        <v>861</v>
      </c>
      <c r="AU27" s="83">
        <v>2</v>
      </c>
      <c r="AV27" s="82">
        <v>34</v>
      </c>
      <c r="AW27" s="65">
        <f t="shared" si="18"/>
        <v>545</v>
      </c>
      <c r="AX27" s="26">
        <v>1</v>
      </c>
      <c r="AY27" s="65">
        <f t="shared" si="19"/>
        <v>545</v>
      </c>
      <c r="AZ27" s="26">
        <v>10</v>
      </c>
      <c r="BA27" s="65">
        <f t="shared" si="20"/>
        <v>5450</v>
      </c>
    </row>
    <row r="28" spans="1:53" ht="20.100000000000001" customHeight="1">
      <c r="A28" s="30">
        <v>27</v>
      </c>
      <c r="B28" s="2">
        <f t="shared" si="4"/>
        <v>88</v>
      </c>
      <c r="C28" s="2">
        <f t="shared" si="5"/>
        <v>21840</v>
      </c>
      <c r="D28" s="2">
        <v>20</v>
      </c>
      <c r="E28" s="2">
        <f t="shared" si="6"/>
        <v>1760</v>
      </c>
      <c r="F28" s="2">
        <v>5</v>
      </c>
      <c r="G28" s="2">
        <f t="shared" si="7"/>
        <v>440</v>
      </c>
      <c r="H28" s="2">
        <f t="shared" si="0"/>
        <v>66</v>
      </c>
      <c r="I28" s="2">
        <v>1.5</v>
      </c>
      <c r="J28" s="2">
        <f t="shared" si="8"/>
        <v>132</v>
      </c>
      <c r="K28" s="2">
        <f t="shared" si="1"/>
        <v>40</v>
      </c>
      <c r="L28" s="2">
        <f t="shared" si="9"/>
        <v>30</v>
      </c>
      <c r="M28" s="2">
        <f t="shared" si="2"/>
        <v>12000</v>
      </c>
      <c r="N28" s="38">
        <f t="shared" si="21"/>
        <v>0.02</v>
      </c>
      <c r="O28" s="38">
        <v>500</v>
      </c>
      <c r="P28" s="38">
        <v>0.1</v>
      </c>
      <c r="Q28" s="26"/>
      <c r="R28" s="19" t="s">
        <v>310</v>
      </c>
      <c r="S28" s="26" t="s">
        <v>306</v>
      </c>
      <c r="T28" s="26" t="s">
        <v>729</v>
      </c>
      <c r="U28" s="26" t="s">
        <v>307</v>
      </c>
      <c r="V28" s="14"/>
      <c r="W28" s="65" t="s">
        <v>730</v>
      </c>
      <c r="X28" s="14"/>
      <c r="Y28" s="65"/>
      <c r="Z28" s="33" t="s">
        <v>248</v>
      </c>
      <c r="AA28" s="33">
        <v>10</v>
      </c>
      <c r="AB28" s="33">
        <v>2</v>
      </c>
      <c r="AC28" s="33">
        <v>11</v>
      </c>
      <c r="AD28" s="14">
        <f t="shared" si="10"/>
        <v>185</v>
      </c>
      <c r="AE28" s="33">
        <f t="shared" si="3"/>
        <v>185</v>
      </c>
      <c r="AF28" s="33">
        <f t="shared" si="11"/>
        <v>120</v>
      </c>
      <c r="AG28" s="14">
        <f t="shared" si="12"/>
        <v>120</v>
      </c>
      <c r="AH28" s="14">
        <f t="shared" si="13"/>
        <v>2400</v>
      </c>
      <c r="AI28" s="26">
        <f t="shared" si="14"/>
        <v>4000</v>
      </c>
      <c r="AK28" s="72" t="s">
        <v>818</v>
      </c>
      <c r="AL28" s="65">
        <v>20</v>
      </c>
      <c r="AM28" s="80">
        <v>2</v>
      </c>
      <c r="AN28" s="65">
        <f t="shared" si="15"/>
        <v>101</v>
      </c>
      <c r="AO28" s="65">
        <v>0.75</v>
      </c>
      <c r="AP28" s="33">
        <f t="shared" si="16"/>
        <v>76</v>
      </c>
      <c r="AQ28" s="26">
        <v>5</v>
      </c>
      <c r="AR28" s="26">
        <f t="shared" si="17"/>
        <v>380</v>
      </c>
      <c r="AT28" s="81" t="s">
        <v>760</v>
      </c>
      <c r="AU28" s="83">
        <v>3</v>
      </c>
      <c r="AV28" s="82">
        <v>35</v>
      </c>
      <c r="AW28" s="65">
        <f t="shared" si="18"/>
        <v>560</v>
      </c>
      <c r="AX28" s="26">
        <v>1</v>
      </c>
      <c r="AY28" s="65">
        <f t="shared" si="19"/>
        <v>1680</v>
      </c>
      <c r="AZ28" s="26">
        <v>10</v>
      </c>
      <c r="BA28" s="65">
        <f t="shared" si="20"/>
        <v>16800</v>
      </c>
    </row>
    <row r="29" spans="1:53" ht="20.100000000000001" customHeight="1">
      <c r="A29" s="30">
        <v>28</v>
      </c>
      <c r="B29" s="2">
        <f t="shared" si="4"/>
        <v>91</v>
      </c>
      <c r="C29" s="2">
        <f t="shared" si="5"/>
        <v>22470</v>
      </c>
      <c r="D29" s="2">
        <v>20</v>
      </c>
      <c r="E29" s="2">
        <f t="shared" si="6"/>
        <v>1820</v>
      </c>
      <c r="F29" s="2">
        <v>5</v>
      </c>
      <c r="G29" s="2">
        <f t="shared" si="7"/>
        <v>455</v>
      </c>
      <c r="H29" s="2">
        <f t="shared" si="0"/>
        <v>68</v>
      </c>
      <c r="I29" s="2">
        <v>1.5</v>
      </c>
      <c r="J29" s="2">
        <f t="shared" si="8"/>
        <v>137</v>
      </c>
      <c r="K29" s="2">
        <f t="shared" si="1"/>
        <v>41</v>
      </c>
      <c r="L29" s="2">
        <f t="shared" si="9"/>
        <v>30</v>
      </c>
      <c r="M29" s="2">
        <f t="shared" si="2"/>
        <v>12000</v>
      </c>
      <c r="N29" s="38">
        <f t="shared" si="21"/>
        <v>0.02</v>
      </c>
      <c r="O29" s="38">
        <v>500</v>
      </c>
      <c r="P29" s="38">
        <v>0.1</v>
      </c>
      <c r="Q29" s="26"/>
      <c r="R29" s="26"/>
      <c r="S29" s="26">
        <v>10</v>
      </c>
      <c r="T29" s="26">
        <v>8970</v>
      </c>
      <c r="U29" s="26">
        <v>1</v>
      </c>
      <c r="V29" s="14">
        <f>T29*U29</f>
        <v>8970</v>
      </c>
      <c r="W29" s="65">
        <f>0.4</f>
        <v>0.4</v>
      </c>
      <c r="X29" s="20">
        <f>Y29*W29</f>
        <v>4000</v>
      </c>
      <c r="Y29" s="20">
        <v>10000</v>
      </c>
      <c r="Z29" s="33" t="s">
        <v>249</v>
      </c>
      <c r="AA29" s="33">
        <v>12</v>
      </c>
      <c r="AB29" s="33">
        <v>3</v>
      </c>
      <c r="AC29" s="33">
        <v>11</v>
      </c>
      <c r="AD29" s="14">
        <f t="shared" si="10"/>
        <v>215</v>
      </c>
      <c r="AE29" s="33">
        <f t="shared" si="3"/>
        <v>538</v>
      </c>
      <c r="AF29" s="33">
        <f t="shared" si="11"/>
        <v>350</v>
      </c>
      <c r="AG29" s="14">
        <f t="shared" si="12"/>
        <v>350</v>
      </c>
      <c r="AH29" s="14">
        <f t="shared" si="13"/>
        <v>7000</v>
      </c>
      <c r="AI29" s="26">
        <f t="shared" si="14"/>
        <v>8000</v>
      </c>
      <c r="AK29" s="72" t="s">
        <v>450</v>
      </c>
      <c r="AL29" s="65">
        <v>25</v>
      </c>
      <c r="AM29" s="80">
        <v>2</v>
      </c>
      <c r="AN29" s="65">
        <f t="shared" si="15"/>
        <v>123</v>
      </c>
      <c r="AO29" s="65">
        <v>1</v>
      </c>
      <c r="AP29" s="33">
        <f t="shared" si="16"/>
        <v>123</v>
      </c>
      <c r="AQ29" s="26">
        <v>5</v>
      </c>
      <c r="AR29" s="26">
        <f t="shared" si="17"/>
        <v>615</v>
      </c>
      <c r="AT29" s="81" t="s">
        <v>758</v>
      </c>
      <c r="AU29" s="83">
        <v>3</v>
      </c>
      <c r="AV29" s="82">
        <v>36</v>
      </c>
      <c r="AW29" s="65">
        <f t="shared" si="18"/>
        <v>575</v>
      </c>
      <c r="AX29" s="26">
        <v>1</v>
      </c>
      <c r="AY29" s="65">
        <f t="shared" si="19"/>
        <v>1725</v>
      </c>
      <c r="AZ29" s="26">
        <v>10</v>
      </c>
      <c r="BA29" s="65">
        <f t="shared" si="20"/>
        <v>17250</v>
      </c>
    </row>
    <row r="30" spans="1:53" ht="20.100000000000001" customHeight="1">
      <c r="A30" s="30">
        <v>29</v>
      </c>
      <c r="B30" s="2">
        <f t="shared" si="4"/>
        <v>94</v>
      </c>
      <c r="C30" s="2">
        <f t="shared" si="5"/>
        <v>23820</v>
      </c>
      <c r="D30" s="2">
        <v>20</v>
      </c>
      <c r="E30" s="2">
        <f t="shared" si="6"/>
        <v>1880</v>
      </c>
      <c r="F30" s="2">
        <v>5</v>
      </c>
      <c r="G30" s="2">
        <f t="shared" si="7"/>
        <v>470</v>
      </c>
      <c r="H30" s="2">
        <f t="shared" si="0"/>
        <v>71</v>
      </c>
      <c r="I30" s="2">
        <v>1.5</v>
      </c>
      <c r="J30" s="2">
        <f t="shared" si="8"/>
        <v>141</v>
      </c>
      <c r="K30" s="2">
        <f t="shared" si="1"/>
        <v>42</v>
      </c>
      <c r="L30" s="2">
        <f t="shared" si="9"/>
        <v>30</v>
      </c>
      <c r="M30" s="2">
        <f t="shared" si="2"/>
        <v>12000</v>
      </c>
      <c r="N30" s="38">
        <f t="shared" si="21"/>
        <v>0.03</v>
      </c>
      <c r="O30" s="38">
        <v>500</v>
      </c>
      <c r="P30" s="38">
        <v>0.1</v>
      </c>
      <c r="Q30" s="26"/>
      <c r="R30" s="26"/>
      <c r="S30" s="26">
        <v>20</v>
      </c>
      <c r="T30" s="26">
        <v>16830</v>
      </c>
      <c r="U30" s="26">
        <v>1</v>
      </c>
      <c r="V30" s="14">
        <f t="shared" ref="V30:V34" si="22">T30*U30</f>
        <v>16830</v>
      </c>
      <c r="W30" s="65">
        <f t="shared" ref="W30:W35" si="23">0.4</f>
        <v>0.4</v>
      </c>
      <c r="X30" s="20">
        <f t="shared" ref="X30:X35" si="24">Y30*W30</f>
        <v>8000</v>
      </c>
      <c r="Y30" s="20">
        <v>20000</v>
      </c>
      <c r="Z30" s="33" t="s">
        <v>250</v>
      </c>
      <c r="AA30" s="33">
        <v>13</v>
      </c>
      <c r="AB30" s="33">
        <v>3</v>
      </c>
      <c r="AC30" s="33">
        <v>4</v>
      </c>
      <c r="AD30" s="14">
        <f t="shared" si="10"/>
        <v>230</v>
      </c>
      <c r="AE30" s="33">
        <f t="shared" si="3"/>
        <v>575</v>
      </c>
      <c r="AF30" s="33">
        <f t="shared" si="11"/>
        <v>460</v>
      </c>
      <c r="AG30" s="14">
        <f t="shared" si="12"/>
        <v>460</v>
      </c>
      <c r="AH30" s="14">
        <f t="shared" si="13"/>
        <v>9200</v>
      </c>
      <c r="AI30" s="26">
        <f t="shared" si="14"/>
        <v>8000</v>
      </c>
      <c r="AK30" s="72" t="s">
        <v>819</v>
      </c>
      <c r="AL30" s="65">
        <v>25</v>
      </c>
      <c r="AM30" s="80">
        <v>1</v>
      </c>
      <c r="AN30" s="65">
        <f t="shared" si="15"/>
        <v>123</v>
      </c>
      <c r="AO30" s="65">
        <v>100</v>
      </c>
      <c r="AP30" s="33">
        <f t="shared" si="16"/>
        <v>9225</v>
      </c>
      <c r="AQ30" s="26">
        <v>5</v>
      </c>
      <c r="AR30" s="26">
        <f t="shared" si="17"/>
        <v>46125</v>
      </c>
      <c r="AT30" s="81" t="s">
        <v>759</v>
      </c>
      <c r="AU30" s="83">
        <v>3</v>
      </c>
      <c r="AV30" s="82">
        <v>37</v>
      </c>
      <c r="AW30" s="65">
        <f t="shared" si="18"/>
        <v>590</v>
      </c>
      <c r="AX30" s="26">
        <v>1</v>
      </c>
      <c r="AY30" s="65">
        <f t="shared" si="19"/>
        <v>1770</v>
      </c>
      <c r="AZ30" s="26">
        <v>10</v>
      </c>
      <c r="BA30" s="65">
        <f t="shared" si="20"/>
        <v>17700</v>
      </c>
    </row>
    <row r="31" spans="1:53" ht="20.100000000000001" customHeight="1">
      <c r="A31" s="30">
        <v>30</v>
      </c>
      <c r="B31" s="2">
        <f t="shared" si="4"/>
        <v>97</v>
      </c>
      <c r="C31" s="2">
        <f t="shared" si="5"/>
        <v>26370</v>
      </c>
      <c r="D31" s="2">
        <v>20</v>
      </c>
      <c r="E31" s="2">
        <f t="shared" si="6"/>
        <v>1940</v>
      </c>
      <c r="F31" s="2">
        <v>5</v>
      </c>
      <c r="G31" s="2">
        <f t="shared" si="7"/>
        <v>485</v>
      </c>
      <c r="H31" s="2">
        <f t="shared" si="0"/>
        <v>73</v>
      </c>
      <c r="I31" s="2">
        <v>1.5</v>
      </c>
      <c r="J31" s="2">
        <f t="shared" si="8"/>
        <v>146</v>
      </c>
      <c r="K31" s="2">
        <f t="shared" si="1"/>
        <v>44</v>
      </c>
      <c r="L31" s="2">
        <f t="shared" si="9"/>
        <v>30</v>
      </c>
      <c r="M31" s="2">
        <f t="shared" si="2"/>
        <v>12000</v>
      </c>
      <c r="N31" s="38">
        <f t="shared" si="21"/>
        <v>0.03</v>
      </c>
      <c r="O31" s="38">
        <v>1000</v>
      </c>
      <c r="P31" s="38">
        <v>0.1</v>
      </c>
      <c r="Q31" s="26"/>
      <c r="R31" s="26"/>
      <c r="S31" s="26">
        <v>30</v>
      </c>
      <c r="T31" s="26">
        <v>26370</v>
      </c>
      <c r="U31" s="26">
        <v>1</v>
      </c>
      <c r="V31" s="14">
        <f t="shared" si="22"/>
        <v>26370</v>
      </c>
      <c r="W31" s="65">
        <f t="shared" si="23"/>
        <v>0.4</v>
      </c>
      <c r="X31" s="20">
        <f t="shared" si="24"/>
        <v>12000</v>
      </c>
      <c r="Y31" s="20">
        <v>30000</v>
      </c>
      <c r="Z31" s="33" t="s">
        <v>251</v>
      </c>
      <c r="AA31" s="33">
        <v>15</v>
      </c>
      <c r="AB31" s="33">
        <v>3</v>
      </c>
      <c r="AC31" s="33">
        <v>4</v>
      </c>
      <c r="AD31" s="14">
        <f t="shared" si="10"/>
        <v>260</v>
      </c>
      <c r="AE31" s="33">
        <f t="shared" si="3"/>
        <v>650</v>
      </c>
      <c r="AF31" s="33">
        <f t="shared" si="11"/>
        <v>520</v>
      </c>
      <c r="AG31" s="14">
        <f t="shared" si="12"/>
        <v>520</v>
      </c>
      <c r="AH31" s="14">
        <f t="shared" si="13"/>
        <v>10400</v>
      </c>
      <c r="AI31" s="26">
        <f t="shared" si="14"/>
        <v>8000</v>
      </c>
      <c r="AK31" s="77" t="s">
        <v>820</v>
      </c>
      <c r="AL31" s="65">
        <v>25</v>
      </c>
      <c r="AM31" s="80">
        <v>4</v>
      </c>
      <c r="AN31" s="65">
        <f t="shared" si="15"/>
        <v>123</v>
      </c>
      <c r="AO31" s="65">
        <v>1</v>
      </c>
      <c r="AP31" s="33">
        <f t="shared" si="16"/>
        <v>1230</v>
      </c>
      <c r="AQ31" s="26">
        <v>5</v>
      </c>
      <c r="AR31" s="26">
        <f t="shared" si="17"/>
        <v>6150</v>
      </c>
      <c r="AT31" s="81" t="s">
        <v>761</v>
      </c>
      <c r="AU31" s="83">
        <v>3</v>
      </c>
      <c r="AV31" s="82">
        <v>39</v>
      </c>
      <c r="AW31" s="65">
        <f t="shared" si="18"/>
        <v>620</v>
      </c>
      <c r="AX31" s="26">
        <v>1</v>
      </c>
      <c r="AY31" s="65">
        <f t="shared" si="19"/>
        <v>1860</v>
      </c>
      <c r="AZ31" s="26">
        <v>10</v>
      </c>
      <c r="BA31" s="65">
        <f t="shared" si="20"/>
        <v>18600</v>
      </c>
    </row>
    <row r="32" spans="1:53" ht="20.100000000000001" customHeight="1">
      <c r="A32" s="30">
        <v>31</v>
      </c>
      <c r="B32" s="2">
        <f t="shared" si="4"/>
        <v>100</v>
      </c>
      <c r="C32" s="2">
        <f t="shared" si="5"/>
        <v>27000</v>
      </c>
      <c r="D32" s="2">
        <v>20</v>
      </c>
      <c r="E32" s="2">
        <f t="shared" si="6"/>
        <v>2000</v>
      </c>
      <c r="F32" s="2">
        <v>5</v>
      </c>
      <c r="G32" s="2">
        <f t="shared" si="7"/>
        <v>500</v>
      </c>
      <c r="H32" s="2">
        <f t="shared" si="0"/>
        <v>75</v>
      </c>
      <c r="I32" s="2">
        <v>1.5</v>
      </c>
      <c r="J32" s="2">
        <f t="shared" si="8"/>
        <v>150</v>
      </c>
      <c r="K32" s="2">
        <f t="shared" si="1"/>
        <v>45</v>
      </c>
      <c r="L32" s="2">
        <f t="shared" si="9"/>
        <v>40</v>
      </c>
      <c r="M32" s="2">
        <f t="shared" si="2"/>
        <v>16000</v>
      </c>
      <c r="N32" s="38">
        <f t="shared" si="21"/>
        <v>0.03</v>
      </c>
      <c r="O32" s="38">
        <v>1000</v>
      </c>
      <c r="P32" s="38">
        <v>0.1</v>
      </c>
      <c r="Q32" s="26"/>
      <c r="R32" s="26"/>
      <c r="S32" s="26">
        <v>40</v>
      </c>
      <c r="T32" s="26">
        <v>35070</v>
      </c>
      <c r="U32" s="26">
        <v>1</v>
      </c>
      <c r="V32" s="14">
        <f t="shared" si="22"/>
        <v>35070</v>
      </c>
      <c r="W32" s="65">
        <f t="shared" si="23"/>
        <v>0.4</v>
      </c>
      <c r="X32" s="20">
        <f t="shared" si="24"/>
        <v>16000</v>
      </c>
      <c r="Y32" s="20">
        <v>40000</v>
      </c>
      <c r="Z32" s="33" t="s">
        <v>252</v>
      </c>
      <c r="AA32" s="33">
        <v>15</v>
      </c>
      <c r="AB32" s="33">
        <v>3</v>
      </c>
      <c r="AC32" s="33">
        <v>3</v>
      </c>
      <c r="AD32" s="14">
        <f t="shared" si="10"/>
        <v>260</v>
      </c>
      <c r="AE32" s="33">
        <f t="shared" si="3"/>
        <v>650</v>
      </c>
      <c r="AF32" s="33">
        <f t="shared" si="11"/>
        <v>780</v>
      </c>
      <c r="AG32" s="14">
        <f t="shared" si="12"/>
        <v>780</v>
      </c>
      <c r="AH32" s="14">
        <f t="shared" si="13"/>
        <v>15600</v>
      </c>
      <c r="AI32" s="26">
        <f t="shared" si="14"/>
        <v>8000</v>
      </c>
      <c r="AK32" s="72" t="s">
        <v>482</v>
      </c>
      <c r="AL32" s="65">
        <v>30</v>
      </c>
      <c r="AM32" s="80">
        <v>2</v>
      </c>
      <c r="AN32" s="65">
        <f t="shared" si="15"/>
        <v>146</v>
      </c>
      <c r="AO32" s="65">
        <v>1</v>
      </c>
      <c r="AP32" s="33">
        <f t="shared" si="16"/>
        <v>146</v>
      </c>
      <c r="AQ32" s="26">
        <v>5</v>
      </c>
      <c r="AR32" s="26">
        <f t="shared" si="17"/>
        <v>730</v>
      </c>
      <c r="AT32" s="81" t="s">
        <v>862</v>
      </c>
      <c r="AU32" s="83">
        <v>4</v>
      </c>
      <c r="AV32" s="82">
        <v>39</v>
      </c>
      <c r="AW32" s="65">
        <f t="shared" si="18"/>
        <v>620</v>
      </c>
      <c r="AX32" s="26">
        <v>1</v>
      </c>
      <c r="AY32" s="65">
        <f t="shared" si="19"/>
        <v>6200</v>
      </c>
      <c r="AZ32" s="26">
        <v>10</v>
      </c>
      <c r="BA32" s="65">
        <f t="shared" si="20"/>
        <v>62000</v>
      </c>
    </row>
    <row r="33" spans="1:53" ht="20.100000000000001" customHeight="1">
      <c r="A33" s="30">
        <v>32</v>
      </c>
      <c r="B33" s="2">
        <f t="shared" si="4"/>
        <v>103</v>
      </c>
      <c r="C33" s="2">
        <f t="shared" si="5"/>
        <v>27750</v>
      </c>
      <c r="D33" s="2">
        <v>20</v>
      </c>
      <c r="E33" s="2">
        <f t="shared" si="6"/>
        <v>2060</v>
      </c>
      <c r="F33" s="2">
        <v>5</v>
      </c>
      <c r="G33" s="2">
        <f t="shared" si="7"/>
        <v>515</v>
      </c>
      <c r="H33" s="2">
        <f t="shared" si="0"/>
        <v>77</v>
      </c>
      <c r="I33" s="2">
        <v>1.5</v>
      </c>
      <c r="J33" s="2">
        <f t="shared" si="8"/>
        <v>155</v>
      </c>
      <c r="K33" s="2">
        <f t="shared" si="1"/>
        <v>47</v>
      </c>
      <c r="L33" s="2">
        <f t="shared" si="9"/>
        <v>40</v>
      </c>
      <c r="M33" s="2">
        <f t="shared" si="2"/>
        <v>16000</v>
      </c>
      <c r="N33" s="38">
        <f t="shared" si="21"/>
        <v>0.03</v>
      </c>
      <c r="O33" s="38">
        <v>1000</v>
      </c>
      <c r="P33" s="38">
        <v>0.1</v>
      </c>
      <c r="Q33" s="26"/>
      <c r="R33" s="26"/>
      <c r="S33" s="26">
        <v>50</v>
      </c>
      <c r="T33" s="26">
        <v>46410</v>
      </c>
      <c r="U33" s="26">
        <v>1</v>
      </c>
      <c r="V33" s="14">
        <f t="shared" si="22"/>
        <v>46410</v>
      </c>
      <c r="W33" s="65">
        <f t="shared" si="23"/>
        <v>0.4</v>
      </c>
      <c r="X33" s="20">
        <f t="shared" si="24"/>
        <v>20000</v>
      </c>
      <c r="Y33" s="20">
        <v>50000</v>
      </c>
      <c r="Z33" s="33" t="s">
        <v>253</v>
      </c>
      <c r="AA33" s="33">
        <v>8</v>
      </c>
      <c r="AB33" s="33">
        <v>2</v>
      </c>
      <c r="AC33" s="33">
        <v>1</v>
      </c>
      <c r="AD33" s="14">
        <f t="shared" si="10"/>
        <v>155</v>
      </c>
      <c r="AE33" s="33">
        <f t="shared" si="3"/>
        <v>155</v>
      </c>
      <c r="AF33" s="33">
        <f t="shared" si="11"/>
        <v>465</v>
      </c>
      <c r="AG33" s="14">
        <f t="shared" si="12"/>
        <v>465</v>
      </c>
      <c r="AH33" s="14">
        <f t="shared" si="13"/>
        <v>9300</v>
      </c>
      <c r="AI33" s="26">
        <f t="shared" si="14"/>
        <v>4000</v>
      </c>
      <c r="AK33" s="72" t="s">
        <v>821</v>
      </c>
      <c r="AL33" s="65">
        <v>31</v>
      </c>
      <c r="AM33" s="80">
        <v>2</v>
      </c>
      <c r="AN33" s="65">
        <f t="shared" si="15"/>
        <v>150</v>
      </c>
      <c r="AO33" s="65">
        <v>1</v>
      </c>
      <c r="AP33" s="33">
        <f t="shared" si="16"/>
        <v>150</v>
      </c>
      <c r="AQ33" s="26">
        <v>5</v>
      </c>
      <c r="AR33" s="26">
        <f t="shared" si="17"/>
        <v>750</v>
      </c>
      <c r="AT33" s="81" t="s">
        <v>863</v>
      </c>
      <c r="AU33" s="83">
        <v>4</v>
      </c>
      <c r="AV33" s="82">
        <v>39</v>
      </c>
      <c r="AW33" s="65">
        <f t="shared" si="18"/>
        <v>620</v>
      </c>
      <c r="AX33" s="26">
        <v>1</v>
      </c>
      <c r="AY33" s="65">
        <f t="shared" si="19"/>
        <v>6200</v>
      </c>
      <c r="AZ33" s="26">
        <v>10</v>
      </c>
      <c r="BA33" s="65">
        <f t="shared" si="20"/>
        <v>62000</v>
      </c>
    </row>
    <row r="34" spans="1:53" ht="20.100000000000001" customHeight="1">
      <c r="A34" s="30">
        <v>33</v>
      </c>
      <c r="B34" s="2">
        <f t="shared" si="4"/>
        <v>106</v>
      </c>
      <c r="C34" s="2">
        <f t="shared" si="5"/>
        <v>28500</v>
      </c>
      <c r="D34" s="2">
        <v>20</v>
      </c>
      <c r="E34" s="2">
        <f t="shared" si="6"/>
        <v>2120</v>
      </c>
      <c r="F34" s="2">
        <v>5</v>
      </c>
      <c r="G34" s="2">
        <f t="shared" si="7"/>
        <v>530</v>
      </c>
      <c r="H34" s="2">
        <f t="shared" ref="H34:H65" si="25">ROUND(G34*$S$1,0)</f>
        <v>80</v>
      </c>
      <c r="I34" s="2">
        <v>1.5</v>
      </c>
      <c r="J34" s="2">
        <f t="shared" si="8"/>
        <v>159</v>
      </c>
      <c r="K34" s="2">
        <f t="shared" ref="K34:K65" si="26">ROUND(J34*$S$2,0)</f>
        <v>48</v>
      </c>
      <c r="L34" s="2">
        <f t="shared" si="9"/>
        <v>40</v>
      </c>
      <c r="M34" s="2">
        <f t="shared" ref="M34:M65" si="27">LOOKUP(L34,$S$29:$S$34,$X$29:$X$34)</f>
        <v>16000</v>
      </c>
      <c r="N34" s="38">
        <f t="shared" si="21"/>
        <v>0.03</v>
      </c>
      <c r="O34" s="38">
        <v>1000</v>
      </c>
      <c r="P34" s="38">
        <v>0.1</v>
      </c>
      <c r="Q34" s="26"/>
      <c r="R34" s="26"/>
      <c r="S34" s="26">
        <v>60</v>
      </c>
      <c r="T34" s="26">
        <v>55710</v>
      </c>
      <c r="U34" s="26">
        <v>1</v>
      </c>
      <c r="V34" s="14">
        <f t="shared" si="22"/>
        <v>55710</v>
      </c>
      <c r="W34" s="65">
        <f t="shared" si="23"/>
        <v>0.4</v>
      </c>
      <c r="X34" s="20">
        <f t="shared" si="24"/>
        <v>24000</v>
      </c>
      <c r="Y34" s="20">
        <v>60000</v>
      </c>
      <c r="Z34" s="33" t="s">
        <v>254</v>
      </c>
      <c r="AA34" s="33">
        <v>12</v>
      </c>
      <c r="AB34" s="33">
        <v>3</v>
      </c>
      <c r="AC34" s="33">
        <v>1</v>
      </c>
      <c r="AD34" s="14">
        <f t="shared" si="10"/>
        <v>215</v>
      </c>
      <c r="AE34" s="33">
        <f t="shared" ref="AE34:AE65" si="28">ROUND(AD34*LOOKUP(AB34,$S$9:$S$12,$T$9:$T$12),0)</f>
        <v>538</v>
      </c>
      <c r="AF34" s="33">
        <f t="shared" si="11"/>
        <v>1614</v>
      </c>
      <c r="AG34" s="14">
        <f t="shared" si="12"/>
        <v>1614</v>
      </c>
      <c r="AH34" s="14">
        <f t="shared" si="13"/>
        <v>32280</v>
      </c>
      <c r="AI34" s="26">
        <f t="shared" si="14"/>
        <v>8000</v>
      </c>
      <c r="AK34" s="72" t="s">
        <v>822</v>
      </c>
      <c r="AL34" s="65">
        <v>32</v>
      </c>
      <c r="AM34" s="80">
        <v>2</v>
      </c>
      <c r="AN34" s="65">
        <f t="shared" si="15"/>
        <v>155</v>
      </c>
      <c r="AO34" s="65">
        <v>1</v>
      </c>
      <c r="AP34" s="33">
        <f t="shared" si="16"/>
        <v>155</v>
      </c>
      <c r="AQ34" s="26">
        <v>5</v>
      </c>
      <c r="AR34" s="26">
        <f t="shared" si="17"/>
        <v>775</v>
      </c>
      <c r="AT34" s="81" t="s">
        <v>777</v>
      </c>
      <c r="AU34" s="83">
        <v>3</v>
      </c>
      <c r="AV34" s="82">
        <v>34</v>
      </c>
      <c r="AW34" s="65">
        <f t="shared" si="18"/>
        <v>545</v>
      </c>
      <c r="AX34" s="26">
        <v>1</v>
      </c>
      <c r="AY34" s="65">
        <f t="shared" si="19"/>
        <v>1635</v>
      </c>
      <c r="AZ34" s="26">
        <v>10</v>
      </c>
      <c r="BA34" s="65">
        <f t="shared" si="20"/>
        <v>16350</v>
      </c>
    </row>
    <row r="35" spans="1:53" ht="20.100000000000001" customHeight="1">
      <c r="A35" s="30">
        <v>34</v>
      </c>
      <c r="B35" s="2">
        <f t="shared" ref="B35:B66" si="29">B34+3</f>
        <v>109</v>
      </c>
      <c r="C35" s="2">
        <f t="shared" si="5"/>
        <v>29130</v>
      </c>
      <c r="D35" s="2">
        <v>20</v>
      </c>
      <c r="E35" s="2">
        <f t="shared" si="6"/>
        <v>2180</v>
      </c>
      <c r="F35" s="2">
        <v>5</v>
      </c>
      <c r="G35" s="2">
        <f t="shared" si="7"/>
        <v>545</v>
      </c>
      <c r="H35" s="2">
        <f t="shared" si="25"/>
        <v>82</v>
      </c>
      <c r="I35" s="2">
        <v>1.5</v>
      </c>
      <c r="J35" s="2">
        <f t="shared" si="8"/>
        <v>164</v>
      </c>
      <c r="K35" s="2">
        <f t="shared" si="26"/>
        <v>49</v>
      </c>
      <c r="L35" s="2">
        <f t="shared" si="9"/>
        <v>40</v>
      </c>
      <c r="M35" s="2">
        <f t="shared" si="27"/>
        <v>16000</v>
      </c>
      <c r="N35" s="38">
        <f t="shared" si="21"/>
        <v>0.03</v>
      </c>
      <c r="O35" s="38">
        <v>1000</v>
      </c>
      <c r="P35" s="38">
        <v>0.1</v>
      </c>
      <c r="Q35" s="26"/>
      <c r="R35" s="26"/>
      <c r="S35" s="26">
        <v>70</v>
      </c>
      <c r="T35" s="26">
        <v>59340</v>
      </c>
      <c r="U35" s="26">
        <v>1</v>
      </c>
      <c r="V35" s="14">
        <f t="shared" ref="V35" si="30">T35*U35</f>
        <v>59340</v>
      </c>
      <c r="W35" s="65">
        <f t="shared" si="23"/>
        <v>0.4</v>
      </c>
      <c r="X35" s="20">
        <f t="shared" si="24"/>
        <v>28000</v>
      </c>
      <c r="Y35" s="20">
        <v>70000</v>
      </c>
      <c r="Z35" s="33" t="s">
        <v>255</v>
      </c>
      <c r="AA35" s="33">
        <v>15</v>
      </c>
      <c r="AB35" s="33">
        <v>3</v>
      </c>
      <c r="AC35" s="33">
        <v>1</v>
      </c>
      <c r="AD35" s="14">
        <f t="shared" si="10"/>
        <v>260</v>
      </c>
      <c r="AE35" s="33">
        <f t="shared" si="28"/>
        <v>650</v>
      </c>
      <c r="AF35" s="33">
        <f t="shared" si="11"/>
        <v>1950</v>
      </c>
      <c r="AG35" s="14">
        <f t="shared" si="12"/>
        <v>1950</v>
      </c>
      <c r="AH35" s="14">
        <f t="shared" si="13"/>
        <v>39000</v>
      </c>
      <c r="AI35" s="26">
        <f t="shared" si="14"/>
        <v>8000</v>
      </c>
      <c r="AK35" s="72" t="s">
        <v>823</v>
      </c>
      <c r="AL35" s="65">
        <v>33</v>
      </c>
      <c r="AM35" s="80">
        <v>2</v>
      </c>
      <c r="AN35" s="65">
        <f t="shared" si="15"/>
        <v>159</v>
      </c>
      <c r="AO35" s="65">
        <v>1</v>
      </c>
      <c r="AP35" s="33">
        <f t="shared" si="16"/>
        <v>159</v>
      </c>
      <c r="AQ35" s="26">
        <v>5</v>
      </c>
      <c r="AR35" s="26">
        <f t="shared" si="17"/>
        <v>795</v>
      </c>
      <c r="AT35" s="81" t="s">
        <v>778</v>
      </c>
      <c r="AU35" s="83">
        <v>3</v>
      </c>
      <c r="AV35" s="82">
        <v>35</v>
      </c>
      <c r="AW35" s="65">
        <f t="shared" si="18"/>
        <v>560</v>
      </c>
      <c r="AX35" s="26">
        <v>1</v>
      </c>
      <c r="AY35" s="65">
        <f t="shared" si="19"/>
        <v>1680</v>
      </c>
      <c r="AZ35" s="26">
        <v>10</v>
      </c>
      <c r="BA35" s="65">
        <f t="shared" si="20"/>
        <v>16800</v>
      </c>
    </row>
    <row r="36" spans="1:53" ht="20.100000000000001" customHeight="1">
      <c r="A36" s="30">
        <v>35</v>
      </c>
      <c r="B36" s="2">
        <f t="shared" si="29"/>
        <v>112</v>
      </c>
      <c r="C36" s="2">
        <f t="shared" si="5"/>
        <v>29760</v>
      </c>
      <c r="D36" s="2">
        <v>20</v>
      </c>
      <c r="E36" s="2">
        <f t="shared" si="6"/>
        <v>2240</v>
      </c>
      <c r="F36" s="2">
        <v>5</v>
      </c>
      <c r="G36" s="2">
        <f t="shared" si="7"/>
        <v>560</v>
      </c>
      <c r="H36" s="2">
        <f t="shared" si="25"/>
        <v>84</v>
      </c>
      <c r="I36" s="2">
        <v>1.5</v>
      </c>
      <c r="J36" s="2">
        <f t="shared" si="8"/>
        <v>168</v>
      </c>
      <c r="K36" s="2">
        <f t="shared" si="26"/>
        <v>50</v>
      </c>
      <c r="L36" s="2">
        <f t="shared" si="9"/>
        <v>40</v>
      </c>
      <c r="M36" s="2">
        <f t="shared" si="27"/>
        <v>16000</v>
      </c>
      <c r="N36" s="38">
        <f t="shared" si="21"/>
        <v>0.03</v>
      </c>
      <c r="O36" s="38">
        <v>1000</v>
      </c>
      <c r="P36" s="38">
        <v>0.1</v>
      </c>
      <c r="Q36" s="26"/>
      <c r="R36" s="26"/>
      <c r="S36" s="5"/>
      <c r="T36" s="26"/>
      <c r="U36" s="26"/>
      <c r="V36" s="14"/>
      <c r="W36" s="65"/>
      <c r="X36" s="20"/>
      <c r="Y36" s="12"/>
      <c r="Z36" s="33" t="s">
        <v>256</v>
      </c>
      <c r="AA36" s="33">
        <v>8</v>
      </c>
      <c r="AB36" s="33">
        <v>2</v>
      </c>
      <c r="AC36" s="33">
        <v>2</v>
      </c>
      <c r="AD36" s="14">
        <f t="shared" si="10"/>
        <v>155</v>
      </c>
      <c r="AE36" s="33">
        <f t="shared" si="28"/>
        <v>155</v>
      </c>
      <c r="AF36" s="33">
        <f t="shared" si="11"/>
        <v>233</v>
      </c>
      <c r="AG36" s="14">
        <f t="shared" si="12"/>
        <v>233</v>
      </c>
      <c r="AH36" s="14">
        <f t="shared" si="13"/>
        <v>4660</v>
      </c>
      <c r="AI36" s="26">
        <f t="shared" si="14"/>
        <v>4000</v>
      </c>
      <c r="AK36" s="72" t="s">
        <v>824</v>
      </c>
      <c r="AL36" s="65">
        <v>34</v>
      </c>
      <c r="AM36" s="80">
        <v>2</v>
      </c>
      <c r="AN36" s="65">
        <f t="shared" si="15"/>
        <v>164</v>
      </c>
      <c r="AO36" s="65">
        <v>1</v>
      </c>
      <c r="AP36" s="33">
        <f t="shared" si="16"/>
        <v>164</v>
      </c>
      <c r="AQ36" s="26">
        <v>5</v>
      </c>
      <c r="AR36" s="26">
        <f t="shared" si="17"/>
        <v>820</v>
      </c>
      <c r="AT36" s="81" t="s">
        <v>779</v>
      </c>
      <c r="AU36" s="83">
        <v>2</v>
      </c>
      <c r="AV36" s="82">
        <v>33</v>
      </c>
      <c r="AW36" s="65">
        <f t="shared" si="18"/>
        <v>530</v>
      </c>
      <c r="AX36" s="26">
        <v>1</v>
      </c>
      <c r="AY36" s="65">
        <f t="shared" si="19"/>
        <v>530</v>
      </c>
      <c r="AZ36" s="26">
        <v>10</v>
      </c>
      <c r="BA36" s="65">
        <f t="shared" si="20"/>
        <v>5300</v>
      </c>
    </row>
    <row r="37" spans="1:53" ht="20.100000000000001" customHeight="1">
      <c r="A37" s="30">
        <v>36</v>
      </c>
      <c r="B37" s="2">
        <f t="shared" si="29"/>
        <v>115</v>
      </c>
      <c r="C37" s="2">
        <f t="shared" si="5"/>
        <v>30510</v>
      </c>
      <c r="D37" s="2">
        <v>20</v>
      </c>
      <c r="E37" s="2">
        <f t="shared" si="6"/>
        <v>2300</v>
      </c>
      <c r="F37" s="2">
        <v>5</v>
      </c>
      <c r="G37" s="2">
        <f t="shared" si="7"/>
        <v>575</v>
      </c>
      <c r="H37" s="2">
        <f t="shared" si="25"/>
        <v>86</v>
      </c>
      <c r="I37" s="2">
        <v>1.5</v>
      </c>
      <c r="J37" s="2">
        <f t="shared" si="8"/>
        <v>173</v>
      </c>
      <c r="K37" s="2">
        <f t="shared" si="26"/>
        <v>52</v>
      </c>
      <c r="L37" s="2">
        <f t="shared" si="9"/>
        <v>40</v>
      </c>
      <c r="M37" s="2">
        <f t="shared" si="27"/>
        <v>16000</v>
      </c>
      <c r="N37" s="38">
        <f t="shared" si="21"/>
        <v>0.03</v>
      </c>
      <c r="O37" s="38">
        <v>1000</v>
      </c>
      <c r="P37" s="38">
        <v>0.1</v>
      </c>
      <c r="Q37" s="26"/>
      <c r="R37" s="26"/>
      <c r="S37" s="5"/>
      <c r="T37" s="26"/>
      <c r="U37" s="26"/>
      <c r="V37" s="14"/>
      <c r="W37" s="65"/>
      <c r="X37" s="20"/>
      <c r="Y37" s="12"/>
      <c r="Z37" s="33" t="s">
        <v>257</v>
      </c>
      <c r="AA37" s="33">
        <v>12</v>
      </c>
      <c r="AB37" s="33">
        <v>3</v>
      </c>
      <c r="AC37" s="33">
        <v>2</v>
      </c>
      <c r="AD37" s="14">
        <f t="shared" si="10"/>
        <v>215</v>
      </c>
      <c r="AE37" s="33">
        <f t="shared" si="28"/>
        <v>538</v>
      </c>
      <c r="AF37" s="33">
        <f t="shared" si="11"/>
        <v>807</v>
      </c>
      <c r="AG37" s="14">
        <f t="shared" si="12"/>
        <v>807</v>
      </c>
      <c r="AH37" s="14">
        <f t="shared" si="13"/>
        <v>16140</v>
      </c>
      <c r="AI37" s="26">
        <f t="shared" si="14"/>
        <v>8000</v>
      </c>
      <c r="AK37" s="72" t="s">
        <v>825</v>
      </c>
      <c r="AL37" s="65">
        <v>35</v>
      </c>
      <c r="AM37" s="80">
        <v>3</v>
      </c>
      <c r="AN37" s="65">
        <f t="shared" si="15"/>
        <v>168</v>
      </c>
      <c r="AO37" s="65">
        <v>1</v>
      </c>
      <c r="AP37" s="33">
        <f t="shared" si="16"/>
        <v>504</v>
      </c>
      <c r="AQ37" s="26">
        <v>5</v>
      </c>
      <c r="AR37" s="26">
        <f t="shared" si="17"/>
        <v>2520</v>
      </c>
      <c r="AT37" s="81" t="s">
        <v>780</v>
      </c>
      <c r="AU37" s="83">
        <v>2</v>
      </c>
      <c r="AV37" s="82">
        <v>32</v>
      </c>
      <c r="AW37" s="65">
        <f t="shared" si="18"/>
        <v>515</v>
      </c>
      <c r="AX37" s="26">
        <v>1</v>
      </c>
      <c r="AY37" s="65">
        <f t="shared" si="19"/>
        <v>515</v>
      </c>
      <c r="AZ37" s="26">
        <v>10</v>
      </c>
      <c r="BA37" s="65">
        <f t="shared" si="20"/>
        <v>5150</v>
      </c>
    </row>
    <row r="38" spans="1:53" ht="20.100000000000001" customHeight="1">
      <c r="A38" s="30">
        <v>37</v>
      </c>
      <c r="B38" s="2">
        <f t="shared" si="29"/>
        <v>118</v>
      </c>
      <c r="C38" s="2">
        <f t="shared" si="5"/>
        <v>31260</v>
      </c>
      <c r="D38" s="2">
        <v>20</v>
      </c>
      <c r="E38" s="2">
        <f t="shared" si="6"/>
        <v>2360</v>
      </c>
      <c r="F38" s="2">
        <v>5</v>
      </c>
      <c r="G38" s="2">
        <f t="shared" si="7"/>
        <v>590</v>
      </c>
      <c r="H38" s="2">
        <f t="shared" si="25"/>
        <v>89</v>
      </c>
      <c r="I38" s="2">
        <v>1.5</v>
      </c>
      <c r="J38" s="2">
        <f t="shared" si="8"/>
        <v>177</v>
      </c>
      <c r="K38" s="2">
        <f t="shared" si="26"/>
        <v>53</v>
      </c>
      <c r="L38" s="2">
        <f t="shared" si="9"/>
        <v>40</v>
      </c>
      <c r="M38" s="2">
        <f t="shared" si="27"/>
        <v>16000</v>
      </c>
      <c r="N38" s="38">
        <f t="shared" si="21"/>
        <v>0.03</v>
      </c>
      <c r="O38" s="38">
        <v>1000</v>
      </c>
      <c r="P38" s="38">
        <v>0.1</v>
      </c>
      <c r="Q38" s="26"/>
      <c r="R38" s="26"/>
      <c r="S38" s="5"/>
      <c r="T38" s="26"/>
      <c r="U38" s="26"/>
      <c r="V38" s="14"/>
      <c r="W38" s="65"/>
      <c r="X38" s="20"/>
      <c r="Y38" s="12"/>
      <c r="Z38" s="33" t="s">
        <v>165</v>
      </c>
      <c r="AA38" s="33">
        <v>3</v>
      </c>
      <c r="AB38" s="33">
        <v>3</v>
      </c>
      <c r="AC38" s="33">
        <v>11</v>
      </c>
      <c r="AD38" s="14">
        <f t="shared" si="10"/>
        <v>80</v>
      </c>
      <c r="AE38" s="33">
        <f t="shared" si="28"/>
        <v>200</v>
      </c>
      <c r="AF38" s="33">
        <f t="shared" si="11"/>
        <v>130</v>
      </c>
      <c r="AG38" s="14">
        <f t="shared" si="12"/>
        <v>130</v>
      </c>
      <c r="AH38" s="14">
        <f t="shared" si="13"/>
        <v>2600</v>
      </c>
      <c r="AI38" s="26">
        <f t="shared" si="14"/>
        <v>4000</v>
      </c>
      <c r="AK38" s="72" t="s">
        <v>826</v>
      </c>
      <c r="AL38" s="65">
        <v>35</v>
      </c>
      <c r="AM38" s="79">
        <v>3</v>
      </c>
      <c r="AN38" s="65">
        <f t="shared" si="15"/>
        <v>168</v>
      </c>
      <c r="AO38" s="65">
        <v>1</v>
      </c>
      <c r="AP38" s="33">
        <f t="shared" si="16"/>
        <v>504</v>
      </c>
      <c r="AQ38" s="26">
        <v>5</v>
      </c>
      <c r="AR38" s="26">
        <f t="shared" si="17"/>
        <v>2520</v>
      </c>
      <c r="AT38" s="81" t="s">
        <v>781</v>
      </c>
      <c r="AU38" s="83">
        <v>2</v>
      </c>
      <c r="AV38" s="82">
        <v>33</v>
      </c>
      <c r="AW38" s="65">
        <f t="shared" si="18"/>
        <v>530</v>
      </c>
      <c r="AX38" s="26">
        <v>1</v>
      </c>
      <c r="AY38" s="65">
        <f t="shared" si="19"/>
        <v>530</v>
      </c>
      <c r="AZ38" s="26">
        <v>10</v>
      </c>
      <c r="BA38" s="65">
        <f t="shared" si="20"/>
        <v>5300</v>
      </c>
    </row>
    <row r="39" spans="1:53" ht="20.100000000000001" customHeight="1">
      <c r="A39" s="30">
        <v>38</v>
      </c>
      <c r="B39" s="2">
        <f t="shared" si="29"/>
        <v>121</v>
      </c>
      <c r="C39" s="2">
        <f t="shared" si="5"/>
        <v>32010</v>
      </c>
      <c r="D39" s="2">
        <v>20</v>
      </c>
      <c r="E39" s="2">
        <f t="shared" si="6"/>
        <v>2420</v>
      </c>
      <c r="F39" s="2">
        <v>5</v>
      </c>
      <c r="G39" s="2">
        <f t="shared" si="7"/>
        <v>605</v>
      </c>
      <c r="H39" s="2">
        <f t="shared" si="25"/>
        <v>91</v>
      </c>
      <c r="I39" s="2">
        <v>1.5</v>
      </c>
      <c r="J39" s="2">
        <f t="shared" si="8"/>
        <v>182</v>
      </c>
      <c r="K39" s="2">
        <f t="shared" si="26"/>
        <v>55</v>
      </c>
      <c r="L39" s="2">
        <f t="shared" si="9"/>
        <v>40</v>
      </c>
      <c r="M39" s="2">
        <f t="shared" si="27"/>
        <v>16000</v>
      </c>
      <c r="N39" s="38">
        <f t="shared" si="21"/>
        <v>0.03</v>
      </c>
      <c r="O39" s="38">
        <v>1000</v>
      </c>
      <c r="P39" s="38">
        <v>0.1</v>
      </c>
      <c r="Q39" s="5"/>
      <c r="R39" s="5"/>
      <c r="S39" s="5"/>
      <c r="T39" s="5"/>
      <c r="U39" s="5"/>
      <c r="V39" s="5"/>
      <c r="W39" s="5"/>
      <c r="X39" s="5"/>
      <c r="Y39" s="5"/>
      <c r="Z39" s="33" t="s">
        <v>169</v>
      </c>
      <c r="AA39" s="33">
        <v>4</v>
      </c>
      <c r="AB39" s="33">
        <v>2</v>
      </c>
      <c r="AC39" s="33">
        <v>3</v>
      </c>
      <c r="AD39" s="14">
        <f t="shared" si="10"/>
        <v>95</v>
      </c>
      <c r="AE39" s="33">
        <f t="shared" si="28"/>
        <v>95</v>
      </c>
      <c r="AF39" s="33">
        <f t="shared" si="11"/>
        <v>114</v>
      </c>
      <c r="AG39" s="14">
        <f t="shared" si="12"/>
        <v>114</v>
      </c>
      <c r="AH39" s="14">
        <f t="shared" si="13"/>
        <v>2280</v>
      </c>
      <c r="AI39" s="26">
        <f t="shared" si="14"/>
        <v>4000</v>
      </c>
      <c r="AK39" s="72" t="s">
        <v>827</v>
      </c>
      <c r="AL39" s="65">
        <v>35</v>
      </c>
      <c r="AM39" s="79">
        <v>3</v>
      </c>
      <c r="AN39" s="65">
        <f t="shared" si="15"/>
        <v>168</v>
      </c>
      <c r="AO39" s="65">
        <v>1</v>
      </c>
      <c r="AP39" s="33">
        <f t="shared" si="16"/>
        <v>504</v>
      </c>
      <c r="AQ39" s="26">
        <v>1</v>
      </c>
      <c r="AR39" s="26">
        <f t="shared" si="17"/>
        <v>504</v>
      </c>
      <c r="AT39" s="81" t="s">
        <v>782</v>
      </c>
      <c r="AU39" s="83">
        <v>2</v>
      </c>
      <c r="AV39" s="82">
        <v>34</v>
      </c>
      <c r="AW39" s="65">
        <f t="shared" si="18"/>
        <v>545</v>
      </c>
      <c r="AX39" s="26">
        <v>1</v>
      </c>
      <c r="AY39" s="65">
        <f t="shared" si="19"/>
        <v>545</v>
      </c>
      <c r="AZ39" s="26">
        <v>10</v>
      </c>
      <c r="BA39" s="65">
        <f t="shared" si="20"/>
        <v>5450</v>
      </c>
    </row>
    <row r="40" spans="1:53" ht="20.100000000000001" customHeight="1">
      <c r="A40" s="30">
        <v>39</v>
      </c>
      <c r="B40" s="2">
        <f t="shared" si="29"/>
        <v>124</v>
      </c>
      <c r="C40" s="2">
        <f t="shared" si="5"/>
        <v>32640</v>
      </c>
      <c r="D40" s="2">
        <v>20</v>
      </c>
      <c r="E40" s="2">
        <f t="shared" si="6"/>
        <v>2480</v>
      </c>
      <c r="F40" s="2">
        <v>5</v>
      </c>
      <c r="G40" s="2">
        <f t="shared" si="7"/>
        <v>620</v>
      </c>
      <c r="H40" s="2">
        <f t="shared" si="25"/>
        <v>93</v>
      </c>
      <c r="I40" s="2">
        <v>1.5</v>
      </c>
      <c r="J40" s="2">
        <f t="shared" si="8"/>
        <v>186</v>
      </c>
      <c r="K40" s="2">
        <f t="shared" si="26"/>
        <v>56</v>
      </c>
      <c r="L40" s="2">
        <f t="shared" si="9"/>
        <v>40</v>
      </c>
      <c r="M40" s="2">
        <f t="shared" si="27"/>
        <v>16000</v>
      </c>
      <c r="N40" s="38">
        <f t="shared" si="21"/>
        <v>0.03</v>
      </c>
      <c r="O40" s="38">
        <v>1000</v>
      </c>
      <c r="P40" s="38">
        <v>0.1</v>
      </c>
      <c r="X40" s="24"/>
      <c r="Z40" s="33" t="s">
        <v>258</v>
      </c>
      <c r="AA40" s="33">
        <v>5</v>
      </c>
      <c r="AB40" s="33">
        <v>3</v>
      </c>
      <c r="AC40" s="33">
        <v>10</v>
      </c>
      <c r="AD40" s="14">
        <f t="shared" si="10"/>
        <v>110</v>
      </c>
      <c r="AE40" s="33">
        <f t="shared" si="28"/>
        <v>275</v>
      </c>
      <c r="AF40" s="33">
        <f t="shared" si="11"/>
        <v>151</v>
      </c>
      <c r="AG40" s="14">
        <f t="shared" si="12"/>
        <v>151</v>
      </c>
      <c r="AH40" s="14">
        <f t="shared" si="13"/>
        <v>3020</v>
      </c>
      <c r="AI40" s="26">
        <f t="shared" si="14"/>
        <v>4000</v>
      </c>
      <c r="AK40" s="72" t="s">
        <v>828</v>
      </c>
      <c r="AL40" s="65">
        <v>35</v>
      </c>
      <c r="AM40" s="79">
        <v>3</v>
      </c>
      <c r="AN40" s="65">
        <f t="shared" si="15"/>
        <v>168</v>
      </c>
      <c r="AO40" s="65">
        <v>1</v>
      </c>
      <c r="AP40" s="33">
        <f t="shared" si="16"/>
        <v>504</v>
      </c>
      <c r="AQ40" s="26">
        <v>1.75</v>
      </c>
      <c r="AR40" s="26">
        <f t="shared" si="17"/>
        <v>882</v>
      </c>
      <c r="AT40" s="81" t="s">
        <v>783</v>
      </c>
      <c r="AU40" s="83">
        <v>2</v>
      </c>
      <c r="AV40" s="82">
        <v>35</v>
      </c>
      <c r="AW40" s="65">
        <f t="shared" si="18"/>
        <v>560</v>
      </c>
      <c r="AX40" s="26">
        <v>1</v>
      </c>
      <c r="AY40" s="65">
        <f t="shared" si="19"/>
        <v>560</v>
      </c>
      <c r="AZ40" s="26">
        <v>10</v>
      </c>
      <c r="BA40" s="65">
        <f t="shared" si="20"/>
        <v>5600</v>
      </c>
    </row>
    <row r="41" spans="1:53" ht="20.100000000000001" customHeight="1">
      <c r="A41" s="30">
        <v>40</v>
      </c>
      <c r="B41" s="2">
        <f t="shared" si="29"/>
        <v>127</v>
      </c>
      <c r="C41" s="2">
        <f t="shared" si="5"/>
        <v>35070</v>
      </c>
      <c r="D41" s="2">
        <v>20</v>
      </c>
      <c r="E41" s="2">
        <f t="shared" si="6"/>
        <v>2540</v>
      </c>
      <c r="F41" s="2">
        <v>5</v>
      </c>
      <c r="G41" s="2">
        <f t="shared" si="7"/>
        <v>635</v>
      </c>
      <c r="H41" s="2">
        <f t="shared" si="25"/>
        <v>95</v>
      </c>
      <c r="I41" s="2">
        <v>1.5</v>
      </c>
      <c r="J41" s="2">
        <f t="shared" si="8"/>
        <v>191</v>
      </c>
      <c r="K41" s="2">
        <f t="shared" si="26"/>
        <v>57</v>
      </c>
      <c r="L41" s="2">
        <f t="shared" si="9"/>
        <v>40</v>
      </c>
      <c r="M41" s="2">
        <f t="shared" si="27"/>
        <v>16000</v>
      </c>
      <c r="N41" s="38">
        <f t="shared" si="21"/>
        <v>0.03</v>
      </c>
      <c r="O41" s="38">
        <v>1500</v>
      </c>
      <c r="P41" s="38">
        <v>0.1</v>
      </c>
      <c r="Z41" s="33" t="s">
        <v>259</v>
      </c>
      <c r="AA41" s="33">
        <v>5</v>
      </c>
      <c r="AB41" s="33">
        <v>2</v>
      </c>
      <c r="AC41" s="33">
        <v>7</v>
      </c>
      <c r="AD41" s="14">
        <f t="shared" si="10"/>
        <v>110</v>
      </c>
      <c r="AE41" s="33">
        <f t="shared" si="28"/>
        <v>110</v>
      </c>
      <c r="AF41" s="33">
        <f t="shared" si="11"/>
        <v>66</v>
      </c>
      <c r="AG41" s="14">
        <f t="shared" si="12"/>
        <v>66</v>
      </c>
      <c r="AH41" s="14">
        <f t="shared" si="13"/>
        <v>1320</v>
      </c>
      <c r="AI41" s="26">
        <f t="shared" si="14"/>
        <v>4000</v>
      </c>
      <c r="AK41" s="77" t="s">
        <v>829</v>
      </c>
      <c r="AL41" s="65">
        <v>35</v>
      </c>
      <c r="AM41" s="80">
        <v>4</v>
      </c>
      <c r="AN41" s="65">
        <f t="shared" si="15"/>
        <v>168</v>
      </c>
      <c r="AO41" s="65">
        <v>1</v>
      </c>
      <c r="AP41" s="33">
        <f t="shared" si="16"/>
        <v>1680</v>
      </c>
      <c r="AQ41" s="26">
        <v>5</v>
      </c>
      <c r="AR41" s="26">
        <f t="shared" si="17"/>
        <v>8400</v>
      </c>
      <c r="AT41" s="81" t="s">
        <v>784</v>
      </c>
      <c r="AU41" s="83">
        <v>2</v>
      </c>
      <c r="AV41" s="82">
        <v>36</v>
      </c>
      <c r="AW41" s="65">
        <f t="shared" si="18"/>
        <v>575</v>
      </c>
      <c r="AX41" s="26">
        <v>1</v>
      </c>
      <c r="AY41" s="65">
        <f t="shared" si="19"/>
        <v>575</v>
      </c>
      <c r="AZ41" s="26">
        <v>10</v>
      </c>
      <c r="BA41" s="65">
        <f t="shared" si="20"/>
        <v>5750</v>
      </c>
    </row>
    <row r="42" spans="1:53" ht="20.100000000000001" customHeight="1">
      <c r="A42" s="30">
        <v>41</v>
      </c>
      <c r="B42" s="2">
        <f t="shared" si="29"/>
        <v>130</v>
      </c>
      <c r="C42" s="2">
        <f t="shared" si="5"/>
        <v>35940</v>
      </c>
      <c r="D42" s="2">
        <v>20</v>
      </c>
      <c r="E42" s="2">
        <f t="shared" si="6"/>
        <v>2600</v>
      </c>
      <c r="F42" s="2">
        <v>5</v>
      </c>
      <c r="G42" s="2">
        <f t="shared" si="7"/>
        <v>650</v>
      </c>
      <c r="H42" s="2">
        <f t="shared" si="25"/>
        <v>98</v>
      </c>
      <c r="I42" s="2">
        <v>1.5</v>
      </c>
      <c r="J42" s="2">
        <f t="shared" si="8"/>
        <v>195</v>
      </c>
      <c r="K42" s="2">
        <f t="shared" si="26"/>
        <v>59</v>
      </c>
      <c r="L42" s="2">
        <f t="shared" si="9"/>
        <v>50</v>
      </c>
      <c r="M42" s="2">
        <f t="shared" si="27"/>
        <v>20000</v>
      </c>
      <c r="N42" s="38">
        <f t="shared" si="21"/>
        <v>0.03</v>
      </c>
      <c r="O42" s="38">
        <v>1500</v>
      </c>
      <c r="P42" s="38">
        <v>0.1</v>
      </c>
      <c r="Z42" s="33" t="s">
        <v>260</v>
      </c>
      <c r="AA42" s="33">
        <v>5</v>
      </c>
      <c r="AB42" s="33">
        <v>2</v>
      </c>
      <c r="AC42" s="33">
        <v>2</v>
      </c>
      <c r="AD42" s="14">
        <f t="shared" si="10"/>
        <v>110</v>
      </c>
      <c r="AE42" s="33">
        <f t="shared" si="28"/>
        <v>110</v>
      </c>
      <c r="AF42" s="33">
        <f t="shared" si="11"/>
        <v>165</v>
      </c>
      <c r="AG42" s="14">
        <f t="shared" si="12"/>
        <v>165</v>
      </c>
      <c r="AH42" s="14">
        <f t="shared" si="13"/>
        <v>3300</v>
      </c>
      <c r="AI42" s="26">
        <f t="shared" si="14"/>
        <v>4000</v>
      </c>
      <c r="AK42" s="72" t="s">
        <v>830</v>
      </c>
      <c r="AL42" s="65">
        <v>40</v>
      </c>
      <c r="AM42" s="80">
        <v>2</v>
      </c>
      <c r="AN42" s="65">
        <f t="shared" si="15"/>
        <v>191</v>
      </c>
      <c r="AO42" s="65">
        <v>1</v>
      </c>
      <c r="AP42" s="33">
        <f t="shared" si="16"/>
        <v>191</v>
      </c>
      <c r="AQ42" s="26">
        <v>5</v>
      </c>
      <c r="AR42" s="26">
        <f t="shared" si="17"/>
        <v>955</v>
      </c>
      <c r="AT42" s="81" t="s">
        <v>785</v>
      </c>
      <c r="AU42" s="83">
        <v>3</v>
      </c>
      <c r="AV42" s="82">
        <v>38</v>
      </c>
      <c r="AW42" s="65">
        <f t="shared" si="18"/>
        <v>605</v>
      </c>
      <c r="AX42" s="26">
        <v>1</v>
      </c>
      <c r="AY42" s="65">
        <f t="shared" si="19"/>
        <v>1815</v>
      </c>
      <c r="AZ42" s="26">
        <v>10</v>
      </c>
      <c r="BA42" s="65">
        <f t="shared" si="20"/>
        <v>18150</v>
      </c>
    </row>
    <row r="43" spans="1:53" ht="20.100000000000001" customHeight="1">
      <c r="A43" s="30">
        <v>42</v>
      </c>
      <c r="B43" s="2">
        <f t="shared" si="29"/>
        <v>133</v>
      </c>
      <c r="C43" s="2">
        <f t="shared" si="5"/>
        <v>36570</v>
      </c>
      <c r="D43" s="2">
        <v>20</v>
      </c>
      <c r="E43" s="2">
        <f t="shared" si="6"/>
        <v>2660</v>
      </c>
      <c r="F43" s="2">
        <v>5</v>
      </c>
      <c r="G43" s="2">
        <f t="shared" si="7"/>
        <v>665</v>
      </c>
      <c r="H43" s="2">
        <f t="shared" si="25"/>
        <v>100</v>
      </c>
      <c r="I43" s="2">
        <v>1.5</v>
      </c>
      <c r="J43" s="2">
        <f t="shared" si="8"/>
        <v>200</v>
      </c>
      <c r="K43" s="2">
        <f t="shared" si="26"/>
        <v>60</v>
      </c>
      <c r="L43" s="2">
        <f t="shared" si="9"/>
        <v>50</v>
      </c>
      <c r="M43" s="2">
        <f t="shared" si="27"/>
        <v>20000</v>
      </c>
      <c r="N43" s="38">
        <f t="shared" si="21"/>
        <v>0.03</v>
      </c>
      <c r="O43" s="38">
        <v>1500</v>
      </c>
      <c r="P43" s="38">
        <v>0.1</v>
      </c>
      <c r="Z43" s="33" t="s">
        <v>261</v>
      </c>
      <c r="AA43" s="33">
        <v>8</v>
      </c>
      <c r="AB43" s="33">
        <v>2</v>
      </c>
      <c r="AC43" s="33">
        <v>9</v>
      </c>
      <c r="AD43" s="14">
        <f t="shared" si="10"/>
        <v>155</v>
      </c>
      <c r="AE43" s="33">
        <f t="shared" si="28"/>
        <v>155</v>
      </c>
      <c r="AF43" s="33">
        <f t="shared" si="11"/>
        <v>78</v>
      </c>
      <c r="AG43" s="14">
        <f t="shared" si="12"/>
        <v>78</v>
      </c>
      <c r="AH43" s="14">
        <f t="shared" si="13"/>
        <v>1560</v>
      </c>
      <c r="AI43" s="26">
        <f t="shared" si="14"/>
        <v>4000</v>
      </c>
      <c r="AK43" s="72" t="s">
        <v>831</v>
      </c>
      <c r="AL43" s="65">
        <v>41</v>
      </c>
      <c r="AM43" s="80">
        <v>2</v>
      </c>
      <c r="AN43" s="65">
        <f t="shared" si="15"/>
        <v>195</v>
      </c>
      <c r="AO43" s="65">
        <v>1</v>
      </c>
      <c r="AP43" s="33">
        <f t="shared" si="16"/>
        <v>195</v>
      </c>
      <c r="AQ43" s="26">
        <v>5</v>
      </c>
      <c r="AR43" s="26">
        <f t="shared" si="17"/>
        <v>975</v>
      </c>
      <c r="AT43" s="81" t="s">
        <v>790</v>
      </c>
      <c r="AU43" s="83">
        <v>3</v>
      </c>
      <c r="AV43" s="82">
        <v>32</v>
      </c>
      <c r="AW43" s="65">
        <f t="shared" si="18"/>
        <v>515</v>
      </c>
      <c r="AX43" s="26">
        <v>1</v>
      </c>
      <c r="AY43" s="65">
        <f t="shared" si="19"/>
        <v>1545</v>
      </c>
      <c r="AZ43" s="26">
        <v>10</v>
      </c>
      <c r="BA43" s="65">
        <f t="shared" si="20"/>
        <v>15450</v>
      </c>
    </row>
    <row r="44" spans="1:53" ht="20.100000000000001" customHeight="1">
      <c r="A44" s="30">
        <v>43</v>
      </c>
      <c r="B44" s="2">
        <f t="shared" si="29"/>
        <v>136</v>
      </c>
      <c r="C44" s="2">
        <f t="shared" si="5"/>
        <v>39000</v>
      </c>
      <c r="D44" s="2">
        <v>20</v>
      </c>
      <c r="E44" s="2">
        <f t="shared" si="6"/>
        <v>2720</v>
      </c>
      <c r="F44" s="2">
        <v>5</v>
      </c>
      <c r="G44" s="2">
        <f t="shared" si="7"/>
        <v>680</v>
      </c>
      <c r="H44" s="2">
        <f t="shared" si="25"/>
        <v>102</v>
      </c>
      <c r="I44" s="2">
        <v>1.5</v>
      </c>
      <c r="J44" s="2">
        <f t="shared" si="8"/>
        <v>204</v>
      </c>
      <c r="K44" s="2">
        <f t="shared" si="26"/>
        <v>61</v>
      </c>
      <c r="L44" s="2">
        <f t="shared" si="9"/>
        <v>50</v>
      </c>
      <c r="M44" s="2">
        <f t="shared" si="27"/>
        <v>20000</v>
      </c>
      <c r="N44" s="38">
        <f t="shared" si="21"/>
        <v>0.04</v>
      </c>
      <c r="O44" s="38">
        <v>1500</v>
      </c>
      <c r="P44" s="38">
        <v>0.1</v>
      </c>
      <c r="Z44" s="33" t="s">
        <v>262</v>
      </c>
      <c r="AA44" s="33">
        <v>8</v>
      </c>
      <c r="AB44" s="33">
        <v>2</v>
      </c>
      <c r="AC44" s="33">
        <v>8</v>
      </c>
      <c r="AD44" s="14">
        <f t="shared" si="10"/>
        <v>155</v>
      </c>
      <c r="AE44" s="33">
        <f t="shared" si="28"/>
        <v>155</v>
      </c>
      <c r="AF44" s="33">
        <f t="shared" si="11"/>
        <v>62</v>
      </c>
      <c r="AG44" s="14">
        <f t="shared" si="12"/>
        <v>62</v>
      </c>
      <c r="AH44" s="14">
        <f t="shared" si="13"/>
        <v>1240</v>
      </c>
      <c r="AI44" s="26">
        <f t="shared" si="14"/>
        <v>4000</v>
      </c>
      <c r="AK44" s="72" t="s">
        <v>832</v>
      </c>
      <c r="AL44" s="65">
        <v>43</v>
      </c>
      <c r="AM44" s="80">
        <v>2</v>
      </c>
      <c r="AN44" s="65">
        <f t="shared" si="15"/>
        <v>204</v>
      </c>
      <c r="AO44" s="65">
        <v>1</v>
      </c>
      <c r="AP44" s="33">
        <f t="shared" si="16"/>
        <v>204</v>
      </c>
      <c r="AQ44" s="26">
        <v>5</v>
      </c>
      <c r="AR44" s="26">
        <f t="shared" si="17"/>
        <v>1020</v>
      </c>
      <c r="AT44" s="81" t="s">
        <v>791</v>
      </c>
      <c r="AU44" s="83">
        <v>3</v>
      </c>
      <c r="AV44" s="82">
        <v>35</v>
      </c>
      <c r="AW44" s="65">
        <f t="shared" si="18"/>
        <v>560</v>
      </c>
      <c r="AX44" s="26">
        <v>1</v>
      </c>
      <c r="AY44" s="65">
        <f t="shared" si="19"/>
        <v>1680</v>
      </c>
      <c r="AZ44" s="26">
        <v>10</v>
      </c>
      <c r="BA44" s="65">
        <f t="shared" si="20"/>
        <v>16800</v>
      </c>
    </row>
    <row r="45" spans="1:53" ht="20.100000000000001" customHeight="1">
      <c r="A45" s="30">
        <v>44</v>
      </c>
      <c r="B45" s="2">
        <f t="shared" si="29"/>
        <v>139</v>
      </c>
      <c r="C45" s="2">
        <f t="shared" si="5"/>
        <v>39750</v>
      </c>
      <c r="D45" s="2">
        <v>20</v>
      </c>
      <c r="E45" s="2">
        <f t="shared" si="6"/>
        <v>2780</v>
      </c>
      <c r="F45" s="2">
        <v>5</v>
      </c>
      <c r="G45" s="2">
        <f t="shared" si="7"/>
        <v>695</v>
      </c>
      <c r="H45" s="2">
        <f t="shared" si="25"/>
        <v>104</v>
      </c>
      <c r="I45" s="2">
        <v>1.5</v>
      </c>
      <c r="J45" s="2">
        <f t="shared" si="8"/>
        <v>209</v>
      </c>
      <c r="K45" s="2">
        <f t="shared" si="26"/>
        <v>63</v>
      </c>
      <c r="L45" s="2">
        <f t="shared" si="9"/>
        <v>50</v>
      </c>
      <c r="M45" s="2">
        <f t="shared" si="27"/>
        <v>20000</v>
      </c>
      <c r="N45" s="38">
        <f t="shared" si="21"/>
        <v>0.04</v>
      </c>
      <c r="O45" s="38">
        <v>1500</v>
      </c>
      <c r="P45" s="38">
        <v>0.1</v>
      </c>
      <c r="Z45" s="33" t="s">
        <v>263</v>
      </c>
      <c r="AA45" s="33">
        <v>10</v>
      </c>
      <c r="AB45" s="33">
        <v>2</v>
      </c>
      <c r="AC45" s="33">
        <v>6</v>
      </c>
      <c r="AD45" s="14">
        <f t="shared" si="10"/>
        <v>185</v>
      </c>
      <c r="AE45" s="33">
        <f t="shared" si="28"/>
        <v>185</v>
      </c>
      <c r="AF45" s="33">
        <f t="shared" si="11"/>
        <v>74</v>
      </c>
      <c r="AG45" s="14">
        <f t="shared" si="12"/>
        <v>74</v>
      </c>
      <c r="AH45" s="14">
        <f t="shared" si="13"/>
        <v>1480</v>
      </c>
      <c r="AI45" s="26">
        <f t="shared" si="14"/>
        <v>4000</v>
      </c>
      <c r="AK45" s="72" t="s">
        <v>833</v>
      </c>
      <c r="AL45" s="65">
        <v>44</v>
      </c>
      <c r="AM45" s="80">
        <v>2</v>
      </c>
      <c r="AN45" s="65">
        <f t="shared" si="15"/>
        <v>209</v>
      </c>
      <c r="AO45" s="65">
        <v>1</v>
      </c>
      <c r="AP45" s="33">
        <f t="shared" si="16"/>
        <v>209</v>
      </c>
      <c r="AQ45" s="26">
        <v>5</v>
      </c>
      <c r="AR45" s="26">
        <f t="shared" si="17"/>
        <v>1045</v>
      </c>
      <c r="AT45" s="81" t="s">
        <v>792</v>
      </c>
      <c r="AU45" s="83">
        <v>3</v>
      </c>
      <c r="AV45" s="82">
        <v>38</v>
      </c>
      <c r="AW45" s="65">
        <f t="shared" si="18"/>
        <v>605</v>
      </c>
      <c r="AX45" s="26">
        <v>1</v>
      </c>
      <c r="AY45" s="65">
        <f t="shared" si="19"/>
        <v>1815</v>
      </c>
      <c r="AZ45" s="26">
        <v>10</v>
      </c>
      <c r="BA45" s="65">
        <f t="shared" si="20"/>
        <v>18150</v>
      </c>
    </row>
    <row r="46" spans="1:53" ht="20.100000000000001" customHeight="1">
      <c r="A46" s="30">
        <v>45</v>
      </c>
      <c r="B46" s="2">
        <f t="shared" si="29"/>
        <v>142</v>
      </c>
      <c r="C46" s="2">
        <f t="shared" si="5"/>
        <v>40500</v>
      </c>
      <c r="D46" s="2">
        <v>20</v>
      </c>
      <c r="E46" s="2">
        <f t="shared" si="6"/>
        <v>2840</v>
      </c>
      <c r="F46" s="2">
        <v>5</v>
      </c>
      <c r="G46" s="2">
        <f t="shared" si="7"/>
        <v>710</v>
      </c>
      <c r="H46" s="2">
        <f t="shared" si="25"/>
        <v>107</v>
      </c>
      <c r="I46" s="2">
        <v>1.5</v>
      </c>
      <c r="J46" s="2">
        <f t="shared" si="8"/>
        <v>213</v>
      </c>
      <c r="K46" s="2">
        <f t="shared" si="26"/>
        <v>64</v>
      </c>
      <c r="L46" s="2">
        <f t="shared" si="9"/>
        <v>50</v>
      </c>
      <c r="M46" s="2">
        <f t="shared" si="27"/>
        <v>20000</v>
      </c>
      <c r="N46" s="38">
        <f t="shared" si="21"/>
        <v>0.04</v>
      </c>
      <c r="O46" s="38">
        <v>1500</v>
      </c>
      <c r="P46" s="38">
        <v>0.1</v>
      </c>
      <c r="Z46" s="33" t="s">
        <v>264</v>
      </c>
      <c r="AA46" s="33">
        <v>15</v>
      </c>
      <c r="AB46" s="33">
        <v>4</v>
      </c>
      <c r="AC46" s="33">
        <v>1</v>
      </c>
      <c r="AD46" s="14">
        <f t="shared" si="10"/>
        <v>260</v>
      </c>
      <c r="AE46" s="33">
        <f t="shared" si="28"/>
        <v>1300</v>
      </c>
      <c r="AF46" s="33">
        <f t="shared" si="11"/>
        <v>3900</v>
      </c>
      <c r="AG46" s="14">
        <f t="shared" si="12"/>
        <v>3900</v>
      </c>
      <c r="AH46" s="14">
        <f t="shared" si="13"/>
        <v>78000</v>
      </c>
      <c r="AI46" s="26">
        <f t="shared" si="14"/>
        <v>8000</v>
      </c>
      <c r="AK46" s="72" t="s">
        <v>834</v>
      </c>
      <c r="AL46" s="65">
        <v>45</v>
      </c>
      <c r="AM46" s="80">
        <v>2</v>
      </c>
      <c r="AN46" s="65">
        <f t="shared" si="15"/>
        <v>213</v>
      </c>
      <c r="AO46" s="65">
        <v>1</v>
      </c>
      <c r="AP46" s="33">
        <f t="shared" si="16"/>
        <v>213</v>
      </c>
      <c r="AQ46" s="26">
        <v>5</v>
      </c>
      <c r="AR46" s="26">
        <f t="shared" si="17"/>
        <v>1065</v>
      </c>
      <c r="AT46" s="81" t="s">
        <v>864</v>
      </c>
      <c r="AU46" s="83">
        <v>4</v>
      </c>
      <c r="AV46" s="82">
        <v>39</v>
      </c>
      <c r="AW46" s="65">
        <f t="shared" si="18"/>
        <v>620</v>
      </c>
      <c r="AX46" s="26">
        <v>1</v>
      </c>
      <c r="AY46" s="65">
        <f t="shared" si="19"/>
        <v>6200</v>
      </c>
      <c r="AZ46" s="26">
        <v>10</v>
      </c>
      <c r="BA46" s="65">
        <f t="shared" si="20"/>
        <v>62000</v>
      </c>
    </row>
    <row r="47" spans="1:53" ht="20.100000000000001" customHeight="1">
      <c r="A47" s="30">
        <v>46</v>
      </c>
      <c r="B47" s="2">
        <f t="shared" si="29"/>
        <v>145</v>
      </c>
      <c r="C47" s="2">
        <f t="shared" si="5"/>
        <v>41130</v>
      </c>
      <c r="D47" s="2">
        <v>20</v>
      </c>
      <c r="E47" s="2">
        <f t="shared" si="6"/>
        <v>2900</v>
      </c>
      <c r="F47" s="2">
        <v>5</v>
      </c>
      <c r="G47" s="2">
        <f t="shared" si="7"/>
        <v>725</v>
      </c>
      <c r="H47" s="2">
        <f t="shared" si="25"/>
        <v>109</v>
      </c>
      <c r="I47" s="2">
        <v>1.5</v>
      </c>
      <c r="J47" s="2">
        <f t="shared" si="8"/>
        <v>218</v>
      </c>
      <c r="K47" s="2">
        <f t="shared" si="26"/>
        <v>65</v>
      </c>
      <c r="L47" s="2">
        <f t="shared" si="9"/>
        <v>50</v>
      </c>
      <c r="M47" s="2">
        <f t="shared" si="27"/>
        <v>20000</v>
      </c>
      <c r="N47" s="38">
        <f t="shared" si="21"/>
        <v>0.04</v>
      </c>
      <c r="O47" s="38">
        <v>1500</v>
      </c>
      <c r="P47" s="38">
        <v>0.1</v>
      </c>
      <c r="Z47" s="33" t="s">
        <v>265</v>
      </c>
      <c r="AA47" s="33">
        <v>20</v>
      </c>
      <c r="AB47" s="33">
        <v>3</v>
      </c>
      <c r="AC47" s="33">
        <v>10</v>
      </c>
      <c r="AD47" s="14">
        <f t="shared" si="10"/>
        <v>335</v>
      </c>
      <c r="AE47" s="33">
        <f t="shared" si="28"/>
        <v>838</v>
      </c>
      <c r="AF47" s="33">
        <f t="shared" si="11"/>
        <v>461</v>
      </c>
      <c r="AG47" s="14">
        <f t="shared" si="12"/>
        <v>461</v>
      </c>
      <c r="AH47" s="14">
        <f t="shared" si="13"/>
        <v>9220</v>
      </c>
      <c r="AI47" s="26">
        <f t="shared" si="14"/>
        <v>8000</v>
      </c>
      <c r="AK47" s="72" t="s">
        <v>835</v>
      </c>
      <c r="AL47" s="65">
        <v>45</v>
      </c>
      <c r="AM47" s="80">
        <v>2</v>
      </c>
      <c r="AN47" s="65">
        <f t="shared" si="15"/>
        <v>213</v>
      </c>
      <c r="AO47" s="65">
        <v>0.75</v>
      </c>
      <c r="AP47" s="33">
        <f t="shared" si="16"/>
        <v>160</v>
      </c>
      <c r="AQ47" s="26">
        <v>5</v>
      </c>
      <c r="AR47" s="26">
        <f t="shared" si="17"/>
        <v>800</v>
      </c>
      <c r="AT47" s="81" t="s">
        <v>865</v>
      </c>
      <c r="AU47" s="83">
        <v>4</v>
      </c>
      <c r="AV47" s="82">
        <v>39</v>
      </c>
      <c r="AW47" s="65">
        <f t="shared" si="18"/>
        <v>620</v>
      </c>
      <c r="AX47" s="26">
        <v>1</v>
      </c>
      <c r="AY47" s="65">
        <f t="shared" si="19"/>
        <v>6200</v>
      </c>
      <c r="AZ47" s="26">
        <v>10</v>
      </c>
      <c r="BA47" s="65">
        <f t="shared" si="20"/>
        <v>62000</v>
      </c>
    </row>
    <row r="48" spans="1:53" ht="20.100000000000001" customHeight="1">
      <c r="A48" s="30">
        <v>47</v>
      </c>
      <c r="B48" s="2">
        <f t="shared" si="29"/>
        <v>148</v>
      </c>
      <c r="C48" s="2">
        <f t="shared" si="5"/>
        <v>41880</v>
      </c>
      <c r="D48" s="2">
        <v>20</v>
      </c>
      <c r="E48" s="2">
        <f t="shared" si="6"/>
        <v>2960</v>
      </c>
      <c r="F48" s="2">
        <v>5</v>
      </c>
      <c r="G48" s="2">
        <f t="shared" si="7"/>
        <v>740</v>
      </c>
      <c r="H48" s="2">
        <f t="shared" si="25"/>
        <v>111</v>
      </c>
      <c r="I48" s="2">
        <v>1.5</v>
      </c>
      <c r="J48" s="2">
        <f t="shared" si="8"/>
        <v>222</v>
      </c>
      <c r="K48" s="2">
        <f t="shared" si="26"/>
        <v>67</v>
      </c>
      <c r="L48" s="2">
        <f t="shared" si="9"/>
        <v>50</v>
      </c>
      <c r="M48" s="2">
        <f t="shared" si="27"/>
        <v>20000</v>
      </c>
      <c r="N48" s="38">
        <f t="shared" si="21"/>
        <v>0.04</v>
      </c>
      <c r="O48" s="38">
        <v>1500</v>
      </c>
      <c r="P48" s="38">
        <v>0.1</v>
      </c>
      <c r="Z48" s="33" t="s">
        <v>266</v>
      </c>
      <c r="AA48" s="33">
        <v>20</v>
      </c>
      <c r="AB48" s="33">
        <v>2</v>
      </c>
      <c r="AC48" s="33">
        <v>10</v>
      </c>
      <c r="AD48" s="14">
        <f t="shared" si="10"/>
        <v>335</v>
      </c>
      <c r="AE48" s="33">
        <f t="shared" si="28"/>
        <v>335</v>
      </c>
      <c r="AF48" s="33">
        <f t="shared" si="11"/>
        <v>184</v>
      </c>
      <c r="AG48" s="14">
        <f t="shared" si="12"/>
        <v>184</v>
      </c>
      <c r="AH48" s="14">
        <f t="shared" si="13"/>
        <v>3680</v>
      </c>
      <c r="AI48" s="26">
        <f t="shared" si="14"/>
        <v>8000</v>
      </c>
      <c r="AK48" s="72" t="s">
        <v>836</v>
      </c>
      <c r="AL48" s="65">
        <v>45</v>
      </c>
      <c r="AM48" s="80">
        <v>3</v>
      </c>
      <c r="AN48" s="65">
        <f t="shared" si="15"/>
        <v>213</v>
      </c>
      <c r="AO48" s="65">
        <v>1</v>
      </c>
      <c r="AP48" s="33">
        <f t="shared" si="16"/>
        <v>639</v>
      </c>
      <c r="AQ48" s="26">
        <v>5</v>
      </c>
      <c r="AR48" s="26">
        <f t="shared" si="17"/>
        <v>3195</v>
      </c>
      <c r="AT48" s="81" t="s">
        <v>797</v>
      </c>
      <c r="AU48" s="83">
        <v>3</v>
      </c>
      <c r="AV48" s="82">
        <v>34</v>
      </c>
      <c r="AW48" s="65">
        <f t="shared" si="18"/>
        <v>545</v>
      </c>
      <c r="AX48" s="26">
        <v>1</v>
      </c>
      <c r="AY48" s="65">
        <f t="shared" si="19"/>
        <v>1635</v>
      </c>
      <c r="AZ48" s="26">
        <v>10</v>
      </c>
      <c r="BA48" s="65">
        <f t="shared" si="20"/>
        <v>16350</v>
      </c>
    </row>
    <row r="49" spans="1:53" ht="20.100000000000001" customHeight="1">
      <c r="A49" s="30">
        <v>48</v>
      </c>
      <c r="B49" s="2">
        <f t="shared" si="29"/>
        <v>151</v>
      </c>
      <c r="C49" s="2">
        <f t="shared" si="5"/>
        <v>42510</v>
      </c>
      <c r="D49" s="2">
        <v>20</v>
      </c>
      <c r="E49" s="2">
        <f t="shared" si="6"/>
        <v>3020</v>
      </c>
      <c r="F49" s="2">
        <v>5</v>
      </c>
      <c r="G49" s="2">
        <f t="shared" si="7"/>
        <v>755</v>
      </c>
      <c r="H49" s="2">
        <f t="shared" si="25"/>
        <v>113</v>
      </c>
      <c r="I49" s="2">
        <v>1.5</v>
      </c>
      <c r="J49" s="2">
        <f t="shared" si="8"/>
        <v>227</v>
      </c>
      <c r="K49" s="2">
        <f t="shared" si="26"/>
        <v>68</v>
      </c>
      <c r="L49" s="2">
        <f t="shared" si="9"/>
        <v>50</v>
      </c>
      <c r="M49" s="2">
        <f t="shared" si="27"/>
        <v>20000</v>
      </c>
      <c r="N49" s="38">
        <f t="shared" si="21"/>
        <v>0.04</v>
      </c>
      <c r="O49" s="38">
        <v>1500</v>
      </c>
      <c r="P49" s="38">
        <v>0.1</v>
      </c>
      <c r="Z49" s="33" t="s">
        <v>267</v>
      </c>
      <c r="AA49" s="33">
        <v>20</v>
      </c>
      <c r="AB49" s="33">
        <v>3</v>
      </c>
      <c r="AC49" s="33">
        <v>9</v>
      </c>
      <c r="AD49" s="14">
        <f t="shared" si="10"/>
        <v>335</v>
      </c>
      <c r="AE49" s="33">
        <f t="shared" si="28"/>
        <v>838</v>
      </c>
      <c r="AF49" s="33">
        <f t="shared" si="11"/>
        <v>419</v>
      </c>
      <c r="AG49" s="14">
        <f t="shared" si="12"/>
        <v>419</v>
      </c>
      <c r="AH49" s="14">
        <f t="shared" si="13"/>
        <v>8380</v>
      </c>
      <c r="AI49" s="26">
        <f t="shared" si="14"/>
        <v>8000</v>
      </c>
      <c r="AK49" s="72" t="s">
        <v>837</v>
      </c>
      <c r="AL49" s="65">
        <v>45</v>
      </c>
      <c r="AM49" s="80">
        <v>3</v>
      </c>
      <c r="AN49" s="65">
        <f t="shared" si="15"/>
        <v>213</v>
      </c>
      <c r="AO49" s="65">
        <v>1</v>
      </c>
      <c r="AP49" s="33">
        <f t="shared" si="16"/>
        <v>639</v>
      </c>
      <c r="AQ49" s="26">
        <v>1</v>
      </c>
      <c r="AR49" s="26">
        <f t="shared" si="17"/>
        <v>639</v>
      </c>
      <c r="AT49" s="81" t="s">
        <v>798</v>
      </c>
      <c r="AU49" s="83">
        <v>3</v>
      </c>
      <c r="AV49" s="82">
        <v>36</v>
      </c>
      <c r="AW49" s="65">
        <f t="shared" si="18"/>
        <v>575</v>
      </c>
      <c r="AX49" s="26">
        <v>1</v>
      </c>
      <c r="AY49" s="65">
        <f t="shared" si="19"/>
        <v>1725</v>
      </c>
      <c r="AZ49" s="26">
        <v>10</v>
      </c>
      <c r="BA49" s="65">
        <f t="shared" si="20"/>
        <v>17250</v>
      </c>
    </row>
    <row r="50" spans="1:53" ht="20.100000000000001" customHeight="1">
      <c r="A50" s="30">
        <v>49</v>
      </c>
      <c r="B50" s="2">
        <f t="shared" si="29"/>
        <v>154</v>
      </c>
      <c r="C50" s="2">
        <f t="shared" si="5"/>
        <v>43260</v>
      </c>
      <c r="D50" s="2">
        <v>20</v>
      </c>
      <c r="E50" s="2">
        <f t="shared" si="6"/>
        <v>3080</v>
      </c>
      <c r="F50" s="2">
        <v>5</v>
      </c>
      <c r="G50" s="2">
        <f t="shared" si="7"/>
        <v>770</v>
      </c>
      <c r="H50" s="2">
        <f t="shared" si="25"/>
        <v>116</v>
      </c>
      <c r="I50" s="2">
        <v>1.5</v>
      </c>
      <c r="J50" s="2">
        <f t="shared" si="8"/>
        <v>231</v>
      </c>
      <c r="K50" s="2">
        <f t="shared" si="26"/>
        <v>69</v>
      </c>
      <c r="L50" s="2">
        <f t="shared" si="9"/>
        <v>50</v>
      </c>
      <c r="M50" s="2">
        <f t="shared" si="27"/>
        <v>20000</v>
      </c>
      <c r="N50" s="38">
        <f t="shared" si="21"/>
        <v>0.04</v>
      </c>
      <c r="O50" s="38">
        <v>1500</v>
      </c>
      <c r="P50" s="38">
        <v>0.1</v>
      </c>
      <c r="Z50" s="33" t="s">
        <v>268</v>
      </c>
      <c r="AA50" s="33">
        <v>20</v>
      </c>
      <c r="AB50" s="33">
        <v>2</v>
      </c>
      <c r="AC50" s="33">
        <v>9</v>
      </c>
      <c r="AD50" s="14">
        <f t="shared" si="10"/>
        <v>335</v>
      </c>
      <c r="AE50" s="33">
        <f t="shared" si="28"/>
        <v>335</v>
      </c>
      <c r="AF50" s="33">
        <f t="shared" si="11"/>
        <v>168</v>
      </c>
      <c r="AG50" s="14">
        <f t="shared" si="12"/>
        <v>168</v>
      </c>
      <c r="AH50" s="14">
        <f t="shared" si="13"/>
        <v>3360</v>
      </c>
      <c r="AI50" s="26">
        <f t="shared" si="14"/>
        <v>8000</v>
      </c>
      <c r="AK50" s="76" t="s">
        <v>838</v>
      </c>
      <c r="AL50" s="65">
        <v>45</v>
      </c>
      <c r="AM50" s="79">
        <v>3</v>
      </c>
      <c r="AN50" s="65">
        <f t="shared" si="15"/>
        <v>213</v>
      </c>
      <c r="AO50" s="65">
        <v>1</v>
      </c>
      <c r="AP50" s="33">
        <f t="shared" si="16"/>
        <v>639</v>
      </c>
      <c r="AQ50" s="26">
        <v>1.75</v>
      </c>
      <c r="AR50" s="26">
        <f t="shared" si="17"/>
        <v>1118</v>
      </c>
      <c r="AT50" s="81" t="s">
        <v>768</v>
      </c>
      <c r="AU50" s="83">
        <v>2</v>
      </c>
      <c r="AV50" s="82">
        <v>31</v>
      </c>
      <c r="AW50" s="65">
        <f t="shared" si="18"/>
        <v>500</v>
      </c>
      <c r="AX50" s="26">
        <v>1</v>
      </c>
      <c r="AY50" s="65">
        <f t="shared" si="19"/>
        <v>500</v>
      </c>
      <c r="AZ50" s="26">
        <v>10</v>
      </c>
      <c r="BA50" s="65">
        <f t="shared" si="20"/>
        <v>5000</v>
      </c>
    </row>
    <row r="51" spans="1:53" ht="20.100000000000001" customHeight="1">
      <c r="A51" s="30">
        <v>50</v>
      </c>
      <c r="B51" s="2">
        <f t="shared" si="29"/>
        <v>157</v>
      </c>
      <c r="C51" s="2">
        <f t="shared" si="5"/>
        <v>46410</v>
      </c>
      <c r="D51" s="2">
        <v>20</v>
      </c>
      <c r="E51" s="2">
        <f t="shared" si="6"/>
        <v>3140</v>
      </c>
      <c r="F51" s="2">
        <v>5</v>
      </c>
      <c r="G51" s="2">
        <f t="shared" si="7"/>
        <v>785</v>
      </c>
      <c r="H51" s="2">
        <f t="shared" si="25"/>
        <v>118</v>
      </c>
      <c r="I51" s="2">
        <v>1.5</v>
      </c>
      <c r="J51" s="2">
        <f t="shared" si="8"/>
        <v>236</v>
      </c>
      <c r="K51" s="2">
        <f t="shared" si="26"/>
        <v>71</v>
      </c>
      <c r="L51" s="2">
        <f t="shared" si="9"/>
        <v>50</v>
      </c>
      <c r="M51" s="2">
        <f t="shared" si="27"/>
        <v>20000</v>
      </c>
      <c r="N51" s="38">
        <f t="shared" si="21"/>
        <v>0.04</v>
      </c>
      <c r="O51" s="38">
        <v>2000</v>
      </c>
      <c r="P51" s="38">
        <v>0.1</v>
      </c>
      <c r="Z51" s="33" t="s">
        <v>269</v>
      </c>
      <c r="AA51" s="33">
        <v>20</v>
      </c>
      <c r="AB51" s="33">
        <v>3</v>
      </c>
      <c r="AC51" s="33">
        <v>8</v>
      </c>
      <c r="AD51" s="14">
        <f t="shared" si="10"/>
        <v>335</v>
      </c>
      <c r="AE51" s="33">
        <f t="shared" si="28"/>
        <v>838</v>
      </c>
      <c r="AF51" s="33">
        <f t="shared" si="11"/>
        <v>335</v>
      </c>
      <c r="AG51" s="14">
        <f t="shared" si="12"/>
        <v>335</v>
      </c>
      <c r="AH51" s="14">
        <f t="shared" si="13"/>
        <v>6700</v>
      </c>
      <c r="AI51" s="26">
        <f t="shared" si="14"/>
        <v>8000</v>
      </c>
      <c r="AK51" s="76" t="s">
        <v>839</v>
      </c>
      <c r="AL51" s="65">
        <v>45</v>
      </c>
      <c r="AM51" s="80">
        <v>2</v>
      </c>
      <c r="AN51" s="65">
        <f t="shared" si="15"/>
        <v>213</v>
      </c>
      <c r="AO51" s="65">
        <v>1</v>
      </c>
      <c r="AP51" s="33">
        <f t="shared" si="16"/>
        <v>213</v>
      </c>
      <c r="AQ51" s="26">
        <v>5</v>
      </c>
      <c r="AR51" s="26">
        <f t="shared" si="17"/>
        <v>1065</v>
      </c>
      <c r="AT51" s="81" t="s">
        <v>769</v>
      </c>
      <c r="AU51" s="83">
        <v>2</v>
      </c>
      <c r="AV51" s="82">
        <v>32</v>
      </c>
      <c r="AW51" s="65">
        <f t="shared" si="18"/>
        <v>515</v>
      </c>
      <c r="AX51" s="26">
        <v>1</v>
      </c>
      <c r="AY51" s="65">
        <f t="shared" si="19"/>
        <v>515</v>
      </c>
      <c r="AZ51" s="26">
        <v>10</v>
      </c>
      <c r="BA51" s="65">
        <f t="shared" si="20"/>
        <v>5150</v>
      </c>
    </row>
    <row r="52" spans="1:53" ht="20.100000000000001" customHeight="1">
      <c r="A52" s="30">
        <v>51</v>
      </c>
      <c r="B52" s="2">
        <f t="shared" si="29"/>
        <v>160</v>
      </c>
      <c r="C52" s="2">
        <f t="shared" si="5"/>
        <v>47040</v>
      </c>
      <c r="D52" s="2">
        <v>20</v>
      </c>
      <c r="E52" s="2">
        <f t="shared" si="6"/>
        <v>3200</v>
      </c>
      <c r="F52" s="2">
        <v>5</v>
      </c>
      <c r="G52" s="2">
        <f t="shared" si="7"/>
        <v>800</v>
      </c>
      <c r="H52" s="2">
        <f t="shared" si="25"/>
        <v>120</v>
      </c>
      <c r="I52" s="2">
        <v>1.5</v>
      </c>
      <c r="J52" s="2">
        <f t="shared" si="8"/>
        <v>240</v>
      </c>
      <c r="K52" s="2">
        <f t="shared" si="26"/>
        <v>72</v>
      </c>
      <c r="L52" s="2">
        <f t="shared" si="9"/>
        <v>60</v>
      </c>
      <c r="M52" s="2">
        <f t="shared" si="27"/>
        <v>24000</v>
      </c>
      <c r="N52" s="38">
        <f t="shared" si="21"/>
        <v>0.04</v>
      </c>
      <c r="O52" s="38">
        <v>2000</v>
      </c>
      <c r="P52" s="38">
        <v>0.1</v>
      </c>
      <c r="Z52" s="33" t="s">
        <v>270</v>
      </c>
      <c r="AA52" s="33">
        <v>20</v>
      </c>
      <c r="AB52" s="33">
        <v>2</v>
      </c>
      <c r="AC52" s="33">
        <v>8</v>
      </c>
      <c r="AD52" s="14">
        <f t="shared" si="10"/>
        <v>335</v>
      </c>
      <c r="AE52" s="33">
        <f t="shared" si="28"/>
        <v>335</v>
      </c>
      <c r="AF52" s="33">
        <f t="shared" si="11"/>
        <v>134</v>
      </c>
      <c r="AG52" s="14">
        <f t="shared" si="12"/>
        <v>134</v>
      </c>
      <c r="AH52" s="14">
        <f t="shared" si="13"/>
        <v>2680</v>
      </c>
      <c r="AI52" s="26">
        <f t="shared" si="14"/>
        <v>8000</v>
      </c>
      <c r="AK52" s="75" t="s">
        <v>840</v>
      </c>
      <c r="AL52" s="65">
        <v>45</v>
      </c>
      <c r="AM52" s="80">
        <v>4</v>
      </c>
      <c r="AN52" s="65">
        <f t="shared" si="15"/>
        <v>213</v>
      </c>
      <c r="AO52" s="65">
        <v>1</v>
      </c>
      <c r="AP52" s="33">
        <f t="shared" si="16"/>
        <v>2130</v>
      </c>
      <c r="AQ52" s="26">
        <v>5</v>
      </c>
      <c r="AR52" s="26">
        <f t="shared" si="17"/>
        <v>10650</v>
      </c>
      <c r="AT52" s="81" t="s">
        <v>770</v>
      </c>
      <c r="AU52" s="83">
        <v>2</v>
      </c>
      <c r="AV52" s="82">
        <v>33</v>
      </c>
      <c r="AW52" s="65">
        <f t="shared" si="18"/>
        <v>530</v>
      </c>
      <c r="AX52" s="26">
        <v>1</v>
      </c>
      <c r="AY52" s="65">
        <f t="shared" si="19"/>
        <v>530</v>
      </c>
      <c r="AZ52" s="26">
        <v>10</v>
      </c>
      <c r="BA52" s="65">
        <f t="shared" si="20"/>
        <v>5300</v>
      </c>
    </row>
    <row r="53" spans="1:53" ht="20.100000000000001" customHeight="1">
      <c r="A53" s="30">
        <v>52</v>
      </c>
      <c r="B53" s="2">
        <f t="shared" si="29"/>
        <v>163</v>
      </c>
      <c r="C53" s="2">
        <f t="shared" si="5"/>
        <v>47790</v>
      </c>
      <c r="D53" s="2">
        <v>20</v>
      </c>
      <c r="E53" s="2">
        <f t="shared" si="6"/>
        <v>3260</v>
      </c>
      <c r="F53" s="2">
        <v>5</v>
      </c>
      <c r="G53" s="2">
        <f t="shared" si="7"/>
        <v>815</v>
      </c>
      <c r="H53" s="2">
        <f t="shared" si="25"/>
        <v>122</v>
      </c>
      <c r="I53" s="2">
        <v>1.5</v>
      </c>
      <c r="J53" s="2">
        <f t="shared" si="8"/>
        <v>245</v>
      </c>
      <c r="K53" s="2">
        <f t="shared" si="26"/>
        <v>74</v>
      </c>
      <c r="L53" s="2">
        <f t="shared" si="9"/>
        <v>60</v>
      </c>
      <c r="M53" s="2">
        <f t="shared" si="27"/>
        <v>24000</v>
      </c>
      <c r="N53" s="38">
        <f t="shared" si="21"/>
        <v>0.04</v>
      </c>
      <c r="O53" s="38">
        <v>2000</v>
      </c>
      <c r="P53" s="38">
        <v>0.1</v>
      </c>
      <c r="Z53" s="33" t="s">
        <v>271</v>
      </c>
      <c r="AA53" s="33">
        <v>20</v>
      </c>
      <c r="AB53" s="33">
        <v>3</v>
      </c>
      <c r="AC53" s="33">
        <v>6</v>
      </c>
      <c r="AD53" s="14">
        <f t="shared" si="10"/>
        <v>335</v>
      </c>
      <c r="AE53" s="33">
        <f t="shared" si="28"/>
        <v>838</v>
      </c>
      <c r="AF53" s="33">
        <f t="shared" si="11"/>
        <v>335</v>
      </c>
      <c r="AG53" s="14">
        <f t="shared" si="12"/>
        <v>335</v>
      </c>
      <c r="AH53" s="14">
        <f t="shared" si="13"/>
        <v>6700</v>
      </c>
      <c r="AI53" s="26">
        <f t="shared" si="14"/>
        <v>8000</v>
      </c>
      <c r="AK53" s="72" t="s">
        <v>841</v>
      </c>
      <c r="AL53" s="65">
        <v>50</v>
      </c>
      <c r="AM53" s="80">
        <v>2</v>
      </c>
      <c r="AN53" s="65">
        <f t="shared" si="15"/>
        <v>236</v>
      </c>
      <c r="AO53" s="65">
        <v>1</v>
      </c>
      <c r="AP53" s="33">
        <f t="shared" si="16"/>
        <v>236</v>
      </c>
      <c r="AQ53" s="26">
        <v>5</v>
      </c>
      <c r="AR53" s="26">
        <f t="shared" si="17"/>
        <v>1180</v>
      </c>
      <c r="AT53" s="81" t="s">
        <v>771</v>
      </c>
      <c r="AU53" s="83">
        <v>2</v>
      </c>
      <c r="AV53" s="82">
        <v>34</v>
      </c>
      <c r="AW53" s="65">
        <f t="shared" si="18"/>
        <v>545</v>
      </c>
      <c r="AX53" s="26">
        <v>1</v>
      </c>
      <c r="AY53" s="65">
        <f t="shared" si="19"/>
        <v>545</v>
      </c>
      <c r="AZ53" s="26">
        <v>10</v>
      </c>
      <c r="BA53" s="65">
        <f t="shared" si="20"/>
        <v>5450</v>
      </c>
    </row>
    <row r="54" spans="1:53" ht="20.100000000000001" customHeight="1">
      <c r="A54" s="30">
        <v>53</v>
      </c>
      <c r="B54" s="2">
        <f t="shared" si="29"/>
        <v>166</v>
      </c>
      <c r="C54" s="2">
        <f t="shared" si="5"/>
        <v>48540</v>
      </c>
      <c r="D54" s="2">
        <v>20</v>
      </c>
      <c r="E54" s="2">
        <f t="shared" si="6"/>
        <v>3320</v>
      </c>
      <c r="F54" s="2">
        <v>5</v>
      </c>
      <c r="G54" s="2">
        <f t="shared" si="7"/>
        <v>830</v>
      </c>
      <c r="H54" s="2">
        <f t="shared" si="25"/>
        <v>125</v>
      </c>
      <c r="I54" s="2">
        <v>1.5</v>
      </c>
      <c r="J54" s="2">
        <f t="shared" si="8"/>
        <v>249</v>
      </c>
      <c r="K54" s="2">
        <f t="shared" si="26"/>
        <v>75</v>
      </c>
      <c r="L54" s="2">
        <f t="shared" si="9"/>
        <v>60</v>
      </c>
      <c r="M54" s="2">
        <f t="shared" si="27"/>
        <v>24000</v>
      </c>
      <c r="N54" s="38">
        <f t="shared" si="21"/>
        <v>0.04</v>
      </c>
      <c r="O54" s="38">
        <v>2000</v>
      </c>
      <c r="P54" s="38">
        <v>0.1</v>
      </c>
      <c r="Z54" s="33" t="s">
        <v>272</v>
      </c>
      <c r="AA54" s="33">
        <v>20</v>
      </c>
      <c r="AB54" s="33">
        <v>2</v>
      </c>
      <c r="AC54" s="33">
        <v>6</v>
      </c>
      <c r="AD54" s="14">
        <f t="shared" si="10"/>
        <v>335</v>
      </c>
      <c r="AE54" s="33">
        <f t="shared" si="28"/>
        <v>335</v>
      </c>
      <c r="AF54" s="33">
        <f t="shared" si="11"/>
        <v>134</v>
      </c>
      <c r="AG54" s="14">
        <f t="shared" si="12"/>
        <v>134</v>
      </c>
      <c r="AH54" s="14">
        <f t="shared" si="13"/>
        <v>2680</v>
      </c>
      <c r="AI54" s="26">
        <f t="shared" si="14"/>
        <v>8000</v>
      </c>
      <c r="AK54" s="72" t="s">
        <v>842</v>
      </c>
      <c r="AL54" s="65">
        <v>51</v>
      </c>
      <c r="AM54" s="80">
        <v>2</v>
      </c>
      <c r="AN54" s="65">
        <f t="shared" si="15"/>
        <v>240</v>
      </c>
      <c r="AO54" s="65">
        <v>1</v>
      </c>
      <c r="AP54" s="33">
        <f t="shared" si="16"/>
        <v>240</v>
      </c>
      <c r="AQ54" s="26">
        <v>5</v>
      </c>
      <c r="AR54" s="26">
        <f t="shared" si="17"/>
        <v>1200</v>
      </c>
      <c r="AT54" s="81" t="s">
        <v>772</v>
      </c>
      <c r="AU54" s="83">
        <v>2</v>
      </c>
      <c r="AV54" s="82">
        <v>35</v>
      </c>
      <c r="AW54" s="65">
        <f t="shared" si="18"/>
        <v>560</v>
      </c>
      <c r="AX54" s="26">
        <v>1</v>
      </c>
      <c r="AY54" s="65">
        <f t="shared" si="19"/>
        <v>560</v>
      </c>
      <c r="AZ54" s="26">
        <v>10</v>
      </c>
      <c r="BA54" s="65">
        <f t="shared" si="20"/>
        <v>5600</v>
      </c>
    </row>
    <row r="55" spans="1:53" ht="20.100000000000001" customHeight="1">
      <c r="A55" s="30">
        <v>54</v>
      </c>
      <c r="B55" s="2">
        <f t="shared" si="29"/>
        <v>169</v>
      </c>
      <c r="C55" s="2">
        <f t="shared" si="5"/>
        <v>49170</v>
      </c>
      <c r="D55" s="2">
        <v>20</v>
      </c>
      <c r="E55" s="2">
        <f t="shared" si="6"/>
        <v>3380</v>
      </c>
      <c r="F55" s="2">
        <v>5</v>
      </c>
      <c r="G55" s="2">
        <f t="shared" si="7"/>
        <v>845</v>
      </c>
      <c r="H55" s="2">
        <f t="shared" si="25"/>
        <v>127</v>
      </c>
      <c r="I55" s="2">
        <v>1.5</v>
      </c>
      <c r="J55" s="2">
        <f t="shared" si="8"/>
        <v>254</v>
      </c>
      <c r="K55" s="2">
        <f t="shared" si="26"/>
        <v>76</v>
      </c>
      <c r="L55" s="2">
        <f t="shared" si="9"/>
        <v>60</v>
      </c>
      <c r="M55" s="2">
        <f t="shared" si="27"/>
        <v>24000</v>
      </c>
      <c r="N55" s="38">
        <f t="shared" si="21"/>
        <v>0.04</v>
      </c>
      <c r="O55" s="38">
        <v>2000</v>
      </c>
      <c r="P55" s="38">
        <v>0.1</v>
      </c>
      <c r="Z55" s="33" t="s">
        <v>273</v>
      </c>
      <c r="AA55" s="33">
        <v>20</v>
      </c>
      <c r="AB55" s="33">
        <v>3</v>
      </c>
      <c r="AC55" s="33">
        <v>7</v>
      </c>
      <c r="AD55" s="14">
        <f t="shared" si="10"/>
        <v>335</v>
      </c>
      <c r="AE55" s="33">
        <f t="shared" si="28"/>
        <v>838</v>
      </c>
      <c r="AF55" s="33">
        <f t="shared" si="11"/>
        <v>503</v>
      </c>
      <c r="AG55" s="14">
        <f t="shared" si="12"/>
        <v>503</v>
      </c>
      <c r="AH55" s="14">
        <f t="shared" si="13"/>
        <v>10060</v>
      </c>
      <c r="AI55" s="26">
        <f t="shared" si="14"/>
        <v>8000</v>
      </c>
      <c r="AK55" s="72" t="s">
        <v>843</v>
      </c>
      <c r="AL55" s="65">
        <v>52</v>
      </c>
      <c r="AM55" s="80">
        <v>2</v>
      </c>
      <c r="AN55" s="65">
        <f t="shared" si="15"/>
        <v>245</v>
      </c>
      <c r="AO55" s="65">
        <v>1</v>
      </c>
      <c r="AP55" s="33">
        <f t="shared" si="16"/>
        <v>245</v>
      </c>
      <c r="AQ55" s="26">
        <v>5</v>
      </c>
      <c r="AR55" s="26">
        <f t="shared" si="17"/>
        <v>1225</v>
      </c>
      <c r="AT55" s="81" t="s">
        <v>773</v>
      </c>
      <c r="AU55" s="83">
        <v>2</v>
      </c>
      <c r="AV55" s="82">
        <v>36</v>
      </c>
      <c r="AW55" s="65">
        <f t="shared" si="18"/>
        <v>575</v>
      </c>
      <c r="AX55" s="26">
        <v>1</v>
      </c>
      <c r="AY55" s="65">
        <f t="shared" si="19"/>
        <v>575</v>
      </c>
      <c r="AZ55" s="26">
        <v>10</v>
      </c>
      <c r="BA55" s="65">
        <f t="shared" si="20"/>
        <v>5750</v>
      </c>
    </row>
    <row r="56" spans="1:53" ht="20.100000000000001" customHeight="1">
      <c r="A56" s="30">
        <v>55</v>
      </c>
      <c r="B56" s="2">
        <f t="shared" si="29"/>
        <v>172</v>
      </c>
      <c r="C56" s="2">
        <f t="shared" si="5"/>
        <v>49800</v>
      </c>
      <c r="D56" s="2">
        <v>20</v>
      </c>
      <c r="E56" s="2">
        <f t="shared" si="6"/>
        <v>3440</v>
      </c>
      <c r="F56" s="2">
        <v>5</v>
      </c>
      <c r="G56" s="2">
        <f t="shared" si="7"/>
        <v>860</v>
      </c>
      <c r="H56" s="2">
        <f t="shared" si="25"/>
        <v>129</v>
      </c>
      <c r="I56" s="2">
        <v>1.5</v>
      </c>
      <c r="J56" s="2">
        <f t="shared" si="8"/>
        <v>258</v>
      </c>
      <c r="K56" s="2">
        <f t="shared" si="26"/>
        <v>77</v>
      </c>
      <c r="L56" s="2">
        <f t="shared" si="9"/>
        <v>60</v>
      </c>
      <c r="M56" s="2">
        <f t="shared" si="27"/>
        <v>24000</v>
      </c>
      <c r="N56" s="38">
        <f t="shared" si="21"/>
        <v>0.04</v>
      </c>
      <c r="O56" s="38">
        <v>2000</v>
      </c>
      <c r="P56" s="38">
        <v>0.1</v>
      </c>
      <c r="Z56" s="33" t="s">
        <v>274</v>
      </c>
      <c r="AA56" s="33">
        <v>20</v>
      </c>
      <c r="AB56" s="33">
        <v>2</v>
      </c>
      <c r="AC56" s="33">
        <v>7</v>
      </c>
      <c r="AD56" s="14">
        <f t="shared" si="10"/>
        <v>335</v>
      </c>
      <c r="AE56" s="33">
        <f t="shared" si="28"/>
        <v>335</v>
      </c>
      <c r="AF56" s="33">
        <f t="shared" si="11"/>
        <v>201</v>
      </c>
      <c r="AG56" s="14">
        <f t="shared" si="12"/>
        <v>201</v>
      </c>
      <c r="AH56" s="14">
        <f t="shared" si="13"/>
        <v>4020</v>
      </c>
      <c r="AI56" s="26">
        <f t="shared" si="14"/>
        <v>8000</v>
      </c>
      <c r="AK56" s="72" t="s">
        <v>844</v>
      </c>
      <c r="AL56" s="65">
        <v>53</v>
      </c>
      <c r="AM56" s="80">
        <v>2</v>
      </c>
      <c r="AN56" s="65">
        <f t="shared" si="15"/>
        <v>249</v>
      </c>
      <c r="AO56" s="65">
        <v>1</v>
      </c>
      <c r="AP56" s="33">
        <f t="shared" si="16"/>
        <v>249</v>
      </c>
      <c r="AQ56" s="26">
        <v>5</v>
      </c>
      <c r="AR56" s="26">
        <f t="shared" si="17"/>
        <v>1245</v>
      </c>
    </row>
    <row r="57" spans="1:53" ht="20.100000000000001" customHeight="1">
      <c r="A57" s="30">
        <v>56</v>
      </c>
      <c r="B57" s="2">
        <f t="shared" si="29"/>
        <v>175</v>
      </c>
      <c r="C57" s="2">
        <f t="shared" si="5"/>
        <v>50550</v>
      </c>
      <c r="D57" s="2">
        <v>20</v>
      </c>
      <c r="E57" s="2">
        <f t="shared" si="6"/>
        <v>3500</v>
      </c>
      <c r="F57" s="2">
        <v>5</v>
      </c>
      <c r="G57" s="2">
        <f t="shared" si="7"/>
        <v>875</v>
      </c>
      <c r="H57" s="2">
        <f t="shared" si="25"/>
        <v>131</v>
      </c>
      <c r="I57" s="2">
        <v>1.5</v>
      </c>
      <c r="J57" s="2">
        <f t="shared" si="8"/>
        <v>263</v>
      </c>
      <c r="K57" s="2">
        <f t="shared" si="26"/>
        <v>79</v>
      </c>
      <c r="L57" s="2">
        <f t="shared" si="9"/>
        <v>60</v>
      </c>
      <c r="M57" s="2">
        <f t="shared" si="27"/>
        <v>24000</v>
      </c>
      <c r="N57" s="38">
        <f t="shared" si="21"/>
        <v>0.04</v>
      </c>
      <c r="O57" s="38">
        <v>2000</v>
      </c>
      <c r="P57" s="38">
        <v>0.1</v>
      </c>
      <c r="Z57" s="33" t="s">
        <v>275</v>
      </c>
      <c r="AA57" s="33">
        <v>20</v>
      </c>
      <c r="AB57" s="33">
        <v>3</v>
      </c>
      <c r="AC57" s="33">
        <v>11</v>
      </c>
      <c r="AD57" s="14">
        <f t="shared" si="10"/>
        <v>335</v>
      </c>
      <c r="AE57" s="33">
        <f t="shared" si="28"/>
        <v>838</v>
      </c>
      <c r="AF57" s="33">
        <f t="shared" si="11"/>
        <v>545</v>
      </c>
      <c r="AG57" s="14">
        <f t="shared" si="12"/>
        <v>545</v>
      </c>
      <c r="AH57" s="14">
        <f t="shared" si="13"/>
        <v>10900</v>
      </c>
      <c r="AI57" s="26">
        <f t="shared" si="14"/>
        <v>8000</v>
      </c>
      <c r="AK57" s="72" t="s">
        <v>845</v>
      </c>
      <c r="AL57" s="65">
        <v>53</v>
      </c>
      <c r="AM57" s="80">
        <v>2</v>
      </c>
      <c r="AN57" s="65">
        <f t="shared" si="15"/>
        <v>249</v>
      </c>
      <c r="AO57" s="65">
        <v>0.75</v>
      </c>
      <c r="AP57" s="33">
        <f t="shared" si="16"/>
        <v>187</v>
      </c>
      <c r="AQ57" s="26">
        <v>5</v>
      </c>
      <c r="AR57" s="26">
        <f t="shared" si="17"/>
        <v>935</v>
      </c>
    </row>
    <row r="58" spans="1:53" ht="20.100000000000001" customHeight="1">
      <c r="A58" s="30">
        <v>57</v>
      </c>
      <c r="B58" s="2">
        <f t="shared" si="29"/>
        <v>178</v>
      </c>
      <c r="C58" s="2">
        <f t="shared" si="5"/>
        <v>53700</v>
      </c>
      <c r="D58" s="2">
        <v>20</v>
      </c>
      <c r="E58" s="2">
        <f t="shared" si="6"/>
        <v>3560</v>
      </c>
      <c r="F58" s="2">
        <v>5</v>
      </c>
      <c r="G58" s="2">
        <f t="shared" si="7"/>
        <v>890</v>
      </c>
      <c r="H58" s="2">
        <f t="shared" si="25"/>
        <v>134</v>
      </c>
      <c r="I58" s="2">
        <v>1.5</v>
      </c>
      <c r="J58" s="2">
        <f t="shared" si="8"/>
        <v>267</v>
      </c>
      <c r="K58" s="2">
        <f t="shared" si="26"/>
        <v>80</v>
      </c>
      <c r="L58" s="2">
        <f t="shared" si="9"/>
        <v>60</v>
      </c>
      <c r="M58" s="2">
        <f t="shared" si="27"/>
        <v>24000</v>
      </c>
      <c r="N58" s="38">
        <f t="shared" si="21"/>
        <v>0.05</v>
      </c>
      <c r="O58" s="38">
        <v>2000</v>
      </c>
      <c r="P58" s="38">
        <v>0.1</v>
      </c>
      <c r="Z58" s="33" t="s">
        <v>276</v>
      </c>
      <c r="AA58" s="33">
        <v>20</v>
      </c>
      <c r="AB58" s="33">
        <v>2</v>
      </c>
      <c r="AC58" s="33">
        <v>11</v>
      </c>
      <c r="AD58" s="14">
        <f t="shared" si="10"/>
        <v>335</v>
      </c>
      <c r="AE58" s="33">
        <f t="shared" si="28"/>
        <v>335</v>
      </c>
      <c r="AF58" s="33">
        <f t="shared" si="11"/>
        <v>218</v>
      </c>
      <c r="AG58" s="14">
        <f t="shared" si="12"/>
        <v>218</v>
      </c>
      <c r="AH58" s="14">
        <f t="shared" si="13"/>
        <v>4360</v>
      </c>
      <c r="AI58" s="26">
        <f t="shared" si="14"/>
        <v>8000</v>
      </c>
      <c r="AK58" s="72" t="s">
        <v>846</v>
      </c>
      <c r="AL58" s="65">
        <v>55</v>
      </c>
      <c r="AM58" s="80">
        <v>2</v>
      </c>
      <c r="AN58" s="65">
        <f t="shared" si="15"/>
        <v>258</v>
      </c>
      <c r="AO58" s="65">
        <v>1</v>
      </c>
      <c r="AP58" s="33">
        <f t="shared" si="16"/>
        <v>258</v>
      </c>
      <c r="AQ58" s="26">
        <v>5</v>
      </c>
      <c r="AR58" s="26">
        <f t="shared" si="17"/>
        <v>1290</v>
      </c>
    </row>
    <row r="59" spans="1:53" ht="20.100000000000001" customHeight="1">
      <c r="A59" s="30">
        <v>58</v>
      </c>
      <c r="B59" s="2">
        <f t="shared" si="29"/>
        <v>181</v>
      </c>
      <c r="C59" s="2">
        <f t="shared" si="5"/>
        <v>54450</v>
      </c>
      <c r="D59" s="2">
        <v>20</v>
      </c>
      <c r="E59" s="2">
        <f t="shared" si="6"/>
        <v>3620</v>
      </c>
      <c r="F59" s="2">
        <v>5</v>
      </c>
      <c r="G59" s="2">
        <f t="shared" si="7"/>
        <v>905</v>
      </c>
      <c r="H59" s="2">
        <f t="shared" si="25"/>
        <v>136</v>
      </c>
      <c r="I59" s="2">
        <v>1.5</v>
      </c>
      <c r="J59" s="2">
        <f t="shared" si="8"/>
        <v>272</v>
      </c>
      <c r="K59" s="2">
        <f t="shared" si="26"/>
        <v>82</v>
      </c>
      <c r="L59" s="2">
        <f t="shared" si="9"/>
        <v>60</v>
      </c>
      <c r="M59" s="2">
        <f t="shared" si="27"/>
        <v>24000</v>
      </c>
      <c r="N59" s="38">
        <f t="shared" si="21"/>
        <v>0.05</v>
      </c>
      <c r="O59" s="38">
        <v>2000</v>
      </c>
      <c r="P59" s="38">
        <v>0.1</v>
      </c>
      <c r="Z59" s="33" t="s">
        <v>277</v>
      </c>
      <c r="AA59" s="33">
        <v>20</v>
      </c>
      <c r="AB59" s="33">
        <v>3</v>
      </c>
      <c r="AC59" s="33">
        <v>4</v>
      </c>
      <c r="AD59" s="14">
        <f t="shared" si="10"/>
        <v>335</v>
      </c>
      <c r="AE59" s="33">
        <f t="shared" si="28"/>
        <v>838</v>
      </c>
      <c r="AF59" s="33">
        <f t="shared" si="11"/>
        <v>670</v>
      </c>
      <c r="AG59" s="14">
        <f t="shared" si="12"/>
        <v>670</v>
      </c>
      <c r="AH59" s="14">
        <f t="shared" si="13"/>
        <v>13400</v>
      </c>
      <c r="AI59" s="26">
        <f t="shared" si="14"/>
        <v>8000</v>
      </c>
      <c r="AK59" s="72" t="s">
        <v>847</v>
      </c>
      <c r="AL59" s="65">
        <v>55</v>
      </c>
      <c r="AM59" s="79">
        <v>3</v>
      </c>
      <c r="AN59" s="65">
        <f t="shared" si="15"/>
        <v>258</v>
      </c>
      <c r="AO59" s="65">
        <v>1</v>
      </c>
      <c r="AP59" s="33">
        <f t="shared" si="16"/>
        <v>774</v>
      </c>
      <c r="AQ59" s="26">
        <v>5</v>
      </c>
      <c r="AR59" s="26">
        <f t="shared" si="17"/>
        <v>3870</v>
      </c>
    </row>
    <row r="60" spans="1:53" ht="20.100000000000001" customHeight="1">
      <c r="A60" s="30">
        <v>59</v>
      </c>
      <c r="B60" s="2">
        <f t="shared" si="29"/>
        <v>184</v>
      </c>
      <c r="C60" s="2">
        <f t="shared" si="5"/>
        <v>55080</v>
      </c>
      <c r="D60" s="2">
        <v>20</v>
      </c>
      <c r="E60" s="2">
        <f t="shared" si="6"/>
        <v>3680</v>
      </c>
      <c r="F60" s="2">
        <v>5</v>
      </c>
      <c r="G60" s="2">
        <f t="shared" si="7"/>
        <v>920</v>
      </c>
      <c r="H60" s="2">
        <f t="shared" si="25"/>
        <v>138</v>
      </c>
      <c r="I60" s="2">
        <v>1.5</v>
      </c>
      <c r="J60" s="2">
        <f t="shared" si="8"/>
        <v>276</v>
      </c>
      <c r="K60" s="2">
        <f t="shared" si="26"/>
        <v>83</v>
      </c>
      <c r="L60" s="2">
        <f t="shared" si="9"/>
        <v>60</v>
      </c>
      <c r="M60" s="2">
        <f t="shared" si="27"/>
        <v>24000</v>
      </c>
      <c r="N60" s="38">
        <f t="shared" si="21"/>
        <v>0.05</v>
      </c>
      <c r="O60" s="38">
        <v>2000</v>
      </c>
      <c r="P60" s="38">
        <v>0.1</v>
      </c>
      <c r="Z60" s="33" t="s">
        <v>278</v>
      </c>
      <c r="AA60" s="33">
        <v>20</v>
      </c>
      <c r="AB60" s="33">
        <v>2</v>
      </c>
      <c r="AC60" s="33">
        <v>4</v>
      </c>
      <c r="AD60" s="14">
        <f t="shared" si="10"/>
        <v>335</v>
      </c>
      <c r="AE60" s="33">
        <f t="shared" si="28"/>
        <v>335</v>
      </c>
      <c r="AF60" s="33">
        <f t="shared" si="11"/>
        <v>268</v>
      </c>
      <c r="AG60" s="14">
        <f t="shared" si="12"/>
        <v>268</v>
      </c>
      <c r="AH60" s="14">
        <f t="shared" si="13"/>
        <v>5360</v>
      </c>
      <c r="AI60" s="26">
        <f t="shared" si="14"/>
        <v>8000</v>
      </c>
      <c r="AK60" s="72" t="s">
        <v>848</v>
      </c>
      <c r="AL60" s="65">
        <v>55</v>
      </c>
      <c r="AM60" s="79">
        <v>3</v>
      </c>
      <c r="AN60" s="65">
        <f t="shared" si="15"/>
        <v>258</v>
      </c>
      <c r="AO60" s="65">
        <v>1</v>
      </c>
      <c r="AP60" s="33">
        <f t="shared" si="16"/>
        <v>774</v>
      </c>
      <c r="AQ60" s="26">
        <v>5</v>
      </c>
      <c r="AR60" s="26">
        <f t="shared" si="17"/>
        <v>3870</v>
      </c>
    </row>
    <row r="61" spans="1:53" ht="20.100000000000001" customHeight="1">
      <c r="A61" s="30">
        <v>60</v>
      </c>
      <c r="B61" s="2">
        <f t="shared" si="29"/>
        <v>187</v>
      </c>
      <c r="C61" s="2">
        <f t="shared" si="5"/>
        <v>55710</v>
      </c>
      <c r="D61" s="2">
        <v>20</v>
      </c>
      <c r="E61" s="2">
        <f t="shared" si="6"/>
        <v>3740</v>
      </c>
      <c r="F61" s="2">
        <v>5</v>
      </c>
      <c r="G61" s="2">
        <f t="shared" si="7"/>
        <v>935</v>
      </c>
      <c r="H61" s="2">
        <f t="shared" si="25"/>
        <v>140</v>
      </c>
      <c r="I61" s="2">
        <v>1.5</v>
      </c>
      <c r="J61" s="2">
        <f t="shared" si="8"/>
        <v>281</v>
      </c>
      <c r="K61" s="2">
        <f t="shared" si="26"/>
        <v>84</v>
      </c>
      <c r="L61" s="2">
        <f t="shared" si="9"/>
        <v>60</v>
      </c>
      <c r="M61" s="2">
        <f t="shared" si="27"/>
        <v>24000</v>
      </c>
      <c r="N61" s="38">
        <f t="shared" si="21"/>
        <v>0.05</v>
      </c>
      <c r="O61" s="38">
        <v>2000</v>
      </c>
      <c r="P61" s="38">
        <v>0.1</v>
      </c>
      <c r="Z61" s="33" t="s">
        <v>279</v>
      </c>
      <c r="AA61" s="33">
        <v>20</v>
      </c>
      <c r="AB61" s="33">
        <v>3</v>
      </c>
      <c r="AC61" s="33">
        <v>5</v>
      </c>
      <c r="AD61" s="14">
        <f t="shared" si="10"/>
        <v>335</v>
      </c>
      <c r="AE61" s="33">
        <f t="shared" si="28"/>
        <v>838</v>
      </c>
      <c r="AF61" s="33">
        <f t="shared" si="11"/>
        <v>1592</v>
      </c>
      <c r="AG61" s="14">
        <f t="shared" si="12"/>
        <v>1592</v>
      </c>
      <c r="AH61" s="14">
        <f t="shared" si="13"/>
        <v>31840</v>
      </c>
      <c r="AI61" s="26">
        <f t="shared" si="14"/>
        <v>8000</v>
      </c>
      <c r="AK61" s="72" t="s">
        <v>849</v>
      </c>
      <c r="AL61" s="65">
        <v>55</v>
      </c>
      <c r="AM61" s="79">
        <v>3</v>
      </c>
      <c r="AN61" s="65">
        <f t="shared" si="15"/>
        <v>258</v>
      </c>
      <c r="AO61" s="65">
        <v>1</v>
      </c>
      <c r="AP61" s="33">
        <f t="shared" si="16"/>
        <v>774</v>
      </c>
      <c r="AQ61" s="26">
        <v>5</v>
      </c>
      <c r="AR61" s="26">
        <f t="shared" si="17"/>
        <v>3870</v>
      </c>
    </row>
    <row r="62" spans="1:53" ht="20.100000000000001" customHeight="1">
      <c r="A62" s="30">
        <v>61</v>
      </c>
      <c r="B62" s="2">
        <f t="shared" si="29"/>
        <v>190</v>
      </c>
      <c r="C62" s="2">
        <f t="shared" si="5"/>
        <v>56580</v>
      </c>
      <c r="D62" s="2">
        <v>20</v>
      </c>
      <c r="E62" s="2">
        <f t="shared" si="6"/>
        <v>3800</v>
      </c>
      <c r="F62" s="2">
        <v>5</v>
      </c>
      <c r="G62" s="2">
        <f t="shared" si="7"/>
        <v>950</v>
      </c>
      <c r="H62" s="2">
        <f t="shared" si="25"/>
        <v>143</v>
      </c>
      <c r="I62" s="2">
        <v>1.5</v>
      </c>
      <c r="J62" s="2">
        <f t="shared" si="8"/>
        <v>285</v>
      </c>
      <c r="K62" s="2">
        <f t="shared" si="26"/>
        <v>86</v>
      </c>
      <c r="L62" s="2">
        <f t="shared" si="9"/>
        <v>70</v>
      </c>
      <c r="M62" s="2">
        <f t="shared" si="27"/>
        <v>24000</v>
      </c>
      <c r="N62" s="38">
        <f t="shared" si="21"/>
        <v>0.05</v>
      </c>
      <c r="O62" s="38">
        <v>2000</v>
      </c>
      <c r="P62" s="38">
        <v>0.1</v>
      </c>
      <c r="Z62" s="33" t="s">
        <v>280</v>
      </c>
      <c r="AA62" s="33">
        <v>20</v>
      </c>
      <c r="AB62" s="33">
        <v>3</v>
      </c>
      <c r="AC62" s="33">
        <v>3</v>
      </c>
      <c r="AD62" s="14">
        <f t="shared" si="10"/>
        <v>335</v>
      </c>
      <c r="AE62" s="33">
        <f t="shared" si="28"/>
        <v>838</v>
      </c>
      <c r="AF62" s="33">
        <f t="shared" si="11"/>
        <v>1006</v>
      </c>
      <c r="AG62" s="14">
        <f t="shared" si="12"/>
        <v>1006</v>
      </c>
      <c r="AH62" s="14">
        <f t="shared" si="13"/>
        <v>20120</v>
      </c>
      <c r="AI62" s="26">
        <f t="shared" si="14"/>
        <v>8000</v>
      </c>
      <c r="AK62" s="72" t="s">
        <v>850</v>
      </c>
      <c r="AL62" s="65">
        <v>55</v>
      </c>
      <c r="AM62" s="79">
        <v>3</v>
      </c>
      <c r="AN62" s="65">
        <f t="shared" si="15"/>
        <v>258</v>
      </c>
      <c r="AO62" s="65">
        <v>1</v>
      </c>
      <c r="AP62" s="33">
        <f t="shared" si="16"/>
        <v>774</v>
      </c>
      <c r="AQ62" s="26">
        <v>5</v>
      </c>
      <c r="AR62" s="26">
        <f t="shared" si="17"/>
        <v>3870</v>
      </c>
    </row>
    <row r="63" spans="1:53" ht="20.100000000000001" customHeight="1">
      <c r="A63" s="30">
        <v>62</v>
      </c>
      <c r="B63" s="2">
        <f t="shared" si="29"/>
        <v>193</v>
      </c>
      <c r="C63" s="2">
        <f t="shared" si="5"/>
        <v>57210</v>
      </c>
      <c r="D63" s="2">
        <v>20</v>
      </c>
      <c r="E63" s="2">
        <f t="shared" si="6"/>
        <v>3860</v>
      </c>
      <c r="F63" s="2">
        <v>5</v>
      </c>
      <c r="G63" s="2">
        <f t="shared" si="7"/>
        <v>965</v>
      </c>
      <c r="H63" s="2">
        <f t="shared" si="25"/>
        <v>145</v>
      </c>
      <c r="I63" s="2">
        <v>1.5</v>
      </c>
      <c r="J63" s="2">
        <f t="shared" si="8"/>
        <v>290</v>
      </c>
      <c r="K63" s="2">
        <f t="shared" si="26"/>
        <v>87</v>
      </c>
      <c r="L63" s="2">
        <f t="shared" si="9"/>
        <v>70</v>
      </c>
      <c r="M63" s="2">
        <f t="shared" si="27"/>
        <v>24000</v>
      </c>
      <c r="N63" s="38">
        <f t="shared" si="21"/>
        <v>0.05</v>
      </c>
      <c r="O63" s="38">
        <v>2000</v>
      </c>
      <c r="P63" s="38">
        <v>0.1</v>
      </c>
      <c r="Z63" s="33" t="s">
        <v>281</v>
      </c>
      <c r="AA63" s="33">
        <v>20</v>
      </c>
      <c r="AB63" s="33">
        <v>3</v>
      </c>
      <c r="AC63" s="33">
        <v>1</v>
      </c>
      <c r="AD63" s="14">
        <f t="shared" si="10"/>
        <v>335</v>
      </c>
      <c r="AE63" s="33">
        <f t="shared" si="28"/>
        <v>838</v>
      </c>
      <c r="AF63" s="33">
        <f t="shared" si="11"/>
        <v>2514</v>
      </c>
      <c r="AG63" s="14">
        <f t="shared" si="12"/>
        <v>2514</v>
      </c>
      <c r="AH63" s="14">
        <f t="shared" si="13"/>
        <v>50280</v>
      </c>
      <c r="AI63" s="26">
        <f t="shared" si="14"/>
        <v>8000</v>
      </c>
      <c r="AK63" s="72" t="s">
        <v>851</v>
      </c>
      <c r="AL63" s="65">
        <v>55</v>
      </c>
      <c r="AM63" s="79">
        <v>3</v>
      </c>
      <c r="AN63" s="65">
        <f t="shared" si="15"/>
        <v>258</v>
      </c>
      <c r="AO63" s="65">
        <v>1</v>
      </c>
      <c r="AP63" s="33">
        <f t="shared" si="16"/>
        <v>774</v>
      </c>
      <c r="AQ63" s="26">
        <v>5</v>
      </c>
      <c r="AR63" s="26">
        <f t="shared" si="17"/>
        <v>3870</v>
      </c>
    </row>
    <row r="64" spans="1:53" ht="20.100000000000001" customHeight="1">
      <c r="A64" s="30">
        <v>63</v>
      </c>
      <c r="B64" s="2">
        <f t="shared" si="29"/>
        <v>196</v>
      </c>
      <c r="C64" s="2">
        <f t="shared" si="5"/>
        <v>57840</v>
      </c>
      <c r="D64" s="2">
        <v>20</v>
      </c>
      <c r="E64" s="2">
        <f t="shared" si="6"/>
        <v>3920</v>
      </c>
      <c r="F64" s="2">
        <v>5</v>
      </c>
      <c r="G64" s="2">
        <f t="shared" si="7"/>
        <v>980</v>
      </c>
      <c r="H64" s="2">
        <f t="shared" si="25"/>
        <v>147</v>
      </c>
      <c r="I64" s="2">
        <v>1.5</v>
      </c>
      <c r="J64" s="2">
        <f t="shared" si="8"/>
        <v>294</v>
      </c>
      <c r="K64" s="2">
        <f t="shared" si="26"/>
        <v>88</v>
      </c>
      <c r="L64" s="2">
        <f t="shared" si="9"/>
        <v>70</v>
      </c>
      <c r="M64" s="2">
        <f t="shared" si="27"/>
        <v>24000</v>
      </c>
      <c r="N64" s="38">
        <f t="shared" si="21"/>
        <v>0.05</v>
      </c>
      <c r="O64" s="38">
        <v>2000</v>
      </c>
      <c r="P64" s="38">
        <v>0.1</v>
      </c>
      <c r="Z64" s="33" t="s">
        <v>282</v>
      </c>
      <c r="AA64" s="33">
        <v>20</v>
      </c>
      <c r="AB64" s="33">
        <v>2</v>
      </c>
      <c r="AC64" s="33">
        <v>1</v>
      </c>
      <c r="AD64" s="14">
        <f t="shared" si="10"/>
        <v>335</v>
      </c>
      <c r="AE64" s="33">
        <f t="shared" si="28"/>
        <v>335</v>
      </c>
      <c r="AF64" s="33">
        <f t="shared" si="11"/>
        <v>1005</v>
      </c>
      <c r="AG64" s="14">
        <f t="shared" si="12"/>
        <v>1005</v>
      </c>
      <c r="AH64" s="14">
        <f t="shared" si="13"/>
        <v>20100</v>
      </c>
      <c r="AI64" s="26">
        <f t="shared" si="14"/>
        <v>8000</v>
      </c>
      <c r="AK64" s="72" t="s">
        <v>852</v>
      </c>
      <c r="AL64" s="65">
        <v>55</v>
      </c>
      <c r="AM64" s="79">
        <v>3</v>
      </c>
      <c r="AN64" s="65">
        <f t="shared" si="15"/>
        <v>258</v>
      </c>
      <c r="AO64" s="65">
        <v>1</v>
      </c>
      <c r="AP64" s="33">
        <f t="shared" si="16"/>
        <v>774</v>
      </c>
      <c r="AQ64" s="26">
        <v>5</v>
      </c>
      <c r="AR64" s="26">
        <f t="shared" si="17"/>
        <v>3870</v>
      </c>
    </row>
    <row r="65" spans="1:44" ht="20.100000000000001" customHeight="1">
      <c r="A65" s="30">
        <v>64</v>
      </c>
      <c r="B65" s="2">
        <f t="shared" si="29"/>
        <v>199</v>
      </c>
      <c r="C65" s="2">
        <f t="shared" si="5"/>
        <v>58590</v>
      </c>
      <c r="D65" s="2">
        <v>20</v>
      </c>
      <c r="E65" s="2">
        <f t="shared" si="6"/>
        <v>3980</v>
      </c>
      <c r="F65" s="2">
        <v>5</v>
      </c>
      <c r="G65" s="2">
        <f t="shared" si="7"/>
        <v>995</v>
      </c>
      <c r="H65" s="2">
        <f t="shared" si="25"/>
        <v>149</v>
      </c>
      <c r="I65" s="2">
        <v>1.5</v>
      </c>
      <c r="J65" s="2">
        <f t="shared" si="8"/>
        <v>299</v>
      </c>
      <c r="K65" s="2">
        <f t="shared" si="26"/>
        <v>90</v>
      </c>
      <c r="L65" s="2">
        <f t="shared" si="9"/>
        <v>70</v>
      </c>
      <c r="M65" s="2">
        <f t="shared" si="27"/>
        <v>24000</v>
      </c>
      <c r="N65" s="38">
        <f t="shared" si="21"/>
        <v>0.05</v>
      </c>
      <c r="O65" s="38">
        <v>2000</v>
      </c>
      <c r="P65" s="38">
        <v>0.1</v>
      </c>
      <c r="Z65" s="33" t="s">
        <v>283</v>
      </c>
      <c r="AA65" s="33">
        <v>20</v>
      </c>
      <c r="AB65" s="33">
        <v>2</v>
      </c>
      <c r="AC65" s="33">
        <v>1</v>
      </c>
      <c r="AD65" s="14">
        <f t="shared" si="10"/>
        <v>335</v>
      </c>
      <c r="AE65" s="33">
        <f t="shared" si="28"/>
        <v>335</v>
      </c>
      <c r="AF65" s="33">
        <f t="shared" si="11"/>
        <v>1005</v>
      </c>
      <c r="AG65" s="14">
        <f t="shared" si="12"/>
        <v>1005</v>
      </c>
      <c r="AH65" s="14">
        <f t="shared" si="13"/>
        <v>20100</v>
      </c>
      <c r="AI65" s="26">
        <f t="shared" si="14"/>
        <v>8000</v>
      </c>
      <c r="AK65" s="78" t="s">
        <v>854</v>
      </c>
      <c r="AL65" s="65">
        <v>55</v>
      </c>
      <c r="AM65" s="79">
        <v>3</v>
      </c>
      <c r="AN65" s="65">
        <f t="shared" ref="AN65:AN66" si="31">LOOKUP(AL65,A:A,J:J)</f>
        <v>258</v>
      </c>
      <c r="AO65" s="65">
        <v>1</v>
      </c>
      <c r="AP65" s="33">
        <f t="shared" si="16"/>
        <v>774</v>
      </c>
      <c r="AQ65" s="26">
        <v>1</v>
      </c>
      <c r="AR65" s="26">
        <f t="shared" si="17"/>
        <v>774</v>
      </c>
    </row>
    <row r="66" spans="1:44" ht="20.100000000000001" customHeight="1">
      <c r="A66" s="30">
        <v>65</v>
      </c>
      <c r="B66" s="2">
        <f t="shared" si="29"/>
        <v>202</v>
      </c>
      <c r="C66" s="2">
        <f t="shared" si="5"/>
        <v>59340</v>
      </c>
      <c r="D66" s="2">
        <v>20</v>
      </c>
      <c r="E66" s="2">
        <f t="shared" si="6"/>
        <v>4040</v>
      </c>
      <c r="F66" s="2">
        <v>5</v>
      </c>
      <c r="G66" s="2">
        <f t="shared" si="7"/>
        <v>1010</v>
      </c>
      <c r="H66" s="2">
        <f t="shared" ref="H66" si="32">ROUND(G66*$S$1,0)</f>
        <v>152</v>
      </c>
      <c r="I66" s="2">
        <v>1.5</v>
      </c>
      <c r="J66" s="2">
        <f t="shared" si="8"/>
        <v>303</v>
      </c>
      <c r="K66" s="2">
        <f t="shared" ref="K66" si="33">ROUND(J66*$S$2,0)</f>
        <v>91</v>
      </c>
      <c r="L66" s="2">
        <f t="shared" si="9"/>
        <v>70</v>
      </c>
      <c r="M66" s="2">
        <f t="shared" ref="M66" si="34">LOOKUP(L66,$S$29:$S$34,$X$29:$X$34)</f>
        <v>24000</v>
      </c>
      <c r="N66" s="38">
        <f t="shared" si="21"/>
        <v>0.05</v>
      </c>
      <c r="O66" s="38">
        <v>2000</v>
      </c>
      <c r="P66" s="38">
        <v>0.1</v>
      </c>
      <c r="Z66" s="33" t="s">
        <v>284</v>
      </c>
      <c r="AA66" s="33">
        <v>20</v>
      </c>
      <c r="AB66" s="33">
        <v>3</v>
      </c>
      <c r="AC66" s="33">
        <v>2</v>
      </c>
      <c r="AD66" s="14">
        <f t="shared" si="10"/>
        <v>335</v>
      </c>
      <c r="AE66" s="33">
        <f t="shared" ref="AE66:AE67" si="35">ROUND(AD66*LOOKUP(AB66,$S$9:$S$12,$T$9:$T$12),0)</f>
        <v>838</v>
      </c>
      <c r="AF66" s="33">
        <f t="shared" si="11"/>
        <v>1257</v>
      </c>
      <c r="AG66" s="14">
        <f t="shared" si="12"/>
        <v>1257</v>
      </c>
      <c r="AH66" s="14">
        <f t="shared" si="13"/>
        <v>25140</v>
      </c>
      <c r="AI66" s="26">
        <f t="shared" si="14"/>
        <v>8000</v>
      </c>
      <c r="AK66" s="78" t="s">
        <v>855</v>
      </c>
      <c r="AL66" s="65">
        <v>55</v>
      </c>
      <c r="AM66" s="79">
        <v>3</v>
      </c>
      <c r="AN66" s="65">
        <f t="shared" si="31"/>
        <v>258</v>
      </c>
      <c r="AO66" s="65">
        <v>1</v>
      </c>
      <c r="AP66" s="33">
        <f t="shared" si="16"/>
        <v>774</v>
      </c>
      <c r="AQ66" s="26">
        <v>1.75</v>
      </c>
      <c r="AR66" s="26">
        <f t="shared" si="17"/>
        <v>1355</v>
      </c>
    </row>
    <row r="67" spans="1:44" ht="20.100000000000001" customHeight="1">
      <c r="Y67" s="54"/>
      <c r="Z67" s="33" t="s">
        <v>285</v>
      </c>
      <c r="AA67" s="33">
        <v>20</v>
      </c>
      <c r="AB67" s="33">
        <v>2</v>
      </c>
      <c r="AC67" s="33">
        <v>2</v>
      </c>
      <c r="AD67" s="14">
        <f t="shared" ref="AD67" si="36">LOOKUP(AA67,$A$2:$A$66,$G$2:$G$66)</f>
        <v>335</v>
      </c>
      <c r="AE67" s="33">
        <f t="shared" si="35"/>
        <v>335</v>
      </c>
      <c r="AF67" s="33">
        <f t="shared" ref="AF67" si="37">ROUND(LOOKUP(AC67,$S$15:$S$25,$T$15:$T$25)*AE67,0)</f>
        <v>503</v>
      </c>
      <c r="AG67" s="14">
        <f t="shared" ref="AG67" si="38">AF67</f>
        <v>503</v>
      </c>
      <c r="AH67" s="14">
        <f t="shared" ref="AH67" si="39">AG67*$S$4</f>
        <v>10060</v>
      </c>
      <c r="AI67" s="26">
        <f t="shared" ref="AI67" si="40">LOOKUP(AA67,$A$2:$A$66,$M$2:$M$66)</f>
        <v>8000</v>
      </c>
    </row>
    <row r="68" spans="1:44" ht="20.100000000000001" customHeight="1">
      <c r="Y68" s="54"/>
      <c r="Z68" s="33" t="s">
        <v>643</v>
      </c>
      <c r="AA68" s="33">
        <v>20</v>
      </c>
      <c r="AB68" s="33">
        <v>3</v>
      </c>
      <c r="AC68" s="33">
        <v>4</v>
      </c>
      <c r="AD68" s="65">
        <f t="shared" ref="AD68:AD131" si="41">LOOKUP(AA68,$A$2:$A$66,$G$2:$G$66)</f>
        <v>335</v>
      </c>
      <c r="AE68" s="33">
        <f t="shared" ref="AE68:AE131" si="42">ROUND(AD68*LOOKUP(AB68,$S$9:$S$12,$T$9:$T$12),0)</f>
        <v>838</v>
      </c>
      <c r="AF68" s="33">
        <f t="shared" ref="AF68:AF131" si="43">ROUND(LOOKUP(AC68,$S$15:$S$25,$T$15:$T$25)*AE68,0)</f>
        <v>670</v>
      </c>
      <c r="AG68" s="65">
        <f t="shared" ref="AG68:AG131" si="44">AF68</f>
        <v>670</v>
      </c>
      <c r="AH68" s="65">
        <f t="shared" ref="AH68:AH131" si="45">AG68*$S$4</f>
        <v>13400</v>
      </c>
      <c r="AI68" s="26">
        <f t="shared" ref="AI68:AI131" si="46">LOOKUP(AA68,$A$2:$A$66,$M$2:$M$66)</f>
        <v>8000</v>
      </c>
    </row>
    <row r="69" spans="1:44" ht="20.100000000000001" customHeight="1">
      <c r="Y69" s="54"/>
      <c r="Z69" s="33" t="s">
        <v>644</v>
      </c>
      <c r="AA69" s="33">
        <v>20</v>
      </c>
      <c r="AB69" s="33">
        <v>3</v>
      </c>
      <c r="AC69" s="33">
        <v>11</v>
      </c>
      <c r="AD69" s="65">
        <f t="shared" si="41"/>
        <v>335</v>
      </c>
      <c r="AE69" s="33">
        <f t="shared" si="42"/>
        <v>838</v>
      </c>
      <c r="AF69" s="33">
        <f t="shared" si="43"/>
        <v>545</v>
      </c>
      <c r="AG69" s="65">
        <f t="shared" si="44"/>
        <v>545</v>
      </c>
      <c r="AH69" s="65">
        <f t="shared" si="45"/>
        <v>10900</v>
      </c>
      <c r="AI69" s="26">
        <f t="shared" si="46"/>
        <v>8000</v>
      </c>
    </row>
    <row r="70" spans="1:44" ht="20.100000000000001" customHeight="1">
      <c r="Y70" s="54"/>
      <c r="Z70" s="33" t="s">
        <v>645</v>
      </c>
      <c r="AA70" s="33">
        <v>20</v>
      </c>
      <c r="AB70" s="33">
        <v>3</v>
      </c>
      <c r="AC70" s="33">
        <v>10</v>
      </c>
      <c r="AD70" s="65">
        <f t="shared" si="41"/>
        <v>335</v>
      </c>
      <c r="AE70" s="33">
        <f t="shared" si="42"/>
        <v>838</v>
      </c>
      <c r="AF70" s="33">
        <f t="shared" si="43"/>
        <v>461</v>
      </c>
      <c r="AG70" s="65">
        <f t="shared" si="44"/>
        <v>461</v>
      </c>
      <c r="AH70" s="65">
        <f t="shared" si="45"/>
        <v>9220</v>
      </c>
      <c r="AI70" s="26">
        <f t="shared" si="46"/>
        <v>8000</v>
      </c>
    </row>
    <row r="71" spans="1:44" ht="20.100000000000001" customHeight="1">
      <c r="Y71" s="54"/>
      <c r="Z71" s="33" t="s">
        <v>646</v>
      </c>
      <c r="AA71" s="33">
        <v>20</v>
      </c>
      <c r="AB71" s="33">
        <v>3</v>
      </c>
      <c r="AC71" s="33">
        <v>9</v>
      </c>
      <c r="AD71" s="65">
        <f t="shared" si="41"/>
        <v>335</v>
      </c>
      <c r="AE71" s="33">
        <f t="shared" si="42"/>
        <v>838</v>
      </c>
      <c r="AF71" s="33">
        <f t="shared" si="43"/>
        <v>419</v>
      </c>
      <c r="AG71" s="65">
        <f t="shared" si="44"/>
        <v>419</v>
      </c>
      <c r="AH71" s="65">
        <f t="shared" si="45"/>
        <v>8380</v>
      </c>
      <c r="AI71" s="26">
        <f t="shared" si="46"/>
        <v>8000</v>
      </c>
    </row>
    <row r="72" spans="1:44" ht="20.100000000000001" customHeight="1">
      <c r="Y72" s="54"/>
      <c r="Z72" s="33" t="s">
        <v>647</v>
      </c>
      <c r="AA72" s="33">
        <v>20</v>
      </c>
      <c r="AB72" s="33">
        <v>3</v>
      </c>
      <c r="AC72" s="33">
        <v>8</v>
      </c>
      <c r="AD72" s="65">
        <f t="shared" si="41"/>
        <v>335</v>
      </c>
      <c r="AE72" s="33">
        <f t="shared" si="42"/>
        <v>838</v>
      </c>
      <c r="AF72" s="33">
        <f t="shared" si="43"/>
        <v>335</v>
      </c>
      <c r="AG72" s="65">
        <f t="shared" si="44"/>
        <v>335</v>
      </c>
      <c r="AH72" s="65">
        <f t="shared" si="45"/>
        <v>6700</v>
      </c>
      <c r="AI72" s="26">
        <f t="shared" si="46"/>
        <v>8000</v>
      </c>
    </row>
    <row r="73" spans="1:44" ht="20.100000000000001" customHeight="1">
      <c r="Y73" s="54"/>
      <c r="Z73" s="33" t="s">
        <v>648</v>
      </c>
      <c r="AA73" s="33">
        <v>20</v>
      </c>
      <c r="AB73" s="33">
        <v>3</v>
      </c>
      <c r="AC73" s="33">
        <v>6</v>
      </c>
      <c r="AD73" s="65">
        <f t="shared" si="41"/>
        <v>335</v>
      </c>
      <c r="AE73" s="33">
        <f t="shared" si="42"/>
        <v>838</v>
      </c>
      <c r="AF73" s="33">
        <f t="shared" si="43"/>
        <v>335</v>
      </c>
      <c r="AG73" s="65">
        <f t="shared" si="44"/>
        <v>335</v>
      </c>
      <c r="AH73" s="65">
        <f t="shared" si="45"/>
        <v>6700</v>
      </c>
      <c r="AI73" s="26">
        <f t="shared" si="46"/>
        <v>8000</v>
      </c>
    </row>
    <row r="74" spans="1:44" ht="20.100000000000001" customHeight="1">
      <c r="Y74" s="54"/>
      <c r="Z74" s="33" t="s">
        <v>649</v>
      </c>
      <c r="AA74" s="33">
        <v>20</v>
      </c>
      <c r="AB74" s="33">
        <v>3</v>
      </c>
      <c r="AC74" s="33">
        <v>3</v>
      </c>
      <c r="AD74" s="65">
        <f t="shared" si="41"/>
        <v>335</v>
      </c>
      <c r="AE74" s="33">
        <f t="shared" si="42"/>
        <v>838</v>
      </c>
      <c r="AF74" s="33">
        <f t="shared" si="43"/>
        <v>1006</v>
      </c>
      <c r="AG74" s="65">
        <f t="shared" si="44"/>
        <v>1006</v>
      </c>
      <c r="AH74" s="65">
        <f t="shared" si="45"/>
        <v>20120</v>
      </c>
      <c r="AI74" s="26">
        <f t="shared" si="46"/>
        <v>8000</v>
      </c>
    </row>
    <row r="75" spans="1:44" ht="20.100000000000001" customHeight="1">
      <c r="Y75" s="54"/>
      <c r="Z75" s="33" t="s">
        <v>650</v>
      </c>
      <c r="AA75" s="33">
        <v>20</v>
      </c>
      <c r="AB75" s="33">
        <v>3</v>
      </c>
      <c r="AC75" s="33">
        <v>5</v>
      </c>
      <c r="AD75" s="65">
        <f t="shared" si="41"/>
        <v>335</v>
      </c>
      <c r="AE75" s="33">
        <f t="shared" si="42"/>
        <v>838</v>
      </c>
      <c r="AF75" s="33">
        <f t="shared" si="43"/>
        <v>1592</v>
      </c>
      <c r="AG75" s="65">
        <f t="shared" si="44"/>
        <v>1592</v>
      </c>
      <c r="AH75" s="65">
        <f t="shared" si="45"/>
        <v>31840</v>
      </c>
      <c r="AI75" s="26">
        <f t="shared" si="46"/>
        <v>8000</v>
      </c>
    </row>
    <row r="76" spans="1:44" ht="20.100000000000001" customHeight="1">
      <c r="Y76" s="54"/>
      <c r="Z76" s="33" t="s">
        <v>651</v>
      </c>
      <c r="AA76" s="33">
        <v>20</v>
      </c>
      <c r="AB76" s="33">
        <v>3</v>
      </c>
      <c r="AC76" s="33">
        <v>5</v>
      </c>
      <c r="AD76" s="65">
        <f t="shared" si="41"/>
        <v>335</v>
      </c>
      <c r="AE76" s="33">
        <f t="shared" si="42"/>
        <v>838</v>
      </c>
      <c r="AF76" s="33">
        <f t="shared" si="43"/>
        <v>1592</v>
      </c>
      <c r="AG76" s="65">
        <f t="shared" si="44"/>
        <v>1592</v>
      </c>
      <c r="AH76" s="65">
        <f t="shared" si="45"/>
        <v>31840</v>
      </c>
      <c r="AI76" s="26">
        <f t="shared" si="46"/>
        <v>8000</v>
      </c>
    </row>
    <row r="77" spans="1:44" ht="20.100000000000001" customHeight="1">
      <c r="Y77" s="54"/>
      <c r="Z77" s="33" t="s">
        <v>652</v>
      </c>
      <c r="AA77" s="33">
        <v>20</v>
      </c>
      <c r="AB77" s="33">
        <v>3</v>
      </c>
      <c r="AC77" s="33">
        <v>5</v>
      </c>
      <c r="AD77" s="65">
        <f t="shared" si="41"/>
        <v>335</v>
      </c>
      <c r="AE77" s="33">
        <f t="shared" si="42"/>
        <v>838</v>
      </c>
      <c r="AF77" s="33">
        <f t="shared" si="43"/>
        <v>1592</v>
      </c>
      <c r="AG77" s="65">
        <f t="shared" si="44"/>
        <v>1592</v>
      </c>
      <c r="AH77" s="65">
        <f t="shared" si="45"/>
        <v>31840</v>
      </c>
      <c r="AI77" s="26">
        <f t="shared" si="46"/>
        <v>8000</v>
      </c>
    </row>
    <row r="78" spans="1:44" ht="20.100000000000001" customHeight="1">
      <c r="Y78" s="54"/>
      <c r="Z78" s="33" t="s">
        <v>653</v>
      </c>
      <c r="AA78" s="33">
        <v>20</v>
      </c>
      <c r="AB78" s="33">
        <v>3</v>
      </c>
      <c r="AC78" s="33">
        <v>5</v>
      </c>
      <c r="AD78" s="65">
        <f t="shared" si="41"/>
        <v>335</v>
      </c>
      <c r="AE78" s="33">
        <f t="shared" si="42"/>
        <v>838</v>
      </c>
      <c r="AF78" s="33">
        <f t="shared" si="43"/>
        <v>1592</v>
      </c>
      <c r="AG78" s="65">
        <f t="shared" si="44"/>
        <v>1592</v>
      </c>
      <c r="AH78" s="65">
        <f t="shared" si="45"/>
        <v>31840</v>
      </c>
      <c r="AI78" s="26">
        <f t="shared" si="46"/>
        <v>8000</v>
      </c>
    </row>
    <row r="79" spans="1:44" ht="20.100000000000001" customHeight="1">
      <c r="Y79" s="54"/>
      <c r="Z79" s="33" t="s">
        <v>654</v>
      </c>
      <c r="AA79" s="33">
        <v>20</v>
      </c>
      <c r="AB79" s="33">
        <v>3</v>
      </c>
      <c r="AC79" s="33">
        <v>5</v>
      </c>
      <c r="AD79" s="65">
        <f t="shared" si="41"/>
        <v>335</v>
      </c>
      <c r="AE79" s="33">
        <f t="shared" si="42"/>
        <v>838</v>
      </c>
      <c r="AF79" s="33">
        <f t="shared" si="43"/>
        <v>1592</v>
      </c>
      <c r="AG79" s="65">
        <f t="shared" si="44"/>
        <v>1592</v>
      </c>
      <c r="AH79" s="65">
        <f t="shared" si="45"/>
        <v>31840</v>
      </c>
      <c r="AI79" s="26">
        <f t="shared" si="46"/>
        <v>8000</v>
      </c>
    </row>
    <row r="80" spans="1:44" ht="20.100000000000001" customHeight="1">
      <c r="Y80" s="54"/>
      <c r="Z80" s="33" t="s">
        <v>655</v>
      </c>
      <c r="AA80" s="33">
        <v>20</v>
      </c>
      <c r="AB80" s="33">
        <v>4</v>
      </c>
      <c r="AC80" s="33">
        <v>1</v>
      </c>
      <c r="AD80" s="65">
        <f t="shared" si="41"/>
        <v>335</v>
      </c>
      <c r="AE80" s="33">
        <f t="shared" si="42"/>
        <v>1675</v>
      </c>
      <c r="AF80" s="33">
        <f t="shared" si="43"/>
        <v>5025</v>
      </c>
      <c r="AG80" s="65">
        <f t="shared" si="44"/>
        <v>5025</v>
      </c>
      <c r="AH80" s="65">
        <f t="shared" si="45"/>
        <v>100500</v>
      </c>
      <c r="AI80" s="26">
        <f t="shared" si="46"/>
        <v>8000</v>
      </c>
    </row>
    <row r="81" spans="25:35" ht="20.100000000000001" customHeight="1">
      <c r="Y81" s="54"/>
      <c r="Z81" s="33" t="s">
        <v>656</v>
      </c>
      <c r="AA81" s="33">
        <v>20</v>
      </c>
      <c r="AB81" s="33">
        <v>4</v>
      </c>
      <c r="AC81" s="33">
        <v>2</v>
      </c>
      <c r="AD81" s="65">
        <f t="shared" si="41"/>
        <v>335</v>
      </c>
      <c r="AE81" s="33">
        <f t="shared" si="42"/>
        <v>1675</v>
      </c>
      <c r="AF81" s="33">
        <f t="shared" si="43"/>
        <v>2513</v>
      </c>
      <c r="AG81" s="65">
        <f t="shared" si="44"/>
        <v>2513</v>
      </c>
      <c r="AH81" s="65">
        <f t="shared" si="45"/>
        <v>50260</v>
      </c>
      <c r="AI81" s="26">
        <f t="shared" si="46"/>
        <v>8000</v>
      </c>
    </row>
    <row r="82" spans="25:35" ht="20.100000000000001" customHeight="1">
      <c r="Y82" s="54"/>
      <c r="Z82" s="33" t="s">
        <v>544</v>
      </c>
      <c r="AA82" s="33">
        <v>30</v>
      </c>
      <c r="AB82" s="33">
        <v>3</v>
      </c>
      <c r="AC82" s="33">
        <v>10</v>
      </c>
      <c r="AD82" s="65">
        <f t="shared" si="41"/>
        <v>485</v>
      </c>
      <c r="AE82" s="33">
        <f t="shared" si="42"/>
        <v>1213</v>
      </c>
      <c r="AF82" s="33">
        <f t="shared" si="43"/>
        <v>667</v>
      </c>
      <c r="AG82" s="65">
        <f t="shared" si="44"/>
        <v>667</v>
      </c>
      <c r="AH82" s="65">
        <f t="shared" si="45"/>
        <v>13340</v>
      </c>
      <c r="AI82" s="26">
        <f t="shared" si="46"/>
        <v>12000</v>
      </c>
    </row>
    <row r="83" spans="25:35" ht="20.100000000000001" customHeight="1">
      <c r="Y83" s="54"/>
      <c r="Z83" s="33" t="s">
        <v>545</v>
      </c>
      <c r="AA83" s="33">
        <v>30</v>
      </c>
      <c r="AB83" s="33">
        <v>2</v>
      </c>
      <c r="AC83" s="33">
        <v>10</v>
      </c>
      <c r="AD83" s="65">
        <f t="shared" si="41"/>
        <v>485</v>
      </c>
      <c r="AE83" s="33">
        <f t="shared" si="42"/>
        <v>485</v>
      </c>
      <c r="AF83" s="33">
        <f t="shared" si="43"/>
        <v>267</v>
      </c>
      <c r="AG83" s="65">
        <f t="shared" si="44"/>
        <v>267</v>
      </c>
      <c r="AH83" s="65">
        <f t="shared" si="45"/>
        <v>5340</v>
      </c>
      <c r="AI83" s="26">
        <f t="shared" si="46"/>
        <v>12000</v>
      </c>
    </row>
    <row r="84" spans="25:35" ht="20.100000000000001" customHeight="1">
      <c r="Y84" s="54"/>
      <c r="Z84" s="33" t="s">
        <v>546</v>
      </c>
      <c r="AA84" s="33">
        <v>30</v>
      </c>
      <c r="AB84" s="33">
        <v>3</v>
      </c>
      <c r="AC84" s="33">
        <v>9</v>
      </c>
      <c r="AD84" s="65">
        <f t="shared" si="41"/>
        <v>485</v>
      </c>
      <c r="AE84" s="33">
        <f t="shared" si="42"/>
        <v>1213</v>
      </c>
      <c r="AF84" s="33">
        <f t="shared" si="43"/>
        <v>607</v>
      </c>
      <c r="AG84" s="65">
        <f t="shared" si="44"/>
        <v>607</v>
      </c>
      <c r="AH84" s="65">
        <f t="shared" si="45"/>
        <v>12140</v>
      </c>
      <c r="AI84" s="26">
        <f t="shared" si="46"/>
        <v>12000</v>
      </c>
    </row>
    <row r="85" spans="25:35" ht="20.100000000000001" customHeight="1">
      <c r="Y85" s="54"/>
      <c r="Z85" s="33" t="s">
        <v>547</v>
      </c>
      <c r="AA85" s="33">
        <v>30</v>
      </c>
      <c r="AB85" s="33">
        <v>2</v>
      </c>
      <c r="AC85" s="33">
        <v>9</v>
      </c>
      <c r="AD85" s="65">
        <f t="shared" si="41"/>
        <v>485</v>
      </c>
      <c r="AE85" s="33">
        <f t="shared" si="42"/>
        <v>485</v>
      </c>
      <c r="AF85" s="33">
        <f t="shared" si="43"/>
        <v>243</v>
      </c>
      <c r="AG85" s="65">
        <f t="shared" si="44"/>
        <v>243</v>
      </c>
      <c r="AH85" s="65">
        <f t="shared" si="45"/>
        <v>4860</v>
      </c>
      <c r="AI85" s="26">
        <f t="shared" si="46"/>
        <v>12000</v>
      </c>
    </row>
    <row r="86" spans="25:35" ht="20.100000000000001" customHeight="1">
      <c r="Y86" s="54"/>
      <c r="Z86" s="33" t="s">
        <v>548</v>
      </c>
      <c r="AA86" s="33">
        <v>30</v>
      </c>
      <c r="AB86" s="33">
        <v>3</v>
      </c>
      <c r="AC86" s="33">
        <v>8</v>
      </c>
      <c r="AD86" s="65">
        <f t="shared" si="41"/>
        <v>485</v>
      </c>
      <c r="AE86" s="33">
        <f t="shared" si="42"/>
        <v>1213</v>
      </c>
      <c r="AF86" s="33">
        <f t="shared" si="43"/>
        <v>485</v>
      </c>
      <c r="AG86" s="65">
        <f t="shared" si="44"/>
        <v>485</v>
      </c>
      <c r="AH86" s="65">
        <f t="shared" si="45"/>
        <v>9700</v>
      </c>
      <c r="AI86" s="26">
        <f t="shared" si="46"/>
        <v>12000</v>
      </c>
    </row>
    <row r="87" spans="25:35" ht="20.100000000000001" customHeight="1">
      <c r="Y87" s="54"/>
      <c r="Z87" s="33" t="s">
        <v>549</v>
      </c>
      <c r="AA87" s="33">
        <v>30</v>
      </c>
      <c r="AB87" s="33">
        <v>2</v>
      </c>
      <c r="AC87" s="33">
        <v>8</v>
      </c>
      <c r="AD87" s="65">
        <f t="shared" si="41"/>
        <v>485</v>
      </c>
      <c r="AE87" s="33">
        <f t="shared" si="42"/>
        <v>485</v>
      </c>
      <c r="AF87" s="33">
        <f t="shared" si="43"/>
        <v>194</v>
      </c>
      <c r="AG87" s="65">
        <f t="shared" si="44"/>
        <v>194</v>
      </c>
      <c r="AH87" s="65">
        <f t="shared" si="45"/>
        <v>3880</v>
      </c>
      <c r="AI87" s="26">
        <f t="shared" si="46"/>
        <v>12000</v>
      </c>
    </row>
    <row r="88" spans="25:35" ht="20.100000000000001" customHeight="1">
      <c r="Y88" s="54"/>
      <c r="Z88" s="33" t="s">
        <v>550</v>
      </c>
      <c r="AA88" s="33">
        <v>30</v>
      </c>
      <c r="AB88" s="33">
        <v>3</v>
      </c>
      <c r="AC88" s="33">
        <v>6</v>
      </c>
      <c r="AD88" s="65">
        <f t="shared" si="41"/>
        <v>485</v>
      </c>
      <c r="AE88" s="33">
        <f t="shared" si="42"/>
        <v>1213</v>
      </c>
      <c r="AF88" s="33">
        <f t="shared" si="43"/>
        <v>485</v>
      </c>
      <c r="AG88" s="65">
        <f t="shared" si="44"/>
        <v>485</v>
      </c>
      <c r="AH88" s="65">
        <f t="shared" si="45"/>
        <v>9700</v>
      </c>
      <c r="AI88" s="26">
        <f t="shared" si="46"/>
        <v>12000</v>
      </c>
    </row>
    <row r="89" spans="25:35" ht="20.100000000000001" customHeight="1">
      <c r="Y89" s="54"/>
      <c r="Z89" s="33" t="s">
        <v>551</v>
      </c>
      <c r="AA89" s="33">
        <v>30</v>
      </c>
      <c r="AB89" s="33">
        <v>2</v>
      </c>
      <c r="AC89" s="33">
        <v>6</v>
      </c>
      <c r="AD89" s="65">
        <f t="shared" si="41"/>
        <v>485</v>
      </c>
      <c r="AE89" s="33">
        <f t="shared" si="42"/>
        <v>485</v>
      </c>
      <c r="AF89" s="33">
        <f t="shared" si="43"/>
        <v>194</v>
      </c>
      <c r="AG89" s="65">
        <f t="shared" si="44"/>
        <v>194</v>
      </c>
      <c r="AH89" s="65">
        <f t="shared" si="45"/>
        <v>3880</v>
      </c>
      <c r="AI89" s="26">
        <f t="shared" si="46"/>
        <v>12000</v>
      </c>
    </row>
    <row r="90" spans="25:35" ht="20.100000000000001" customHeight="1">
      <c r="Y90" s="54"/>
      <c r="Z90" s="33" t="s">
        <v>552</v>
      </c>
      <c r="AA90" s="33">
        <v>30</v>
      </c>
      <c r="AB90" s="33">
        <v>3</v>
      </c>
      <c r="AC90" s="33">
        <v>7</v>
      </c>
      <c r="AD90" s="65">
        <f t="shared" si="41"/>
        <v>485</v>
      </c>
      <c r="AE90" s="33">
        <f t="shared" si="42"/>
        <v>1213</v>
      </c>
      <c r="AF90" s="33">
        <f t="shared" si="43"/>
        <v>728</v>
      </c>
      <c r="AG90" s="65">
        <f t="shared" si="44"/>
        <v>728</v>
      </c>
      <c r="AH90" s="65">
        <f t="shared" si="45"/>
        <v>14560</v>
      </c>
      <c r="AI90" s="26">
        <f t="shared" si="46"/>
        <v>12000</v>
      </c>
    </row>
    <row r="91" spans="25:35" ht="20.100000000000001" customHeight="1">
      <c r="Y91" s="54"/>
      <c r="Z91" s="33" t="s">
        <v>553</v>
      </c>
      <c r="AA91" s="33">
        <v>30</v>
      </c>
      <c r="AB91" s="33">
        <v>2</v>
      </c>
      <c r="AC91" s="33">
        <v>7</v>
      </c>
      <c r="AD91" s="65">
        <f t="shared" si="41"/>
        <v>485</v>
      </c>
      <c r="AE91" s="33">
        <f t="shared" si="42"/>
        <v>485</v>
      </c>
      <c r="AF91" s="33">
        <f t="shared" si="43"/>
        <v>291</v>
      </c>
      <c r="AG91" s="65">
        <f t="shared" si="44"/>
        <v>291</v>
      </c>
      <c r="AH91" s="65">
        <f t="shared" si="45"/>
        <v>5820</v>
      </c>
      <c r="AI91" s="26">
        <f t="shared" si="46"/>
        <v>12000</v>
      </c>
    </row>
    <row r="92" spans="25:35" ht="20.100000000000001" customHeight="1">
      <c r="Y92" s="54"/>
      <c r="Z92" s="33" t="s">
        <v>554</v>
      </c>
      <c r="AA92" s="33">
        <v>30</v>
      </c>
      <c r="AB92" s="33">
        <v>3</v>
      </c>
      <c r="AC92" s="33">
        <v>11</v>
      </c>
      <c r="AD92" s="65">
        <f t="shared" si="41"/>
        <v>485</v>
      </c>
      <c r="AE92" s="33">
        <f t="shared" si="42"/>
        <v>1213</v>
      </c>
      <c r="AF92" s="33">
        <f t="shared" si="43"/>
        <v>788</v>
      </c>
      <c r="AG92" s="65">
        <f t="shared" si="44"/>
        <v>788</v>
      </c>
      <c r="AH92" s="65">
        <f t="shared" si="45"/>
        <v>15760</v>
      </c>
      <c r="AI92" s="26">
        <f t="shared" si="46"/>
        <v>12000</v>
      </c>
    </row>
    <row r="93" spans="25:35" ht="20.100000000000001" customHeight="1">
      <c r="Y93" s="54"/>
      <c r="Z93" s="33" t="s">
        <v>555</v>
      </c>
      <c r="AA93" s="33">
        <v>30</v>
      </c>
      <c r="AB93" s="33">
        <v>2</v>
      </c>
      <c r="AC93" s="33">
        <v>11</v>
      </c>
      <c r="AD93" s="65">
        <f t="shared" si="41"/>
        <v>485</v>
      </c>
      <c r="AE93" s="33">
        <f t="shared" si="42"/>
        <v>485</v>
      </c>
      <c r="AF93" s="33">
        <f t="shared" si="43"/>
        <v>315</v>
      </c>
      <c r="AG93" s="65">
        <f t="shared" si="44"/>
        <v>315</v>
      </c>
      <c r="AH93" s="65">
        <f t="shared" si="45"/>
        <v>6300</v>
      </c>
      <c r="AI93" s="26">
        <f t="shared" si="46"/>
        <v>12000</v>
      </c>
    </row>
    <row r="94" spans="25:35" ht="20.100000000000001" customHeight="1">
      <c r="Y94" s="54"/>
      <c r="Z94" s="33" t="s">
        <v>556</v>
      </c>
      <c r="AA94" s="33">
        <v>30</v>
      </c>
      <c r="AB94" s="33">
        <v>3</v>
      </c>
      <c r="AC94" s="33">
        <v>4</v>
      </c>
      <c r="AD94" s="65">
        <f t="shared" si="41"/>
        <v>485</v>
      </c>
      <c r="AE94" s="33">
        <f t="shared" si="42"/>
        <v>1213</v>
      </c>
      <c r="AF94" s="33">
        <f t="shared" si="43"/>
        <v>970</v>
      </c>
      <c r="AG94" s="65">
        <f t="shared" si="44"/>
        <v>970</v>
      </c>
      <c r="AH94" s="65">
        <f t="shared" si="45"/>
        <v>19400</v>
      </c>
      <c r="AI94" s="26">
        <f t="shared" si="46"/>
        <v>12000</v>
      </c>
    </row>
    <row r="95" spans="25:35" ht="20.100000000000001" customHeight="1">
      <c r="Y95" s="54"/>
      <c r="Z95" s="33" t="s">
        <v>557</v>
      </c>
      <c r="AA95" s="33">
        <v>30</v>
      </c>
      <c r="AB95" s="33">
        <v>2</v>
      </c>
      <c r="AC95" s="33">
        <v>4</v>
      </c>
      <c r="AD95" s="65">
        <f t="shared" si="41"/>
        <v>485</v>
      </c>
      <c r="AE95" s="33">
        <f t="shared" si="42"/>
        <v>485</v>
      </c>
      <c r="AF95" s="33">
        <f t="shared" si="43"/>
        <v>388</v>
      </c>
      <c r="AG95" s="65">
        <f t="shared" si="44"/>
        <v>388</v>
      </c>
      <c r="AH95" s="65">
        <f t="shared" si="45"/>
        <v>7760</v>
      </c>
      <c r="AI95" s="26">
        <f t="shared" si="46"/>
        <v>12000</v>
      </c>
    </row>
    <row r="96" spans="25:35" ht="20.100000000000001" customHeight="1">
      <c r="Y96" s="54"/>
      <c r="Z96" s="33" t="s">
        <v>657</v>
      </c>
      <c r="AA96" s="33">
        <v>30</v>
      </c>
      <c r="AB96" s="33">
        <v>3</v>
      </c>
      <c r="AC96" s="33">
        <v>5</v>
      </c>
      <c r="AD96" s="65">
        <f t="shared" si="41"/>
        <v>485</v>
      </c>
      <c r="AE96" s="33">
        <f t="shared" si="42"/>
        <v>1213</v>
      </c>
      <c r="AF96" s="33">
        <f t="shared" si="43"/>
        <v>2305</v>
      </c>
      <c r="AG96" s="65">
        <f t="shared" si="44"/>
        <v>2305</v>
      </c>
      <c r="AH96" s="65">
        <f t="shared" si="45"/>
        <v>46100</v>
      </c>
      <c r="AI96" s="26">
        <f t="shared" si="46"/>
        <v>12000</v>
      </c>
    </row>
    <row r="97" spans="25:35" ht="20.100000000000001" customHeight="1">
      <c r="Y97" s="54"/>
      <c r="Z97" s="33" t="s">
        <v>559</v>
      </c>
      <c r="AA97" s="33">
        <v>30</v>
      </c>
      <c r="AB97" s="33">
        <v>3</v>
      </c>
      <c r="AC97" s="33">
        <v>3</v>
      </c>
      <c r="AD97" s="65">
        <f t="shared" si="41"/>
        <v>485</v>
      </c>
      <c r="AE97" s="33">
        <f t="shared" si="42"/>
        <v>1213</v>
      </c>
      <c r="AF97" s="33">
        <f t="shared" si="43"/>
        <v>1456</v>
      </c>
      <c r="AG97" s="65">
        <f t="shared" si="44"/>
        <v>1456</v>
      </c>
      <c r="AH97" s="65">
        <f t="shared" si="45"/>
        <v>29120</v>
      </c>
      <c r="AI97" s="26">
        <f t="shared" si="46"/>
        <v>12000</v>
      </c>
    </row>
    <row r="98" spans="25:35" ht="20.100000000000001" customHeight="1">
      <c r="Y98" s="54"/>
      <c r="Z98" s="33" t="s">
        <v>658</v>
      </c>
      <c r="AA98" s="33">
        <v>30</v>
      </c>
      <c r="AB98" s="33">
        <v>2</v>
      </c>
      <c r="AC98" s="33">
        <v>3</v>
      </c>
      <c r="AD98" s="65">
        <f t="shared" si="41"/>
        <v>485</v>
      </c>
      <c r="AE98" s="33">
        <f t="shared" si="42"/>
        <v>485</v>
      </c>
      <c r="AF98" s="33">
        <f t="shared" si="43"/>
        <v>582</v>
      </c>
      <c r="AG98" s="65">
        <f t="shared" si="44"/>
        <v>582</v>
      </c>
      <c r="AH98" s="65">
        <f t="shared" si="45"/>
        <v>11640</v>
      </c>
      <c r="AI98" s="26">
        <f t="shared" si="46"/>
        <v>12000</v>
      </c>
    </row>
    <row r="99" spans="25:35" ht="20.100000000000001" customHeight="1">
      <c r="Y99" s="54"/>
      <c r="Z99" s="33" t="s">
        <v>561</v>
      </c>
      <c r="AA99" s="33">
        <v>30</v>
      </c>
      <c r="AB99" s="33">
        <v>3</v>
      </c>
      <c r="AC99" s="33">
        <v>1</v>
      </c>
      <c r="AD99" s="65">
        <f t="shared" si="41"/>
        <v>485</v>
      </c>
      <c r="AE99" s="33">
        <f t="shared" si="42"/>
        <v>1213</v>
      </c>
      <c r="AF99" s="33">
        <f t="shared" si="43"/>
        <v>3639</v>
      </c>
      <c r="AG99" s="65">
        <f t="shared" si="44"/>
        <v>3639</v>
      </c>
      <c r="AH99" s="65">
        <f t="shared" si="45"/>
        <v>72780</v>
      </c>
      <c r="AI99" s="26">
        <f t="shared" si="46"/>
        <v>12000</v>
      </c>
    </row>
    <row r="100" spans="25:35" ht="20.100000000000001" customHeight="1">
      <c r="Y100" s="54"/>
      <c r="Z100" s="33" t="s">
        <v>562</v>
      </c>
      <c r="AA100" s="33">
        <v>30</v>
      </c>
      <c r="AB100" s="33">
        <v>3</v>
      </c>
      <c r="AC100" s="33">
        <v>1</v>
      </c>
      <c r="AD100" s="65">
        <f t="shared" si="41"/>
        <v>485</v>
      </c>
      <c r="AE100" s="33">
        <f t="shared" si="42"/>
        <v>1213</v>
      </c>
      <c r="AF100" s="33">
        <f t="shared" si="43"/>
        <v>3639</v>
      </c>
      <c r="AG100" s="65">
        <f t="shared" si="44"/>
        <v>3639</v>
      </c>
      <c r="AH100" s="65">
        <f t="shared" si="45"/>
        <v>72780</v>
      </c>
      <c r="AI100" s="26">
        <f t="shared" si="46"/>
        <v>12000</v>
      </c>
    </row>
    <row r="101" spans="25:35" ht="20.100000000000001" customHeight="1">
      <c r="Y101" s="54"/>
      <c r="Z101" s="33" t="s">
        <v>563</v>
      </c>
      <c r="AA101" s="33">
        <v>30</v>
      </c>
      <c r="AB101" s="33">
        <v>3</v>
      </c>
      <c r="AC101" s="33">
        <v>2</v>
      </c>
      <c r="AD101" s="65">
        <f t="shared" si="41"/>
        <v>485</v>
      </c>
      <c r="AE101" s="33">
        <f t="shared" si="42"/>
        <v>1213</v>
      </c>
      <c r="AF101" s="33">
        <f t="shared" si="43"/>
        <v>1820</v>
      </c>
      <c r="AG101" s="65">
        <f t="shared" si="44"/>
        <v>1820</v>
      </c>
      <c r="AH101" s="65">
        <f t="shared" si="45"/>
        <v>36400</v>
      </c>
      <c r="AI101" s="26">
        <f t="shared" si="46"/>
        <v>12000</v>
      </c>
    </row>
    <row r="102" spans="25:35" ht="20.100000000000001" customHeight="1">
      <c r="Y102" s="54"/>
      <c r="Z102" s="33" t="s">
        <v>564</v>
      </c>
      <c r="AA102" s="33">
        <v>30</v>
      </c>
      <c r="AB102" s="33">
        <v>2</v>
      </c>
      <c r="AC102" s="33">
        <v>2</v>
      </c>
      <c r="AD102" s="65">
        <f t="shared" si="41"/>
        <v>485</v>
      </c>
      <c r="AE102" s="33">
        <f t="shared" si="42"/>
        <v>485</v>
      </c>
      <c r="AF102" s="33">
        <f t="shared" si="43"/>
        <v>728</v>
      </c>
      <c r="AG102" s="65">
        <f t="shared" si="44"/>
        <v>728</v>
      </c>
      <c r="AH102" s="65">
        <f t="shared" si="45"/>
        <v>14560</v>
      </c>
      <c r="AI102" s="26">
        <f t="shared" si="46"/>
        <v>12000</v>
      </c>
    </row>
    <row r="103" spans="25:35" ht="20.100000000000001" customHeight="1">
      <c r="Y103" s="54"/>
      <c r="Z103" s="33" t="s">
        <v>659</v>
      </c>
      <c r="AA103" s="33">
        <v>30</v>
      </c>
      <c r="AB103" s="33">
        <v>3</v>
      </c>
      <c r="AC103" s="33">
        <v>8</v>
      </c>
      <c r="AD103" s="65">
        <f t="shared" si="41"/>
        <v>485</v>
      </c>
      <c r="AE103" s="33">
        <f t="shared" si="42"/>
        <v>1213</v>
      </c>
      <c r="AF103" s="33">
        <f t="shared" si="43"/>
        <v>485</v>
      </c>
      <c r="AG103" s="65">
        <f t="shared" si="44"/>
        <v>485</v>
      </c>
      <c r="AH103" s="65">
        <f t="shared" si="45"/>
        <v>9700</v>
      </c>
      <c r="AI103" s="26">
        <f t="shared" si="46"/>
        <v>12000</v>
      </c>
    </row>
    <row r="104" spans="25:35" ht="20.100000000000001" customHeight="1">
      <c r="Y104" s="54"/>
      <c r="Z104" s="33" t="s">
        <v>660</v>
      </c>
      <c r="AA104" s="33">
        <v>30</v>
      </c>
      <c r="AB104" s="33">
        <v>3</v>
      </c>
      <c r="AC104" s="33">
        <v>6</v>
      </c>
      <c r="AD104" s="65">
        <f t="shared" si="41"/>
        <v>485</v>
      </c>
      <c r="AE104" s="33">
        <f t="shared" si="42"/>
        <v>1213</v>
      </c>
      <c r="AF104" s="33">
        <f t="shared" si="43"/>
        <v>485</v>
      </c>
      <c r="AG104" s="65">
        <f t="shared" si="44"/>
        <v>485</v>
      </c>
      <c r="AH104" s="65">
        <f t="shared" si="45"/>
        <v>9700</v>
      </c>
      <c r="AI104" s="26">
        <f t="shared" si="46"/>
        <v>12000</v>
      </c>
    </row>
    <row r="105" spans="25:35" ht="20.100000000000001" customHeight="1">
      <c r="Y105" s="54"/>
      <c r="Z105" s="33" t="s">
        <v>661</v>
      </c>
      <c r="AA105" s="33">
        <v>30</v>
      </c>
      <c r="AB105" s="33">
        <v>3</v>
      </c>
      <c r="AC105" s="33">
        <v>2</v>
      </c>
      <c r="AD105" s="65">
        <f t="shared" si="41"/>
        <v>485</v>
      </c>
      <c r="AE105" s="33">
        <f t="shared" si="42"/>
        <v>1213</v>
      </c>
      <c r="AF105" s="33">
        <f t="shared" si="43"/>
        <v>1820</v>
      </c>
      <c r="AG105" s="65">
        <f t="shared" si="44"/>
        <v>1820</v>
      </c>
      <c r="AH105" s="65">
        <f t="shared" si="45"/>
        <v>36400</v>
      </c>
      <c r="AI105" s="26">
        <f t="shared" si="46"/>
        <v>12000</v>
      </c>
    </row>
    <row r="106" spans="25:35" ht="20.100000000000001" customHeight="1">
      <c r="Y106" s="54"/>
      <c r="Z106" s="33" t="s">
        <v>662</v>
      </c>
      <c r="AA106" s="33">
        <v>30</v>
      </c>
      <c r="AB106" s="33">
        <v>3</v>
      </c>
      <c r="AC106" s="33">
        <v>10</v>
      </c>
      <c r="AD106" s="65">
        <f t="shared" si="41"/>
        <v>485</v>
      </c>
      <c r="AE106" s="33">
        <f t="shared" si="42"/>
        <v>1213</v>
      </c>
      <c r="AF106" s="33">
        <f t="shared" si="43"/>
        <v>667</v>
      </c>
      <c r="AG106" s="65">
        <f t="shared" si="44"/>
        <v>667</v>
      </c>
      <c r="AH106" s="65">
        <f t="shared" si="45"/>
        <v>13340</v>
      </c>
      <c r="AI106" s="26">
        <f t="shared" si="46"/>
        <v>12000</v>
      </c>
    </row>
    <row r="107" spans="25:35" ht="20.100000000000001" customHeight="1">
      <c r="Y107" s="54"/>
      <c r="Z107" s="33" t="s">
        <v>663</v>
      </c>
      <c r="AA107" s="33">
        <v>30</v>
      </c>
      <c r="AB107" s="33">
        <v>3</v>
      </c>
      <c r="AC107" s="33">
        <v>7</v>
      </c>
      <c r="AD107" s="65">
        <f t="shared" si="41"/>
        <v>485</v>
      </c>
      <c r="AE107" s="33">
        <f t="shared" si="42"/>
        <v>1213</v>
      </c>
      <c r="AF107" s="33">
        <f t="shared" si="43"/>
        <v>728</v>
      </c>
      <c r="AG107" s="65">
        <f t="shared" si="44"/>
        <v>728</v>
      </c>
      <c r="AH107" s="65">
        <f t="shared" si="45"/>
        <v>14560</v>
      </c>
      <c r="AI107" s="26">
        <f t="shared" si="46"/>
        <v>12000</v>
      </c>
    </row>
    <row r="108" spans="25:35" ht="20.100000000000001" customHeight="1">
      <c r="Y108" s="54"/>
      <c r="Z108" s="33" t="s">
        <v>664</v>
      </c>
      <c r="AA108" s="33">
        <v>30</v>
      </c>
      <c r="AB108" s="33">
        <v>3</v>
      </c>
      <c r="AC108" s="33">
        <v>1</v>
      </c>
      <c r="AD108" s="65">
        <f t="shared" si="41"/>
        <v>485</v>
      </c>
      <c r="AE108" s="33">
        <f t="shared" si="42"/>
        <v>1213</v>
      </c>
      <c r="AF108" s="33">
        <f t="shared" si="43"/>
        <v>3639</v>
      </c>
      <c r="AG108" s="65">
        <f t="shared" si="44"/>
        <v>3639</v>
      </c>
      <c r="AH108" s="65">
        <f t="shared" si="45"/>
        <v>72780</v>
      </c>
      <c r="AI108" s="26">
        <f t="shared" si="46"/>
        <v>12000</v>
      </c>
    </row>
    <row r="109" spans="25:35" ht="20.100000000000001" customHeight="1">
      <c r="Y109" s="54"/>
      <c r="Z109" s="33" t="s">
        <v>665</v>
      </c>
      <c r="AA109" s="33">
        <v>30</v>
      </c>
      <c r="AB109" s="33">
        <v>3</v>
      </c>
      <c r="AC109" s="33">
        <v>3</v>
      </c>
      <c r="AD109" s="65">
        <f t="shared" si="41"/>
        <v>485</v>
      </c>
      <c r="AE109" s="33">
        <f t="shared" si="42"/>
        <v>1213</v>
      </c>
      <c r="AF109" s="33">
        <f t="shared" si="43"/>
        <v>1456</v>
      </c>
      <c r="AG109" s="65">
        <f t="shared" si="44"/>
        <v>1456</v>
      </c>
      <c r="AH109" s="65">
        <f t="shared" si="45"/>
        <v>29120</v>
      </c>
      <c r="AI109" s="26">
        <f t="shared" si="46"/>
        <v>12000</v>
      </c>
    </row>
    <row r="110" spans="25:35" ht="20.100000000000001" customHeight="1">
      <c r="Y110" s="54"/>
      <c r="Z110" s="33" t="s">
        <v>666</v>
      </c>
      <c r="AA110" s="33">
        <v>30</v>
      </c>
      <c r="AB110" s="33">
        <v>3</v>
      </c>
      <c r="AC110" s="33">
        <v>5</v>
      </c>
      <c r="AD110" s="65">
        <f t="shared" si="41"/>
        <v>485</v>
      </c>
      <c r="AE110" s="33">
        <f t="shared" si="42"/>
        <v>1213</v>
      </c>
      <c r="AF110" s="33">
        <f t="shared" si="43"/>
        <v>2305</v>
      </c>
      <c r="AG110" s="65">
        <f t="shared" si="44"/>
        <v>2305</v>
      </c>
      <c r="AH110" s="65">
        <f t="shared" si="45"/>
        <v>46100</v>
      </c>
      <c r="AI110" s="26">
        <f t="shared" si="46"/>
        <v>12000</v>
      </c>
    </row>
    <row r="111" spans="25:35" ht="20.100000000000001" customHeight="1">
      <c r="Y111" s="54"/>
      <c r="Z111" s="33" t="s">
        <v>667</v>
      </c>
      <c r="AA111" s="33">
        <v>30</v>
      </c>
      <c r="AB111" s="33">
        <v>3</v>
      </c>
      <c r="AC111" s="33">
        <v>5</v>
      </c>
      <c r="AD111" s="65">
        <f t="shared" si="41"/>
        <v>485</v>
      </c>
      <c r="AE111" s="33">
        <f t="shared" si="42"/>
        <v>1213</v>
      </c>
      <c r="AF111" s="33">
        <f t="shared" si="43"/>
        <v>2305</v>
      </c>
      <c r="AG111" s="65">
        <f t="shared" si="44"/>
        <v>2305</v>
      </c>
      <c r="AH111" s="65">
        <f t="shared" si="45"/>
        <v>46100</v>
      </c>
      <c r="AI111" s="26">
        <f t="shared" si="46"/>
        <v>12000</v>
      </c>
    </row>
    <row r="112" spans="25:35" ht="20.100000000000001" customHeight="1">
      <c r="Y112" s="54"/>
      <c r="Z112" s="33" t="s">
        <v>668</v>
      </c>
      <c r="AA112" s="33">
        <v>30</v>
      </c>
      <c r="AB112" s="33">
        <v>3</v>
      </c>
      <c r="AC112" s="33">
        <v>5</v>
      </c>
      <c r="AD112" s="65">
        <f t="shared" si="41"/>
        <v>485</v>
      </c>
      <c r="AE112" s="33">
        <f t="shared" si="42"/>
        <v>1213</v>
      </c>
      <c r="AF112" s="33">
        <f t="shared" si="43"/>
        <v>2305</v>
      </c>
      <c r="AG112" s="65">
        <f t="shared" si="44"/>
        <v>2305</v>
      </c>
      <c r="AH112" s="65">
        <f t="shared" si="45"/>
        <v>46100</v>
      </c>
      <c r="AI112" s="26">
        <f t="shared" si="46"/>
        <v>12000</v>
      </c>
    </row>
    <row r="113" spans="25:35" ht="20.100000000000001" customHeight="1">
      <c r="Y113" s="54"/>
      <c r="Z113" s="33" t="s">
        <v>669</v>
      </c>
      <c r="AA113" s="33">
        <v>30</v>
      </c>
      <c r="AB113" s="33">
        <v>3</v>
      </c>
      <c r="AC113" s="33">
        <v>5</v>
      </c>
      <c r="AD113" s="65">
        <f t="shared" si="41"/>
        <v>485</v>
      </c>
      <c r="AE113" s="33">
        <f t="shared" si="42"/>
        <v>1213</v>
      </c>
      <c r="AF113" s="33">
        <f t="shared" si="43"/>
        <v>2305</v>
      </c>
      <c r="AG113" s="65">
        <f t="shared" si="44"/>
        <v>2305</v>
      </c>
      <c r="AH113" s="65">
        <f t="shared" si="45"/>
        <v>46100</v>
      </c>
      <c r="AI113" s="26">
        <f t="shared" si="46"/>
        <v>12000</v>
      </c>
    </row>
    <row r="114" spans="25:35" ht="20.100000000000001" customHeight="1">
      <c r="Y114" s="54"/>
      <c r="Z114" s="33" t="s">
        <v>670</v>
      </c>
      <c r="AA114" s="33">
        <v>30</v>
      </c>
      <c r="AB114" s="33">
        <v>4</v>
      </c>
      <c r="AC114" s="33">
        <v>1</v>
      </c>
      <c r="AD114" s="65">
        <f t="shared" si="41"/>
        <v>485</v>
      </c>
      <c r="AE114" s="33">
        <f t="shared" si="42"/>
        <v>2425</v>
      </c>
      <c r="AF114" s="33">
        <f t="shared" si="43"/>
        <v>7275</v>
      </c>
      <c r="AG114" s="65">
        <f t="shared" si="44"/>
        <v>7275</v>
      </c>
      <c r="AH114" s="65">
        <f t="shared" si="45"/>
        <v>145500</v>
      </c>
      <c r="AI114" s="26">
        <f t="shared" si="46"/>
        <v>12000</v>
      </c>
    </row>
    <row r="115" spans="25:35" ht="20.100000000000001" customHeight="1">
      <c r="Y115" s="54"/>
      <c r="Z115" s="33" t="s">
        <v>671</v>
      </c>
      <c r="AA115" s="33">
        <v>30</v>
      </c>
      <c r="AB115" s="33">
        <v>4</v>
      </c>
      <c r="AC115" s="33">
        <v>11</v>
      </c>
      <c r="AD115" s="65">
        <f t="shared" si="41"/>
        <v>485</v>
      </c>
      <c r="AE115" s="33">
        <f t="shared" si="42"/>
        <v>2425</v>
      </c>
      <c r="AF115" s="33">
        <f t="shared" si="43"/>
        <v>1576</v>
      </c>
      <c r="AG115" s="65">
        <f t="shared" si="44"/>
        <v>1576</v>
      </c>
      <c r="AH115" s="65">
        <f t="shared" si="45"/>
        <v>31520</v>
      </c>
      <c r="AI115" s="26">
        <f t="shared" si="46"/>
        <v>12000</v>
      </c>
    </row>
    <row r="116" spans="25:35" ht="20.100000000000001" customHeight="1">
      <c r="Y116" s="54"/>
      <c r="Z116" s="33" t="s">
        <v>672</v>
      </c>
      <c r="AA116" s="33">
        <v>40</v>
      </c>
      <c r="AB116" s="33">
        <v>3</v>
      </c>
      <c r="AC116" s="33">
        <v>10</v>
      </c>
      <c r="AD116" s="65">
        <f t="shared" si="41"/>
        <v>635</v>
      </c>
      <c r="AE116" s="33">
        <f t="shared" si="42"/>
        <v>1588</v>
      </c>
      <c r="AF116" s="33">
        <f t="shared" si="43"/>
        <v>873</v>
      </c>
      <c r="AG116" s="65">
        <f t="shared" si="44"/>
        <v>873</v>
      </c>
      <c r="AH116" s="65">
        <f t="shared" si="45"/>
        <v>17460</v>
      </c>
      <c r="AI116" s="26">
        <f t="shared" si="46"/>
        <v>16000</v>
      </c>
    </row>
    <row r="117" spans="25:35" ht="20.100000000000001" customHeight="1">
      <c r="Y117" s="54"/>
      <c r="Z117" s="33" t="s">
        <v>673</v>
      </c>
      <c r="AA117" s="33">
        <v>40</v>
      </c>
      <c r="AB117" s="33">
        <v>2</v>
      </c>
      <c r="AC117" s="33">
        <v>10</v>
      </c>
      <c r="AD117" s="65">
        <f t="shared" si="41"/>
        <v>635</v>
      </c>
      <c r="AE117" s="33">
        <f t="shared" si="42"/>
        <v>635</v>
      </c>
      <c r="AF117" s="33">
        <f t="shared" si="43"/>
        <v>349</v>
      </c>
      <c r="AG117" s="65">
        <f t="shared" si="44"/>
        <v>349</v>
      </c>
      <c r="AH117" s="65">
        <f t="shared" si="45"/>
        <v>6980</v>
      </c>
      <c r="AI117" s="26">
        <f t="shared" si="46"/>
        <v>16000</v>
      </c>
    </row>
    <row r="118" spans="25:35" ht="20.100000000000001" customHeight="1">
      <c r="Y118" s="54"/>
      <c r="Z118" s="33" t="s">
        <v>674</v>
      </c>
      <c r="AA118" s="33">
        <v>40</v>
      </c>
      <c r="AB118" s="33">
        <v>3</v>
      </c>
      <c r="AC118" s="33">
        <v>9</v>
      </c>
      <c r="AD118" s="65">
        <f t="shared" si="41"/>
        <v>635</v>
      </c>
      <c r="AE118" s="33">
        <f t="shared" si="42"/>
        <v>1588</v>
      </c>
      <c r="AF118" s="33">
        <f t="shared" si="43"/>
        <v>794</v>
      </c>
      <c r="AG118" s="65">
        <f t="shared" si="44"/>
        <v>794</v>
      </c>
      <c r="AH118" s="65">
        <f t="shared" si="45"/>
        <v>15880</v>
      </c>
      <c r="AI118" s="26">
        <f t="shared" si="46"/>
        <v>16000</v>
      </c>
    </row>
    <row r="119" spans="25:35" ht="20.100000000000001" customHeight="1">
      <c r="Y119" s="54"/>
      <c r="Z119" s="33" t="s">
        <v>675</v>
      </c>
      <c r="AA119" s="33">
        <v>40</v>
      </c>
      <c r="AB119" s="33">
        <v>2</v>
      </c>
      <c r="AC119" s="33">
        <v>9</v>
      </c>
      <c r="AD119" s="65">
        <f t="shared" si="41"/>
        <v>635</v>
      </c>
      <c r="AE119" s="33">
        <f t="shared" si="42"/>
        <v>635</v>
      </c>
      <c r="AF119" s="33">
        <f t="shared" si="43"/>
        <v>318</v>
      </c>
      <c r="AG119" s="65">
        <f t="shared" si="44"/>
        <v>318</v>
      </c>
      <c r="AH119" s="65">
        <f t="shared" si="45"/>
        <v>6360</v>
      </c>
      <c r="AI119" s="26">
        <f t="shared" si="46"/>
        <v>16000</v>
      </c>
    </row>
    <row r="120" spans="25:35" ht="20.100000000000001" customHeight="1">
      <c r="Y120" s="54"/>
      <c r="Z120" s="33" t="s">
        <v>676</v>
      </c>
      <c r="AA120" s="33">
        <v>40</v>
      </c>
      <c r="AB120" s="33">
        <v>3</v>
      </c>
      <c r="AC120" s="33">
        <v>8</v>
      </c>
      <c r="AD120" s="65">
        <f t="shared" si="41"/>
        <v>635</v>
      </c>
      <c r="AE120" s="33">
        <f t="shared" si="42"/>
        <v>1588</v>
      </c>
      <c r="AF120" s="33">
        <f t="shared" si="43"/>
        <v>635</v>
      </c>
      <c r="AG120" s="65">
        <f t="shared" si="44"/>
        <v>635</v>
      </c>
      <c r="AH120" s="65">
        <f t="shared" si="45"/>
        <v>12700</v>
      </c>
      <c r="AI120" s="26">
        <f t="shared" si="46"/>
        <v>16000</v>
      </c>
    </row>
    <row r="121" spans="25:35" ht="20.100000000000001" customHeight="1">
      <c r="Y121" s="54"/>
      <c r="Z121" s="33" t="s">
        <v>677</v>
      </c>
      <c r="AA121" s="33">
        <v>40</v>
      </c>
      <c r="AB121" s="33">
        <v>2</v>
      </c>
      <c r="AC121" s="33">
        <v>8</v>
      </c>
      <c r="AD121" s="65">
        <f t="shared" si="41"/>
        <v>635</v>
      </c>
      <c r="AE121" s="33">
        <f t="shared" si="42"/>
        <v>635</v>
      </c>
      <c r="AF121" s="33">
        <f t="shared" si="43"/>
        <v>254</v>
      </c>
      <c r="AG121" s="65">
        <f t="shared" si="44"/>
        <v>254</v>
      </c>
      <c r="AH121" s="65">
        <f t="shared" si="45"/>
        <v>5080</v>
      </c>
      <c r="AI121" s="26">
        <f t="shared" si="46"/>
        <v>16000</v>
      </c>
    </row>
    <row r="122" spans="25:35" ht="20.100000000000001" customHeight="1">
      <c r="Y122" s="54"/>
      <c r="Z122" s="33" t="s">
        <v>678</v>
      </c>
      <c r="AA122" s="33">
        <v>40</v>
      </c>
      <c r="AB122" s="33">
        <v>3</v>
      </c>
      <c r="AC122" s="33">
        <v>6</v>
      </c>
      <c r="AD122" s="65">
        <f t="shared" si="41"/>
        <v>635</v>
      </c>
      <c r="AE122" s="33">
        <f t="shared" si="42"/>
        <v>1588</v>
      </c>
      <c r="AF122" s="33">
        <f t="shared" si="43"/>
        <v>635</v>
      </c>
      <c r="AG122" s="65">
        <f t="shared" si="44"/>
        <v>635</v>
      </c>
      <c r="AH122" s="65">
        <f t="shared" si="45"/>
        <v>12700</v>
      </c>
      <c r="AI122" s="26">
        <f t="shared" si="46"/>
        <v>16000</v>
      </c>
    </row>
    <row r="123" spans="25:35" ht="20.100000000000001" customHeight="1">
      <c r="Y123" s="54"/>
      <c r="Z123" s="33" t="s">
        <v>679</v>
      </c>
      <c r="AA123" s="33">
        <v>40</v>
      </c>
      <c r="AB123" s="33">
        <v>2</v>
      </c>
      <c r="AC123" s="33">
        <v>6</v>
      </c>
      <c r="AD123" s="65">
        <f t="shared" si="41"/>
        <v>635</v>
      </c>
      <c r="AE123" s="33">
        <f t="shared" si="42"/>
        <v>635</v>
      </c>
      <c r="AF123" s="33">
        <f t="shared" si="43"/>
        <v>254</v>
      </c>
      <c r="AG123" s="65">
        <f t="shared" si="44"/>
        <v>254</v>
      </c>
      <c r="AH123" s="65">
        <f t="shared" si="45"/>
        <v>5080</v>
      </c>
      <c r="AI123" s="26">
        <f t="shared" si="46"/>
        <v>16000</v>
      </c>
    </row>
    <row r="124" spans="25:35" ht="20.100000000000001" customHeight="1">
      <c r="Y124" s="54"/>
      <c r="Z124" s="33" t="s">
        <v>680</v>
      </c>
      <c r="AA124" s="33">
        <v>40</v>
      </c>
      <c r="AB124" s="33">
        <v>3</v>
      </c>
      <c r="AC124" s="33">
        <v>7</v>
      </c>
      <c r="AD124" s="65">
        <f t="shared" si="41"/>
        <v>635</v>
      </c>
      <c r="AE124" s="33">
        <f t="shared" si="42"/>
        <v>1588</v>
      </c>
      <c r="AF124" s="33">
        <f t="shared" si="43"/>
        <v>953</v>
      </c>
      <c r="AG124" s="65">
        <f t="shared" si="44"/>
        <v>953</v>
      </c>
      <c r="AH124" s="65">
        <f t="shared" si="45"/>
        <v>19060</v>
      </c>
      <c r="AI124" s="26">
        <f t="shared" si="46"/>
        <v>16000</v>
      </c>
    </row>
    <row r="125" spans="25:35" ht="20.100000000000001" customHeight="1">
      <c r="Y125" s="54"/>
      <c r="Z125" s="33" t="s">
        <v>681</v>
      </c>
      <c r="AA125" s="33">
        <v>40</v>
      </c>
      <c r="AB125" s="33">
        <v>2</v>
      </c>
      <c r="AC125" s="33">
        <v>7</v>
      </c>
      <c r="AD125" s="65">
        <f t="shared" si="41"/>
        <v>635</v>
      </c>
      <c r="AE125" s="33">
        <f t="shared" si="42"/>
        <v>635</v>
      </c>
      <c r="AF125" s="33">
        <f t="shared" si="43"/>
        <v>381</v>
      </c>
      <c r="AG125" s="65">
        <f t="shared" si="44"/>
        <v>381</v>
      </c>
      <c r="AH125" s="65">
        <f t="shared" si="45"/>
        <v>7620</v>
      </c>
      <c r="AI125" s="26">
        <f t="shared" si="46"/>
        <v>16000</v>
      </c>
    </row>
    <row r="126" spans="25:35" ht="20.100000000000001" customHeight="1">
      <c r="Y126" s="54"/>
      <c r="Z126" s="33" t="s">
        <v>682</v>
      </c>
      <c r="AA126" s="33">
        <v>40</v>
      </c>
      <c r="AB126" s="33">
        <v>3</v>
      </c>
      <c r="AC126" s="33">
        <v>11</v>
      </c>
      <c r="AD126" s="65">
        <f t="shared" si="41"/>
        <v>635</v>
      </c>
      <c r="AE126" s="33">
        <f t="shared" si="42"/>
        <v>1588</v>
      </c>
      <c r="AF126" s="33">
        <f t="shared" si="43"/>
        <v>1032</v>
      </c>
      <c r="AG126" s="65">
        <f t="shared" si="44"/>
        <v>1032</v>
      </c>
      <c r="AH126" s="65">
        <f t="shared" si="45"/>
        <v>20640</v>
      </c>
      <c r="AI126" s="26">
        <f t="shared" si="46"/>
        <v>16000</v>
      </c>
    </row>
    <row r="127" spans="25:35" ht="20.100000000000001" customHeight="1">
      <c r="Y127" s="54"/>
      <c r="Z127" s="33" t="s">
        <v>683</v>
      </c>
      <c r="AA127" s="33">
        <v>40</v>
      </c>
      <c r="AB127" s="33">
        <v>2</v>
      </c>
      <c r="AC127" s="33">
        <v>11</v>
      </c>
      <c r="AD127" s="65">
        <f t="shared" si="41"/>
        <v>635</v>
      </c>
      <c r="AE127" s="33">
        <f t="shared" si="42"/>
        <v>635</v>
      </c>
      <c r="AF127" s="33">
        <f t="shared" si="43"/>
        <v>413</v>
      </c>
      <c r="AG127" s="65">
        <f t="shared" si="44"/>
        <v>413</v>
      </c>
      <c r="AH127" s="65">
        <f t="shared" si="45"/>
        <v>8260</v>
      </c>
      <c r="AI127" s="26">
        <f t="shared" si="46"/>
        <v>16000</v>
      </c>
    </row>
    <row r="128" spans="25:35" ht="20.100000000000001" customHeight="1">
      <c r="Y128" s="54"/>
      <c r="Z128" s="33" t="s">
        <v>684</v>
      </c>
      <c r="AA128" s="33">
        <v>40</v>
      </c>
      <c r="AB128" s="33">
        <v>3</v>
      </c>
      <c r="AC128" s="33">
        <v>4</v>
      </c>
      <c r="AD128" s="65">
        <f t="shared" si="41"/>
        <v>635</v>
      </c>
      <c r="AE128" s="33">
        <f t="shared" si="42"/>
        <v>1588</v>
      </c>
      <c r="AF128" s="33">
        <f t="shared" si="43"/>
        <v>1270</v>
      </c>
      <c r="AG128" s="65">
        <f t="shared" si="44"/>
        <v>1270</v>
      </c>
      <c r="AH128" s="65">
        <f t="shared" si="45"/>
        <v>25400</v>
      </c>
      <c r="AI128" s="26">
        <f t="shared" si="46"/>
        <v>16000</v>
      </c>
    </row>
    <row r="129" spans="25:35" ht="20.100000000000001" customHeight="1">
      <c r="Y129" s="54"/>
      <c r="Z129" s="33" t="s">
        <v>685</v>
      </c>
      <c r="AA129" s="33">
        <v>40</v>
      </c>
      <c r="AB129" s="33">
        <v>2</v>
      </c>
      <c r="AC129" s="33">
        <v>4</v>
      </c>
      <c r="AD129" s="65">
        <f t="shared" si="41"/>
        <v>635</v>
      </c>
      <c r="AE129" s="33">
        <f t="shared" si="42"/>
        <v>635</v>
      </c>
      <c r="AF129" s="33">
        <f t="shared" si="43"/>
        <v>508</v>
      </c>
      <c r="AG129" s="65">
        <f t="shared" si="44"/>
        <v>508</v>
      </c>
      <c r="AH129" s="65">
        <f t="shared" si="45"/>
        <v>10160</v>
      </c>
      <c r="AI129" s="26">
        <f t="shared" si="46"/>
        <v>16000</v>
      </c>
    </row>
    <row r="130" spans="25:35" ht="20.100000000000001" customHeight="1">
      <c r="Y130" s="54"/>
      <c r="Z130" s="33" t="s">
        <v>686</v>
      </c>
      <c r="AA130" s="33">
        <v>40</v>
      </c>
      <c r="AB130" s="33">
        <v>3</v>
      </c>
      <c r="AC130" s="33">
        <v>5</v>
      </c>
      <c r="AD130" s="65">
        <f t="shared" si="41"/>
        <v>635</v>
      </c>
      <c r="AE130" s="33">
        <f t="shared" si="42"/>
        <v>1588</v>
      </c>
      <c r="AF130" s="33">
        <f t="shared" si="43"/>
        <v>3017</v>
      </c>
      <c r="AG130" s="65">
        <f t="shared" si="44"/>
        <v>3017</v>
      </c>
      <c r="AH130" s="65">
        <f t="shared" si="45"/>
        <v>60340</v>
      </c>
      <c r="AI130" s="26">
        <f t="shared" si="46"/>
        <v>16000</v>
      </c>
    </row>
    <row r="131" spans="25:35" ht="20.100000000000001" customHeight="1">
      <c r="Y131" s="54"/>
      <c r="Z131" s="33" t="s">
        <v>687</v>
      </c>
      <c r="AA131" s="33">
        <v>40</v>
      </c>
      <c r="AB131" s="33">
        <v>3</v>
      </c>
      <c r="AC131" s="33">
        <v>3</v>
      </c>
      <c r="AD131" s="65">
        <f t="shared" si="41"/>
        <v>635</v>
      </c>
      <c r="AE131" s="33">
        <f t="shared" si="42"/>
        <v>1588</v>
      </c>
      <c r="AF131" s="33">
        <f t="shared" si="43"/>
        <v>1906</v>
      </c>
      <c r="AG131" s="65">
        <f t="shared" si="44"/>
        <v>1906</v>
      </c>
      <c r="AH131" s="65">
        <f t="shared" si="45"/>
        <v>38120</v>
      </c>
      <c r="AI131" s="26">
        <f t="shared" si="46"/>
        <v>16000</v>
      </c>
    </row>
    <row r="132" spans="25:35" ht="20.100000000000001" customHeight="1">
      <c r="Y132" s="54"/>
      <c r="Z132" s="33" t="s">
        <v>688</v>
      </c>
      <c r="AA132" s="33">
        <v>40</v>
      </c>
      <c r="AB132" s="33">
        <v>2</v>
      </c>
      <c r="AC132" s="33">
        <v>3</v>
      </c>
      <c r="AD132" s="65">
        <f t="shared" ref="AD132:AD180" si="47">LOOKUP(AA132,$A$2:$A$66,$G$2:$G$66)</f>
        <v>635</v>
      </c>
      <c r="AE132" s="33">
        <f t="shared" ref="AE132:AE180" si="48">ROUND(AD132*LOOKUP(AB132,$S$9:$S$12,$T$9:$T$12),0)</f>
        <v>635</v>
      </c>
      <c r="AF132" s="33">
        <f t="shared" ref="AF132:AF180" si="49">ROUND(LOOKUP(AC132,$S$15:$S$25,$T$15:$T$25)*AE132,0)</f>
        <v>762</v>
      </c>
      <c r="AG132" s="65">
        <f t="shared" ref="AG132:AG180" si="50">AF132</f>
        <v>762</v>
      </c>
      <c r="AH132" s="65">
        <f t="shared" ref="AH132:AH180" si="51">AG132*$S$4</f>
        <v>15240</v>
      </c>
      <c r="AI132" s="26">
        <f t="shared" ref="AI132:AI180" si="52">LOOKUP(AA132,$A$2:$A$66,$M$2:$M$66)</f>
        <v>16000</v>
      </c>
    </row>
    <row r="133" spans="25:35" ht="20.100000000000001" customHeight="1">
      <c r="Y133" s="54"/>
      <c r="Z133" s="33" t="s">
        <v>689</v>
      </c>
      <c r="AA133" s="33">
        <v>40</v>
      </c>
      <c r="AB133" s="33">
        <v>3</v>
      </c>
      <c r="AC133" s="33">
        <v>1</v>
      </c>
      <c r="AD133" s="65">
        <f t="shared" si="47"/>
        <v>635</v>
      </c>
      <c r="AE133" s="33">
        <f t="shared" si="48"/>
        <v>1588</v>
      </c>
      <c r="AF133" s="33">
        <f t="shared" si="49"/>
        <v>4764</v>
      </c>
      <c r="AG133" s="65">
        <f t="shared" si="50"/>
        <v>4764</v>
      </c>
      <c r="AH133" s="65">
        <f t="shared" si="51"/>
        <v>95280</v>
      </c>
      <c r="AI133" s="26">
        <f t="shared" si="52"/>
        <v>16000</v>
      </c>
    </row>
    <row r="134" spans="25:35" ht="20.100000000000001" customHeight="1">
      <c r="Y134" s="54"/>
      <c r="Z134" s="33" t="s">
        <v>690</v>
      </c>
      <c r="AA134" s="33">
        <v>40</v>
      </c>
      <c r="AB134" s="33">
        <v>3</v>
      </c>
      <c r="AC134" s="33">
        <v>1</v>
      </c>
      <c r="AD134" s="65">
        <f t="shared" si="47"/>
        <v>635</v>
      </c>
      <c r="AE134" s="33">
        <f t="shared" si="48"/>
        <v>1588</v>
      </c>
      <c r="AF134" s="33">
        <f t="shared" si="49"/>
        <v>4764</v>
      </c>
      <c r="AG134" s="65">
        <f t="shared" si="50"/>
        <v>4764</v>
      </c>
      <c r="AH134" s="65">
        <f t="shared" si="51"/>
        <v>95280</v>
      </c>
      <c r="AI134" s="26">
        <f t="shared" si="52"/>
        <v>16000</v>
      </c>
    </row>
    <row r="135" spans="25:35" ht="20.100000000000001" customHeight="1">
      <c r="Y135" s="54"/>
      <c r="Z135" s="33" t="s">
        <v>691</v>
      </c>
      <c r="AA135" s="33">
        <v>40</v>
      </c>
      <c r="AB135" s="33">
        <v>3</v>
      </c>
      <c r="AC135" s="33">
        <v>2</v>
      </c>
      <c r="AD135" s="65">
        <f t="shared" si="47"/>
        <v>635</v>
      </c>
      <c r="AE135" s="33">
        <f t="shared" si="48"/>
        <v>1588</v>
      </c>
      <c r="AF135" s="33">
        <f t="shared" si="49"/>
        <v>2382</v>
      </c>
      <c r="AG135" s="65">
        <f t="shared" si="50"/>
        <v>2382</v>
      </c>
      <c r="AH135" s="65">
        <f t="shared" si="51"/>
        <v>47640</v>
      </c>
      <c r="AI135" s="26">
        <f t="shared" si="52"/>
        <v>16000</v>
      </c>
    </row>
    <row r="136" spans="25:35" ht="20.100000000000001" customHeight="1">
      <c r="Y136" s="54"/>
      <c r="Z136" s="33" t="s">
        <v>567</v>
      </c>
      <c r="AA136" s="33">
        <v>40</v>
      </c>
      <c r="AB136" s="33">
        <v>2</v>
      </c>
      <c r="AC136" s="33">
        <v>2</v>
      </c>
      <c r="AD136" s="65">
        <f t="shared" si="47"/>
        <v>635</v>
      </c>
      <c r="AE136" s="33">
        <f t="shared" si="48"/>
        <v>635</v>
      </c>
      <c r="AF136" s="33">
        <f t="shared" si="49"/>
        <v>953</v>
      </c>
      <c r="AG136" s="65">
        <f t="shared" si="50"/>
        <v>953</v>
      </c>
      <c r="AH136" s="65">
        <f t="shared" si="51"/>
        <v>19060</v>
      </c>
      <c r="AI136" s="26">
        <f t="shared" si="52"/>
        <v>16000</v>
      </c>
    </row>
    <row r="137" spans="25:35" ht="20.100000000000001" customHeight="1">
      <c r="Y137" s="54"/>
      <c r="Z137" s="33" t="s">
        <v>692</v>
      </c>
      <c r="AA137" s="33">
        <v>40</v>
      </c>
      <c r="AB137" s="33">
        <v>3</v>
      </c>
      <c r="AC137" s="33">
        <v>11</v>
      </c>
      <c r="AD137" s="65">
        <f t="shared" si="47"/>
        <v>635</v>
      </c>
      <c r="AE137" s="33">
        <f t="shared" si="48"/>
        <v>1588</v>
      </c>
      <c r="AF137" s="33">
        <f t="shared" si="49"/>
        <v>1032</v>
      </c>
      <c r="AG137" s="65">
        <f t="shared" si="50"/>
        <v>1032</v>
      </c>
      <c r="AH137" s="65">
        <f t="shared" si="51"/>
        <v>20640</v>
      </c>
      <c r="AI137" s="26">
        <f t="shared" si="52"/>
        <v>16000</v>
      </c>
    </row>
    <row r="138" spans="25:35" ht="20.100000000000001" customHeight="1">
      <c r="Y138" s="54"/>
      <c r="Z138" s="33" t="s">
        <v>693</v>
      </c>
      <c r="AA138" s="33">
        <v>40</v>
      </c>
      <c r="AB138" s="33">
        <v>2</v>
      </c>
      <c r="AC138" s="33">
        <v>4</v>
      </c>
      <c r="AD138" s="65">
        <f t="shared" si="47"/>
        <v>635</v>
      </c>
      <c r="AE138" s="33">
        <f t="shared" si="48"/>
        <v>635</v>
      </c>
      <c r="AF138" s="33">
        <f t="shared" si="49"/>
        <v>508</v>
      </c>
      <c r="AG138" s="65">
        <f t="shared" si="50"/>
        <v>508</v>
      </c>
      <c r="AH138" s="65">
        <f t="shared" si="51"/>
        <v>10160</v>
      </c>
      <c r="AI138" s="26">
        <f t="shared" si="52"/>
        <v>16000</v>
      </c>
    </row>
    <row r="139" spans="25:35" ht="20.100000000000001" customHeight="1">
      <c r="Y139" s="54"/>
      <c r="Z139" s="33" t="s">
        <v>694</v>
      </c>
      <c r="AA139" s="33">
        <v>40</v>
      </c>
      <c r="AB139" s="33">
        <v>3</v>
      </c>
      <c r="AC139" s="33">
        <v>2</v>
      </c>
      <c r="AD139" s="65">
        <f t="shared" si="47"/>
        <v>635</v>
      </c>
      <c r="AE139" s="33">
        <f t="shared" si="48"/>
        <v>1588</v>
      </c>
      <c r="AF139" s="33">
        <f t="shared" si="49"/>
        <v>2382</v>
      </c>
      <c r="AG139" s="65">
        <f t="shared" si="50"/>
        <v>2382</v>
      </c>
      <c r="AH139" s="65">
        <f t="shared" si="51"/>
        <v>47640</v>
      </c>
      <c r="AI139" s="26">
        <f t="shared" si="52"/>
        <v>16000</v>
      </c>
    </row>
    <row r="140" spans="25:35" ht="20.100000000000001" customHeight="1">
      <c r="Y140" s="54"/>
      <c r="Z140" s="33" t="s">
        <v>695</v>
      </c>
      <c r="AA140" s="33">
        <v>40</v>
      </c>
      <c r="AB140" s="33">
        <v>3</v>
      </c>
      <c r="AC140" s="33">
        <v>10</v>
      </c>
      <c r="AD140" s="65">
        <f t="shared" si="47"/>
        <v>635</v>
      </c>
      <c r="AE140" s="33">
        <f t="shared" si="48"/>
        <v>1588</v>
      </c>
      <c r="AF140" s="33">
        <f t="shared" si="49"/>
        <v>873</v>
      </c>
      <c r="AG140" s="65">
        <f t="shared" si="50"/>
        <v>873</v>
      </c>
      <c r="AH140" s="65">
        <f t="shared" si="51"/>
        <v>17460</v>
      </c>
      <c r="AI140" s="26">
        <f t="shared" si="52"/>
        <v>16000</v>
      </c>
    </row>
    <row r="141" spans="25:35" ht="20.100000000000001" customHeight="1">
      <c r="Y141" s="54"/>
      <c r="Z141" s="33" t="s">
        <v>696</v>
      </c>
      <c r="AA141" s="33">
        <v>40</v>
      </c>
      <c r="AB141" s="33">
        <v>3</v>
      </c>
      <c r="AC141" s="33">
        <v>7</v>
      </c>
      <c r="AD141" s="65">
        <f t="shared" si="47"/>
        <v>635</v>
      </c>
      <c r="AE141" s="33">
        <f t="shared" si="48"/>
        <v>1588</v>
      </c>
      <c r="AF141" s="33">
        <f t="shared" si="49"/>
        <v>953</v>
      </c>
      <c r="AG141" s="65">
        <f t="shared" si="50"/>
        <v>953</v>
      </c>
      <c r="AH141" s="65">
        <f t="shared" si="51"/>
        <v>19060</v>
      </c>
      <c r="AI141" s="26">
        <f t="shared" si="52"/>
        <v>16000</v>
      </c>
    </row>
    <row r="142" spans="25:35" ht="20.100000000000001" customHeight="1">
      <c r="Y142" s="54"/>
      <c r="Z142" s="33" t="s">
        <v>697</v>
      </c>
      <c r="AA142" s="33">
        <v>40</v>
      </c>
      <c r="AB142" s="33">
        <v>3</v>
      </c>
      <c r="AC142" s="33">
        <v>9</v>
      </c>
      <c r="AD142" s="65">
        <f t="shared" si="47"/>
        <v>635</v>
      </c>
      <c r="AE142" s="33">
        <f t="shared" si="48"/>
        <v>1588</v>
      </c>
      <c r="AF142" s="33">
        <f t="shared" si="49"/>
        <v>794</v>
      </c>
      <c r="AG142" s="65">
        <f t="shared" si="50"/>
        <v>794</v>
      </c>
      <c r="AH142" s="65">
        <f t="shared" si="51"/>
        <v>15880</v>
      </c>
      <c r="AI142" s="26">
        <f t="shared" si="52"/>
        <v>16000</v>
      </c>
    </row>
    <row r="143" spans="25:35" ht="20.100000000000001" customHeight="1">
      <c r="Y143" s="54"/>
      <c r="Z143" s="33" t="s">
        <v>698</v>
      </c>
      <c r="AA143" s="33">
        <v>40</v>
      </c>
      <c r="AB143" s="33">
        <v>3</v>
      </c>
      <c r="AC143" s="33">
        <v>8</v>
      </c>
      <c r="AD143" s="65">
        <f t="shared" si="47"/>
        <v>635</v>
      </c>
      <c r="AE143" s="33">
        <f t="shared" si="48"/>
        <v>1588</v>
      </c>
      <c r="AF143" s="33">
        <f t="shared" si="49"/>
        <v>635</v>
      </c>
      <c r="AG143" s="65">
        <f t="shared" si="50"/>
        <v>635</v>
      </c>
      <c r="AH143" s="65">
        <f t="shared" si="51"/>
        <v>12700</v>
      </c>
      <c r="AI143" s="26">
        <f t="shared" si="52"/>
        <v>16000</v>
      </c>
    </row>
    <row r="144" spans="25:35" ht="20.100000000000001" customHeight="1">
      <c r="Y144" s="54"/>
      <c r="Z144" s="33" t="s">
        <v>699</v>
      </c>
      <c r="AA144" s="33">
        <v>40</v>
      </c>
      <c r="AB144" s="33">
        <v>3</v>
      </c>
      <c r="AC144" s="33">
        <v>6</v>
      </c>
      <c r="AD144" s="65">
        <f t="shared" si="47"/>
        <v>635</v>
      </c>
      <c r="AE144" s="33">
        <f t="shared" si="48"/>
        <v>1588</v>
      </c>
      <c r="AF144" s="33">
        <f t="shared" si="49"/>
        <v>635</v>
      </c>
      <c r="AG144" s="65">
        <f t="shared" si="50"/>
        <v>635</v>
      </c>
      <c r="AH144" s="65">
        <f t="shared" si="51"/>
        <v>12700</v>
      </c>
      <c r="AI144" s="26">
        <f t="shared" si="52"/>
        <v>16000</v>
      </c>
    </row>
    <row r="145" spans="25:35" ht="20.100000000000001" customHeight="1">
      <c r="Y145" s="54"/>
      <c r="Z145" s="33" t="s">
        <v>700</v>
      </c>
      <c r="AA145" s="33">
        <v>40</v>
      </c>
      <c r="AB145" s="33">
        <v>3</v>
      </c>
      <c r="AC145" s="33">
        <v>5</v>
      </c>
      <c r="AD145" s="65">
        <f t="shared" si="47"/>
        <v>635</v>
      </c>
      <c r="AE145" s="33">
        <f t="shared" si="48"/>
        <v>1588</v>
      </c>
      <c r="AF145" s="33">
        <f t="shared" si="49"/>
        <v>3017</v>
      </c>
      <c r="AG145" s="65">
        <f t="shared" si="50"/>
        <v>3017</v>
      </c>
      <c r="AH145" s="65">
        <f t="shared" si="51"/>
        <v>60340</v>
      </c>
      <c r="AI145" s="26">
        <f t="shared" si="52"/>
        <v>16000</v>
      </c>
    </row>
    <row r="146" spans="25:35" ht="20.100000000000001" customHeight="1">
      <c r="Y146" s="54"/>
      <c r="Z146" s="33" t="s">
        <v>701</v>
      </c>
      <c r="AA146" s="33">
        <v>40</v>
      </c>
      <c r="AB146" s="33">
        <v>3</v>
      </c>
      <c r="AC146" s="33">
        <v>5</v>
      </c>
      <c r="AD146" s="65">
        <f t="shared" si="47"/>
        <v>635</v>
      </c>
      <c r="AE146" s="33">
        <f t="shared" si="48"/>
        <v>1588</v>
      </c>
      <c r="AF146" s="33">
        <f t="shared" si="49"/>
        <v>3017</v>
      </c>
      <c r="AG146" s="65">
        <f t="shared" si="50"/>
        <v>3017</v>
      </c>
      <c r="AH146" s="65">
        <f t="shared" si="51"/>
        <v>60340</v>
      </c>
      <c r="AI146" s="26">
        <f t="shared" si="52"/>
        <v>16000</v>
      </c>
    </row>
    <row r="147" spans="25:35" ht="20.100000000000001" customHeight="1">
      <c r="Y147" s="54"/>
      <c r="Z147" s="33" t="s">
        <v>702</v>
      </c>
      <c r="AA147" s="33">
        <v>40</v>
      </c>
      <c r="AB147" s="33">
        <v>3</v>
      </c>
      <c r="AC147" s="33">
        <v>5</v>
      </c>
      <c r="AD147" s="65">
        <f t="shared" si="47"/>
        <v>635</v>
      </c>
      <c r="AE147" s="33">
        <f t="shared" si="48"/>
        <v>1588</v>
      </c>
      <c r="AF147" s="33">
        <f t="shared" si="49"/>
        <v>3017</v>
      </c>
      <c r="AG147" s="65">
        <f t="shared" si="50"/>
        <v>3017</v>
      </c>
      <c r="AH147" s="65">
        <f t="shared" si="51"/>
        <v>60340</v>
      </c>
      <c r="AI147" s="26">
        <f t="shared" si="52"/>
        <v>16000</v>
      </c>
    </row>
    <row r="148" spans="25:35" ht="20.100000000000001" customHeight="1">
      <c r="Y148" s="54"/>
      <c r="Z148" s="33" t="s">
        <v>703</v>
      </c>
      <c r="AA148" s="33">
        <v>40</v>
      </c>
      <c r="AB148" s="33">
        <v>3</v>
      </c>
      <c r="AC148" s="33">
        <v>5</v>
      </c>
      <c r="AD148" s="65">
        <f t="shared" si="47"/>
        <v>635</v>
      </c>
      <c r="AE148" s="33">
        <f t="shared" si="48"/>
        <v>1588</v>
      </c>
      <c r="AF148" s="33">
        <f t="shared" si="49"/>
        <v>3017</v>
      </c>
      <c r="AG148" s="65">
        <f t="shared" si="50"/>
        <v>3017</v>
      </c>
      <c r="AH148" s="65">
        <f t="shared" si="51"/>
        <v>60340</v>
      </c>
      <c r="AI148" s="26">
        <f t="shared" si="52"/>
        <v>16000</v>
      </c>
    </row>
    <row r="149" spans="25:35" ht="20.100000000000001" customHeight="1">
      <c r="Y149" s="54"/>
      <c r="Z149" s="33" t="s">
        <v>704</v>
      </c>
      <c r="AA149" s="33">
        <v>40</v>
      </c>
      <c r="AB149" s="33">
        <v>3</v>
      </c>
      <c r="AC149" s="33">
        <v>5</v>
      </c>
      <c r="AD149" s="65">
        <f t="shared" si="47"/>
        <v>635</v>
      </c>
      <c r="AE149" s="33">
        <f t="shared" si="48"/>
        <v>1588</v>
      </c>
      <c r="AF149" s="33">
        <f t="shared" si="49"/>
        <v>3017</v>
      </c>
      <c r="AG149" s="65">
        <f t="shared" si="50"/>
        <v>3017</v>
      </c>
      <c r="AH149" s="65">
        <f t="shared" si="51"/>
        <v>60340</v>
      </c>
      <c r="AI149" s="26">
        <f t="shared" si="52"/>
        <v>16000</v>
      </c>
    </row>
    <row r="150" spans="25:35" ht="20.100000000000001" customHeight="1">
      <c r="Y150" s="54"/>
      <c r="Z150" s="33" t="s">
        <v>705</v>
      </c>
      <c r="AA150" s="33">
        <v>40</v>
      </c>
      <c r="AB150" s="33">
        <v>4</v>
      </c>
      <c r="AC150" s="33">
        <v>1</v>
      </c>
      <c r="AD150" s="65">
        <f t="shared" si="47"/>
        <v>635</v>
      </c>
      <c r="AE150" s="33">
        <f t="shared" si="48"/>
        <v>3175</v>
      </c>
      <c r="AF150" s="33">
        <f t="shared" si="49"/>
        <v>9525</v>
      </c>
      <c r="AG150" s="65">
        <f t="shared" si="50"/>
        <v>9525</v>
      </c>
      <c r="AH150" s="65">
        <f t="shared" si="51"/>
        <v>190500</v>
      </c>
      <c r="AI150" s="26">
        <f t="shared" si="52"/>
        <v>16000</v>
      </c>
    </row>
    <row r="151" spans="25:35" ht="20.100000000000001" customHeight="1">
      <c r="Y151" s="54"/>
      <c r="Z151" s="33" t="s">
        <v>706</v>
      </c>
      <c r="AA151" s="33">
        <v>40</v>
      </c>
      <c r="AB151" s="33">
        <v>4</v>
      </c>
      <c r="AC151" s="33">
        <v>3</v>
      </c>
      <c r="AD151" s="65">
        <f t="shared" si="47"/>
        <v>635</v>
      </c>
      <c r="AE151" s="33">
        <f t="shared" si="48"/>
        <v>3175</v>
      </c>
      <c r="AF151" s="33">
        <f t="shared" si="49"/>
        <v>3810</v>
      </c>
      <c r="AG151" s="65">
        <f t="shared" si="50"/>
        <v>3810</v>
      </c>
      <c r="AH151" s="65">
        <f t="shared" si="51"/>
        <v>76200</v>
      </c>
      <c r="AI151" s="26">
        <f t="shared" si="52"/>
        <v>16000</v>
      </c>
    </row>
    <row r="152" spans="25:35" ht="20.100000000000001" customHeight="1">
      <c r="Y152" s="54"/>
      <c r="Z152" s="33" t="s">
        <v>589</v>
      </c>
      <c r="AA152" s="33">
        <v>50</v>
      </c>
      <c r="AB152" s="33">
        <v>3</v>
      </c>
      <c r="AC152" s="33">
        <v>10</v>
      </c>
      <c r="AD152" s="65">
        <f t="shared" si="47"/>
        <v>785</v>
      </c>
      <c r="AE152" s="33">
        <f t="shared" si="48"/>
        <v>1963</v>
      </c>
      <c r="AF152" s="33">
        <f t="shared" si="49"/>
        <v>1080</v>
      </c>
      <c r="AG152" s="65">
        <f t="shared" si="50"/>
        <v>1080</v>
      </c>
      <c r="AH152" s="65">
        <f t="shared" si="51"/>
        <v>21600</v>
      </c>
      <c r="AI152" s="26">
        <f t="shared" si="52"/>
        <v>20000</v>
      </c>
    </row>
    <row r="153" spans="25:35" ht="20.100000000000001" customHeight="1">
      <c r="Y153" s="54"/>
      <c r="Z153" s="33" t="s">
        <v>707</v>
      </c>
      <c r="AA153" s="33">
        <v>50</v>
      </c>
      <c r="AB153" s="33">
        <v>2</v>
      </c>
      <c r="AC153" s="33">
        <v>10</v>
      </c>
      <c r="AD153" s="65">
        <f t="shared" si="47"/>
        <v>785</v>
      </c>
      <c r="AE153" s="33">
        <f t="shared" si="48"/>
        <v>785</v>
      </c>
      <c r="AF153" s="33">
        <f t="shared" si="49"/>
        <v>432</v>
      </c>
      <c r="AG153" s="65">
        <f t="shared" si="50"/>
        <v>432</v>
      </c>
      <c r="AH153" s="65">
        <f t="shared" si="51"/>
        <v>8640</v>
      </c>
      <c r="AI153" s="26">
        <f t="shared" si="52"/>
        <v>20000</v>
      </c>
    </row>
    <row r="154" spans="25:35" ht="20.100000000000001" customHeight="1">
      <c r="Y154" s="54"/>
      <c r="Z154" s="33" t="s">
        <v>591</v>
      </c>
      <c r="AA154" s="33">
        <v>50</v>
      </c>
      <c r="AB154" s="33">
        <v>3</v>
      </c>
      <c r="AC154" s="33">
        <v>9</v>
      </c>
      <c r="AD154" s="65">
        <f t="shared" si="47"/>
        <v>785</v>
      </c>
      <c r="AE154" s="33">
        <f t="shared" si="48"/>
        <v>1963</v>
      </c>
      <c r="AF154" s="33">
        <f t="shared" si="49"/>
        <v>982</v>
      </c>
      <c r="AG154" s="65">
        <f t="shared" si="50"/>
        <v>982</v>
      </c>
      <c r="AH154" s="65">
        <f t="shared" si="51"/>
        <v>19640</v>
      </c>
      <c r="AI154" s="26">
        <f t="shared" si="52"/>
        <v>20000</v>
      </c>
    </row>
    <row r="155" spans="25:35" ht="20.100000000000001" customHeight="1">
      <c r="Y155" s="54"/>
      <c r="Z155" s="33" t="s">
        <v>708</v>
      </c>
      <c r="AA155" s="33">
        <v>50</v>
      </c>
      <c r="AB155" s="33">
        <v>2</v>
      </c>
      <c r="AC155" s="33">
        <v>9</v>
      </c>
      <c r="AD155" s="65">
        <f t="shared" si="47"/>
        <v>785</v>
      </c>
      <c r="AE155" s="33">
        <f t="shared" si="48"/>
        <v>785</v>
      </c>
      <c r="AF155" s="33">
        <f t="shared" si="49"/>
        <v>393</v>
      </c>
      <c r="AG155" s="65">
        <f t="shared" si="50"/>
        <v>393</v>
      </c>
      <c r="AH155" s="65">
        <f t="shared" si="51"/>
        <v>7860</v>
      </c>
      <c r="AI155" s="26">
        <f t="shared" si="52"/>
        <v>20000</v>
      </c>
    </row>
    <row r="156" spans="25:35" ht="20.100000000000001" customHeight="1">
      <c r="Y156" s="54"/>
      <c r="Z156" s="33" t="s">
        <v>593</v>
      </c>
      <c r="AA156" s="33">
        <v>50</v>
      </c>
      <c r="AB156" s="33">
        <v>3</v>
      </c>
      <c r="AC156" s="33">
        <v>8</v>
      </c>
      <c r="AD156" s="65">
        <f t="shared" si="47"/>
        <v>785</v>
      </c>
      <c r="AE156" s="33">
        <f t="shared" si="48"/>
        <v>1963</v>
      </c>
      <c r="AF156" s="33">
        <f t="shared" si="49"/>
        <v>785</v>
      </c>
      <c r="AG156" s="65">
        <f t="shared" si="50"/>
        <v>785</v>
      </c>
      <c r="AH156" s="65">
        <f t="shared" si="51"/>
        <v>15700</v>
      </c>
      <c r="AI156" s="26">
        <f t="shared" si="52"/>
        <v>20000</v>
      </c>
    </row>
    <row r="157" spans="25:35" ht="20.100000000000001" customHeight="1">
      <c r="Y157" s="54"/>
      <c r="Z157" s="33" t="s">
        <v>709</v>
      </c>
      <c r="AA157" s="33">
        <v>50</v>
      </c>
      <c r="AB157" s="33">
        <v>2</v>
      </c>
      <c r="AC157" s="33">
        <v>8</v>
      </c>
      <c r="AD157" s="65">
        <f t="shared" si="47"/>
        <v>785</v>
      </c>
      <c r="AE157" s="33">
        <f t="shared" si="48"/>
        <v>785</v>
      </c>
      <c r="AF157" s="33">
        <f t="shared" si="49"/>
        <v>314</v>
      </c>
      <c r="AG157" s="65">
        <f t="shared" si="50"/>
        <v>314</v>
      </c>
      <c r="AH157" s="65">
        <f t="shared" si="51"/>
        <v>6280</v>
      </c>
      <c r="AI157" s="26">
        <f t="shared" si="52"/>
        <v>20000</v>
      </c>
    </row>
    <row r="158" spans="25:35" ht="20.100000000000001" customHeight="1">
      <c r="Y158" s="54"/>
      <c r="Z158" s="33" t="s">
        <v>595</v>
      </c>
      <c r="AA158" s="33">
        <v>50</v>
      </c>
      <c r="AB158" s="33">
        <v>3</v>
      </c>
      <c r="AC158" s="33">
        <v>6</v>
      </c>
      <c r="AD158" s="65">
        <f t="shared" si="47"/>
        <v>785</v>
      </c>
      <c r="AE158" s="33">
        <f t="shared" si="48"/>
        <v>1963</v>
      </c>
      <c r="AF158" s="33">
        <f t="shared" si="49"/>
        <v>785</v>
      </c>
      <c r="AG158" s="65">
        <f t="shared" si="50"/>
        <v>785</v>
      </c>
      <c r="AH158" s="65">
        <f t="shared" si="51"/>
        <v>15700</v>
      </c>
      <c r="AI158" s="26">
        <f t="shared" si="52"/>
        <v>20000</v>
      </c>
    </row>
    <row r="159" spans="25:35" ht="20.100000000000001" customHeight="1">
      <c r="Y159" s="54"/>
      <c r="Z159" s="33" t="s">
        <v>710</v>
      </c>
      <c r="AA159" s="33">
        <v>50</v>
      </c>
      <c r="AB159" s="33">
        <v>2</v>
      </c>
      <c r="AC159" s="33">
        <v>6</v>
      </c>
      <c r="AD159" s="65">
        <f t="shared" si="47"/>
        <v>785</v>
      </c>
      <c r="AE159" s="33">
        <f t="shared" si="48"/>
        <v>785</v>
      </c>
      <c r="AF159" s="33">
        <f t="shared" si="49"/>
        <v>314</v>
      </c>
      <c r="AG159" s="65">
        <f t="shared" si="50"/>
        <v>314</v>
      </c>
      <c r="AH159" s="65">
        <f t="shared" si="51"/>
        <v>6280</v>
      </c>
      <c r="AI159" s="26">
        <f t="shared" si="52"/>
        <v>20000</v>
      </c>
    </row>
    <row r="160" spans="25:35" ht="20.100000000000001" customHeight="1">
      <c r="Y160" s="54"/>
      <c r="Z160" s="33" t="s">
        <v>597</v>
      </c>
      <c r="AA160" s="33">
        <v>50</v>
      </c>
      <c r="AB160" s="33">
        <v>3</v>
      </c>
      <c r="AC160" s="33">
        <v>7</v>
      </c>
      <c r="AD160" s="65">
        <f t="shared" si="47"/>
        <v>785</v>
      </c>
      <c r="AE160" s="33">
        <f t="shared" si="48"/>
        <v>1963</v>
      </c>
      <c r="AF160" s="33">
        <f t="shared" si="49"/>
        <v>1178</v>
      </c>
      <c r="AG160" s="65">
        <f t="shared" si="50"/>
        <v>1178</v>
      </c>
      <c r="AH160" s="65">
        <f t="shared" si="51"/>
        <v>23560</v>
      </c>
      <c r="AI160" s="26">
        <f t="shared" si="52"/>
        <v>20000</v>
      </c>
    </row>
    <row r="161" spans="25:35" ht="20.100000000000001" customHeight="1">
      <c r="Y161" s="54"/>
      <c r="Z161" s="33" t="s">
        <v>711</v>
      </c>
      <c r="AA161" s="33">
        <v>50</v>
      </c>
      <c r="AB161" s="33">
        <v>2</v>
      </c>
      <c r="AC161" s="33">
        <v>7</v>
      </c>
      <c r="AD161" s="65">
        <f t="shared" si="47"/>
        <v>785</v>
      </c>
      <c r="AE161" s="33">
        <f t="shared" si="48"/>
        <v>785</v>
      </c>
      <c r="AF161" s="33">
        <f t="shared" si="49"/>
        <v>471</v>
      </c>
      <c r="AG161" s="65">
        <f t="shared" si="50"/>
        <v>471</v>
      </c>
      <c r="AH161" s="65">
        <f t="shared" si="51"/>
        <v>9420</v>
      </c>
      <c r="AI161" s="26">
        <f t="shared" si="52"/>
        <v>20000</v>
      </c>
    </row>
    <row r="162" spans="25:35" ht="20.100000000000001" customHeight="1">
      <c r="Y162" s="54"/>
      <c r="Z162" s="33" t="s">
        <v>599</v>
      </c>
      <c r="AA162" s="33">
        <v>50</v>
      </c>
      <c r="AB162" s="33">
        <v>3</v>
      </c>
      <c r="AC162" s="33">
        <v>11</v>
      </c>
      <c r="AD162" s="65">
        <f t="shared" si="47"/>
        <v>785</v>
      </c>
      <c r="AE162" s="33">
        <f t="shared" si="48"/>
        <v>1963</v>
      </c>
      <c r="AF162" s="33">
        <f t="shared" si="49"/>
        <v>1276</v>
      </c>
      <c r="AG162" s="65">
        <f t="shared" si="50"/>
        <v>1276</v>
      </c>
      <c r="AH162" s="65">
        <f t="shared" si="51"/>
        <v>25520</v>
      </c>
      <c r="AI162" s="26">
        <f t="shared" si="52"/>
        <v>20000</v>
      </c>
    </row>
    <row r="163" spans="25:35" ht="20.100000000000001" customHeight="1">
      <c r="Y163" s="54"/>
      <c r="Z163" s="33" t="s">
        <v>712</v>
      </c>
      <c r="AA163" s="33">
        <v>50</v>
      </c>
      <c r="AB163" s="33">
        <v>2</v>
      </c>
      <c r="AC163" s="33">
        <v>11</v>
      </c>
      <c r="AD163" s="65">
        <f t="shared" si="47"/>
        <v>785</v>
      </c>
      <c r="AE163" s="33">
        <f t="shared" si="48"/>
        <v>785</v>
      </c>
      <c r="AF163" s="33">
        <f t="shared" si="49"/>
        <v>510</v>
      </c>
      <c r="AG163" s="65">
        <f t="shared" si="50"/>
        <v>510</v>
      </c>
      <c r="AH163" s="65">
        <f t="shared" si="51"/>
        <v>10200</v>
      </c>
      <c r="AI163" s="26">
        <f t="shared" si="52"/>
        <v>20000</v>
      </c>
    </row>
    <row r="164" spans="25:35" ht="20.100000000000001" customHeight="1">
      <c r="Y164" s="54"/>
      <c r="Z164" s="33" t="s">
        <v>601</v>
      </c>
      <c r="AA164" s="33">
        <v>50</v>
      </c>
      <c r="AB164" s="33">
        <v>3</v>
      </c>
      <c r="AC164" s="33">
        <v>4</v>
      </c>
      <c r="AD164" s="65">
        <f t="shared" si="47"/>
        <v>785</v>
      </c>
      <c r="AE164" s="33">
        <f t="shared" si="48"/>
        <v>1963</v>
      </c>
      <c r="AF164" s="33">
        <f t="shared" si="49"/>
        <v>1570</v>
      </c>
      <c r="AG164" s="65">
        <f t="shared" si="50"/>
        <v>1570</v>
      </c>
      <c r="AH164" s="65">
        <f t="shared" si="51"/>
        <v>31400</v>
      </c>
      <c r="AI164" s="26">
        <f t="shared" si="52"/>
        <v>20000</v>
      </c>
    </row>
    <row r="165" spans="25:35" ht="20.100000000000001" customHeight="1">
      <c r="Y165" s="54"/>
      <c r="Z165" s="33" t="s">
        <v>713</v>
      </c>
      <c r="AA165" s="33">
        <v>50</v>
      </c>
      <c r="AB165" s="33">
        <v>2</v>
      </c>
      <c r="AC165" s="33">
        <v>4</v>
      </c>
      <c r="AD165" s="65">
        <f t="shared" si="47"/>
        <v>785</v>
      </c>
      <c r="AE165" s="33">
        <f t="shared" si="48"/>
        <v>785</v>
      </c>
      <c r="AF165" s="33">
        <f t="shared" si="49"/>
        <v>628</v>
      </c>
      <c r="AG165" s="65">
        <f t="shared" si="50"/>
        <v>628</v>
      </c>
      <c r="AH165" s="65">
        <f t="shared" si="51"/>
        <v>12560</v>
      </c>
      <c r="AI165" s="26">
        <f t="shared" si="52"/>
        <v>20000</v>
      </c>
    </row>
    <row r="166" spans="25:35" ht="20.100000000000001" customHeight="1">
      <c r="Y166" s="54"/>
      <c r="Z166" s="33" t="s">
        <v>714</v>
      </c>
      <c r="AA166" s="33">
        <v>50</v>
      </c>
      <c r="AB166" s="33">
        <v>3</v>
      </c>
      <c r="AC166" s="33">
        <v>5</v>
      </c>
      <c r="AD166" s="65">
        <f t="shared" si="47"/>
        <v>785</v>
      </c>
      <c r="AE166" s="33">
        <f t="shared" si="48"/>
        <v>1963</v>
      </c>
      <c r="AF166" s="33">
        <f t="shared" si="49"/>
        <v>3730</v>
      </c>
      <c r="AG166" s="65">
        <f t="shared" si="50"/>
        <v>3730</v>
      </c>
      <c r="AH166" s="65">
        <f t="shared" si="51"/>
        <v>74600</v>
      </c>
      <c r="AI166" s="26">
        <f t="shared" si="52"/>
        <v>20000</v>
      </c>
    </row>
    <row r="167" spans="25:35" ht="20.100000000000001" customHeight="1">
      <c r="Y167" s="54"/>
      <c r="Z167" s="33" t="s">
        <v>604</v>
      </c>
      <c r="AA167" s="33">
        <v>50</v>
      </c>
      <c r="AB167" s="33">
        <v>3</v>
      </c>
      <c r="AC167" s="33">
        <v>3</v>
      </c>
      <c r="AD167" s="65">
        <f t="shared" si="47"/>
        <v>785</v>
      </c>
      <c r="AE167" s="33">
        <f t="shared" si="48"/>
        <v>1963</v>
      </c>
      <c r="AF167" s="33">
        <f t="shared" si="49"/>
        <v>2356</v>
      </c>
      <c r="AG167" s="65">
        <f t="shared" si="50"/>
        <v>2356</v>
      </c>
      <c r="AH167" s="65">
        <f t="shared" si="51"/>
        <v>47120</v>
      </c>
      <c r="AI167" s="26">
        <f t="shared" si="52"/>
        <v>20000</v>
      </c>
    </row>
    <row r="168" spans="25:35" ht="20.100000000000001" customHeight="1">
      <c r="Y168" s="54"/>
      <c r="Z168" s="33" t="s">
        <v>715</v>
      </c>
      <c r="AA168" s="33">
        <v>50</v>
      </c>
      <c r="AB168" s="33">
        <v>2</v>
      </c>
      <c r="AC168" s="33">
        <v>3</v>
      </c>
      <c r="AD168" s="65">
        <f t="shared" si="47"/>
        <v>785</v>
      </c>
      <c r="AE168" s="33">
        <f t="shared" si="48"/>
        <v>785</v>
      </c>
      <c r="AF168" s="33">
        <f t="shared" si="49"/>
        <v>942</v>
      </c>
      <c r="AG168" s="65">
        <f t="shared" si="50"/>
        <v>942</v>
      </c>
      <c r="AH168" s="65">
        <f t="shared" si="51"/>
        <v>18840</v>
      </c>
      <c r="AI168" s="26">
        <f t="shared" si="52"/>
        <v>20000</v>
      </c>
    </row>
    <row r="169" spans="25:35" ht="20.100000000000001" customHeight="1">
      <c r="Y169" s="54"/>
      <c r="Z169" s="33" t="s">
        <v>606</v>
      </c>
      <c r="AA169" s="33">
        <v>50</v>
      </c>
      <c r="AB169" s="33">
        <v>3</v>
      </c>
      <c r="AC169" s="33">
        <v>1</v>
      </c>
      <c r="AD169" s="65">
        <f t="shared" si="47"/>
        <v>785</v>
      </c>
      <c r="AE169" s="33">
        <f t="shared" si="48"/>
        <v>1963</v>
      </c>
      <c r="AF169" s="33">
        <f t="shared" si="49"/>
        <v>5889</v>
      </c>
      <c r="AG169" s="65">
        <f t="shared" si="50"/>
        <v>5889</v>
      </c>
      <c r="AH169" s="65">
        <f t="shared" si="51"/>
        <v>117780</v>
      </c>
      <c r="AI169" s="26">
        <f t="shared" si="52"/>
        <v>20000</v>
      </c>
    </row>
    <row r="170" spans="25:35" ht="20.100000000000001" customHeight="1">
      <c r="Y170" s="54"/>
      <c r="Z170" s="33" t="s">
        <v>716</v>
      </c>
      <c r="AA170" s="33">
        <v>50</v>
      </c>
      <c r="AB170" s="33">
        <v>3</v>
      </c>
      <c r="AC170" s="33">
        <v>1</v>
      </c>
      <c r="AD170" s="65">
        <f t="shared" si="47"/>
        <v>785</v>
      </c>
      <c r="AE170" s="33">
        <f t="shared" si="48"/>
        <v>1963</v>
      </c>
      <c r="AF170" s="33">
        <f t="shared" si="49"/>
        <v>5889</v>
      </c>
      <c r="AG170" s="65">
        <f t="shared" si="50"/>
        <v>5889</v>
      </c>
      <c r="AH170" s="65">
        <f t="shared" si="51"/>
        <v>117780</v>
      </c>
      <c r="AI170" s="26">
        <f t="shared" si="52"/>
        <v>20000</v>
      </c>
    </row>
    <row r="171" spans="25:35" ht="20.100000000000001" customHeight="1">
      <c r="Y171" s="54"/>
      <c r="Z171" s="33" t="s">
        <v>608</v>
      </c>
      <c r="AA171" s="33">
        <v>50</v>
      </c>
      <c r="AB171" s="33">
        <v>3</v>
      </c>
      <c r="AC171" s="33">
        <v>2</v>
      </c>
      <c r="AD171" s="65">
        <f t="shared" si="47"/>
        <v>785</v>
      </c>
      <c r="AE171" s="33">
        <f t="shared" si="48"/>
        <v>1963</v>
      </c>
      <c r="AF171" s="33">
        <f t="shared" si="49"/>
        <v>2945</v>
      </c>
      <c r="AG171" s="65">
        <f t="shared" si="50"/>
        <v>2945</v>
      </c>
      <c r="AH171" s="65">
        <f t="shared" si="51"/>
        <v>58900</v>
      </c>
      <c r="AI171" s="26">
        <f t="shared" si="52"/>
        <v>20000</v>
      </c>
    </row>
    <row r="172" spans="25:35" ht="20.100000000000001" customHeight="1">
      <c r="Y172" s="54"/>
      <c r="Z172" s="33" t="s">
        <v>717</v>
      </c>
      <c r="AA172" s="33">
        <v>50</v>
      </c>
      <c r="AB172" s="33">
        <v>2</v>
      </c>
      <c r="AC172" s="33">
        <v>2</v>
      </c>
      <c r="AD172" s="65">
        <f t="shared" si="47"/>
        <v>785</v>
      </c>
      <c r="AE172" s="33">
        <f t="shared" si="48"/>
        <v>785</v>
      </c>
      <c r="AF172" s="33">
        <f t="shared" si="49"/>
        <v>1178</v>
      </c>
      <c r="AG172" s="65">
        <f t="shared" si="50"/>
        <v>1178</v>
      </c>
      <c r="AH172" s="65">
        <f t="shared" si="51"/>
        <v>23560</v>
      </c>
      <c r="AI172" s="26">
        <f t="shared" si="52"/>
        <v>20000</v>
      </c>
    </row>
    <row r="173" spans="25:35" ht="20.100000000000001" customHeight="1">
      <c r="Y173" s="54"/>
      <c r="Z173" s="33" t="s">
        <v>718</v>
      </c>
      <c r="AA173" s="33">
        <v>50</v>
      </c>
      <c r="AB173" s="33">
        <v>3</v>
      </c>
      <c r="AC173" s="33">
        <v>11</v>
      </c>
      <c r="AD173" s="65">
        <f t="shared" si="47"/>
        <v>785</v>
      </c>
      <c r="AE173" s="33">
        <f t="shared" si="48"/>
        <v>1963</v>
      </c>
      <c r="AF173" s="33">
        <f t="shared" si="49"/>
        <v>1276</v>
      </c>
      <c r="AG173" s="65">
        <f t="shared" si="50"/>
        <v>1276</v>
      </c>
      <c r="AH173" s="65">
        <f t="shared" si="51"/>
        <v>25520</v>
      </c>
      <c r="AI173" s="26">
        <f t="shared" si="52"/>
        <v>20000</v>
      </c>
    </row>
    <row r="174" spans="25:35" ht="20.100000000000001" customHeight="1">
      <c r="Y174" s="54"/>
      <c r="Z174" s="33" t="s">
        <v>719</v>
      </c>
      <c r="AA174" s="33">
        <v>50</v>
      </c>
      <c r="AB174" s="33">
        <v>3</v>
      </c>
      <c r="AC174" s="33">
        <v>4</v>
      </c>
      <c r="AD174" s="65">
        <f t="shared" si="47"/>
        <v>785</v>
      </c>
      <c r="AE174" s="33">
        <f t="shared" si="48"/>
        <v>1963</v>
      </c>
      <c r="AF174" s="33">
        <f t="shared" si="49"/>
        <v>1570</v>
      </c>
      <c r="AG174" s="65">
        <f t="shared" si="50"/>
        <v>1570</v>
      </c>
      <c r="AH174" s="65">
        <f t="shared" si="51"/>
        <v>31400</v>
      </c>
      <c r="AI174" s="26">
        <f t="shared" si="52"/>
        <v>20000</v>
      </c>
    </row>
    <row r="175" spans="25:35" ht="20.100000000000001" customHeight="1">
      <c r="Y175" s="54"/>
      <c r="Z175" s="33" t="s">
        <v>720</v>
      </c>
      <c r="AA175" s="33">
        <v>50</v>
      </c>
      <c r="AB175" s="33">
        <v>3</v>
      </c>
      <c r="AC175" s="33">
        <v>2</v>
      </c>
      <c r="AD175" s="65">
        <f t="shared" si="47"/>
        <v>785</v>
      </c>
      <c r="AE175" s="33">
        <f t="shared" si="48"/>
        <v>1963</v>
      </c>
      <c r="AF175" s="33">
        <f t="shared" si="49"/>
        <v>2945</v>
      </c>
      <c r="AG175" s="65">
        <f t="shared" si="50"/>
        <v>2945</v>
      </c>
      <c r="AH175" s="65">
        <f t="shared" si="51"/>
        <v>58900</v>
      </c>
      <c r="AI175" s="26">
        <f t="shared" si="52"/>
        <v>20000</v>
      </c>
    </row>
    <row r="176" spans="25:35" ht="20.100000000000001" customHeight="1">
      <c r="Y176" s="54"/>
      <c r="Z176" s="33" t="s">
        <v>721</v>
      </c>
      <c r="AA176" s="33">
        <v>50</v>
      </c>
      <c r="AB176" s="33">
        <v>3</v>
      </c>
      <c r="AC176" s="33">
        <v>10</v>
      </c>
      <c r="AD176" s="65">
        <f t="shared" si="47"/>
        <v>785</v>
      </c>
      <c r="AE176" s="33">
        <f t="shared" si="48"/>
        <v>1963</v>
      </c>
      <c r="AF176" s="33">
        <f t="shared" si="49"/>
        <v>1080</v>
      </c>
      <c r="AG176" s="65">
        <f t="shared" si="50"/>
        <v>1080</v>
      </c>
      <c r="AH176" s="65">
        <f t="shared" si="51"/>
        <v>21600</v>
      </c>
      <c r="AI176" s="26">
        <f t="shared" si="52"/>
        <v>20000</v>
      </c>
    </row>
    <row r="177" spans="25:35" ht="20.100000000000001" customHeight="1">
      <c r="Y177" s="54"/>
      <c r="Z177" s="33" t="s">
        <v>722</v>
      </c>
      <c r="AA177" s="33">
        <v>50</v>
      </c>
      <c r="AB177" s="33">
        <v>3</v>
      </c>
      <c r="AC177" s="33">
        <v>7</v>
      </c>
      <c r="AD177" s="65">
        <f t="shared" si="47"/>
        <v>785</v>
      </c>
      <c r="AE177" s="33">
        <f t="shared" si="48"/>
        <v>1963</v>
      </c>
      <c r="AF177" s="33">
        <f t="shared" si="49"/>
        <v>1178</v>
      </c>
      <c r="AG177" s="65">
        <f t="shared" si="50"/>
        <v>1178</v>
      </c>
      <c r="AH177" s="65">
        <f t="shared" si="51"/>
        <v>23560</v>
      </c>
      <c r="AI177" s="26">
        <f t="shared" si="52"/>
        <v>20000</v>
      </c>
    </row>
    <row r="178" spans="25:35" ht="20.100000000000001" customHeight="1">
      <c r="Y178" s="54"/>
      <c r="Z178" s="33" t="s">
        <v>723</v>
      </c>
      <c r="AA178" s="33">
        <v>50</v>
      </c>
      <c r="AB178" s="33">
        <v>3</v>
      </c>
      <c r="AC178" s="33">
        <v>9</v>
      </c>
      <c r="AD178" s="65">
        <f t="shared" si="47"/>
        <v>785</v>
      </c>
      <c r="AE178" s="33">
        <f t="shared" si="48"/>
        <v>1963</v>
      </c>
      <c r="AF178" s="33">
        <f t="shared" si="49"/>
        <v>982</v>
      </c>
      <c r="AG178" s="65">
        <f t="shared" si="50"/>
        <v>982</v>
      </c>
      <c r="AH178" s="65">
        <f t="shared" si="51"/>
        <v>19640</v>
      </c>
      <c r="AI178" s="26">
        <f t="shared" si="52"/>
        <v>20000</v>
      </c>
    </row>
    <row r="179" spans="25:35" ht="20.100000000000001" customHeight="1">
      <c r="Y179" s="54"/>
      <c r="Z179" s="33" t="s">
        <v>724</v>
      </c>
      <c r="AA179" s="33">
        <v>50</v>
      </c>
      <c r="AB179" s="33">
        <v>3</v>
      </c>
      <c r="AC179" s="33">
        <v>8</v>
      </c>
      <c r="AD179" s="65">
        <f t="shared" si="47"/>
        <v>785</v>
      </c>
      <c r="AE179" s="33">
        <f t="shared" si="48"/>
        <v>1963</v>
      </c>
      <c r="AF179" s="33">
        <f t="shared" si="49"/>
        <v>785</v>
      </c>
      <c r="AG179" s="65">
        <f t="shared" si="50"/>
        <v>785</v>
      </c>
      <c r="AH179" s="65">
        <f t="shared" si="51"/>
        <v>15700</v>
      </c>
      <c r="AI179" s="26">
        <f t="shared" si="52"/>
        <v>20000</v>
      </c>
    </row>
    <row r="180" spans="25:35" ht="20.100000000000001" customHeight="1">
      <c r="Y180" s="54"/>
      <c r="Z180" s="33" t="s">
        <v>725</v>
      </c>
      <c r="AA180" s="33">
        <v>50</v>
      </c>
      <c r="AB180" s="33">
        <v>3</v>
      </c>
      <c r="AC180" s="33">
        <v>6</v>
      </c>
      <c r="AD180" s="65">
        <f t="shared" si="47"/>
        <v>785</v>
      </c>
      <c r="AE180" s="33">
        <f t="shared" si="48"/>
        <v>1963</v>
      </c>
      <c r="AF180" s="33">
        <f t="shared" si="49"/>
        <v>785</v>
      </c>
      <c r="AG180" s="65">
        <f t="shared" si="50"/>
        <v>785</v>
      </c>
      <c r="AH180" s="65">
        <f t="shared" si="51"/>
        <v>15700</v>
      </c>
      <c r="AI180" s="26">
        <f t="shared" si="52"/>
        <v>20000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C8" sqref="C8"/>
    </sheetView>
  </sheetViews>
  <sheetFormatPr defaultRowHeight="13.5"/>
  <cols>
    <col min="1" max="1" width="9" style="17"/>
    <col min="2" max="2" width="14.375" bestFit="1" customWidth="1"/>
  </cols>
  <sheetData>
    <row r="1" spans="1:6" ht="20.100000000000001" customHeight="1">
      <c r="B1" s="17" t="s">
        <v>944</v>
      </c>
    </row>
    <row r="2" spans="1:6">
      <c r="A2" s="17" t="s">
        <v>943</v>
      </c>
      <c r="B2" s="91" t="s">
        <v>945</v>
      </c>
      <c r="C2" s="91" t="s">
        <v>946</v>
      </c>
      <c r="D2" s="91">
        <v>10</v>
      </c>
      <c r="E2" s="91" t="s">
        <v>947</v>
      </c>
      <c r="F2" s="91">
        <v>5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80"/>
  <sheetViews>
    <sheetView workbookViewId="0">
      <selection activeCell="B11" sqref="B11"/>
    </sheetView>
  </sheetViews>
  <sheetFormatPr defaultRowHeight="13.5"/>
  <cols>
    <col min="2" max="2" width="13.125" style="54" bestFit="1" customWidth="1"/>
    <col min="3" max="3" width="11.375" style="54" bestFit="1" customWidth="1"/>
    <col min="7" max="7" width="11.375" bestFit="1" customWidth="1"/>
    <col min="8" max="8" width="11.375" style="54" customWidth="1"/>
    <col min="10" max="10" width="16.75" bestFit="1" customWidth="1"/>
    <col min="11" max="11" width="9" style="91"/>
    <col min="13" max="13" width="9" style="91"/>
    <col min="14" max="14" width="15" bestFit="1" customWidth="1"/>
  </cols>
  <sheetData>
    <row r="1" spans="1:15" s="12" customFormat="1" ht="20.100000000000001" customHeight="1">
      <c r="A1" s="19" t="s">
        <v>0</v>
      </c>
      <c r="B1" s="19" t="s">
        <v>364</v>
      </c>
      <c r="C1" s="19" t="s">
        <v>363</v>
      </c>
      <c r="D1" s="19" t="s">
        <v>357</v>
      </c>
      <c r="E1" s="19" t="s">
        <v>358</v>
      </c>
      <c r="F1" s="19" t="s">
        <v>359</v>
      </c>
      <c r="G1" s="19" t="s">
        <v>360</v>
      </c>
      <c r="H1" s="19" t="s">
        <v>365</v>
      </c>
      <c r="I1" s="19" t="s">
        <v>366</v>
      </c>
      <c r="J1" s="19" t="s">
        <v>367</v>
      </c>
      <c r="K1" s="90"/>
      <c r="M1" s="90"/>
      <c r="N1" s="19" t="s">
        <v>361</v>
      </c>
      <c r="O1" s="14">
        <v>3</v>
      </c>
    </row>
    <row r="2" spans="1:15" s="12" customFormat="1" ht="20.100000000000001" customHeight="1">
      <c r="A2" s="14">
        <v>1</v>
      </c>
      <c r="B2" s="14">
        <f>C2*$O$1</f>
        <v>1500</v>
      </c>
      <c r="C2" s="14">
        <f>F2+J2</f>
        <v>500</v>
      </c>
      <c r="D2" s="14">
        <v>30</v>
      </c>
      <c r="E2" s="14">
        <f>LOOKUP(A2,怪物掉落!$A$2:$A$66,怪物掉落!$B$2:$B$66)</f>
        <v>10</v>
      </c>
      <c r="F2" s="14">
        <f>D2*E2</f>
        <v>300</v>
      </c>
      <c r="G2" s="14">
        <f>LOOKUP(A2,建筑等级和人物等级匹配关系!$A$2:$A$66,建筑等级和人物等级匹配关系!$B$2:$B$66)</f>
        <v>1</v>
      </c>
      <c r="H2" s="14">
        <f>ROUND(F2*$O$2,-2)</f>
        <v>100</v>
      </c>
      <c r="I2" s="14">
        <v>0</v>
      </c>
      <c r="J2" s="14">
        <v>200</v>
      </c>
      <c r="K2" s="90"/>
      <c r="L2" s="90"/>
      <c r="M2" s="90"/>
      <c r="N2" s="19" t="s">
        <v>362</v>
      </c>
      <c r="O2" s="14">
        <v>0.3</v>
      </c>
    </row>
    <row r="3" spans="1:15" s="12" customFormat="1" ht="20.100000000000001" customHeight="1">
      <c r="A3" s="14">
        <v>2</v>
      </c>
      <c r="B3" s="14">
        <f t="shared" ref="B3:B66" si="0">C3*$O$1</f>
        <v>1770</v>
      </c>
      <c r="C3" s="14">
        <f t="shared" ref="C3:C66" si="1">F3+J3</f>
        <v>590</v>
      </c>
      <c r="D3" s="14">
        <v>30</v>
      </c>
      <c r="E3" s="14">
        <f>LOOKUP(A3,怪物掉落!$A$2:$A$66,怪物掉落!$B$2:$B$66)</f>
        <v>13</v>
      </c>
      <c r="F3" s="14">
        <f t="shared" ref="F3:F66" si="2">D3*E3</f>
        <v>390</v>
      </c>
      <c r="G3" s="14">
        <f>LOOKUP(A3,建筑等级和人物等级匹配关系!$A$2:$A$66,建筑等级和人物等级匹配关系!$B$2:$B$66)</f>
        <v>1</v>
      </c>
      <c r="H3" s="14">
        <f t="shared" ref="H3:H66" si="3">ROUND(F3*$O$2,-2)</f>
        <v>100</v>
      </c>
      <c r="I3" s="14">
        <v>0</v>
      </c>
      <c r="J3" s="14">
        <f>IF(I3=0,J2,H3*I3)</f>
        <v>200</v>
      </c>
      <c r="K3" s="90"/>
      <c r="L3" s="90"/>
      <c r="M3" s="90"/>
      <c r="N3" s="18"/>
    </row>
    <row r="4" spans="1:15" s="12" customFormat="1" ht="20.100000000000001" customHeight="1">
      <c r="A4" s="14">
        <v>3</v>
      </c>
      <c r="B4" s="14">
        <f t="shared" si="0"/>
        <v>2040</v>
      </c>
      <c r="C4" s="14">
        <f t="shared" si="1"/>
        <v>680</v>
      </c>
      <c r="D4" s="14">
        <v>30</v>
      </c>
      <c r="E4" s="14">
        <f>LOOKUP(A4,怪物掉落!$A$2:$A$66,怪物掉落!$B$2:$B$66)</f>
        <v>16</v>
      </c>
      <c r="F4" s="14">
        <f t="shared" si="2"/>
        <v>480</v>
      </c>
      <c r="G4" s="14">
        <f>LOOKUP(A4,建筑等级和人物等级匹配关系!$A$2:$A$66,建筑等级和人物等级匹配关系!$B$2:$B$66)</f>
        <v>1</v>
      </c>
      <c r="H4" s="14">
        <f t="shared" si="3"/>
        <v>100</v>
      </c>
      <c r="I4" s="14">
        <v>0</v>
      </c>
      <c r="J4" s="14">
        <f t="shared" ref="J4:J66" si="4">IF(I4=0,J3,H4*I4)</f>
        <v>200</v>
      </c>
      <c r="K4" s="90"/>
      <c r="L4" s="90"/>
      <c r="M4" s="90"/>
      <c r="N4" s="19" t="s">
        <v>368</v>
      </c>
    </row>
    <row r="5" spans="1:15" s="12" customFormat="1" ht="20.100000000000001" customHeight="1">
      <c r="A5" s="14">
        <v>4</v>
      </c>
      <c r="B5" s="14">
        <f t="shared" si="0"/>
        <v>2310</v>
      </c>
      <c r="C5" s="14">
        <f t="shared" si="1"/>
        <v>770</v>
      </c>
      <c r="D5" s="14">
        <v>30</v>
      </c>
      <c r="E5" s="14">
        <f>LOOKUP(A5,怪物掉落!$A$2:$A$66,怪物掉落!$B$2:$B$66)</f>
        <v>19</v>
      </c>
      <c r="F5" s="14">
        <f t="shared" si="2"/>
        <v>570</v>
      </c>
      <c r="G5" s="14">
        <f>LOOKUP(A5,建筑等级和人物等级匹配关系!$A$2:$A$66,建筑等级和人物等级匹配关系!$B$2:$B$66)</f>
        <v>1</v>
      </c>
      <c r="H5" s="14">
        <f t="shared" si="3"/>
        <v>200</v>
      </c>
      <c r="I5" s="14">
        <v>0</v>
      </c>
      <c r="J5" s="14">
        <f t="shared" si="4"/>
        <v>200</v>
      </c>
      <c r="K5" s="90"/>
      <c r="L5" s="90"/>
      <c r="M5" s="90"/>
      <c r="N5" s="14">
        <v>1</v>
      </c>
      <c r="O5" s="14">
        <f>LOOKUP(N5,$G$2:$G$66,$J$2:$J$66)</f>
        <v>200</v>
      </c>
    </row>
    <row r="6" spans="1:15" s="12" customFormat="1" ht="20.100000000000001" customHeight="1">
      <c r="A6" s="14">
        <v>5</v>
      </c>
      <c r="B6" s="14">
        <f t="shared" si="0"/>
        <v>2580</v>
      </c>
      <c r="C6" s="14">
        <f t="shared" si="1"/>
        <v>860</v>
      </c>
      <c r="D6" s="14">
        <v>30</v>
      </c>
      <c r="E6" s="14">
        <f>LOOKUP(A6,怪物掉落!$A$2:$A$66,怪物掉落!$B$2:$B$66)</f>
        <v>22</v>
      </c>
      <c r="F6" s="14">
        <f t="shared" si="2"/>
        <v>660</v>
      </c>
      <c r="G6" s="14">
        <f>LOOKUP(A6,建筑等级和人物等级匹配关系!$A$2:$A$66,建筑等级和人物等级匹配关系!$B$2:$B$66)</f>
        <v>1</v>
      </c>
      <c r="H6" s="14">
        <f t="shared" si="3"/>
        <v>200</v>
      </c>
      <c r="I6" s="14">
        <v>0</v>
      </c>
      <c r="J6" s="14">
        <f t="shared" si="4"/>
        <v>200</v>
      </c>
      <c r="K6" s="90"/>
      <c r="L6" s="90"/>
      <c r="M6" s="90"/>
      <c r="N6" s="14">
        <v>2</v>
      </c>
      <c r="O6" s="14">
        <f t="shared" ref="O6:O29" si="5">LOOKUP(N6,$G$2:$G$66,$J$2:$J$66)</f>
        <v>400</v>
      </c>
    </row>
    <row r="7" spans="1:15" s="12" customFormat="1" ht="20.100000000000001" customHeight="1">
      <c r="A7" s="14">
        <v>6</v>
      </c>
      <c r="B7" s="14">
        <f t="shared" si="0"/>
        <v>2850</v>
      </c>
      <c r="C7" s="14">
        <f t="shared" si="1"/>
        <v>950</v>
      </c>
      <c r="D7" s="14">
        <v>30</v>
      </c>
      <c r="E7" s="14">
        <f>LOOKUP(A7,怪物掉落!$A$2:$A$66,怪物掉落!$B$2:$B$66)</f>
        <v>25</v>
      </c>
      <c r="F7" s="14">
        <f t="shared" si="2"/>
        <v>750</v>
      </c>
      <c r="G7" s="14">
        <f>LOOKUP(A7,建筑等级和人物等级匹配关系!$A$2:$A$66,建筑等级和人物等级匹配关系!$B$2:$B$66)</f>
        <v>1</v>
      </c>
      <c r="H7" s="14">
        <f t="shared" si="3"/>
        <v>200</v>
      </c>
      <c r="I7" s="14">
        <v>0</v>
      </c>
      <c r="J7" s="14">
        <f t="shared" si="4"/>
        <v>200</v>
      </c>
      <c r="K7" s="90"/>
      <c r="L7" s="90"/>
      <c r="M7" s="90"/>
      <c r="N7" s="14">
        <v>3</v>
      </c>
      <c r="O7" s="14">
        <f t="shared" si="5"/>
        <v>400</v>
      </c>
    </row>
    <row r="8" spans="1:15" s="12" customFormat="1" ht="20.100000000000001" customHeight="1">
      <c r="A8" s="14">
        <v>7</v>
      </c>
      <c r="B8" s="14">
        <f t="shared" si="0"/>
        <v>3120</v>
      </c>
      <c r="C8" s="14">
        <f t="shared" si="1"/>
        <v>1040</v>
      </c>
      <c r="D8" s="14">
        <v>30</v>
      </c>
      <c r="E8" s="14">
        <f>LOOKUP(A8,怪物掉落!$A$2:$A$66,怪物掉落!$B$2:$B$66)</f>
        <v>28</v>
      </c>
      <c r="F8" s="14">
        <f t="shared" si="2"/>
        <v>840</v>
      </c>
      <c r="G8" s="14">
        <f>LOOKUP(A8,建筑等级和人物等级匹配关系!$A$2:$A$66,建筑等级和人物等级匹配关系!$B$2:$B$66)</f>
        <v>1</v>
      </c>
      <c r="H8" s="14">
        <f t="shared" si="3"/>
        <v>300</v>
      </c>
      <c r="I8" s="14">
        <v>0</v>
      </c>
      <c r="J8" s="14">
        <f t="shared" si="4"/>
        <v>200</v>
      </c>
      <c r="K8" s="90"/>
      <c r="L8" s="90"/>
      <c r="M8" s="90"/>
      <c r="N8" s="14">
        <v>4</v>
      </c>
      <c r="O8" s="14">
        <f t="shared" si="5"/>
        <v>400</v>
      </c>
    </row>
    <row r="9" spans="1:15" s="12" customFormat="1" ht="20.100000000000001" customHeight="1">
      <c r="A9" s="14">
        <v>8</v>
      </c>
      <c r="B9" s="14">
        <f t="shared" si="0"/>
        <v>3390</v>
      </c>
      <c r="C9" s="14">
        <f t="shared" si="1"/>
        <v>1130</v>
      </c>
      <c r="D9" s="14">
        <v>30</v>
      </c>
      <c r="E9" s="14">
        <f>LOOKUP(A9,怪物掉落!$A$2:$A$66,怪物掉落!$B$2:$B$66)</f>
        <v>31</v>
      </c>
      <c r="F9" s="14">
        <f t="shared" si="2"/>
        <v>930</v>
      </c>
      <c r="G9" s="14">
        <f>LOOKUP(A9,建筑等级和人物等级匹配关系!$A$2:$A$66,建筑等级和人物等级匹配关系!$B$2:$B$66)</f>
        <v>1</v>
      </c>
      <c r="H9" s="14">
        <f t="shared" si="3"/>
        <v>300</v>
      </c>
      <c r="I9" s="14">
        <v>0</v>
      </c>
      <c r="J9" s="14">
        <f t="shared" si="4"/>
        <v>200</v>
      </c>
      <c r="K9" s="90"/>
      <c r="L9" s="90"/>
      <c r="M9" s="90"/>
      <c r="N9" s="14">
        <v>5</v>
      </c>
      <c r="O9" s="14">
        <f t="shared" si="5"/>
        <v>400</v>
      </c>
    </row>
    <row r="10" spans="1:15" s="12" customFormat="1" ht="20.100000000000001" customHeight="1">
      <c r="A10" s="14">
        <v>9</v>
      </c>
      <c r="B10" s="14">
        <f t="shared" si="0"/>
        <v>3660</v>
      </c>
      <c r="C10" s="14">
        <f t="shared" si="1"/>
        <v>1220</v>
      </c>
      <c r="D10" s="14">
        <v>30</v>
      </c>
      <c r="E10" s="14">
        <f>LOOKUP(A10,怪物掉落!$A$2:$A$66,怪物掉落!$B$2:$B$66)</f>
        <v>34</v>
      </c>
      <c r="F10" s="14">
        <f t="shared" si="2"/>
        <v>1020</v>
      </c>
      <c r="G10" s="14">
        <f>LOOKUP(A10,建筑等级和人物等级匹配关系!$A$2:$A$66,建筑等级和人物等级匹配关系!$B$2:$B$66)</f>
        <v>1</v>
      </c>
      <c r="H10" s="14">
        <f t="shared" si="3"/>
        <v>300</v>
      </c>
      <c r="I10" s="14">
        <v>0</v>
      </c>
      <c r="J10" s="14">
        <f t="shared" si="4"/>
        <v>200</v>
      </c>
      <c r="K10" s="90"/>
      <c r="L10" s="90"/>
      <c r="M10" s="90"/>
      <c r="N10" s="14">
        <v>6</v>
      </c>
      <c r="O10" s="14">
        <f t="shared" si="5"/>
        <v>400</v>
      </c>
    </row>
    <row r="11" spans="1:15" s="12" customFormat="1" ht="20.100000000000001" customHeight="1">
      <c r="A11" s="14">
        <v>10</v>
      </c>
      <c r="B11" s="14">
        <f t="shared" si="0"/>
        <v>3930</v>
      </c>
      <c r="C11" s="14">
        <f t="shared" si="1"/>
        <v>1310</v>
      </c>
      <c r="D11" s="14">
        <v>30</v>
      </c>
      <c r="E11" s="14">
        <f>LOOKUP(A11,怪物掉落!$A$2:$A$66,怪物掉落!$B$2:$B$66)</f>
        <v>37</v>
      </c>
      <c r="F11" s="14">
        <f t="shared" si="2"/>
        <v>1110</v>
      </c>
      <c r="G11" s="14">
        <f>LOOKUP(A11,建筑等级和人物等级匹配关系!$A$2:$A$66,建筑等级和人物等级匹配关系!$B$2:$B$66)</f>
        <v>1</v>
      </c>
      <c r="H11" s="14">
        <f t="shared" si="3"/>
        <v>300</v>
      </c>
      <c r="I11" s="14">
        <v>0</v>
      </c>
      <c r="J11" s="14">
        <f t="shared" si="4"/>
        <v>200</v>
      </c>
      <c r="K11" s="90"/>
      <c r="L11" s="90"/>
      <c r="M11" s="90"/>
      <c r="N11" s="14">
        <v>7</v>
      </c>
      <c r="O11" s="14">
        <f t="shared" si="5"/>
        <v>700</v>
      </c>
    </row>
    <row r="12" spans="1:15" s="12" customFormat="1" ht="20.100000000000001" customHeight="1">
      <c r="A12" s="14">
        <v>11</v>
      </c>
      <c r="B12" s="14">
        <f t="shared" si="0"/>
        <v>4800</v>
      </c>
      <c r="C12" s="14">
        <f t="shared" si="1"/>
        <v>1600</v>
      </c>
      <c r="D12" s="14">
        <v>30</v>
      </c>
      <c r="E12" s="14">
        <f>LOOKUP(A12,怪物掉落!$A$2:$A$66,怪物掉落!$B$2:$B$66)</f>
        <v>40</v>
      </c>
      <c r="F12" s="14">
        <f t="shared" si="2"/>
        <v>1200</v>
      </c>
      <c r="G12" s="14">
        <f>LOOKUP(A12,建筑等级和人物等级匹配关系!$A$2:$A$66,建筑等级和人物等级匹配关系!$B$2:$B$66)</f>
        <v>2</v>
      </c>
      <c r="H12" s="14">
        <f t="shared" si="3"/>
        <v>400</v>
      </c>
      <c r="I12" s="14">
        <v>1</v>
      </c>
      <c r="J12" s="14">
        <f t="shared" si="4"/>
        <v>400</v>
      </c>
      <c r="K12" s="90"/>
      <c r="L12" s="90"/>
      <c r="M12" s="90"/>
      <c r="N12" s="14">
        <v>8</v>
      </c>
      <c r="O12" s="14">
        <f t="shared" si="5"/>
        <v>700</v>
      </c>
    </row>
    <row r="13" spans="1:15" s="12" customFormat="1" ht="20.100000000000001" customHeight="1">
      <c r="A13" s="14">
        <v>12</v>
      </c>
      <c r="B13" s="14">
        <f t="shared" si="0"/>
        <v>5070</v>
      </c>
      <c r="C13" s="14">
        <f t="shared" si="1"/>
        <v>1690</v>
      </c>
      <c r="D13" s="14">
        <v>30</v>
      </c>
      <c r="E13" s="14">
        <f>LOOKUP(A13,怪物掉落!$A$2:$A$66,怪物掉落!$B$2:$B$66)</f>
        <v>43</v>
      </c>
      <c r="F13" s="14">
        <f t="shared" si="2"/>
        <v>1290</v>
      </c>
      <c r="G13" s="14">
        <f>LOOKUP(A13,建筑等级和人物等级匹配关系!$A$2:$A$66,建筑等级和人物等级匹配关系!$B$2:$B$66)</f>
        <v>2</v>
      </c>
      <c r="H13" s="14">
        <f t="shared" si="3"/>
        <v>400</v>
      </c>
      <c r="I13" s="14">
        <v>0</v>
      </c>
      <c r="J13" s="14">
        <f t="shared" si="4"/>
        <v>400</v>
      </c>
      <c r="K13" s="90"/>
      <c r="L13" s="90"/>
      <c r="M13" s="90"/>
      <c r="N13" s="14">
        <v>9</v>
      </c>
      <c r="O13" s="14">
        <f t="shared" si="5"/>
        <v>700</v>
      </c>
    </row>
    <row r="14" spans="1:15" s="12" customFormat="1" ht="20.100000000000001" customHeight="1">
      <c r="A14" s="14">
        <v>13</v>
      </c>
      <c r="B14" s="14">
        <f t="shared" si="0"/>
        <v>5340</v>
      </c>
      <c r="C14" s="14">
        <f t="shared" si="1"/>
        <v>1780</v>
      </c>
      <c r="D14" s="14">
        <v>30</v>
      </c>
      <c r="E14" s="14">
        <f>LOOKUP(A14,怪物掉落!$A$2:$A$66,怪物掉落!$B$2:$B$66)</f>
        <v>46</v>
      </c>
      <c r="F14" s="14">
        <f t="shared" si="2"/>
        <v>1380</v>
      </c>
      <c r="G14" s="14">
        <f>LOOKUP(A14,建筑等级和人物等级匹配关系!$A$2:$A$66,建筑等级和人物等级匹配关系!$B$2:$B$66)</f>
        <v>2</v>
      </c>
      <c r="H14" s="14">
        <f t="shared" si="3"/>
        <v>400</v>
      </c>
      <c r="I14" s="14">
        <v>0</v>
      </c>
      <c r="J14" s="14">
        <f t="shared" si="4"/>
        <v>400</v>
      </c>
      <c r="K14" s="90"/>
      <c r="L14" s="90"/>
      <c r="M14" s="90"/>
      <c r="N14" s="14">
        <v>10</v>
      </c>
      <c r="O14" s="14">
        <f t="shared" si="5"/>
        <v>700</v>
      </c>
    </row>
    <row r="15" spans="1:15" s="12" customFormat="1" ht="20.100000000000001" customHeight="1">
      <c r="A15" s="14">
        <v>14</v>
      </c>
      <c r="B15" s="14">
        <f t="shared" si="0"/>
        <v>5610</v>
      </c>
      <c r="C15" s="14">
        <f t="shared" si="1"/>
        <v>1870</v>
      </c>
      <c r="D15" s="14">
        <v>30</v>
      </c>
      <c r="E15" s="14">
        <f>LOOKUP(A15,怪物掉落!$A$2:$A$66,怪物掉落!$B$2:$B$66)</f>
        <v>49</v>
      </c>
      <c r="F15" s="14">
        <f t="shared" si="2"/>
        <v>1470</v>
      </c>
      <c r="G15" s="14">
        <f>LOOKUP(A15,建筑等级和人物等级匹配关系!$A$2:$A$66,建筑等级和人物等级匹配关系!$B$2:$B$66)</f>
        <v>2</v>
      </c>
      <c r="H15" s="14">
        <f t="shared" si="3"/>
        <v>400</v>
      </c>
      <c r="I15" s="14">
        <v>0</v>
      </c>
      <c r="J15" s="14">
        <f t="shared" si="4"/>
        <v>400</v>
      </c>
      <c r="K15" s="90"/>
      <c r="L15" s="90"/>
      <c r="M15" s="90"/>
      <c r="N15" s="14">
        <v>11</v>
      </c>
      <c r="O15" s="14">
        <f t="shared" si="5"/>
        <v>700</v>
      </c>
    </row>
    <row r="16" spans="1:15" s="12" customFormat="1" ht="20.100000000000001" customHeight="1">
      <c r="A16" s="14">
        <v>15</v>
      </c>
      <c r="B16" s="14">
        <f t="shared" si="0"/>
        <v>5880</v>
      </c>
      <c r="C16" s="14">
        <f t="shared" si="1"/>
        <v>1960</v>
      </c>
      <c r="D16" s="14">
        <v>30</v>
      </c>
      <c r="E16" s="14">
        <f>LOOKUP(A16,怪物掉落!$A$2:$A$66,怪物掉落!$B$2:$B$66)</f>
        <v>52</v>
      </c>
      <c r="F16" s="14">
        <f t="shared" si="2"/>
        <v>1560</v>
      </c>
      <c r="G16" s="14">
        <f>LOOKUP(A16,建筑等级和人物等级匹配关系!$A$2:$A$66,建筑等级和人物等级匹配关系!$B$2:$B$66)</f>
        <v>3</v>
      </c>
      <c r="H16" s="14">
        <f t="shared" si="3"/>
        <v>500</v>
      </c>
      <c r="I16" s="14">
        <v>0</v>
      </c>
      <c r="J16" s="14">
        <f t="shared" si="4"/>
        <v>400</v>
      </c>
      <c r="K16" s="90"/>
      <c r="L16" s="90"/>
      <c r="M16" s="90"/>
      <c r="N16" s="14">
        <v>12</v>
      </c>
      <c r="O16" s="14">
        <f t="shared" si="5"/>
        <v>1000</v>
      </c>
    </row>
    <row r="17" spans="1:15" s="12" customFormat="1" ht="20.100000000000001" customHeight="1">
      <c r="A17" s="14">
        <v>16</v>
      </c>
      <c r="B17" s="14">
        <f t="shared" si="0"/>
        <v>6150</v>
      </c>
      <c r="C17" s="14">
        <f t="shared" si="1"/>
        <v>2050</v>
      </c>
      <c r="D17" s="14">
        <v>30</v>
      </c>
      <c r="E17" s="14">
        <f>LOOKUP(A17,怪物掉落!$A$2:$A$66,怪物掉落!$B$2:$B$66)</f>
        <v>55</v>
      </c>
      <c r="F17" s="14">
        <f t="shared" si="2"/>
        <v>1650</v>
      </c>
      <c r="G17" s="14">
        <f>LOOKUP(A17,建筑等级和人物等级匹配关系!$A$2:$A$66,建筑等级和人物等级匹配关系!$B$2:$B$66)</f>
        <v>3</v>
      </c>
      <c r="H17" s="14">
        <f t="shared" si="3"/>
        <v>500</v>
      </c>
      <c r="I17" s="14">
        <v>0</v>
      </c>
      <c r="J17" s="14">
        <f t="shared" si="4"/>
        <v>400</v>
      </c>
      <c r="K17" s="90"/>
      <c r="L17" s="90"/>
      <c r="M17" s="90"/>
      <c r="N17" s="14">
        <v>13</v>
      </c>
      <c r="O17" s="14">
        <f t="shared" si="5"/>
        <v>1000</v>
      </c>
    </row>
    <row r="18" spans="1:15" s="12" customFormat="1" ht="20.100000000000001" customHeight="1">
      <c r="A18" s="14">
        <v>17</v>
      </c>
      <c r="B18" s="14">
        <f t="shared" si="0"/>
        <v>6420</v>
      </c>
      <c r="C18" s="14">
        <f t="shared" si="1"/>
        <v>2140</v>
      </c>
      <c r="D18" s="14">
        <v>30</v>
      </c>
      <c r="E18" s="14">
        <f>LOOKUP(A18,怪物掉落!$A$2:$A$66,怪物掉落!$B$2:$B$66)</f>
        <v>58</v>
      </c>
      <c r="F18" s="14">
        <f t="shared" si="2"/>
        <v>1740</v>
      </c>
      <c r="G18" s="14">
        <f>LOOKUP(A18,建筑等级和人物等级匹配关系!$A$2:$A$66,建筑等级和人物等级匹配关系!$B$2:$B$66)</f>
        <v>4</v>
      </c>
      <c r="H18" s="14">
        <f t="shared" si="3"/>
        <v>500</v>
      </c>
      <c r="I18" s="14">
        <v>0</v>
      </c>
      <c r="J18" s="14">
        <f t="shared" si="4"/>
        <v>400</v>
      </c>
      <c r="K18" s="90"/>
      <c r="L18" s="90"/>
      <c r="M18" s="90"/>
      <c r="N18" s="14">
        <v>14</v>
      </c>
      <c r="O18" s="14">
        <f t="shared" si="5"/>
        <v>1000</v>
      </c>
    </row>
    <row r="19" spans="1:15" s="12" customFormat="1" ht="20.100000000000001" customHeight="1">
      <c r="A19" s="14">
        <v>18</v>
      </c>
      <c r="B19" s="14">
        <f t="shared" si="0"/>
        <v>6690</v>
      </c>
      <c r="C19" s="14">
        <f t="shared" si="1"/>
        <v>2230</v>
      </c>
      <c r="D19" s="14">
        <v>30</v>
      </c>
      <c r="E19" s="14">
        <f>LOOKUP(A19,怪物掉落!$A$2:$A$66,怪物掉落!$B$2:$B$66)</f>
        <v>61</v>
      </c>
      <c r="F19" s="14">
        <f t="shared" si="2"/>
        <v>1830</v>
      </c>
      <c r="G19" s="14">
        <f>LOOKUP(A19,建筑等级和人物等级匹配关系!$A$2:$A$66,建筑等级和人物等级匹配关系!$B$2:$B$66)</f>
        <v>4</v>
      </c>
      <c r="H19" s="14">
        <f t="shared" si="3"/>
        <v>500</v>
      </c>
      <c r="I19" s="14">
        <v>0</v>
      </c>
      <c r="J19" s="14">
        <f t="shared" si="4"/>
        <v>400</v>
      </c>
      <c r="K19" s="90"/>
      <c r="L19" s="90"/>
      <c r="M19" s="90"/>
      <c r="N19" s="14">
        <v>15</v>
      </c>
      <c r="O19" s="14">
        <f t="shared" si="5"/>
        <v>1000</v>
      </c>
    </row>
    <row r="20" spans="1:15" s="12" customFormat="1" ht="20.100000000000001" customHeight="1">
      <c r="A20" s="14">
        <v>19</v>
      </c>
      <c r="B20" s="14">
        <f t="shared" si="0"/>
        <v>6960</v>
      </c>
      <c r="C20" s="14">
        <f t="shared" si="1"/>
        <v>2320</v>
      </c>
      <c r="D20" s="14">
        <v>30</v>
      </c>
      <c r="E20" s="14">
        <f>LOOKUP(A20,怪物掉落!$A$2:$A$66,怪物掉落!$B$2:$B$66)</f>
        <v>64</v>
      </c>
      <c r="F20" s="14">
        <f t="shared" si="2"/>
        <v>1920</v>
      </c>
      <c r="G20" s="14">
        <f>LOOKUP(A20,建筑等级和人物等级匹配关系!$A$2:$A$66,建筑等级和人物等级匹配关系!$B$2:$B$66)</f>
        <v>4</v>
      </c>
      <c r="H20" s="14">
        <f t="shared" si="3"/>
        <v>600</v>
      </c>
      <c r="I20" s="14">
        <v>0</v>
      </c>
      <c r="J20" s="14">
        <f t="shared" si="4"/>
        <v>400</v>
      </c>
      <c r="K20" s="90"/>
      <c r="L20" s="90"/>
      <c r="M20" s="90"/>
      <c r="N20" s="14">
        <v>16</v>
      </c>
      <c r="O20" s="14">
        <f t="shared" si="5"/>
        <v>1000</v>
      </c>
    </row>
    <row r="21" spans="1:15" s="12" customFormat="1" ht="20.100000000000001" customHeight="1">
      <c r="A21" s="14">
        <v>20</v>
      </c>
      <c r="B21" s="14">
        <f t="shared" si="0"/>
        <v>7230</v>
      </c>
      <c r="C21" s="14">
        <f t="shared" si="1"/>
        <v>2410</v>
      </c>
      <c r="D21" s="14">
        <v>30</v>
      </c>
      <c r="E21" s="14">
        <f>LOOKUP(A21,怪物掉落!$A$2:$A$66,怪物掉落!$B$2:$B$66)</f>
        <v>67</v>
      </c>
      <c r="F21" s="14">
        <f t="shared" si="2"/>
        <v>2010</v>
      </c>
      <c r="G21" s="14">
        <f>LOOKUP(A21,建筑等级和人物等级匹配关系!$A$2:$A$66,建筑等级和人物等级匹配关系!$B$2:$B$66)</f>
        <v>5</v>
      </c>
      <c r="H21" s="14">
        <f t="shared" si="3"/>
        <v>600</v>
      </c>
      <c r="I21" s="14">
        <v>0</v>
      </c>
      <c r="J21" s="14">
        <f t="shared" si="4"/>
        <v>400</v>
      </c>
      <c r="K21" s="90"/>
      <c r="L21" s="90"/>
      <c r="M21" s="90"/>
      <c r="N21" s="14">
        <v>17</v>
      </c>
      <c r="O21" s="14">
        <f t="shared" si="5"/>
        <v>1300</v>
      </c>
    </row>
    <row r="22" spans="1:15" s="12" customFormat="1" ht="20.100000000000001" customHeight="1">
      <c r="A22" s="14">
        <v>21</v>
      </c>
      <c r="B22" s="14">
        <f t="shared" si="0"/>
        <v>7500</v>
      </c>
      <c r="C22" s="14">
        <f t="shared" si="1"/>
        <v>2500</v>
      </c>
      <c r="D22" s="14">
        <v>30</v>
      </c>
      <c r="E22" s="14">
        <f>LOOKUP(A22,怪物掉落!$A$2:$A$66,怪物掉落!$B$2:$B$66)</f>
        <v>70</v>
      </c>
      <c r="F22" s="14">
        <f t="shared" si="2"/>
        <v>2100</v>
      </c>
      <c r="G22" s="14">
        <f>LOOKUP(A22,建筑等级和人物等级匹配关系!$A$2:$A$66,建筑等级和人物等级匹配关系!$B$2:$B$66)</f>
        <v>5</v>
      </c>
      <c r="H22" s="14">
        <f t="shared" si="3"/>
        <v>600</v>
      </c>
      <c r="I22" s="14">
        <v>0</v>
      </c>
      <c r="J22" s="14">
        <f t="shared" si="4"/>
        <v>400</v>
      </c>
      <c r="K22" s="90"/>
      <c r="L22" s="90"/>
      <c r="M22" s="90"/>
      <c r="N22" s="14">
        <v>18</v>
      </c>
      <c r="O22" s="14">
        <f t="shared" si="5"/>
        <v>1300</v>
      </c>
    </row>
    <row r="23" spans="1:15" s="12" customFormat="1" ht="20.100000000000001" customHeight="1">
      <c r="A23" s="14">
        <v>22</v>
      </c>
      <c r="B23" s="14">
        <f t="shared" si="0"/>
        <v>7770</v>
      </c>
      <c r="C23" s="14">
        <f t="shared" si="1"/>
        <v>2590</v>
      </c>
      <c r="D23" s="14">
        <v>30</v>
      </c>
      <c r="E23" s="14">
        <f>LOOKUP(A23,怪物掉落!$A$2:$A$66,怪物掉落!$B$2:$B$66)</f>
        <v>73</v>
      </c>
      <c r="F23" s="14">
        <f t="shared" si="2"/>
        <v>2190</v>
      </c>
      <c r="G23" s="14">
        <f>LOOKUP(A23,建筑等级和人物等级匹配关系!$A$2:$A$66,建筑等级和人物等级匹配关系!$B$2:$B$66)</f>
        <v>6</v>
      </c>
      <c r="H23" s="14">
        <f t="shared" si="3"/>
        <v>700</v>
      </c>
      <c r="I23" s="14">
        <v>0</v>
      </c>
      <c r="J23" s="14">
        <f t="shared" si="4"/>
        <v>400</v>
      </c>
      <c r="K23" s="90"/>
      <c r="L23" s="90"/>
      <c r="M23" s="90"/>
      <c r="N23" s="14">
        <v>19</v>
      </c>
      <c r="O23" s="14">
        <f t="shared" si="5"/>
        <v>1300</v>
      </c>
    </row>
    <row r="24" spans="1:15" s="12" customFormat="1" ht="20.100000000000001" customHeight="1">
      <c r="A24" s="14">
        <v>23</v>
      </c>
      <c r="B24" s="14">
        <f t="shared" si="0"/>
        <v>8040</v>
      </c>
      <c r="C24" s="14">
        <f t="shared" si="1"/>
        <v>2680</v>
      </c>
      <c r="D24" s="14">
        <v>30</v>
      </c>
      <c r="E24" s="14">
        <f>LOOKUP(A24,怪物掉落!$A$2:$A$66,怪物掉落!$B$2:$B$66)</f>
        <v>76</v>
      </c>
      <c r="F24" s="14">
        <f t="shared" si="2"/>
        <v>2280</v>
      </c>
      <c r="G24" s="14">
        <f>LOOKUP(A24,建筑等级和人物等级匹配关系!$A$2:$A$66,建筑等级和人物等级匹配关系!$B$2:$B$66)</f>
        <v>6</v>
      </c>
      <c r="H24" s="14">
        <f t="shared" si="3"/>
        <v>700</v>
      </c>
      <c r="I24" s="14">
        <v>0</v>
      </c>
      <c r="J24" s="14">
        <f t="shared" si="4"/>
        <v>400</v>
      </c>
      <c r="K24" s="90"/>
      <c r="L24" s="90"/>
      <c r="M24" s="90"/>
      <c r="N24" s="14">
        <v>20</v>
      </c>
      <c r="O24" s="14">
        <f t="shared" si="5"/>
        <v>1300</v>
      </c>
    </row>
    <row r="25" spans="1:15" s="12" customFormat="1" ht="20.100000000000001" customHeight="1">
      <c r="A25" s="14">
        <v>24</v>
      </c>
      <c r="B25" s="14">
        <f t="shared" si="0"/>
        <v>9210</v>
      </c>
      <c r="C25" s="14">
        <f t="shared" si="1"/>
        <v>3070</v>
      </c>
      <c r="D25" s="14">
        <v>30</v>
      </c>
      <c r="E25" s="14">
        <f>LOOKUP(A25,怪物掉落!$A$2:$A$66,怪物掉落!$B$2:$B$66)</f>
        <v>79</v>
      </c>
      <c r="F25" s="14">
        <f t="shared" si="2"/>
        <v>2370</v>
      </c>
      <c r="G25" s="14">
        <f>LOOKUP(A25,建筑等级和人物等级匹配关系!$A$2:$A$66,建筑等级和人物等级匹配关系!$B$2:$B$66)</f>
        <v>7</v>
      </c>
      <c r="H25" s="14">
        <f t="shared" si="3"/>
        <v>700</v>
      </c>
      <c r="I25" s="14">
        <v>1</v>
      </c>
      <c r="J25" s="14">
        <f t="shared" si="4"/>
        <v>700</v>
      </c>
      <c r="K25" s="90"/>
      <c r="L25" s="90"/>
      <c r="M25" s="90"/>
      <c r="N25" s="14">
        <v>21</v>
      </c>
      <c r="O25" s="14">
        <f t="shared" si="5"/>
        <v>1300</v>
      </c>
    </row>
    <row r="26" spans="1:15" s="12" customFormat="1" ht="20.100000000000001" customHeight="1">
      <c r="A26" s="14">
        <v>25</v>
      </c>
      <c r="B26" s="14">
        <f t="shared" si="0"/>
        <v>9480</v>
      </c>
      <c r="C26" s="14">
        <f t="shared" si="1"/>
        <v>3160</v>
      </c>
      <c r="D26" s="14">
        <v>30</v>
      </c>
      <c r="E26" s="14">
        <f>LOOKUP(A26,怪物掉落!$A$2:$A$66,怪物掉落!$B$2:$B$66)</f>
        <v>82</v>
      </c>
      <c r="F26" s="14">
        <f t="shared" si="2"/>
        <v>2460</v>
      </c>
      <c r="G26" s="14">
        <f>LOOKUP(A26,建筑等级和人物等级匹配关系!$A$2:$A$66,建筑等级和人物等级匹配关系!$B$2:$B$66)</f>
        <v>7</v>
      </c>
      <c r="H26" s="14">
        <f t="shared" si="3"/>
        <v>700</v>
      </c>
      <c r="I26" s="14">
        <v>0</v>
      </c>
      <c r="J26" s="14">
        <f t="shared" si="4"/>
        <v>700</v>
      </c>
      <c r="K26" s="90"/>
      <c r="L26" s="90"/>
      <c r="M26" s="90"/>
      <c r="N26" s="14">
        <v>22</v>
      </c>
      <c r="O26" s="14">
        <f t="shared" si="5"/>
        <v>1500</v>
      </c>
    </row>
    <row r="27" spans="1:15" s="12" customFormat="1" ht="20.100000000000001" customHeight="1">
      <c r="A27" s="14">
        <v>26</v>
      </c>
      <c r="B27" s="14">
        <f t="shared" si="0"/>
        <v>9750</v>
      </c>
      <c r="C27" s="14">
        <f t="shared" si="1"/>
        <v>3250</v>
      </c>
      <c r="D27" s="14">
        <v>30</v>
      </c>
      <c r="E27" s="14">
        <f>LOOKUP(A27,怪物掉落!$A$2:$A$66,怪物掉落!$B$2:$B$66)</f>
        <v>85</v>
      </c>
      <c r="F27" s="14">
        <f t="shared" si="2"/>
        <v>2550</v>
      </c>
      <c r="G27" s="14">
        <f>LOOKUP(A27,建筑等级和人物等级匹配关系!$A$2:$A$66,建筑等级和人物等级匹配关系!$B$2:$B$66)</f>
        <v>8</v>
      </c>
      <c r="H27" s="14">
        <f t="shared" si="3"/>
        <v>800</v>
      </c>
      <c r="I27" s="14">
        <v>0</v>
      </c>
      <c r="J27" s="14">
        <f t="shared" si="4"/>
        <v>700</v>
      </c>
      <c r="K27" s="90"/>
      <c r="L27" s="90"/>
      <c r="M27" s="90"/>
      <c r="N27" s="14">
        <v>23</v>
      </c>
      <c r="O27" s="14">
        <f t="shared" si="5"/>
        <v>1500</v>
      </c>
    </row>
    <row r="28" spans="1:15" s="12" customFormat="1" ht="20.100000000000001" customHeight="1">
      <c r="A28" s="14">
        <v>27</v>
      </c>
      <c r="B28" s="14">
        <f t="shared" si="0"/>
        <v>10020</v>
      </c>
      <c r="C28" s="14">
        <f t="shared" si="1"/>
        <v>3340</v>
      </c>
      <c r="D28" s="14">
        <v>30</v>
      </c>
      <c r="E28" s="14">
        <f>LOOKUP(A28,怪物掉落!$A$2:$A$66,怪物掉落!$B$2:$B$66)</f>
        <v>88</v>
      </c>
      <c r="F28" s="14">
        <f t="shared" si="2"/>
        <v>2640</v>
      </c>
      <c r="G28" s="14">
        <f>LOOKUP(A28,建筑等级和人物等级匹配关系!$A$2:$A$66,建筑等级和人物等级匹配关系!$B$2:$B$66)</f>
        <v>8</v>
      </c>
      <c r="H28" s="14">
        <f t="shared" si="3"/>
        <v>800</v>
      </c>
      <c r="I28" s="14">
        <v>0</v>
      </c>
      <c r="J28" s="14">
        <f t="shared" si="4"/>
        <v>700</v>
      </c>
      <c r="K28" s="90"/>
      <c r="L28" s="90"/>
      <c r="M28" s="90"/>
      <c r="N28" s="14">
        <v>24</v>
      </c>
      <c r="O28" s="14">
        <f t="shared" si="5"/>
        <v>1500</v>
      </c>
    </row>
    <row r="29" spans="1:15" s="12" customFormat="1" ht="20.100000000000001" customHeight="1">
      <c r="A29" s="14">
        <v>28</v>
      </c>
      <c r="B29" s="14">
        <f t="shared" si="0"/>
        <v>10290</v>
      </c>
      <c r="C29" s="14">
        <f t="shared" si="1"/>
        <v>3430</v>
      </c>
      <c r="D29" s="14">
        <v>30</v>
      </c>
      <c r="E29" s="14">
        <f>LOOKUP(A29,怪物掉落!$A$2:$A$66,怪物掉落!$B$2:$B$66)</f>
        <v>91</v>
      </c>
      <c r="F29" s="14">
        <f t="shared" si="2"/>
        <v>2730</v>
      </c>
      <c r="G29" s="14">
        <f>LOOKUP(A29,建筑等级和人物等级匹配关系!$A$2:$A$66,建筑等级和人物等级匹配关系!$B$2:$B$66)</f>
        <v>9</v>
      </c>
      <c r="H29" s="14">
        <f t="shared" si="3"/>
        <v>800</v>
      </c>
      <c r="I29" s="14">
        <v>0</v>
      </c>
      <c r="J29" s="14">
        <f t="shared" si="4"/>
        <v>700</v>
      </c>
      <c r="K29" s="90"/>
      <c r="L29" s="90"/>
      <c r="M29" s="90"/>
      <c r="N29" s="14">
        <v>25</v>
      </c>
      <c r="O29" s="14">
        <f t="shared" si="5"/>
        <v>1700</v>
      </c>
    </row>
    <row r="30" spans="1:15" s="12" customFormat="1" ht="20.100000000000001" customHeight="1">
      <c r="A30" s="14">
        <v>29</v>
      </c>
      <c r="B30" s="14">
        <f t="shared" si="0"/>
        <v>10560</v>
      </c>
      <c r="C30" s="14">
        <f t="shared" si="1"/>
        <v>3520</v>
      </c>
      <c r="D30" s="14">
        <v>30</v>
      </c>
      <c r="E30" s="14">
        <f>LOOKUP(A30,怪物掉落!$A$2:$A$66,怪物掉落!$B$2:$B$66)</f>
        <v>94</v>
      </c>
      <c r="F30" s="14">
        <f t="shared" si="2"/>
        <v>2820</v>
      </c>
      <c r="G30" s="14">
        <f>LOOKUP(A30,建筑等级和人物等级匹配关系!$A$2:$A$66,建筑等级和人物等级匹配关系!$B$2:$B$66)</f>
        <v>9</v>
      </c>
      <c r="H30" s="14">
        <f t="shared" si="3"/>
        <v>800</v>
      </c>
      <c r="I30" s="14">
        <v>0</v>
      </c>
      <c r="J30" s="14">
        <f t="shared" si="4"/>
        <v>700</v>
      </c>
      <c r="K30" s="90"/>
      <c r="L30" s="90"/>
      <c r="M30" s="90"/>
    </row>
    <row r="31" spans="1:15" s="12" customFormat="1" ht="20.100000000000001" customHeight="1">
      <c r="A31" s="14">
        <v>30</v>
      </c>
      <c r="B31" s="14">
        <f t="shared" si="0"/>
        <v>10830</v>
      </c>
      <c r="C31" s="14">
        <f t="shared" si="1"/>
        <v>3610</v>
      </c>
      <c r="D31" s="14">
        <v>30</v>
      </c>
      <c r="E31" s="14">
        <f>LOOKUP(A31,怪物掉落!$A$2:$A$66,怪物掉落!$B$2:$B$66)</f>
        <v>97</v>
      </c>
      <c r="F31" s="14">
        <f t="shared" si="2"/>
        <v>2910</v>
      </c>
      <c r="G31" s="14">
        <f>LOOKUP(A31,建筑等级和人物等级匹配关系!$A$2:$A$66,建筑等级和人物等级匹配关系!$B$2:$B$66)</f>
        <v>10</v>
      </c>
      <c r="H31" s="14">
        <f t="shared" si="3"/>
        <v>900</v>
      </c>
      <c r="I31" s="14">
        <v>0</v>
      </c>
      <c r="J31" s="14">
        <f t="shared" si="4"/>
        <v>700</v>
      </c>
      <c r="K31" s="90"/>
      <c r="L31" s="90"/>
      <c r="M31" s="90"/>
    </row>
    <row r="32" spans="1:15" s="12" customFormat="1" ht="20.100000000000001" customHeight="1">
      <c r="A32" s="14">
        <v>31</v>
      </c>
      <c r="B32" s="14">
        <f t="shared" si="0"/>
        <v>11100</v>
      </c>
      <c r="C32" s="14">
        <f t="shared" si="1"/>
        <v>3700</v>
      </c>
      <c r="D32" s="14">
        <v>30</v>
      </c>
      <c r="E32" s="14">
        <f>LOOKUP(A32,怪物掉落!$A$2:$A$66,怪物掉落!$B$2:$B$66)</f>
        <v>100</v>
      </c>
      <c r="F32" s="14">
        <f t="shared" si="2"/>
        <v>3000</v>
      </c>
      <c r="G32" s="14">
        <f>LOOKUP(A32,建筑等级和人物等级匹配关系!$A$2:$A$66,建筑等级和人物等级匹配关系!$B$2:$B$66)</f>
        <v>10</v>
      </c>
      <c r="H32" s="14">
        <f t="shared" si="3"/>
        <v>900</v>
      </c>
      <c r="I32" s="14">
        <v>0</v>
      </c>
      <c r="J32" s="14">
        <f t="shared" si="4"/>
        <v>700</v>
      </c>
      <c r="K32" s="90"/>
      <c r="L32" s="90"/>
      <c r="M32" s="90"/>
    </row>
    <row r="33" spans="1:13" s="12" customFormat="1" ht="20.100000000000001" customHeight="1">
      <c r="A33" s="14">
        <v>32</v>
      </c>
      <c r="B33" s="14">
        <f t="shared" si="0"/>
        <v>11370</v>
      </c>
      <c r="C33" s="14">
        <f t="shared" si="1"/>
        <v>3790</v>
      </c>
      <c r="D33" s="14">
        <v>30</v>
      </c>
      <c r="E33" s="14">
        <f>LOOKUP(A33,怪物掉落!$A$2:$A$66,怪物掉落!$B$2:$B$66)</f>
        <v>103</v>
      </c>
      <c r="F33" s="14">
        <f t="shared" si="2"/>
        <v>3090</v>
      </c>
      <c r="G33" s="14">
        <f>LOOKUP(A33,建筑等级和人物等级匹配关系!$A$2:$A$66,建筑等级和人物等级匹配关系!$B$2:$B$66)</f>
        <v>11</v>
      </c>
      <c r="H33" s="14">
        <f t="shared" si="3"/>
        <v>900</v>
      </c>
      <c r="I33" s="14">
        <v>0</v>
      </c>
      <c r="J33" s="14">
        <f t="shared" si="4"/>
        <v>700</v>
      </c>
      <c r="K33" s="90"/>
      <c r="L33" s="90"/>
      <c r="M33" s="90"/>
    </row>
    <row r="34" spans="1:13" s="12" customFormat="1" ht="20.100000000000001" customHeight="1">
      <c r="A34" s="14">
        <v>33</v>
      </c>
      <c r="B34" s="14">
        <f t="shared" si="0"/>
        <v>11640</v>
      </c>
      <c r="C34" s="14">
        <f t="shared" si="1"/>
        <v>3880</v>
      </c>
      <c r="D34" s="14">
        <v>30</v>
      </c>
      <c r="E34" s="14">
        <f>LOOKUP(A34,怪物掉落!$A$2:$A$66,怪物掉落!$B$2:$B$66)</f>
        <v>106</v>
      </c>
      <c r="F34" s="14">
        <f t="shared" si="2"/>
        <v>3180</v>
      </c>
      <c r="G34" s="14">
        <f>LOOKUP(A34,建筑等级和人物等级匹配关系!$A$2:$A$66,建筑等级和人物等级匹配关系!$B$2:$B$66)</f>
        <v>11</v>
      </c>
      <c r="H34" s="14">
        <f t="shared" si="3"/>
        <v>1000</v>
      </c>
      <c r="I34" s="14">
        <v>0</v>
      </c>
      <c r="J34" s="14">
        <f t="shared" si="4"/>
        <v>700</v>
      </c>
      <c r="K34" s="90"/>
      <c r="L34" s="90"/>
      <c r="M34" s="90"/>
    </row>
    <row r="35" spans="1:13" s="12" customFormat="1" ht="20.100000000000001" customHeight="1">
      <c r="A35" s="14">
        <v>34</v>
      </c>
      <c r="B35" s="14">
        <f t="shared" si="0"/>
        <v>12810</v>
      </c>
      <c r="C35" s="14">
        <f t="shared" si="1"/>
        <v>4270</v>
      </c>
      <c r="D35" s="14">
        <v>30</v>
      </c>
      <c r="E35" s="14">
        <f>LOOKUP(A35,怪物掉落!$A$2:$A$66,怪物掉落!$B$2:$B$66)</f>
        <v>109</v>
      </c>
      <c r="F35" s="14">
        <f t="shared" si="2"/>
        <v>3270</v>
      </c>
      <c r="G35" s="14">
        <f>LOOKUP(A35,建筑等级和人物等级匹配关系!$A$2:$A$66,建筑等级和人物等级匹配关系!$B$2:$B$66)</f>
        <v>12</v>
      </c>
      <c r="H35" s="14">
        <f t="shared" si="3"/>
        <v>1000</v>
      </c>
      <c r="I35" s="14">
        <v>1</v>
      </c>
      <c r="J35" s="14">
        <f t="shared" si="4"/>
        <v>1000</v>
      </c>
      <c r="K35" s="90"/>
      <c r="L35" s="90"/>
      <c r="M35" s="90"/>
    </row>
    <row r="36" spans="1:13" s="12" customFormat="1" ht="20.100000000000001" customHeight="1">
      <c r="A36" s="14">
        <v>35</v>
      </c>
      <c r="B36" s="14">
        <f t="shared" si="0"/>
        <v>13080</v>
      </c>
      <c r="C36" s="14">
        <f t="shared" si="1"/>
        <v>4360</v>
      </c>
      <c r="D36" s="14">
        <v>30</v>
      </c>
      <c r="E36" s="14">
        <f>LOOKUP(A36,怪物掉落!$A$2:$A$66,怪物掉落!$B$2:$B$66)</f>
        <v>112</v>
      </c>
      <c r="F36" s="14">
        <f t="shared" si="2"/>
        <v>3360</v>
      </c>
      <c r="G36" s="14">
        <f>LOOKUP(A36,建筑等级和人物等级匹配关系!$A$2:$A$66,建筑等级和人物等级匹配关系!$B$2:$B$66)</f>
        <v>12</v>
      </c>
      <c r="H36" s="14">
        <f t="shared" si="3"/>
        <v>1000</v>
      </c>
      <c r="I36" s="14">
        <v>0</v>
      </c>
      <c r="J36" s="14">
        <f t="shared" si="4"/>
        <v>1000</v>
      </c>
      <c r="K36" s="90"/>
      <c r="L36" s="90"/>
      <c r="M36" s="90"/>
    </row>
    <row r="37" spans="1:13" s="12" customFormat="1" ht="20.100000000000001" customHeight="1">
      <c r="A37" s="14">
        <v>36</v>
      </c>
      <c r="B37" s="14">
        <f t="shared" si="0"/>
        <v>13350</v>
      </c>
      <c r="C37" s="14">
        <f t="shared" si="1"/>
        <v>4450</v>
      </c>
      <c r="D37" s="14">
        <v>30</v>
      </c>
      <c r="E37" s="14">
        <f>LOOKUP(A37,怪物掉落!$A$2:$A$66,怪物掉落!$B$2:$B$66)</f>
        <v>115</v>
      </c>
      <c r="F37" s="14">
        <f t="shared" si="2"/>
        <v>3450</v>
      </c>
      <c r="G37" s="14">
        <f>LOOKUP(A37,建筑等级和人物等级匹配关系!$A$2:$A$66,建筑等级和人物等级匹配关系!$B$2:$B$66)</f>
        <v>13</v>
      </c>
      <c r="H37" s="14">
        <f t="shared" si="3"/>
        <v>1000</v>
      </c>
      <c r="I37" s="14">
        <v>0</v>
      </c>
      <c r="J37" s="14">
        <f t="shared" si="4"/>
        <v>1000</v>
      </c>
      <c r="K37" s="90"/>
      <c r="L37" s="90"/>
      <c r="M37" s="90"/>
    </row>
    <row r="38" spans="1:13" s="12" customFormat="1" ht="20.100000000000001" customHeight="1">
      <c r="A38" s="14">
        <v>37</v>
      </c>
      <c r="B38" s="14">
        <f t="shared" si="0"/>
        <v>13620</v>
      </c>
      <c r="C38" s="14">
        <f t="shared" si="1"/>
        <v>4540</v>
      </c>
      <c r="D38" s="14">
        <v>30</v>
      </c>
      <c r="E38" s="14">
        <f>LOOKUP(A38,怪物掉落!$A$2:$A$66,怪物掉落!$B$2:$B$66)</f>
        <v>118</v>
      </c>
      <c r="F38" s="14">
        <f t="shared" si="2"/>
        <v>3540</v>
      </c>
      <c r="G38" s="14">
        <f>LOOKUP(A38,建筑等级和人物等级匹配关系!$A$2:$A$66,建筑等级和人物等级匹配关系!$B$2:$B$66)</f>
        <v>13</v>
      </c>
      <c r="H38" s="14">
        <f t="shared" si="3"/>
        <v>1100</v>
      </c>
      <c r="I38" s="14">
        <v>0</v>
      </c>
      <c r="J38" s="14">
        <f t="shared" si="4"/>
        <v>1000</v>
      </c>
      <c r="K38" s="90"/>
      <c r="L38" s="90"/>
      <c r="M38" s="90"/>
    </row>
    <row r="39" spans="1:13" s="12" customFormat="1" ht="20.100000000000001" customHeight="1">
      <c r="A39" s="14">
        <v>38</v>
      </c>
      <c r="B39" s="14">
        <f t="shared" si="0"/>
        <v>13890</v>
      </c>
      <c r="C39" s="14">
        <f t="shared" si="1"/>
        <v>4630</v>
      </c>
      <c r="D39" s="14">
        <v>30</v>
      </c>
      <c r="E39" s="14">
        <f>LOOKUP(A39,怪物掉落!$A$2:$A$66,怪物掉落!$B$2:$B$66)</f>
        <v>121</v>
      </c>
      <c r="F39" s="14">
        <f t="shared" si="2"/>
        <v>3630</v>
      </c>
      <c r="G39" s="14">
        <f>LOOKUP(A39,建筑等级和人物等级匹配关系!$A$2:$A$66,建筑等级和人物等级匹配关系!$B$2:$B$66)</f>
        <v>14</v>
      </c>
      <c r="H39" s="14">
        <f t="shared" si="3"/>
        <v>1100</v>
      </c>
      <c r="I39" s="14">
        <v>0</v>
      </c>
      <c r="J39" s="14">
        <f t="shared" si="4"/>
        <v>1000</v>
      </c>
      <c r="K39" s="90"/>
      <c r="L39" s="90"/>
      <c r="M39" s="90"/>
    </row>
    <row r="40" spans="1:13" s="12" customFormat="1" ht="20.100000000000001" customHeight="1">
      <c r="A40" s="14">
        <v>39</v>
      </c>
      <c r="B40" s="14">
        <f t="shared" si="0"/>
        <v>14160</v>
      </c>
      <c r="C40" s="14">
        <f t="shared" si="1"/>
        <v>4720</v>
      </c>
      <c r="D40" s="14">
        <v>30</v>
      </c>
      <c r="E40" s="14">
        <f>LOOKUP(A40,怪物掉落!$A$2:$A$66,怪物掉落!$B$2:$B$66)</f>
        <v>124</v>
      </c>
      <c r="F40" s="14">
        <f t="shared" si="2"/>
        <v>3720</v>
      </c>
      <c r="G40" s="14">
        <f>LOOKUP(A40,建筑等级和人物等级匹配关系!$A$2:$A$66,建筑等级和人物等级匹配关系!$B$2:$B$66)</f>
        <v>14</v>
      </c>
      <c r="H40" s="14">
        <f t="shared" si="3"/>
        <v>1100</v>
      </c>
      <c r="I40" s="14">
        <v>0</v>
      </c>
      <c r="J40" s="14">
        <f t="shared" si="4"/>
        <v>1000</v>
      </c>
      <c r="K40" s="90"/>
      <c r="L40" s="90"/>
      <c r="M40" s="90"/>
    </row>
    <row r="41" spans="1:13" s="12" customFormat="1" ht="20.100000000000001" customHeight="1">
      <c r="A41" s="14">
        <v>40</v>
      </c>
      <c r="B41" s="14">
        <f t="shared" si="0"/>
        <v>14430</v>
      </c>
      <c r="C41" s="14">
        <f t="shared" si="1"/>
        <v>4810</v>
      </c>
      <c r="D41" s="14">
        <v>30</v>
      </c>
      <c r="E41" s="14">
        <f>LOOKUP(A41,怪物掉落!$A$2:$A$66,怪物掉落!$B$2:$B$66)</f>
        <v>127</v>
      </c>
      <c r="F41" s="14">
        <f t="shared" si="2"/>
        <v>3810</v>
      </c>
      <c r="G41" s="14">
        <f>LOOKUP(A41,建筑等级和人物等级匹配关系!$A$2:$A$66,建筑等级和人物等级匹配关系!$B$2:$B$66)</f>
        <v>15</v>
      </c>
      <c r="H41" s="14">
        <f t="shared" si="3"/>
        <v>1100</v>
      </c>
      <c r="I41" s="14">
        <v>0</v>
      </c>
      <c r="J41" s="14">
        <f t="shared" si="4"/>
        <v>1000</v>
      </c>
      <c r="K41" s="90"/>
      <c r="L41" s="90"/>
      <c r="M41" s="90"/>
    </row>
    <row r="42" spans="1:13" s="12" customFormat="1" ht="20.100000000000001" customHeight="1">
      <c r="A42" s="14">
        <v>41</v>
      </c>
      <c r="B42" s="14">
        <f t="shared" si="0"/>
        <v>14700</v>
      </c>
      <c r="C42" s="14">
        <f t="shared" si="1"/>
        <v>4900</v>
      </c>
      <c r="D42" s="14">
        <v>30</v>
      </c>
      <c r="E42" s="14">
        <f>LOOKUP(A42,怪物掉落!$A$2:$A$66,怪物掉落!$B$2:$B$66)</f>
        <v>130</v>
      </c>
      <c r="F42" s="14">
        <f t="shared" si="2"/>
        <v>3900</v>
      </c>
      <c r="G42" s="14">
        <f>LOOKUP(A42,建筑等级和人物等级匹配关系!$A$2:$A$66,建筑等级和人物等级匹配关系!$B$2:$B$66)</f>
        <v>15</v>
      </c>
      <c r="H42" s="14">
        <f t="shared" si="3"/>
        <v>1200</v>
      </c>
      <c r="I42" s="14">
        <v>0</v>
      </c>
      <c r="J42" s="14">
        <f t="shared" si="4"/>
        <v>1000</v>
      </c>
      <c r="K42" s="90"/>
      <c r="L42" s="90"/>
      <c r="M42" s="90"/>
    </row>
    <row r="43" spans="1:13" s="12" customFormat="1" ht="20.100000000000001" customHeight="1">
      <c r="A43" s="14">
        <v>42</v>
      </c>
      <c r="B43" s="14">
        <f t="shared" si="0"/>
        <v>14970</v>
      </c>
      <c r="C43" s="14">
        <f t="shared" si="1"/>
        <v>4990</v>
      </c>
      <c r="D43" s="14">
        <v>30</v>
      </c>
      <c r="E43" s="14">
        <f>LOOKUP(A43,怪物掉落!$A$2:$A$66,怪物掉落!$B$2:$B$66)</f>
        <v>133</v>
      </c>
      <c r="F43" s="14">
        <f t="shared" si="2"/>
        <v>3990</v>
      </c>
      <c r="G43" s="14">
        <f>LOOKUP(A43,建筑等级和人物等级匹配关系!$A$2:$A$66,建筑等级和人物等级匹配关系!$B$2:$B$66)</f>
        <v>16</v>
      </c>
      <c r="H43" s="14">
        <f t="shared" si="3"/>
        <v>1200</v>
      </c>
      <c r="I43" s="14">
        <v>0</v>
      </c>
      <c r="J43" s="14">
        <f t="shared" si="4"/>
        <v>1000</v>
      </c>
      <c r="K43" s="90"/>
      <c r="L43" s="90"/>
      <c r="M43" s="90"/>
    </row>
    <row r="44" spans="1:13" s="12" customFormat="1" ht="20.100000000000001" customHeight="1">
      <c r="A44" s="14">
        <v>43</v>
      </c>
      <c r="B44" s="14">
        <f t="shared" si="0"/>
        <v>15240</v>
      </c>
      <c r="C44" s="14">
        <f t="shared" si="1"/>
        <v>5080</v>
      </c>
      <c r="D44" s="14">
        <v>30</v>
      </c>
      <c r="E44" s="14">
        <f>LOOKUP(A44,怪物掉落!$A$2:$A$66,怪物掉落!$B$2:$B$66)</f>
        <v>136</v>
      </c>
      <c r="F44" s="14">
        <f t="shared" si="2"/>
        <v>4080</v>
      </c>
      <c r="G44" s="14">
        <f>LOOKUP(A44,建筑等级和人物等级匹配关系!$A$2:$A$66,建筑等级和人物等级匹配关系!$B$2:$B$66)</f>
        <v>16</v>
      </c>
      <c r="H44" s="14">
        <f t="shared" si="3"/>
        <v>1200</v>
      </c>
      <c r="I44" s="14">
        <v>0</v>
      </c>
      <c r="J44" s="14">
        <f t="shared" si="4"/>
        <v>1000</v>
      </c>
      <c r="K44" s="90"/>
      <c r="L44" s="90"/>
      <c r="M44" s="90"/>
    </row>
    <row r="45" spans="1:13" s="12" customFormat="1" ht="20.100000000000001" customHeight="1">
      <c r="A45" s="14">
        <v>44</v>
      </c>
      <c r="B45" s="14">
        <f t="shared" si="0"/>
        <v>16410</v>
      </c>
      <c r="C45" s="14">
        <f t="shared" si="1"/>
        <v>5470</v>
      </c>
      <c r="D45" s="14">
        <v>30</v>
      </c>
      <c r="E45" s="14">
        <f>LOOKUP(A45,怪物掉落!$A$2:$A$66,怪物掉落!$B$2:$B$66)</f>
        <v>139</v>
      </c>
      <c r="F45" s="14">
        <f t="shared" si="2"/>
        <v>4170</v>
      </c>
      <c r="G45" s="14">
        <f>LOOKUP(A45,建筑等级和人物等级匹配关系!$A$2:$A$66,建筑等级和人物等级匹配关系!$B$2:$B$66)</f>
        <v>17</v>
      </c>
      <c r="H45" s="14">
        <f t="shared" si="3"/>
        <v>1300</v>
      </c>
      <c r="I45" s="14">
        <v>1</v>
      </c>
      <c r="J45" s="14">
        <f t="shared" si="4"/>
        <v>1300</v>
      </c>
      <c r="K45" s="90"/>
      <c r="L45" s="90"/>
      <c r="M45" s="90"/>
    </row>
    <row r="46" spans="1:13" s="12" customFormat="1" ht="20.100000000000001" customHeight="1">
      <c r="A46" s="14">
        <v>45</v>
      </c>
      <c r="B46" s="14">
        <f t="shared" si="0"/>
        <v>16680</v>
      </c>
      <c r="C46" s="14">
        <f t="shared" si="1"/>
        <v>5560</v>
      </c>
      <c r="D46" s="14">
        <v>30</v>
      </c>
      <c r="E46" s="14">
        <f>LOOKUP(A46,怪物掉落!$A$2:$A$66,怪物掉落!$B$2:$B$66)</f>
        <v>142</v>
      </c>
      <c r="F46" s="14">
        <f t="shared" si="2"/>
        <v>4260</v>
      </c>
      <c r="G46" s="14">
        <f>LOOKUP(A46,建筑等级和人物等级匹配关系!$A$2:$A$66,建筑等级和人物等级匹配关系!$B$2:$B$66)</f>
        <v>17</v>
      </c>
      <c r="H46" s="14">
        <f t="shared" si="3"/>
        <v>1300</v>
      </c>
      <c r="I46" s="14">
        <v>0</v>
      </c>
      <c r="J46" s="14">
        <f t="shared" si="4"/>
        <v>1300</v>
      </c>
      <c r="K46" s="90"/>
      <c r="L46" s="90"/>
      <c r="M46" s="90"/>
    </row>
    <row r="47" spans="1:13" s="12" customFormat="1" ht="20.100000000000001" customHeight="1">
      <c r="A47" s="14">
        <v>46</v>
      </c>
      <c r="B47" s="14">
        <f t="shared" si="0"/>
        <v>16950</v>
      </c>
      <c r="C47" s="14">
        <f t="shared" si="1"/>
        <v>5650</v>
      </c>
      <c r="D47" s="14">
        <v>30</v>
      </c>
      <c r="E47" s="14">
        <f>LOOKUP(A47,怪物掉落!$A$2:$A$66,怪物掉落!$B$2:$B$66)</f>
        <v>145</v>
      </c>
      <c r="F47" s="14">
        <f t="shared" si="2"/>
        <v>4350</v>
      </c>
      <c r="G47" s="14">
        <f>LOOKUP(A47,建筑等级和人物等级匹配关系!$A$2:$A$66,建筑等级和人物等级匹配关系!$B$2:$B$66)</f>
        <v>18</v>
      </c>
      <c r="H47" s="14">
        <f t="shared" si="3"/>
        <v>1300</v>
      </c>
      <c r="I47" s="14">
        <v>0</v>
      </c>
      <c r="J47" s="14">
        <f t="shared" si="4"/>
        <v>1300</v>
      </c>
      <c r="K47" s="90"/>
      <c r="L47" s="90"/>
      <c r="M47" s="90"/>
    </row>
    <row r="48" spans="1:13" s="12" customFormat="1" ht="20.100000000000001" customHeight="1">
      <c r="A48" s="14">
        <v>47</v>
      </c>
      <c r="B48" s="14">
        <f t="shared" si="0"/>
        <v>17220</v>
      </c>
      <c r="C48" s="14">
        <f t="shared" si="1"/>
        <v>5740</v>
      </c>
      <c r="D48" s="14">
        <v>30</v>
      </c>
      <c r="E48" s="14">
        <f>LOOKUP(A48,怪物掉落!$A$2:$A$66,怪物掉落!$B$2:$B$66)</f>
        <v>148</v>
      </c>
      <c r="F48" s="14">
        <f t="shared" si="2"/>
        <v>4440</v>
      </c>
      <c r="G48" s="14">
        <f>LOOKUP(A48,建筑等级和人物等级匹配关系!$A$2:$A$66,建筑等级和人物等级匹配关系!$B$2:$B$66)</f>
        <v>18</v>
      </c>
      <c r="H48" s="14">
        <f t="shared" si="3"/>
        <v>1300</v>
      </c>
      <c r="I48" s="14">
        <v>0</v>
      </c>
      <c r="J48" s="14">
        <f t="shared" si="4"/>
        <v>1300</v>
      </c>
      <c r="K48" s="90"/>
      <c r="L48" s="90"/>
      <c r="M48" s="90"/>
    </row>
    <row r="49" spans="1:13" s="12" customFormat="1" ht="20.100000000000001" customHeight="1">
      <c r="A49" s="14">
        <v>48</v>
      </c>
      <c r="B49" s="14">
        <f t="shared" si="0"/>
        <v>17490</v>
      </c>
      <c r="C49" s="14">
        <f t="shared" si="1"/>
        <v>5830</v>
      </c>
      <c r="D49" s="14">
        <v>30</v>
      </c>
      <c r="E49" s="14">
        <f>LOOKUP(A49,怪物掉落!$A$2:$A$66,怪物掉落!$B$2:$B$66)</f>
        <v>151</v>
      </c>
      <c r="F49" s="14">
        <f t="shared" si="2"/>
        <v>4530</v>
      </c>
      <c r="G49" s="14">
        <f>LOOKUP(A49,建筑等级和人物等级匹配关系!$A$2:$A$66,建筑等级和人物等级匹配关系!$B$2:$B$66)</f>
        <v>19</v>
      </c>
      <c r="H49" s="14">
        <f t="shared" si="3"/>
        <v>1400</v>
      </c>
      <c r="I49" s="14">
        <v>0</v>
      </c>
      <c r="J49" s="14">
        <f t="shared" si="4"/>
        <v>1300</v>
      </c>
      <c r="K49" s="90"/>
      <c r="L49" s="90"/>
      <c r="M49" s="90"/>
    </row>
    <row r="50" spans="1:13" s="12" customFormat="1" ht="20.100000000000001" customHeight="1">
      <c r="A50" s="14">
        <v>49</v>
      </c>
      <c r="B50" s="14">
        <f t="shared" si="0"/>
        <v>17760</v>
      </c>
      <c r="C50" s="14">
        <f t="shared" si="1"/>
        <v>5920</v>
      </c>
      <c r="D50" s="14">
        <v>30</v>
      </c>
      <c r="E50" s="14">
        <f>LOOKUP(A50,怪物掉落!$A$2:$A$66,怪物掉落!$B$2:$B$66)</f>
        <v>154</v>
      </c>
      <c r="F50" s="14">
        <f t="shared" si="2"/>
        <v>4620</v>
      </c>
      <c r="G50" s="14">
        <f>LOOKUP(A50,建筑等级和人物等级匹配关系!$A$2:$A$66,建筑等级和人物等级匹配关系!$B$2:$B$66)</f>
        <v>19</v>
      </c>
      <c r="H50" s="14">
        <f t="shared" si="3"/>
        <v>1400</v>
      </c>
      <c r="I50" s="14">
        <v>0</v>
      </c>
      <c r="J50" s="14">
        <f t="shared" si="4"/>
        <v>1300</v>
      </c>
      <c r="K50" s="90"/>
      <c r="L50" s="90"/>
      <c r="M50" s="90"/>
    </row>
    <row r="51" spans="1:13" s="12" customFormat="1" ht="20.100000000000001" customHeight="1">
      <c r="A51" s="14">
        <v>50</v>
      </c>
      <c r="B51" s="14">
        <f t="shared" si="0"/>
        <v>18030</v>
      </c>
      <c r="C51" s="14">
        <f t="shared" si="1"/>
        <v>6010</v>
      </c>
      <c r="D51" s="14">
        <v>30</v>
      </c>
      <c r="E51" s="14">
        <f>LOOKUP(A51,怪物掉落!$A$2:$A$66,怪物掉落!$B$2:$B$66)</f>
        <v>157</v>
      </c>
      <c r="F51" s="14">
        <f t="shared" si="2"/>
        <v>4710</v>
      </c>
      <c r="G51" s="14">
        <f>LOOKUP(A51,建筑等级和人物等级匹配关系!$A$2:$A$66,建筑等级和人物等级匹配关系!$B$2:$B$66)</f>
        <v>20</v>
      </c>
      <c r="H51" s="14">
        <f t="shared" si="3"/>
        <v>1400</v>
      </c>
      <c r="I51" s="14">
        <v>0</v>
      </c>
      <c r="J51" s="14">
        <f t="shared" si="4"/>
        <v>1300</v>
      </c>
      <c r="K51" s="90"/>
      <c r="L51" s="90"/>
      <c r="M51" s="90"/>
    </row>
    <row r="52" spans="1:13" s="12" customFormat="1" ht="20.100000000000001" customHeight="1">
      <c r="A52" s="14">
        <v>51</v>
      </c>
      <c r="B52" s="14">
        <f t="shared" si="0"/>
        <v>18300</v>
      </c>
      <c r="C52" s="14">
        <f t="shared" si="1"/>
        <v>6100</v>
      </c>
      <c r="D52" s="14">
        <v>30</v>
      </c>
      <c r="E52" s="14">
        <f>LOOKUP(A52,怪物掉落!$A$2:$A$66,怪物掉落!$B$2:$B$66)</f>
        <v>160</v>
      </c>
      <c r="F52" s="14">
        <f t="shared" si="2"/>
        <v>4800</v>
      </c>
      <c r="G52" s="14">
        <f>LOOKUP(A52,建筑等级和人物等级匹配关系!$A$2:$A$66,建筑等级和人物等级匹配关系!$B$2:$B$66)</f>
        <v>20</v>
      </c>
      <c r="H52" s="14">
        <f t="shared" si="3"/>
        <v>1400</v>
      </c>
      <c r="I52" s="14">
        <v>0</v>
      </c>
      <c r="J52" s="14">
        <f t="shared" si="4"/>
        <v>1300</v>
      </c>
      <c r="K52" s="90"/>
      <c r="L52" s="90"/>
      <c r="M52" s="90"/>
    </row>
    <row r="53" spans="1:13" s="12" customFormat="1" ht="20.100000000000001" customHeight="1">
      <c r="A53" s="14">
        <v>52</v>
      </c>
      <c r="B53" s="14">
        <f t="shared" si="0"/>
        <v>18570</v>
      </c>
      <c r="C53" s="14">
        <f t="shared" si="1"/>
        <v>6190</v>
      </c>
      <c r="D53" s="14">
        <v>30</v>
      </c>
      <c r="E53" s="14">
        <f>LOOKUP(A53,怪物掉落!$A$2:$A$66,怪物掉落!$B$2:$B$66)</f>
        <v>163</v>
      </c>
      <c r="F53" s="14">
        <f t="shared" si="2"/>
        <v>4890</v>
      </c>
      <c r="G53" s="14">
        <f>LOOKUP(A53,建筑等级和人物等级匹配关系!$A$2:$A$66,建筑等级和人物等级匹配关系!$B$2:$B$66)</f>
        <v>21</v>
      </c>
      <c r="H53" s="14">
        <f t="shared" si="3"/>
        <v>1500</v>
      </c>
      <c r="I53" s="14">
        <v>0</v>
      </c>
      <c r="J53" s="14">
        <f t="shared" si="4"/>
        <v>1300</v>
      </c>
      <c r="K53" s="90"/>
      <c r="L53" s="90"/>
      <c r="M53" s="90"/>
    </row>
    <row r="54" spans="1:13" s="12" customFormat="1" ht="20.100000000000001" customHeight="1">
      <c r="A54" s="14">
        <v>53</v>
      </c>
      <c r="B54" s="14">
        <f t="shared" si="0"/>
        <v>18840</v>
      </c>
      <c r="C54" s="14">
        <f t="shared" si="1"/>
        <v>6280</v>
      </c>
      <c r="D54" s="14">
        <v>30</v>
      </c>
      <c r="E54" s="14">
        <f>LOOKUP(A54,怪物掉落!$A$2:$A$66,怪物掉落!$B$2:$B$66)</f>
        <v>166</v>
      </c>
      <c r="F54" s="14">
        <f t="shared" si="2"/>
        <v>4980</v>
      </c>
      <c r="G54" s="14">
        <f>LOOKUP(A54,建筑等级和人物等级匹配关系!$A$2:$A$66,建筑等级和人物等级匹配关系!$B$2:$B$66)</f>
        <v>21</v>
      </c>
      <c r="H54" s="14">
        <f t="shared" si="3"/>
        <v>1500</v>
      </c>
      <c r="I54" s="14">
        <v>0</v>
      </c>
      <c r="J54" s="14">
        <f t="shared" si="4"/>
        <v>1300</v>
      </c>
      <c r="K54" s="90"/>
      <c r="L54" s="90"/>
      <c r="M54" s="90"/>
    </row>
    <row r="55" spans="1:13" s="12" customFormat="1" ht="20.100000000000001" customHeight="1">
      <c r="A55" s="14">
        <v>54</v>
      </c>
      <c r="B55" s="14">
        <f t="shared" si="0"/>
        <v>19710</v>
      </c>
      <c r="C55" s="14">
        <f t="shared" si="1"/>
        <v>6570</v>
      </c>
      <c r="D55" s="14">
        <v>30</v>
      </c>
      <c r="E55" s="14">
        <f>LOOKUP(A55,怪物掉落!$A$2:$A$66,怪物掉落!$B$2:$B$66)</f>
        <v>169</v>
      </c>
      <c r="F55" s="14">
        <f t="shared" si="2"/>
        <v>5070</v>
      </c>
      <c r="G55" s="14">
        <f>LOOKUP(A55,建筑等级和人物等级匹配关系!$A$2:$A$66,建筑等级和人物等级匹配关系!$B$2:$B$66)</f>
        <v>22</v>
      </c>
      <c r="H55" s="14">
        <f t="shared" si="3"/>
        <v>1500</v>
      </c>
      <c r="I55" s="14">
        <v>1</v>
      </c>
      <c r="J55" s="14">
        <f t="shared" si="4"/>
        <v>1500</v>
      </c>
      <c r="K55" s="90"/>
      <c r="L55" s="90"/>
      <c r="M55" s="90"/>
    </row>
    <row r="56" spans="1:13" s="12" customFormat="1" ht="20.100000000000001" customHeight="1">
      <c r="A56" s="14">
        <v>55</v>
      </c>
      <c r="B56" s="14">
        <f t="shared" si="0"/>
        <v>19980</v>
      </c>
      <c r="C56" s="14">
        <f t="shared" si="1"/>
        <v>6660</v>
      </c>
      <c r="D56" s="14">
        <v>30</v>
      </c>
      <c r="E56" s="14">
        <f>LOOKUP(A56,怪物掉落!$A$2:$A$66,怪物掉落!$B$2:$B$66)</f>
        <v>172</v>
      </c>
      <c r="F56" s="14">
        <f t="shared" si="2"/>
        <v>5160</v>
      </c>
      <c r="G56" s="14">
        <f>LOOKUP(A56,建筑等级和人物等级匹配关系!$A$2:$A$66,建筑等级和人物等级匹配关系!$B$2:$B$66)</f>
        <v>22</v>
      </c>
      <c r="H56" s="14">
        <f t="shared" si="3"/>
        <v>1500</v>
      </c>
      <c r="I56" s="14">
        <v>0</v>
      </c>
      <c r="J56" s="14">
        <f t="shared" si="4"/>
        <v>1500</v>
      </c>
      <c r="K56" s="90"/>
      <c r="L56" s="90"/>
      <c r="M56" s="90"/>
    </row>
    <row r="57" spans="1:13" s="12" customFormat="1" ht="20.100000000000001" customHeight="1">
      <c r="A57" s="14">
        <v>56</v>
      </c>
      <c r="B57" s="14">
        <f t="shared" si="0"/>
        <v>20250</v>
      </c>
      <c r="C57" s="14">
        <f t="shared" si="1"/>
        <v>6750</v>
      </c>
      <c r="D57" s="14">
        <v>30</v>
      </c>
      <c r="E57" s="14">
        <f>LOOKUP(A57,怪物掉落!$A$2:$A$66,怪物掉落!$B$2:$B$66)</f>
        <v>175</v>
      </c>
      <c r="F57" s="14">
        <f t="shared" si="2"/>
        <v>5250</v>
      </c>
      <c r="G57" s="14">
        <f>LOOKUP(A57,建筑等级和人物等级匹配关系!$A$2:$A$66,建筑等级和人物等级匹配关系!$B$2:$B$66)</f>
        <v>23</v>
      </c>
      <c r="H57" s="14">
        <f t="shared" si="3"/>
        <v>1600</v>
      </c>
      <c r="I57" s="14">
        <v>0</v>
      </c>
      <c r="J57" s="14">
        <f t="shared" si="4"/>
        <v>1500</v>
      </c>
      <c r="K57" s="90"/>
      <c r="L57" s="90"/>
      <c r="M57" s="90"/>
    </row>
    <row r="58" spans="1:13" s="12" customFormat="1" ht="20.100000000000001" customHeight="1">
      <c r="A58" s="14">
        <v>57</v>
      </c>
      <c r="B58" s="14">
        <f t="shared" si="0"/>
        <v>20520</v>
      </c>
      <c r="C58" s="14">
        <f t="shared" si="1"/>
        <v>6840</v>
      </c>
      <c r="D58" s="14">
        <v>30</v>
      </c>
      <c r="E58" s="14">
        <f>LOOKUP(A58,怪物掉落!$A$2:$A$66,怪物掉落!$B$2:$B$66)</f>
        <v>178</v>
      </c>
      <c r="F58" s="14">
        <f t="shared" si="2"/>
        <v>5340</v>
      </c>
      <c r="G58" s="14">
        <f>LOOKUP(A58,建筑等级和人物等级匹配关系!$A$2:$A$66,建筑等级和人物等级匹配关系!$B$2:$B$66)</f>
        <v>23</v>
      </c>
      <c r="H58" s="14">
        <f t="shared" si="3"/>
        <v>1600</v>
      </c>
      <c r="I58" s="14">
        <v>0</v>
      </c>
      <c r="J58" s="14">
        <f t="shared" si="4"/>
        <v>1500</v>
      </c>
      <c r="K58" s="90"/>
      <c r="L58" s="90"/>
      <c r="M58" s="90"/>
    </row>
    <row r="59" spans="1:13" s="12" customFormat="1" ht="20.100000000000001" customHeight="1">
      <c r="A59" s="14">
        <v>58</v>
      </c>
      <c r="B59" s="14">
        <f t="shared" si="0"/>
        <v>20790</v>
      </c>
      <c r="C59" s="14">
        <f t="shared" si="1"/>
        <v>6930</v>
      </c>
      <c r="D59" s="14">
        <v>30</v>
      </c>
      <c r="E59" s="14">
        <f>LOOKUP(A59,怪物掉落!$A$2:$A$66,怪物掉落!$B$2:$B$66)</f>
        <v>181</v>
      </c>
      <c r="F59" s="14">
        <f t="shared" si="2"/>
        <v>5430</v>
      </c>
      <c r="G59" s="14">
        <f>LOOKUP(A59,建筑等级和人物等级匹配关系!$A$2:$A$66,建筑等级和人物等级匹配关系!$B$2:$B$66)</f>
        <v>24</v>
      </c>
      <c r="H59" s="14">
        <f t="shared" si="3"/>
        <v>1600</v>
      </c>
      <c r="I59" s="14">
        <v>0</v>
      </c>
      <c r="J59" s="14">
        <f t="shared" si="4"/>
        <v>1500</v>
      </c>
      <c r="K59" s="90"/>
      <c r="L59" s="90"/>
      <c r="M59" s="90"/>
    </row>
    <row r="60" spans="1:13" s="12" customFormat="1" ht="20.100000000000001" customHeight="1">
      <c r="A60" s="14">
        <v>59</v>
      </c>
      <c r="B60" s="14">
        <f t="shared" si="0"/>
        <v>21060</v>
      </c>
      <c r="C60" s="14">
        <f t="shared" si="1"/>
        <v>7020</v>
      </c>
      <c r="D60" s="14">
        <v>30</v>
      </c>
      <c r="E60" s="14">
        <f>LOOKUP(A60,怪物掉落!$A$2:$A$66,怪物掉落!$B$2:$B$66)</f>
        <v>184</v>
      </c>
      <c r="F60" s="14">
        <f t="shared" si="2"/>
        <v>5520</v>
      </c>
      <c r="G60" s="14">
        <f>LOOKUP(A60,建筑等级和人物等级匹配关系!$A$2:$A$66,建筑等级和人物等级匹配关系!$B$2:$B$66)</f>
        <v>24</v>
      </c>
      <c r="H60" s="14">
        <f t="shared" si="3"/>
        <v>1700</v>
      </c>
      <c r="I60" s="14">
        <v>0</v>
      </c>
      <c r="J60" s="14">
        <f t="shared" si="4"/>
        <v>1500</v>
      </c>
      <c r="K60" s="90"/>
      <c r="L60" s="90"/>
      <c r="M60" s="90"/>
    </row>
    <row r="61" spans="1:13" s="12" customFormat="1" ht="20.100000000000001" customHeight="1">
      <c r="A61" s="14">
        <v>60</v>
      </c>
      <c r="B61" s="14">
        <f t="shared" si="0"/>
        <v>21930</v>
      </c>
      <c r="C61" s="14">
        <f t="shared" si="1"/>
        <v>7310</v>
      </c>
      <c r="D61" s="14">
        <v>30</v>
      </c>
      <c r="E61" s="14">
        <f>LOOKUP(A61,怪物掉落!$A$2:$A$66,怪物掉落!$B$2:$B$66)</f>
        <v>187</v>
      </c>
      <c r="F61" s="14">
        <f t="shared" si="2"/>
        <v>5610</v>
      </c>
      <c r="G61" s="14">
        <f>LOOKUP(A61,建筑等级和人物等级匹配关系!$A$2:$A$66,建筑等级和人物等级匹配关系!$B$2:$B$66)</f>
        <v>25</v>
      </c>
      <c r="H61" s="14">
        <f t="shared" si="3"/>
        <v>1700</v>
      </c>
      <c r="I61" s="14">
        <v>1</v>
      </c>
      <c r="J61" s="14">
        <f t="shared" si="4"/>
        <v>1700</v>
      </c>
      <c r="K61" s="90"/>
      <c r="L61" s="90"/>
      <c r="M61" s="90"/>
    </row>
    <row r="62" spans="1:13" s="12" customFormat="1" ht="20.100000000000001" customHeight="1">
      <c r="A62" s="14">
        <v>61</v>
      </c>
      <c r="B62" s="14">
        <f t="shared" si="0"/>
        <v>22200</v>
      </c>
      <c r="C62" s="14">
        <f t="shared" si="1"/>
        <v>7400</v>
      </c>
      <c r="D62" s="14">
        <v>30</v>
      </c>
      <c r="E62" s="14">
        <f>LOOKUP(A62,怪物掉落!$A$2:$A$66,怪物掉落!$B$2:$B$66)</f>
        <v>190</v>
      </c>
      <c r="F62" s="14">
        <f t="shared" si="2"/>
        <v>5700</v>
      </c>
      <c r="G62" s="14">
        <f>LOOKUP(A62,建筑等级和人物等级匹配关系!$A$2:$A$66,建筑等级和人物等级匹配关系!$B$2:$B$66)</f>
        <v>25</v>
      </c>
      <c r="H62" s="14">
        <f t="shared" si="3"/>
        <v>1700</v>
      </c>
      <c r="I62" s="14">
        <v>0</v>
      </c>
      <c r="J62" s="14">
        <f t="shared" si="4"/>
        <v>1700</v>
      </c>
      <c r="K62" s="90"/>
      <c r="L62" s="90"/>
      <c r="M62" s="90"/>
    </row>
    <row r="63" spans="1:13" s="12" customFormat="1" ht="20.100000000000001" customHeight="1">
      <c r="A63" s="14">
        <v>62</v>
      </c>
      <c r="B63" s="14">
        <f t="shared" si="0"/>
        <v>22470</v>
      </c>
      <c r="C63" s="14">
        <f t="shared" si="1"/>
        <v>7490</v>
      </c>
      <c r="D63" s="14">
        <v>30</v>
      </c>
      <c r="E63" s="14">
        <f>LOOKUP(A63,怪物掉落!$A$2:$A$66,怪物掉落!$B$2:$B$66)</f>
        <v>193</v>
      </c>
      <c r="F63" s="14">
        <f t="shared" si="2"/>
        <v>5790</v>
      </c>
      <c r="G63" s="14">
        <f>LOOKUP(A63,建筑等级和人物等级匹配关系!$A$2:$A$66,建筑等级和人物等级匹配关系!$B$2:$B$66)</f>
        <v>25</v>
      </c>
      <c r="H63" s="14">
        <f t="shared" si="3"/>
        <v>1700</v>
      </c>
      <c r="I63" s="14">
        <v>0</v>
      </c>
      <c r="J63" s="14">
        <f t="shared" si="4"/>
        <v>1700</v>
      </c>
      <c r="K63" s="90"/>
      <c r="L63" s="90"/>
      <c r="M63" s="90"/>
    </row>
    <row r="64" spans="1:13" s="12" customFormat="1" ht="20.100000000000001" customHeight="1">
      <c r="A64" s="14">
        <v>63</v>
      </c>
      <c r="B64" s="14">
        <f t="shared" si="0"/>
        <v>22740</v>
      </c>
      <c r="C64" s="14">
        <f t="shared" si="1"/>
        <v>7580</v>
      </c>
      <c r="D64" s="14">
        <v>30</v>
      </c>
      <c r="E64" s="14">
        <f>LOOKUP(A64,怪物掉落!$A$2:$A$66,怪物掉落!$B$2:$B$66)</f>
        <v>196</v>
      </c>
      <c r="F64" s="14">
        <f t="shared" si="2"/>
        <v>5880</v>
      </c>
      <c r="G64" s="14">
        <f>LOOKUP(A64,建筑等级和人物等级匹配关系!$A$2:$A$66,建筑等级和人物等级匹配关系!$B$2:$B$66)</f>
        <v>25</v>
      </c>
      <c r="H64" s="14">
        <f t="shared" si="3"/>
        <v>1800</v>
      </c>
      <c r="I64" s="14">
        <v>0</v>
      </c>
      <c r="J64" s="14">
        <f t="shared" si="4"/>
        <v>1700</v>
      </c>
      <c r="K64" s="90"/>
      <c r="L64" s="90"/>
      <c r="M64" s="90"/>
    </row>
    <row r="65" spans="1:13" s="12" customFormat="1" ht="20.100000000000001" customHeight="1">
      <c r="A65" s="14">
        <v>64</v>
      </c>
      <c r="B65" s="14">
        <f t="shared" si="0"/>
        <v>23010</v>
      </c>
      <c r="C65" s="14">
        <f t="shared" si="1"/>
        <v>7670</v>
      </c>
      <c r="D65" s="14">
        <v>30</v>
      </c>
      <c r="E65" s="14">
        <f>LOOKUP(A65,怪物掉落!$A$2:$A$66,怪物掉落!$B$2:$B$66)</f>
        <v>199</v>
      </c>
      <c r="F65" s="14">
        <f t="shared" si="2"/>
        <v>5970</v>
      </c>
      <c r="G65" s="14">
        <f>LOOKUP(A65,建筑等级和人物等级匹配关系!$A$2:$A$66,建筑等级和人物等级匹配关系!$B$2:$B$66)</f>
        <v>25</v>
      </c>
      <c r="H65" s="14">
        <f t="shared" si="3"/>
        <v>1800</v>
      </c>
      <c r="I65" s="14">
        <v>0</v>
      </c>
      <c r="J65" s="14">
        <f t="shared" si="4"/>
        <v>1700</v>
      </c>
      <c r="K65" s="90"/>
      <c r="L65" s="90"/>
      <c r="M65" s="90"/>
    </row>
    <row r="66" spans="1:13" s="12" customFormat="1" ht="20.100000000000001" customHeight="1">
      <c r="A66" s="14">
        <v>65</v>
      </c>
      <c r="B66" s="14">
        <f t="shared" si="0"/>
        <v>23280</v>
      </c>
      <c r="C66" s="14">
        <f t="shared" si="1"/>
        <v>7760</v>
      </c>
      <c r="D66" s="14">
        <v>30</v>
      </c>
      <c r="E66" s="14">
        <f>LOOKUP(A66,怪物掉落!$A$2:$A$66,怪物掉落!$B$2:$B$66)</f>
        <v>202</v>
      </c>
      <c r="F66" s="14">
        <f t="shared" si="2"/>
        <v>6060</v>
      </c>
      <c r="G66" s="14">
        <f>LOOKUP(A66,建筑等级和人物等级匹配关系!$A$2:$A$66,建筑等级和人物等级匹配关系!$B$2:$B$66)</f>
        <v>25</v>
      </c>
      <c r="H66" s="14">
        <f t="shared" si="3"/>
        <v>1800</v>
      </c>
      <c r="I66" s="14">
        <v>0</v>
      </c>
      <c r="J66" s="14">
        <f t="shared" si="4"/>
        <v>1700</v>
      </c>
      <c r="K66" s="90"/>
      <c r="L66" s="90"/>
      <c r="M66" s="90"/>
    </row>
    <row r="67" spans="1:13" s="12" customFormat="1" ht="20.100000000000001" customHeight="1">
      <c r="K67" s="90"/>
      <c r="M67" s="90"/>
    </row>
    <row r="68" spans="1:13" s="12" customFormat="1" ht="20.100000000000001" customHeight="1">
      <c r="K68" s="90"/>
      <c r="M68" s="90"/>
    </row>
    <row r="69" spans="1:13" s="12" customFormat="1" ht="20.100000000000001" customHeight="1">
      <c r="K69" s="90"/>
      <c r="M69" s="90"/>
    </row>
    <row r="70" spans="1:13" s="12" customFormat="1" ht="20.100000000000001" customHeight="1">
      <c r="K70" s="90"/>
      <c r="M70" s="90"/>
    </row>
    <row r="71" spans="1:13" s="12" customFormat="1" ht="20.100000000000001" customHeight="1">
      <c r="K71" s="90"/>
      <c r="M71" s="90"/>
    </row>
    <row r="72" spans="1:13" s="12" customFormat="1" ht="20.100000000000001" customHeight="1">
      <c r="K72" s="90"/>
      <c r="M72" s="90"/>
    </row>
    <row r="73" spans="1:13" s="12" customFormat="1" ht="20.100000000000001" customHeight="1">
      <c r="K73" s="90"/>
      <c r="M73" s="90"/>
    </row>
    <row r="74" spans="1:13" s="12" customFormat="1" ht="20.100000000000001" customHeight="1">
      <c r="K74" s="90"/>
      <c r="M74" s="90"/>
    </row>
    <row r="75" spans="1:13" s="12" customFormat="1" ht="20.100000000000001" customHeight="1">
      <c r="K75" s="90"/>
      <c r="M75" s="90"/>
    </row>
    <row r="76" spans="1:13" s="12" customFormat="1" ht="20.100000000000001" customHeight="1">
      <c r="K76" s="90"/>
      <c r="M76" s="90"/>
    </row>
    <row r="77" spans="1:13" s="12" customFormat="1" ht="20.100000000000001" customHeight="1">
      <c r="K77" s="90"/>
      <c r="M77" s="90"/>
    </row>
    <row r="78" spans="1:13" s="12" customFormat="1" ht="20.100000000000001" customHeight="1">
      <c r="K78" s="90"/>
      <c r="M78" s="90"/>
    </row>
    <row r="79" spans="1:13" s="12" customFormat="1" ht="20.100000000000001" customHeight="1">
      <c r="K79" s="90"/>
      <c r="M79" s="90"/>
    </row>
    <row r="80" spans="1:13" s="12" customFormat="1" ht="20.100000000000001" customHeight="1">
      <c r="K80" s="90"/>
      <c r="M80" s="90"/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V95"/>
  <sheetViews>
    <sheetView workbookViewId="0">
      <selection activeCell="G16" sqref="G16"/>
    </sheetView>
  </sheetViews>
  <sheetFormatPr defaultRowHeight="13.5"/>
  <cols>
    <col min="2" max="2" width="9" style="28"/>
    <col min="3" max="3" width="15.125" bestFit="1" customWidth="1"/>
    <col min="4" max="4" width="62.875" customWidth="1"/>
    <col min="5" max="5" width="9" style="6"/>
    <col min="6" max="6" width="15" style="6" bestFit="1" customWidth="1"/>
    <col min="7" max="7" width="16.75" style="6" bestFit="1" customWidth="1"/>
    <col min="8" max="8" width="9" style="6"/>
    <col min="9" max="9" width="11.75" style="6" customWidth="1"/>
    <col min="10" max="10" width="9" style="6"/>
    <col min="11" max="11" width="10.75" customWidth="1"/>
    <col min="14" max="14" width="9.5" bestFit="1" customWidth="1"/>
    <col min="21" max="21" width="16.25" bestFit="1" customWidth="1"/>
  </cols>
  <sheetData>
    <row r="1" spans="1:20" s="13" customFormat="1" ht="20.100000000000001" customHeight="1">
      <c r="A1" s="26" t="s">
        <v>154</v>
      </c>
      <c r="B1" s="26" t="s">
        <v>172</v>
      </c>
      <c r="C1" s="26" t="s">
        <v>155</v>
      </c>
      <c r="D1" s="26" t="s">
        <v>156</v>
      </c>
      <c r="E1" s="14"/>
      <c r="F1" s="14" t="s">
        <v>167</v>
      </c>
      <c r="G1" s="14" t="s">
        <v>168</v>
      </c>
      <c r="H1" s="14"/>
      <c r="I1" s="14"/>
      <c r="J1" s="14" t="s">
        <v>167</v>
      </c>
      <c r="K1" s="14" t="s">
        <v>168</v>
      </c>
      <c r="L1" s="12"/>
      <c r="N1" s="14" t="s">
        <v>167</v>
      </c>
      <c r="O1" s="14" t="s">
        <v>168</v>
      </c>
      <c r="P1" s="12"/>
      <c r="R1" s="14" t="s">
        <v>167</v>
      </c>
      <c r="S1" s="14" t="s">
        <v>168</v>
      </c>
      <c r="T1" s="12"/>
    </row>
    <row r="2" spans="1:20" s="13" customFormat="1" ht="20.100000000000001" customHeight="1">
      <c r="A2" s="12"/>
      <c r="B2" s="14">
        <v>30</v>
      </c>
      <c r="C2" s="14" t="s">
        <v>159</v>
      </c>
      <c r="D2" s="12" t="s">
        <v>189</v>
      </c>
      <c r="E2" s="14"/>
      <c r="F2" s="14" t="s">
        <v>166</v>
      </c>
      <c r="G2" s="14" t="s">
        <v>159</v>
      </c>
      <c r="H2" s="14">
        <v>10</v>
      </c>
      <c r="I2" s="14"/>
      <c r="J2" s="14" t="s">
        <v>171</v>
      </c>
      <c r="K2" s="14" t="s">
        <v>163</v>
      </c>
      <c r="L2" s="14">
        <v>10</v>
      </c>
      <c r="N2" s="14" t="s">
        <v>180</v>
      </c>
      <c r="O2" s="14" t="s">
        <v>164</v>
      </c>
      <c r="P2" s="14">
        <v>10</v>
      </c>
      <c r="R2" s="14" t="s">
        <v>184</v>
      </c>
      <c r="S2" s="14" t="s">
        <v>176</v>
      </c>
      <c r="T2" s="14">
        <v>20</v>
      </c>
    </row>
    <row r="3" spans="1:20" s="13" customFormat="1" ht="20.100000000000001" customHeight="1">
      <c r="A3" s="12"/>
      <c r="B3" s="14">
        <v>625</v>
      </c>
      <c r="C3" s="14" t="s">
        <v>157</v>
      </c>
      <c r="D3" s="12" t="s">
        <v>192</v>
      </c>
      <c r="E3" s="14"/>
      <c r="F3" s="14"/>
      <c r="G3" s="14" t="s">
        <v>157</v>
      </c>
      <c r="H3" s="14">
        <v>1</v>
      </c>
      <c r="I3" s="14"/>
      <c r="J3" s="12"/>
      <c r="K3" s="14" t="s">
        <v>159</v>
      </c>
      <c r="L3" s="14">
        <v>10</v>
      </c>
      <c r="N3" s="12"/>
      <c r="O3" s="14" t="s">
        <v>177</v>
      </c>
      <c r="P3" s="14">
        <v>10</v>
      </c>
      <c r="R3" s="12"/>
      <c r="S3" s="14" t="s">
        <v>164</v>
      </c>
      <c r="T3" s="14">
        <v>30</v>
      </c>
    </row>
    <row r="4" spans="1:20" s="13" customFormat="1" ht="20.100000000000001" customHeight="1">
      <c r="A4" s="12"/>
      <c r="B4" s="14">
        <v>25</v>
      </c>
      <c r="C4" s="14" t="s">
        <v>160</v>
      </c>
      <c r="D4" s="12" t="s">
        <v>188</v>
      </c>
      <c r="E4" s="14"/>
      <c r="F4" s="14"/>
      <c r="G4" s="14"/>
      <c r="H4" s="14"/>
      <c r="I4" s="14"/>
      <c r="J4" s="12"/>
      <c r="K4" s="14" t="s">
        <v>177</v>
      </c>
      <c r="L4" s="14">
        <v>5</v>
      </c>
      <c r="N4" s="12"/>
      <c r="O4" s="26" t="s">
        <v>183</v>
      </c>
      <c r="P4" s="14">
        <v>5</v>
      </c>
      <c r="R4" s="12"/>
      <c r="S4" s="14" t="s">
        <v>185</v>
      </c>
      <c r="T4" s="14">
        <v>1</v>
      </c>
    </row>
    <row r="5" spans="1:20" s="13" customFormat="1" ht="20.100000000000001" customHeight="1">
      <c r="A5" s="12"/>
      <c r="B5" s="14">
        <v>30</v>
      </c>
      <c r="C5" s="14" t="s">
        <v>195</v>
      </c>
      <c r="D5" s="12" t="s">
        <v>196</v>
      </c>
      <c r="E5" s="12"/>
      <c r="F5" s="14" t="s">
        <v>167</v>
      </c>
      <c r="G5" s="14" t="s">
        <v>168</v>
      </c>
      <c r="H5" s="12"/>
      <c r="I5" s="12"/>
      <c r="N5" s="12"/>
      <c r="O5" s="26"/>
      <c r="P5" s="14"/>
    </row>
    <row r="6" spans="1:20" s="13" customFormat="1" ht="20.100000000000001" customHeight="1">
      <c r="A6" s="12"/>
      <c r="B6" s="14">
        <v>45</v>
      </c>
      <c r="C6" s="14" t="s">
        <v>161</v>
      </c>
      <c r="D6" s="12" t="s">
        <v>190</v>
      </c>
      <c r="E6" s="12"/>
      <c r="F6" s="14" t="s">
        <v>169</v>
      </c>
      <c r="G6" s="14" t="s">
        <v>160</v>
      </c>
      <c r="H6" s="14">
        <v>10</v>
      </c>
      <c r="I6" s="12"/>
      <c r="N6" s="12"/>
      <c r="O6" s="12"/>
      <c r="P6" s="12"/>
    </row>
    <row r="7" spans="1:20" s="13" customFormat="1" ht="20.100000000000001" customHeight="1">
      <c r="A7" s="12"/>
      <c r="B7" s="14">
        <v>25</v>
      </c>
      <c r="C7" s="14" t="s">
        <v>162</v>
      </c>
      <c r="D7" s="12" t="s">
        <v>187</v>
      </c>
      <c r="E7" s="12"/>
      <c r="F7" s="12"/>
      <c r="G7" s="14" t="s">
        <v>161</v>
      </c>
      <c r="H7" s="14">
        <v>10</v>
      </c>
      <c r="I7" s="12"/>
      <c r="J7" s="14" t="s">
        <v>167</v>
      </c>
      <c r="K7" s="14" t="s">
        <v>168</v>
      </c>
      <c r="L7" s="12"/>
      <c r="N7" s="14" t="s">
        <v>167</v>
      </c>
      <c r="O7" s="14" t="s">
        <v>168</v>
      </c>
      <c r="P7" s="12"/>
    </row>
    <row r="8" spans="1:20" s="13" customFormat="1" ht="20.100000000000001" customHeight="1">
      <c r="A8" s="12"/>
      <c r="B8" s="14">
        <v>785</v>
      </c>
      <c r="C8" s="14" t="s">
        <v>158</v>
      </c>
      <c r="D8" s="12" t="s">
        <v>191</v>
      </c>
      <c r="E8" s="12"/>
      <c r="F8" s="12"/>
      <c r="G8" s="14" t="s">
        <v>195</v>
      </c>
      <c r="H8" s="14">
        <v>10</v>
      </c>
      <c r="I8" s="12"/>
      <c r="J8" s="14" t="s">
        <v>173</v>
      </c>
      <c r="K8" s="14" t="s">
        <v>163</v>
      </c>
      <c r="L8" s="14">
        <v>10</v>
      </c>
      <c r="N8" s="14" t="s">
        <v>181</v>
      </c>
      <c r="O8" s="14" t="s">
        <v>164</v>
      </c>
      <c r="P8" s="14">
        <v>10</v>
      </c>
    </row>
    <row r="9" spans="1:20" s="13" customFormat="1" ht="20.100000000000001" customHeight="1">
      <c r="A9" s="12"/>
      <c r="B9" s="14">
        <v>50</v>
      </c>
      <c r="C9" s="14" t="s">
        <v>163</v>
      </c>
      <c r="D9" s="12" t="s">
        <v>178</v>
      </c>
      <c r="E9" s="12"/>
      <c r="G9" s="12"/>
      <c r="H9" s="12"/>
      <c r="I9" s="12"/>
      <c r="J9" s="12"/>
      <c r="K9" s="14" t="s">
        <v>174</v>
      </c>
      <c r="L9" s="14">
        <v>10</v>
      </c>
      <c r="N9" s="12"/>
      <c r="O9" s="26" t="s">
        <v>176</v>
      </c>
      <c r="P9" s="14">
        <v>10</v>
      </c>
    </row>
    <row r="10" spans="1:20" s="13" customFormat="1" ht="20.100000000000001" customHeight="1">
      <c r="B10" s="14">
        <v>50</v>
      </c>
      <c r="C10" s="14" t="s">
        <v>174</v>
      </c>
      <c r="D10" s="12" t="s">
        <v>179</v>
      </c>
      <c r="E10" s="12"/>
      <c r="F10" s="14" t="s">
        <v>167</v>
      </c>
      <c r="G10" s="14" t="s">
        <v>168</v>
      </c>
      <c r="H10" s="12"/>
      <c r="I10" s="12"/>
      <c r="J10" s="12"/>
      <c r="K10" s="14" t="s">
        <v>177</v>
      </c>
      <c r="L10" s="14">
        <v>5</v>
      </c>
      <c r="N10" s="12"/>
      <c r="O10" s="26" t="s">
        <v>183</v>
      </c>
      <c r="P10" s="14">
        <v>5</v>
      </c>
    </row>
    <row r="11" spans="1:20" s="13" customFormat="1" ht="20.100000000000001" customHeight="1">
      <c r="B11" s="14">
        <v>60</v>
      </c>
      <c r="C11" s="14" t="s">
        <v>164</v>
      </c>
      <c r="D11" s="12" t="s">
        <v>193</v>
      </c>
      <c r="E11" s="12"/>
      <c r="F11" s="14" t="s">
        <v>170</v>
      </c>
      <c r="G11" s="14" t="s">
        <v>161</v>
      </c>
      <c r="H11" s="14">
        <v>20</v>
      </c>
      <c r="I11" s="12"/>
      <c r="J11" s="12"/>
      <c r="K11" s="12"/>
      <c r="L11" s="12"/>
      <c r="N11" s="12"/>
      <c r="O11" s="12"/>
      <c r="P11" s="12"/>
    </row>
    <row r="12" spans="1:20" s="13" customFormat="1" ht="20.100000000000001" customHeight="1">
      <c r="B12" s="14">
        <v>85</v>
      </c>
      <c r="C12" s="14" t="s">
        <v>183</v>
      </c>
      <c r="D12" s="12" t="s">
        <v>193</v>
      </c>
      <c r="E12" s="14"/>
      <c r="F12" s="14"/>
      <c r="G12" s="14" t="s">
        <v>162</v>
      </c>
      <c r="H12" s="14">
        <v>10</v>
      </c>
      <c r="I12" s="12"/>
      <c r="J12" s="12"/>
      <c r="K12" s="12"/>
      <c r="L12" s="12"/>
      <c r="N12" s="12"/>
      <c r="O12" s="12"/>
      <c r="P12" s="12"/>
    </row>
    <row r="13" spans="1:20" s="13" customFormat="1" ht="20.100000000000001" customHeight="1">
      <c r="B13" s="14">
        <v>1000</v>
      </c>
      <c r="C13" s="14" t="s">
        <v>185</v>
      </c>
      <c r="D13" s="12" t="s">
        <v>194</v>
      </c>
      <c r="E13" s="12"/>
      <c r="F13" s="12"/>
      <c r="G13" s="14" t="s">
        <v>158</v>
      </c>
      <c r="H13" s="14">
        <v>1</v>
      </c>
      <c r="I13" s="12"/>
      <c r="N13" s="14" t="s">
        <v>167</v>
      </c>
      <c r="O13" s="14" t="s">
        <v>168</v>
      </c>
      <c r="P13" s="12"/>
    </row>
    <row r="14" spans="1:20" s="13" customFormat="1" ht="20.100000000000001" customHeight="1">
      <c r="C14" s="27" t="s">
        <v>197</v>
      </c>
      <c r="E14" s="12"/>
      <c r="F14" s="12"/>
      <c r="G14" s="12"/>
      <c r="H14" s="12"/>
      <c r="I14" s="12"/>
      <c r="N14" s="14" t="s">
        <v>182</v>
      </c>
      <c r="O14" s="14" t="s">
        <v>164</v>
      </c>
      <c r="P14" s="14">
        <v>10</v>
      </c>
    </row>
    <row r="15" spans="1:20" s="13" customFormat="1" ht="20.100000000000001" customHeight="1">
      <c r="E15" s="12"/>
      <c r="I15" s="12"/>
      <c r="N15" s="12"/>
      <c r="O15" s="26" t="s">
        <v>176</v>
      </c>
      <c r="P15" s="14">
        <v>10</v>
      </c>
    </row>
    <row r="16" spans="1:20" s="13" customFormat="1" ht="20.100000000000001" customHeight="1">
      <c r="A16" s="24"/>
      <c r="B16" s="24"/>
      <c r="C16" s="24"/>
      <c r="D16" s="24"/>
      <c r="E16" s="12"/>
      <c r="I16" s="12"/>
      <c r="N16" s="12"/>
      <c r="O16" s="26" t="s">
        <v>183</v>
      </c>
      <c r="P16" s="14">
        <v>5</v>
      </c>
    </row>
    <row r="17" spans="1:22" s="13" customFormat="1" ht="20.100000000000001" customHeight="1">
      <c r="A17" s="26" t="s">
        <v>175</v>
      </c>
      <c r="B17" s="14">
        <v>200</v>
      </c>
      <c r="C17" s="14" t="s">
        <v>177</v>
      </c>
      <c r="D17" s="12" t="s">
        <v>186</v>
      </c>
      <c r="E17" s="12"/>
      <c r="I17" s="12"/>
      <c r="N17" s="12"/>
      <c r="O17" s="12"/>
      <c r="P17" s="12"/>
    </row>
    <row r="18" spans="1:22" s="13" customFormat="1" ht="20.100000000000001" customHeight="1">
      <c r="A18" s="12"/>
      <c r="B18" s="14">
        <v>350</v>
      </c>
      <c r="C18" s="14" t="s">
        <v>176</v>
      </c>
      <c r="D18" s="12" t="s">
        <v>186</v>
      </c>
      <c r="E18" s="12"/>
      <c r="F18" s="12"/>
      <c r="G18" s="12"/>
      <c r="H18" s="12"/>
      <c r="I18" s="12"/>
      <c r="J18" s="12"/>
      <c r="K18" s="12"/>
      <c r="L18" s="12"/>
      <c r="N18" s="12"/>
      <c r="O18" s="12"/>
      <c r="P18" s="12"/>
    </row>
    <row r="19" spans="1:22" s="13" customFormat="1" ht="20.100000000000001" customHeight="1">
      <c r="A19" s="12"/>
      <c r="B19" s="12"/>
      <c r="C19" s="12"/>
      <c r="D19" s="12"/>
      <c r="E19" s="12"/>
      <c r="F19" s="19" t="s">
        <v>438</v>
      </c>
      <c r="G19" s="19" t="s">
        <v>441</v>
      </c>
      <c r="H19" s="19" t="s">
        <v>449</v>
      </c>
      <c r="I19" s="19" t="s">
        <v>439</v>
      </c>
      <c r="J19" s="19" t="s">
        <v>449</v>
      </c>
      <c r="K19" s="19" t="s">
        <v>440</v>
      </c>
      <c r="L19" s="19" t="s">
        <v>449</v>
      </c>
      <c r="N19" s="24"/>
      <c r="O19" s="24"/>
      <c r="P19" s="24"/>
      <c r="Q19" s="24"/>
      <c r="R19" s="24"/>
      <c r="S19" s="24"/>
      <c r="T19" s="19"/>
    </row>
    <row r="20" spans="1:22" s="13" customFormat="1" ht="20.100000000000001" customHeight="1">
      <c r="A20" s="26" t="s">
        <v>427</v>
      </c>
      <c r="C20" s="14" t="s">
        <v>428</v>
      </c>
      <c r="D20" s="12"/>
      <c r="E20" s="12"/>
      <c r="F20" s="14" t="s">
        <v>436</v>
      </c>
      <c r="G20" s="14" t="s">
        <v>430</v>
      </c>
      <c r="H20" s="14">
        <v>30</v>
      </c>
      <c r="I20" s="14" t="s">
        <v>453</v>
      </c>
      <c r="J20" s="14">
        <v>30</v>
      </c>
      <c r="K20" s="14" t="s">
        <v>448</v>
      </c>
      <c r="L20" s="14">
        <v>15</v>
      </c>
      <c r="M20" s="26">
        <f>SUMIF([2]Sheet1!$B:$B,"="&amp;F20,[2]Sheet1!$A:$A)</f>
        <v>10030322</v>
      </c>
      <c r="N20" s="26">
        <f>SUMIF([2]Sheet1!$B:$B,"="&amp;G20,[2]Sheet1!$A:$A)</f>
        <v>10020054</v>
      </c>
      <c r="O20" s="26">
        <f>H20</f>
        <v>30</v>
      </c>
      <c r="P20" s="26">
        <f>SUMIF([2]Sheet1!$B:$B,"="&amp;I20,[2]Sheet1!$A:$A)</f>
        <v>10020055</v>
      </c>
      <c r="Q20" s="26">
        <f t="shared" ref="Q20" si="0">J20</f>
        <v>30</v>
      </c>
      <c r="R20" s="26">
        <f>SUMIF([2]Sheet1!$B:$B,"="&amp;K20,[2]Sheet1!$A:$A)</f>
        <v>10020060</v>
      </c>
      <c r="S20" s="26">
        <f t="shared" ref="S20" si="1">L20</f>
        <v>15</v>
      </c>
      <c r="T20" s="65" t="s">
        <v>436</v>
      </c>
      <c r="U20" s="12" t="str">
        <f>"制作书:"&amp;T20</f>
        <v>制作书:力量戒指</v>
      </c>
    </row>
    <row r="21" spans="1:22" s="13" customFormat="1" ht="20.100000000000001" customHeight="1">
      <c r="C21" s="14" t="s">
        <v>429</v>
      </c>
      <c r="E21" s="12"/>
      <c r="F21" s="14" t="s">
        <v>437</v>
      </c>
      <c r="G21" s="14" t="s">
        <v>431</v>
      </c>
      <c r="H21" s="14">
        <v>30</v>
      </c>
      <c r="I21" s="14" t="s">
        <v>451</v>
      </c>
      <c r="J21" s="14">
        <v>30</v>
      </c>
      <c r="K21" s="14" t="s">
        <v>448</v>
      </c>
      <c r="L21" s="14">
        <v>15</v>
      </c>
      <c r="M21" s="26">
        <f>SUMIF([2]Sheet1!$B:$B,"="&amp;F21,[2]Sheet1!$A:$A)</f>
        <v>10030323</v>
      </c>
      <c r="N21" s="26">
        <f>SUMIF([2]Sheet1!$B:$B,"="&amp;G21,[2]Sheet1!$A:$A)</f>
        <v>10020055</v>
      </c>
      <c r="O21" s="26">
        <f t="shared" ref="O21:O27" si="2">H21</f>
        <v>30</v>
      </c>
      <c r="P21" s="26">
        <f>SUMIF([2]Sheet1!$B:$B,"="&amp;I21,[2]Sheet1!$A:$A)</f>
        <v>10020054</v>
      </c>
      <c r="Q21" s="26">
        <f t="shared" ref="Q21:Q27" si="3">J21</f>
        <v>30</v>
      </c>
      <c r="R21" s="26">
        <f>SUMIF([2]Sheet1!$B:$B,"="&amp;K21,[2]Sheet1!$A:$A)</f>
        <v>10020060</v>
      </c>
      <c r="S21" s="26">
        <f t="shared" ref="S21:S27" si="4">L21</f>
        <v>15</v>
      </c>
      <c r="T21" s="65" t="s">
        <v>437</v>
      </c>
      <c r="U21" s="12" t="str">
        <f t="shared" ref="U21:U76" si="5">"制作书:"&amp;T21</f>
        <v>制作书:幽冥项链</v>
      </c>
    </row>
    <row r="22" spans="1:22" s="13" customFormat="1" ht="20.100000000000001" customHeight="1">
      <c r="C22" s="14" t="s">
        <v>430</v>
      </c>
      <c r="E22" s="12"/>
      <c r="F22" s="14" t="s">
        <v>442</v>
      </c>
      <c r="G22" s="14" t="s">
        <v>428</v>
      </c>
      <c r="H22" s="14">
        <v>30</v>
      </c>
      <c r="I22" s="14" t="s">
        <v>452</v>
      </c>
      <c r="J22" s="14">
        <v>30</v>
      </c>
      <c r="K22" s="14" t="s">
        <v>435</v>
      </c>
      <c r="L22" s="14">
        <v>10</v>
      </c>
      <c r="M22" s="26">
        <f>SUMIF([2]Sheet1!$B:$B,"="&amp;F22,[2]Sheet1!$A:$A)</f>
        <v>10030324</v>
      </c>
      <c r="N22" s="26">
        <f>SUMIF([2]Sheet1!$B:$B,"="&amp;G22,[2]Sheet1!$A:$A)</f>
        <v>10020052</v>
      </c>
      <c r="O22" s="26">
        <f t="shared" si="2"/>
        <v>30</v>
      </c>
      <c r="P22" s="26">
        <f>SUMIF([2]Sheet1!$B:$B,"="&amp;I22,[2]Sheet1!$A:$A)</f>
        <v>10020053</v>
      </c>
      <c r="Q22" s="26">
        <f t="shared" si="3"/>
        <v>30</v>
      </c>
      <c r="R22" s="26">
        <f>SUMIF([2]Sheet1!$B:$B,"="&amp;K22,[2]Sheet1!$A:$A)</f>
        <v>10020059</v>
      </c>
      <c r="S22" s="26">
        <f t="shared" si="4"/>
        <v>10</v>
      </c>
      <c r="T22" s="65" t="s">
        <v>442</v>
      </c>
      <c r="U22" s="12" t="str">
        <f t="shared" si="5"/>
        <v>制作书:荒漠头盔</v>
      </c>
    </row>
    <row r="23" spans="1:22" s="13" customFormat="1" ht="20.100000000000001" customHeight="1">
      <c r="C23" s="14" t="s">
        <v>431</v>
      </c>
      <c r="E23" s="12"/>
      <c r="F23" s="14" t="s">
        <v>443</v>
      </c>
      <c r="G23" s="14" t="s">
        <v>428</v>
      </c>
      <c r="H23" s="14">
        <v>30</v>
      </c>
      <c r="I23" s="14" t="s">
        <v>450</v>
      </c>
      <c r="J23" s="14">
        <v>25</v>
      </c>
      <c r="K23" s="14" t="s">
        <v>435</v>
      </c>
      <c r="L23" s="14">
        <v>10</v>
      </c>
      <c r="M23" s="26">
        <f>SUMIF([2]Sheet1!$B:$B,"="&amp;F23,[2]Sheet1!$A:$A)</f>
        <v>10030325</v>
      </c>
      <c r="N23" s="26">
        <f>SUMIF([2]Sheet1!$B:$B,"="&amp;G23,[2]Sheet1!$A:$A)</f>
        <v>10020052</v>
      </c>
      <c r="O23" s="26">
        <f t="shared" si="2"/>
        <v>30</v>
      </c>
      <c r="P23" s="26">
        <f>SUMIF([2]Sheet1!$B:$B,"="&amp;I23,[2]Sheet1!$A:$A)</f>
        <v>10020061</v>
      </c>
      <c r="Q23" s="26">
        <f t="shared" si="3"/>
        <v>25</v>
      </c>
      <c r="R23" s="26">
        <f>SUMIF([2]Sheet1!$B:$B,"="&amp;K23,[2]Sheet1!$A:$A)</f>
        <v>10020059</v>
      </c>
      <c r="S23" s="26">
        <f t="shared" si="4"/>
        <v>10</v>
      </c>
      <c r="T23" s="65" t="s">
        <v>443</v>
      </c>
      <c r="U23" s="12" t="str">
        <f t="shared" si="5"/>
        <v>制作书:荒漠手套</v>
      </c>
    </row>
    <row r="24" spans="1:22" s="13" customFormat="1" ht="20.100000000000001" customHeight="1">
      <c r="C24" s="14" t="s">
        <v>432</v>
      </c>
      <c r="E24" s="12"/>
      <c r="F24" s="14" t="s">
        <v>444</v>
      </c>
      <c r="G24" s="14" t="s">
        <v>452</v>
      </c>
      <c r="H24" s="14">
        <v>30</v>
      </c>
      <c r="I24" s="14" t="s">
        <v>450</v>
      </c>
      <c r="J24" s="14">
        <v>25</v>
      </c>
      <c r="K24" s="14" t="s">
        <v>434</v>
      </c>
      <c r="L24" s="14">
        <v>10</v>
      </c>
      <c r="M24" s="26">
        <f>SUMIF([2]Sheet1!$B:$B,"="&amp;F24,[2]Sheet1!$A:$A)</f>
        <v>10030326</v>
      </c>
      <c r="N24" s="26">
        <f>SUMIF([2]Sheet1!$B:$B,"="&amp;G24,[2]Sheet1!$A:$A)</f>
        <v>10020053</v>
      </c>
      <c r="O24" s="26">
        <f t="shared" si="2"/>
        <v>30</v>
      </c>
      <c r="P24" s="26">
        <f>SUMIF([2]Sheet1!$B:$B,"="&amp;I24,[2]Sheet1!$A:$A)</f>
        <v>10020061</v>
      </c>
      <c r="Q24" s="26">
        <f t="shared" si="3"/>
        <v>25</v>
      </c>
      <c r="R24" s="26">
        <f>SUMIF([2]Sheet1!$B:$B,"="&amp;K24,[2]Sheet1!$A:$A)</f>
        <v>10020058</v>
      </c>
      <c r="S24" s="26">
        <f t="shared" si="4"/>
        <v>10</v>
      </c>
      <c r="T24" s="65" t="s">
        <v>444</v>
      </c>
      <c r="U24" s="12" t="str">
        <f t="shared" si="5"/>
        <v>制作书:荒漠腰带</v>
      </c>
    </row>
    <row r="25" spans="1:22" s="13" customFormat="1" ht="20.100000000000001" customHeight="1">
      <c r="C25" s="14" t="s">
        <v>433</v>
      </c>
      <c r="E25" s="12"/>
      <c r="F25" s="14" t="s">
        <v>445</v>
      </c>
      <c r="G25" s="14" t="s">
        <v>451</v>
      </c>
      <c r="H25" s="14">
        <v>30</v>
      </c>
      <c r="I25" s="14" t="s">
        <v>450</v>
      </c>
      <c r="J25" s="14">
        <v>25</v>
      </c>
      <c r="K25" s="14" t="s">
        <v>434</v>
      </c>
      <c r="L25" s="14">
        <v>10</v>
      </c>
      <c r="M25" s="26">
        <f>SUMIF([2]Sheet1!$B:$B,"="&amp;F25,[2]Sheet1!$A:$A)</f>
        <v>10030327</v>
      </c>
      <c r="N25" s="26">
        <f>SUMIF([2]Sheet1!$B:$B,"="&amp;G25,[2]Sheet1!$A:$A)</f>
        <v>10020054</v>
      </c>
      <c r="O25" s="26">
        <f t="shared" si="2"/>
        <v>30</v>
      </c>
      <c r="P25" s="26">
        <f>SUMIF([2]Sheet1!$B:$B,"="&amp;I25,[2]Sheet1!$A:$A)</f>
        <v>10020061</v>
      </c>
      <c r="Q25" s="26">
        <f t="shared" si="3"/>
        <v>25</v>
      </c>
      <c r="R25" s="26">
        <f>SUMIF([2]Sheet1!$B:$B,"="&amp;K25,[2]Sheet1!$A:$A)</f>
        <v>10020058</v>
      </c>
      <c r="S25" s="26">
        <f t="shared" si="4"/>
        <v>10</v>
      </c>
      <c r="T25" s="65" t="s">
        <v>445</v>
      </c>
      <c r="U25" s="12" t="str">
        <f t="shared" si="5"/>
        <v>制作书:荒漠靴子</v>
      </c>
    </row>
    <row r="26" spans="1:22" s="13" customFormat="1" ht="20.100000000000001" customHeight="1">
      <c r="C26" s="14" t="s">
        <v>434</v>
      </c>
      <c r="E26" s="12"/>
      <c r="F26" s="14" t="s">
        <v>446</v>
      </c>
      <c r="G26" s="14" t="s">
        <v>454</v>
      </c>
      <c r="H26" s="14">
        <v>50</v>
      </c>
      <c r="I26" s="14" t="s">
        <v>429</v>
      </c>
      <c r="J26" s="14">
        <v>50</v>
      </c>
      <c r="K26" s="14" t="s">
        <v>450</v>
      </c>
      <c r="L26" s="14">
        <v>25</v>
      </c>
      <c r="M26" s="26">
        <f>SUMIF([2]Sheet1!$B:$B,"="&amp;F26,[2]Sheet1!$A:$A)</f>
        <v>10030328</v>
      </c>
      <c r="N26" s="26">
        <f>SUMIF([2]Sheet1!$B:$B,"="&amp;G26,[2]Sheet1!$A:$A)</f>
        <v>10020052</v>
      </c>
      <c r="O26" s="26">
        <f t="shared" si="2"/>
        <v>50</v>
      </c>
      <c r="P26" s="26">
        <f>SUMIF([2]Sheet1!$B:$B,"="&amp;I26,[2]Sheet1!$A:$A)</f>
        <v>10020053</v>
      </c>
      <c r="Q26" s="26">
        <f t="shared" si="3"/>
        <v>50</v>
      </c>
      <c r="R26" s="26">
        <f>SUMIF([2]Sheet1!$B:$B,"="&amp;K26,[2]Sheet1!$A:$A)</f>
        <v>10020061</v>
      </c>
      <c r="S26" s="26">
        <f t="shared" si="4"/>
        <v>25</v>
      </c>
      <c r="T26" s="65" t="s">
        <v>446</v>
      </c>
      <c r="U26" s="12" t="str">
        <f t="shared" si="5"/>
        <v>制作书:生命护符</v>
      </c>
    </row>
    <row r="27" spans="1:22" s="13" customFormat="1" ht="20.100000000000001" customHeight="1">
      <c r="C27" s="14" t="s">
        <v>435</v>
      </c>
      <c r="E27" s="12"/>
      <c r="F27" s="14" t="s">
        <v>447</v>
      </c>
      <c r="G27" s="14" t="s">
        <v>453</v>
      </c>
      <c r="H27" s="14">
        <v>50</v>
      </c>
      <c r="I27" s="14" t="s">
        <v>620</v>
      </c>
      <c r="J27" s="14">
        <v>1</v>
      </c>
      <c r="K27" s="14" t="s">
        <v>450</v>
      </c>
      <c r="L27" s="14">
        <v>50</v>
      </c>
      <c r="M27" s="26">
        <f>SUMIF([2]Sheet1!$B:$B,"="&amp;F27,[2]Sheet1!$A:$A)</f>
        <v>10030329</v>
      </c>
      <c r="N27" s="26">
        <f>SUMIF([2]Sheet1!$B:$B,"="&amp;G27,[2]Sheet1!$A:$A)</f>
        <v>10020055</v>
      </c>
      <c r="O27" s="26">
        <f t="shared" si="2"/>
        <v>50</v>
      </c>
      <c r="P27" s="26">
        <f>SUMIF([2]Sheet1!$B:$B,"="&amp;I27,[2]Sheet1!$A:$A)</f>
        <v>10020056</v>
      </c>
      <c r="Q27" s="26">
        <f t="shared" si="3"/>
        <v>1</v>
      </c>
      <c r="R27" s="26">
        <f>SUMIF([2]Sheet1!$B:$B,"="&amp;K27,[2]Sheet1!$A:$A)</f>
        <v>10020061</v>
      </c>
      <c r="S27" s="26">
        <f t="shared" si="4"/>
        <v>50</v>
      </c>
      <c r="T27" s="65" t="s">
        <v>447</v>
      </c>
      <c r="U27" s="12" t="str">
        <f t="shared" si="5"/>
        <v>制作书:生命饰品</v>
      </c>
      <c r="V27" s="13">
        <v>83</v>
      </c>
    </row>
    <row r="28" spans="1:22" s="13" customFormat="1" ht="20.100000000000001" customHeight="1">
      <c r="C28" s="14" t="s">
        <v>448</v>
      </c>
      <c r="E28" s="12"/>
      <c r="F28" s="12"/>
      <c r="G28" s="12"/>
      <c r="H28" s="12"/>
      <c r="I28" s="12"/>
      <c r="J28" s="12"/>
      <c r="K28" s="12"/>
      <c r="L28" s="12"/>
      <c r="M28" s="26"/>
      <c r="N28" s="24"/>
      <c r="O28" s="24"/>
      <c r="P28" s="24"/>
      <c r="Q28" s="24"/>
      <c r="R28" s="24"/>
      <c r="S28" s="24"/>
      <c r="T28" s="12"/>
    </row>
    <row r="29" spans="1:22" s="13" customFormat="1" ht="20.100000000000001" customHeight="1">
      <c r="C29" s="26" t="s">
        <v>450</v>
      </c>
      <c r="E29" s="12"/>
      <c r="F29" s="26" t="s">
        <v>623</v>
      </c>
      <c r="G29" s="65" t="s">
        <v>428</v>
      </c>
      <c r="H29" s="65">
        <v>30</v>
      </c>
      <c r="I29" s="65" t="s">
        <v>452</v>
      </c>
      <c r="J29" s="65">
        <v>30</v>
      </c>
      <c r="K29" s="65" t="s">
        <v>435</v>
      </c>
      <c r="L29" s="65">
        <v>30</v>
      </c>
      <c r="M29" s="26">
        <f>SUMIF([2]Sheet1!$B:$B,"="&amp;F29,[2]Sheet1!$A:$A)</f>
        <v>10030330</v>
      </c>
      <c r="N29" s="26">
        <f>SUMIF([2]Sheet1!$B:$B,"="&amp;G29,[2]Sheet1!$A:$A)</f>
        <v>10020052</v>
      </c>
      <c r="O29" s="26">
        <f t="shared" ref="O29:O32" si="6">H29</f>
        <v>30</v>
      </c>
      <c r="P29" s="26">
        <f>SUMIF([2]Sheet1!$B:$B,"="&amp;I29,[2]Sheet1!$A:$A)</f>
        <v>10020053</v>
      </c>
      <c r="Q29" s="26">
        <f t="shared" ref="Q29:Q32" si="7">J29</f>
        <v>30</v>
      </c>
      <c r="R29" s="26">
        <f>SUMIF([2]Sheet1!$B:$B,"="&amp;K29,[2]Sheet1!$A:$A)</f>
        <v>10020059</v>
      </c>
      <c r="S29" s="26">
        <f t="shared" ref="S29:S32" si="8">L29</f>
        <v>30</v>
      </c>
      <c r="T29" s="26" t="s">
        <v>623</v>
      </c>
      <c r="U29" s="12" t="str">
        <f t="shared" ref="U29:U32" si="9">"制作书:"&amp;T29</f>
        <v>制作书:防护宝石</v>
      </c>
    </row>
    <row r="30" spans="1:22" s="13" customFormat="1" ht="20.100000000000001" customHeight="1">
      <c r="C30" s="26" t="s">
        <v>619</v>
      </c>
      <c r="E30" s="12"/>
      <c r="F30" s="26" t="s">
        <v>622</v>
      </c>
      <c r="G30" s="65" t="s">
        <v>619</v>
      </c>
      <c r="H30" s="65">
        <v>1</v>
      </c>
      <c r="I30" s="65" t="s">
        <v>620</v>
      </c>
      <c r="J30" s="65">
        <v>5</v>
      </c>
      <c r="K30" s="65" t="s">
        <v>621</v>
      </c>
      <c r="L30" s="65">
        <v>30</v>
      </c>
      <c r="M30" s="26">
        <f>SUMIF([2]Sheet1!$B:$B,"="&amp;F30,[2]Sheet1!$A:$A)</f>
        <v>10030333</v>
      </c>
      <c r="N30" s="26">
        <f>SUMIF([2]Sheet1!$B:$B,"="&amp;G30,[2]Sheet1!$A:$A)</f>
        <v>10020063</v>
      </c>
      <c r="O30" s="26">
        <f t="shared" si="6"/>
        <v>1</v>
      </c>
      <c r="P30" s="26">
        <f>SUMIF([2]Sheet1!$B:$B,"="&amp;I30,[2]Sheet1!$A:$A)</f>
        <v>10020056</v>
      </c>
      <c r="Q30" s="26">
        <f t="shared" si="7"/>
        <v>5</v>
      </c>
      <c r="R30" s="26">
        <f>SUMIF([2]Sheet1!$B:$B,"="&amp;K30,[2]Sheet1!$A:$A)</f>
        <v>10020055</v>
      </c>
      <c r="S30" s="26">
        <f t="shared" si="8"/>
        <v>30</v>
      </c>
      <c r="T30" s="26" t="s">
        <v>622</v>
      </c>
      <c r="U30" s="12" t="str">
        <f t="shared" si="9"/>
        <v>制作书:地狱领主的法术书</v>
      </c>
    </row>
    <row r="31" spans="1:22" s="13" customFormat="1" ht="20.100000000000001" customHeight="1">
      <c r="C31" s="26"/>
      <c r="E31" s="12"/>
      <c r="F31" s="26" t="s">
        <v>635</v>
      </c>
      <c r="G31" s="65" t="s">
        <v>619</v>
      </c>
      <c r="H31" s="65">
        <v>5</v>
      </c>
      <c r="I31" s="65" t="s">
        <v>642</v>
      </c>
      <c r="J31" s="27">
        <v>1</v>
      </c>
      <c r="K31" s="65" t="s">
        <v>620</v>
      </c>
      <c r="L31" s="65">
        <v>5</v>
      </c>
      <c r="M31" s="26">
        <f>SUMIF([2]Sheet1!$B:$B,"="&amp;F31,[2]Sheet1!$A:$A)</f>
        <v>10030334</v>
      </c>
      <c r="N31" s="26">
        <f>SUMIF([2]Sheet1!$B:$B,"="&amp;G31,[2]Sheet1!$A:$A)</f>
        <v>10020063</v>
      </c>
      <c r="O31" s="26">
        <f t="shared" si="6"/>
        <v>5</v>
      </c>
      <c r="P31" s="26">
        <f>SUMIF([2]Sheet1!$B:$B,"="&amp;I31,[2]Sheet1!$A:$A)</f>
        <v>10030317</v>
      </c>
      <c r="Q31" s="26">
        <f t="shared" si="7"/>
        <v>1</v>
      </c>
      <c r="R31" s="26">
        <f>SUMIF([2]Sheet1!$B:$B,"="&amp;K31,[2]Sheet1!$A:$A)</f>
        <v>10020056</v>
      </c>
      <c r="S31" s="26">
        <f t="shared" si="8"/>
        <v>5</v>
      </c>
      <c r="T31" s="26" t="s">
        <v>635</v>
      </c>
      <c r="U31" s="12" t="str">
        <f t="shared" si="9"/>
        <v>制作书:不败的意志</v>
      </c>
    </row>
    <row r="32" spans="1:22" s="13" customFormat="1" ht="20.100000000000001" customHeight="1">
      <c r="E32" s="12"/>
      <c r="F32" s="65" t="s">
        <v>636</v>
      </c>
      <c r="G32" s="65" t="s">
        <v>619</v>
      </c>
      <c r="H32" s="65">
        <v>3</v>
      </c>
      <c r="I32" s="26" t="s">
        <v>750</v>
      </c>
      <c r="J32" s="65">
        <v>1</v>
      </c>
      <c r="K32" s="65" t="s">
        <v>620</v>
      </c>
      <c r="L32" s="65">
        <v>5</v>
      </c>
      <c r="M32" s="26">
        <f>SUMIF([2]Sheet1!$B:$B,"="&amp;F32,[2]Sheet1!$A:$A)</f>
        <v>10030335</v>
      </c>
      <c r="N32" s="26">
        <f>SUMIF([2]Sheet1!$B:$B,"="&amp;G32,[2]Sheet1!$A:$A)</f>
        <v>10020063</v>
      </c>
      <c r="O32" s="26">
        <f t="shared" si="6"/>
        <v>3</v>
      </c>
      <c r="P32" s="26">
        <f>SUMIF([2]Sheet1!$B:$B,"="&amp;I32,[2]Sheet1!$A:$A)</f>
        <v>10030320</v>
      </c>
      <c r="Q32" s="26">
        <f t="shared" si="7"/>
        <v>1</v>
      </c>
      <c r="R32" s="26">
        <f>SUMIF([2]Sheet1!$B:$B,"="&amp;K32,[2]Sheet1!$A:$A)</f>
        <v>10020056</v>
      </c>
      <c r="S32" s="26">
        <f t="shared" si="8"/>
        <v>5</v>
      </c>
      <c r="T32" s="65" t="s">
        <v>636</v>
      </c>
      <c r="U32" s="12" t="str">
        <f t="shared" si="9"/>
        <v>制作书:地狱领主的盔甲</v>
      </c>
    </row>
    <row r="33" spans="1:21" s="13" customFormat="1" ht="20.100000000000001" customHeight="1">
      <c r="C33" s="26"/>
      <c r="E33" s="12"/>
      <c r="F33" s="27"/>
      <c r="I33" s="65"/>
      <c r="J33" s="27"/>
      <c r="L33" s="12"/>
      <c r="M33" s="26"/>
      <c r="N33" s="24"/>
      <c r="O33" s="24"/>
      <c r="P33" s="24"/>
      <c r="Q33" s="24"/>
      <c r="R33" s="24"/>
      <c r="S33" s="24"/>
      <c r="T33" s="27"/>
    </row>
    <row r="34" spans="1:21" s="13" customFormat="1" ht="20.100000000000001" customHeight="1">
      <c r="E34" s="12"/>
      <c r="F34" s="27"/>
      <c r="I34" s="12"/>
      <c r="J34" s="24"/>
      <c r="L34" s="12"/>
      <c r="M34" s="26"/>
      <c r="N34" s="24"/>
      <c r="O34" s="24"/>
      <c r="P34" s="24"/>
      <c r="Q34" s="24"/>
      <c r="R34" s="24"/>
      <c r="S34" s="24"/>
      <c r="T34" s="27"/>
    </row>
    <row r="35" spans="1:21" s="13" customFormat="1" ht="20.100000000000001" customHeight="1">
      <c r="D35" s="24"/>
      <c r="E35" s="12"/>
      <c r="F35" s="19" t="s">
        <v>167</v>
      </c>
      <c r="G35" s="19" t="s">
        <v>441</v>
      </c>
      <c r="H35" s="19" t="s">
        <v>342</v>
      </c>
      <c r="I35" s="19" t="s">
        <v>439</v>
      </c>
      <c r="J35" s="63" t="s">
        <v>342</v>
      </c>
      <c r="K35" s="19" t="s">
        <v>440</v>
      </c>
      <c r="L35" s="19" t="s">
        <v>342</v>
      </c>
      <c r="M35" s="26"/>
      <c r="N35" s="24"/>
      <c r="O35" s="24"/>
      <c r="P35" s="24"/>
      <c r="Q35" s="24"/>
      <c r="R35" s="24"/>
      <c r="S35" s="24"/>
      <c r="T35" s="19"/>
    </row>
    <row r="36" spans="1:21" s="13" customFormat="1" ht="20.100000000000001" customHeight="1">
      <c r="A36" s="26" t="s">
        <v>455</v>
      </c>
      <c r="C36" s="57" t="s">
        <v>456</v>
      </c>
      <c r="D36" s="24"/>
      <c r="E36" s="12"/>
      <c r="F36" s="26" t="s">
        <v>475</v>
      </c>
      <c r="G36" s="26" t="s">
        <v>482</v>
      </c>
      <c r="H36" s="14">
        <v>25</v>
      </c>
      <c r="I36" s="14" t="s">
        <v>491</v>
      </c>
      <c r="J36" s="14">
        <v>20</v>
      </c>
      <c r="K36" s="14" t="s">
        <v>484</v>
      </c>
      <c r="L36" s="14">
        <v>10</v>
      </c>
      <c r="M36" s="26">
        <f>SUMIF([2]Sheet1!$B:$B,"="&amp;F36,[2]Sheet1!$A:$A)</f>
        <v>10030422</v>
      </c>
      <c r="N36" s="26">
        <f>SUMIF([2]Sheet1!$B:$B,"="&amp;G36,[2]Sheet1!$A:$A)</f>
        <v>10020101</v>
      </c>
      <c r="O36" s="26">
        <f>H36</f>
        <v>25</v>
      </c>
      <c r="P36" s="26">
        <f>SUMIF([2]Sheet1!$B:$B,"="&amp;I36,[2]Sheet1!$A:$A)</f>
        <v>10020107</v>
      </c>
      <c r="Q36" s="26">
        <f t="shared" ref="Q36:Q42" si="10">J36</f>
        <v>20</v>
      </c>
      <c r="R36" s="26">
        <f>SUMIF([2]Sheet1!$B:$B,"="&amp;K36,[2]Sheet1!$A:$A)</f>
        <v>10020108</v>
      </c>
      <c r="S36" s="26">
        <f t="shared" ref="S36:S42" si="11">L36</f>
        <v>10</v>
      </c>
      <c r="T36" s="26" t="s">
        <v>475</v>
      </c>
      <c r="U36" s="13" t="str">
        <f t="shared" si="5"/>
        <v>制作书:破灵腰带</v>
      </c>
    </row>
    <row r="37" spans="1:21" s="13" customFormat="1" ht="20.100000000000001" customHeight="1">
      <c r="C37" s="57" t="s">
        <v>614</v>
      </c>
      <c r="D37" s="24"/>
      <c r="E37" s="12"/>
      <c r="F37" s="26" t="s">
        <v>476</v>
      </c>
      <c r="G37" s="14" t="s">
        <v>483</v>
      </c>
      <c r="H37" s="14">
        <v>25</v>
      </c>
      <c r="I37" s="14" t="s">
        <v>491</v>
      </c>
      <c r="J37" s="14">
        <v>20</v>
      </c>
      <c r="K37" s="14" t="s">
        <v>459</v>
      </c>
      <c r="L37" s="14">
        <v>10</v>
      </c>
      <c r="M37" s="26">
        <f>SUMIF([2]Sheet1!$B:$B,"="&amp;F37,[2]Sheet1!$A:$A)</f>
        <v>10030423</v>
      </c>
      <c r="N37" s="26">
        <f>SUMIF([2]Sheet1!$B:$B,"="&amp;G37,[2]Sheet1!$A:$A)</f>
        <v>0</v>
      </c>
      <c r="O37" s="26">
        <f t="shared" ref="O37:O42" si="12">H37</f>
        <v>25</v>
      </c>
      <c r="P37" s="26">
        <f>SUMIF([2]Sheet1!$B:$B,"="&amp;I37,[2]Sheet1!$A:$A)</f>
        <v>10020107</v>
      </c>
      <c r="Q37" s="26">
        <f t="shared" si="10"/>
        <v>20</v>
      </c>
      <c r="R37" s="26">
        <f>SUMIF([2]Sheet1!$B:$B,"="&amp;K37,[2]Sheet1!$A:$A)</f>
        <v>10020109</v>
      </c>
      <c r="S37" s="26">
        <f t="shared" si="11"/>
        <v>10</v>
      </c>
      <c r="T37" s="26" t="s">
        <v>476</v>
      </c>
      <c r="U37" s="13" t="str">
        <f t="shared" si="5"/>
        <v>制作书:破灵靴子</v>
      </c>
    </row>
    <row r="38" spans="1:21" s="13" customFormat="1" ht="20.100000000000001" customHeight="1">
      <c r="C38" s="57" t="s">
        <v>616</v>
      </c>
      <c r="D38" s="24"/>
      <c r="E38" s="12"/>
      <c r="F38" s="26" t="s">
        <v>477</v>
      </c>
      <c r="G38" s="14" t="s">
        <v>487</v>
      </c>
      <c r="H38" s="14">
        <v>30</v>
      </c>
      <c r="I38" s="26" t="s">
        <v>482</v>
      </c>
      <c r="J38" s="14">
        <v>25</v>
      </c>
      <c r="K38" s="14" t="s">
        <v>491</v>
      </c>
      <c r="L38" s="14">
        <v>30</v>
      </c>
      <c r="M38" s="26">
        <f>SUMIF([2]Sheet1!$B:$B,"="&amp;F38,[2]Sheet1!$A:$A)</f>
        <v>10030424</v>
      </c>
      <c r="N38" s="26">
        <f>SUMIF([2]Sheet1!$B:$B,"="&amp;G38,[2]Sheet1!$A:$A)</f>
        <v>10020103</v>
      </c>
      <c r="O38" s="26">
        <f t="shared" si="12"/>
        <v>30</v>
      </c>
      <c r="P38" s="26">
        <f>SUMIF([2]Sheet1!$B:$B,"="&amp;I38,[2]Sheet1!$A:$A)</f>
        <v>10020101</v>
      </c>
      <c r="Q38" s="26">
        <f t="shared" si="10"/>
        <v>25</v>
      </c>
      <c r="R38" s="26">
        <f>SUMIF([2]Sheet1!$B:$B,"="&amp;K38,[2]Sheet1!$A:$A)</f>
        <v>10020107</v>
      </c>
      <c r="S38" s="26">
        <f t="shared" si="11"/>
        <v>30</v>
      </c>
      <c r="T38" s="26" t="s">
        <v>477</v>
      </c>
      <c r="U38" s="13" t="str">
        <f t="shared" si="5"/>
        <v>制作书:冰河战甲</v>
      </c>
    </row>
    <row r="39" spans="1:21" s="13" customFormat="1" ht="20.100000000000001" customHeight="1">
      <c r="C39" s="57" t="s">
        <v>615</v>
      </c>
      <c r="D39" s="24" t="s">
        <v>539</v>
      </c>
      <c r="E39" s="12"/>
      <c r="F39" s="26" t="s">
        <v>478</v>
      </c>
      <c r="G39" s="14" t="s">
        <v>488</v>
      </c>
      <c r="H39" s="14">
        <v>20</v>
      </c>
      <c r="I39" s="14" t="s">
        <v>483</v>
      </c>
      <c r="J39" s="14">
        <v>25</v>
      </c>
      <c r="K39" s="14" t="s">
        <v>459</v>
      </c>
      <c r="L39" s="14">
        <v>10</v>
      </c>
      <c r="M39" s="26">
        <f>SUMIF([2]Sheet1!$B:$B,"="&amp;F39,[2]Sheet1!$A:$A)</f>
        <v>10030425</v>
      </c>
      <c r="N39" s="26">
        <f>SUMIF([2]Sheet1!$B:$B,"="&amp;G39,[2]Sheet1!$A:$A)</f>
        <v>10020104</v>
      </c>
      <c r="O39" s="26">
        <f t="shared" si="12"/>
        <v>20</v>
      </c>
      <c r="P39" s="26">
        <f>SUMIF([2]Sheet1!$B:$B,"="&amp;I39,[2]Sheet1!$A:$A)</f>
        <v>0</v>
      </c>
      <c r="Q39" s="26">
        <f t="shared" si="10"/>
        <v>25</v>
      </c>
      <c r="R39" s="26">
        <f>SUMIF([2]Sheet1!$B:$B,"="&amp;K39,[2]Sheet1!$A:$A)</f>
        <v>10020109</v>
      </c>
      <c r="S39" s="26">
        <f t="shared" si="11"/>
        <v>10</v>
      </c>
      <c r="T39" s="26" t="s">
        <v>478</v>
      </c>
      <c r="U39" s="13" t="str">
        <f t="shared" si="5"/>
        <v>制作书:冰河战盔</v>
      </c>
    </row>
    <row r="40" spans="1:21" s="13" customFormat="1" ht="20.100000000000001" customHeight="1">
      <c r="C40" s="57" t="s">
        <v>458</v>
      </c>
      <c r="D40" s="24"/>
      <c r="E40" s="12"/>
      <c r="F40" s="26" t="s">
        <v>479</v>
      </c>
      <c r="G40" s="14" t="s">
        <v>489</v>
      </c>
      <c r="H40" s="14">
        <v>30</v>
      </c>
      <c r="I40" s="14" t="s">
        <v>487</v>
      </c>
      <c r="J40" s="14">
        <v>30</v>
      </c>
      <c r="K40" s="14" t="s">
        <v>484</v>
      </c>
      <c r="L40" s="14">
        <v>10</v>
      </c>
      <c r="M40" s="26">
        <f>SUMIF([2]Sheet1!$B:$B,"="&amp;F40,[2]Sheet1!$A:$A)</f>
        <v>10030426</v>
      </c>
      <c r="N40" s="26">
        <f>SUMIF([2]Sheet1!$B:$B,"="&amp;G40,[2]Sheet1!$A:$A)</f>
        <v>10020105</v>
      </c>
      <c r="O40" s="26">
        <f t="shared" si="12"/>
        <v>30</v>
      </c>
      <c r="P40" s="26">
        <f>SUMIF([2]Sheet1!$B:$B,"="&amp;I40,[2]Sheet1!$A:$A)</f>
        <v>10020103</v>
      </c>
      <c r="Q40" s="26">
        <f t="shared" si="10"/>
        <v>30</v>
      </c>
      <c r="R40" s="26">
        <f>SUMIF([2]Sheet1!$B:$B,"="&amp;K40,[2]Sheet1!$A:$A)</f>
        <v>10020108</v>
      </c>
      <c r="S40" s="26">
        <f t="shared" si="11"/>
        <v>10</v>
      </c>
      <c r="T40" s="26" t="s">
        <v>479</v>
      </c>
      <c r="U40" s="13" t="str">
        <f t="shared" si="5"/>
        <v>制作书:冰河长裤</v>
      </c>
    </row>
    <row r="41" spans="1:21" s="13" customFormat="1" ht="20.100000000000001" customHeight="1">
      <c r="C41" s="57" t="s">
        <v>486</v>
      </c>
      <c r="D41" s="24" t="s">
        <v>538</v>
      </c>
      <c r="E41" s="12"/>
      <c r="F41" s="26" t="s">
        <v>480</v>
      </c>
      <c r="G41" s="14" t="s">
        <v>490</v>
      </c>
      <c r="H41" s="14">
        <v>3</v>
      </c>
      <c r="I41" s="14" t="s">
        <v>457</v>
      </c>
      <c r="J41" s="14">
        <v>20</v>
      </c>
      <c r="K41" s="14" t="s">
        <v>485</v>
      </c>
      <c r="L41" s="14">
        <v>50</v>
      </c>
      <c r="M41" s="26">
        <f>SUMIF([2]Sheet1!$B:$B,"="&amp;F41,[2]Sheet1!$A:$A)</f>
        <v>10030427</v>
      </c>
      <c r="N41" s="26">
        <f>SUMIF([2]Sheet1!$B:$B,"="&amp;G41,[2]Sheet1!$A:$A)</f>
        <v>10020106</v>
      </c>
      <c r="O41" s="26">
        <f t="shared" si="12"/>
        <v>3</v>
      </c>
      <c r="P41" s="26">
        <f>SUMIF([2]Sheet1!$B:$B,"="&amp;I41,[2]Sheet1!$A:$A)</f>
        <v>10020104</v>
      </c>
      <c r="Q41" s="26">
        <f t="shared" si="10"/>
        <v>20</v>
      </c>
      <c r="R41" s="26">
        <f>SUMIF([2]Sheet1!$B:$B,"="&amp;K41,[2]Sheet1!$A:$A)</f>
        <v>10020107</v>
      </c>
      <c r="S41" s="26">
        <f t="shared" si="11"/>
        <v>50</v>
      </c>
      <c r="T41" s="26" t="s">
        <v>480</v>
      </c>
      <c r="U41" s="13" t="str">
        <f t="shared" si="5"/>
        <v>制作书:勇气长剑</v>
      </c>
    </row>
    <row r="42" spans="1:21" s="13" customFormat="1" ht="20.100000000000001" customHeight="1">
      <c r="C42" s="57" t="s">
        <v>485</v>
      </c>
      <c r="D42" s="24" t="s">
        <v>536</v>
      </c>
      <c r="E42" s="12"/>
      <c r="F42" s="14" t="s">
        <v>481</v>
      </c>
      <c r="G42" s="14" t="s">
        <v>491</v>
      </c>
      <c r="H42" s="14">
        <v>30</v>
      </c>
      <c r="I42" s="26" t="s">
        <v>482</v>
      </c>
      <c r="J42" s="14">
        <v>30</v>
      </c>
      <c r="K42" s="14" t="s">
        <v>459</v>
      </c>
      <c r="L42" s="14">
        <v>10</v>
      </c>
      <c r="M42" s="26">
        <f>SUMIF([2]Sheet1!$B:$B,"="&amp;F42,[2]Sheet1!$A:$A)</f>
        <v>10030428</v>
      </c>
      <c r="N42" s="26">
        <f>SUMIF([2]Sheet1!$B:$B,"="&amp;G42,[2]Sheet1!$A:$A)</f>
        <v>10020107</v>
      </c>
      <c r="O42" s="26">
        <f t="shared" si="12"/>
        <v>30</v>
      </c>
      <c r="P42" s="26">
        <f>SUMIF([2]Sheet1!$B:$B,"="&amp;I42,[2]Sheet1!$A:$A)</f>
        <v>10020101</v>
      </c>
      <c r="Q42" s="26">
        <f t="shared" si="10"/>
        <v>30</v>
      </c>
      <c r="R42" s="26">
        <f>SUMIF([2]Sheet1!$B:$B,"="&amp;K42,[2]Sheet1!$A:$A)</f>
        <v>10020109</v>
      </c>
      <c r="S42" s="26">
        <f t="shared" si="11"/>
        <v>10</v>
      </c>
      <c r="T42" s="14" t="s">
        <v>481</v>
      </c>
      <c r="U42" s="13" t="str">
        <f t="shared" si="5"/>
        <v>制作书:破灵护符</v>
      </c>
    </row>
    <row r="43" spans="1:21" s="13" customFormat="1" ht="20.100000000000001" customHeight="1">
      <c r="C43" s="57" t="s">
        <v>484</v>
      </c>
      <c r="D43" s="24"/>
      <c r="E43" s="12"/>
      <c r="H43" s="12"/>
      <c r="I43" s="12"/>
      <c r="J43" s="12"/>
      <c r="L43" s="12"/>
      <c r="M43" s="26"/>
      <c r="N43" s="26"/>
      <c r="O43" s="26"/>
      <c r="P43" s="26"/>
      <c r="Q43" s="26"/>
      <c r="R43" s="26"/>
      <c r="S43" s="26"/>
    </row>
    <row r="44" spans="1:21" s="13" customFormat="1" ht="20.100000000000001" customHeight="1">
      <c r="C44" s="57" t="s">
        <v>459</v>
      </c>
      <c r="D44" s="24"/>
      <c r="E44" s="12"/>
      <c r="F44" s="26" t="s">
        <v>624</v>
      </c>
      <c r="G44" s="26" t="s">
        <v>482</v>
      </c>
      <c r="H44" s="65">
        <v>25</v>
      </c>
      <c r="I44" s="65" t="s">
        <v>488</v>
      </c>
      <c r="J44" s="65">
        <v>20</v>
      </c>
      <c r="K44" s="65" t="s">
        <v>491</v>
      </c>
      <c r="L44" s="65">
        <v>30</v>
      </c>
      <c r="M44" s="26">
        <f>SUMIF([2]Sheet1!$B:$B,"="&amp;F44,[2]Sheet1!$A:$A)</f>
        <v>10030429</v>
      </c>
      <c r="N44" s="26">
        <f>SUMIF([2]Sheet1!$B:$B,"="&amp;G44,[2]Sheet1!$A:$A)</f>
        <v>10020101</v>
      </c>
      <c r="O44" s="26">
        <f t="shared" ref="O44:O47" si="13">H44</f>
        <v>25</v>
      </c>
      <c r="P44" s="26">
        <f>SUMIF([2]Sheet1!$B:$B,"="&amp;I44,[2]Sheet1!$A:$A)</f>
        <v>10020104</v>
      </c>
      <c r="Q44" s="26">
        <f t="shared" ref="Q44:Q47" si="14">J44</f>
        <v>20</v>
      </c>
      <c r="R44" s="26">
        <f>SUMIF([2]Sheet1!$B:$B,"="&amp;K44,[2]Sheet1!$A:$A)</f>
        <v>10020107</v>
      </c>
      <c r="S44" s="26">
        <f t="shared" ref="S44:S47" si="15">L44</f>
        <v>30</v>
      </c>
      <c r="T44" s="26" t="s">
        <v>624</v>
      </c>
      <c r="U44" s="24" t="str">
        <f t="shared" ref="U44:U47" si="16">"制作书:"&amp;T44</f>
        <v>制作书:治愈灵石</v>
      </c>
    </row>
    <row r="45" spans="1:21" s="13" customFormat="1" ht="20.100000000000001" customHeight="1">
      <c r="C45" s="26" t="s">
        <v>627</v>
      </c>
      <c r="D45" s="24"/>
      <c r="E45" s="12"/>
      <c r="F45" s="26" t="s">
        <v>625</v>
      </c>
      <c r="G45" s="65" t="s">
        <v>627</v>
      </c>
      <c r="H45" s="65">
        <v>1</v>
      </c>
      <c r="I45" s="65" t="s">
        <v>491</v>
      </c>
      <c r="J45" s="65">
        <v>30</v>
      </c>
      <c r="K45" s="65" t="s">
        <v>459</v>
      </c>
      <c r="L45" s="65">
        <v>30</v>
      </c>
      <c r="M45" s="26">
        <f>SUMIF([2]Sheet1!$B:$B,"="&amp;F45,[2]Sheet1!$A:$A)</f>
        <v>10030432</v>
      </c>
      <c r="N45" s="26">
        <f>SUMIF([2]Sheet1!$B:$B,"="&amp;G45,[2]Sheet1!$A:$A)</f>
        <v>10020110</v>
      </c>
      <c r="O45" s="26">
        <f t="shared" si="13"/>
        <v>1</v>
      </c>
      <c r="P45" s="26">
        <f>SUMIF([2]Sheet1!$B:$B,"="&amp;I45,[2]Sheet1!$A:$A)</f>
        <v>10020107</v>
      </c>
      <c r="Q45" s="26">
        <f t="shared" si="14"/>
        <v>30</v>
      </c>
      <c r="R45" s="26">
        <f>SUMIF([2]Sheet1!$B:$B,"="&amp;K45,[2]Sheet1!$A:$A)</f>
        <v>10020109</v>
      </c>
      <c r="S45" s="26">
        <f t="shared" si="15"/>
        <v>30</v>
      </c>
      <c r="T45" s="26" t="s">
        <v>625</v>
      </c>
      <c r="U45" s="24" t="str">
        <f t="shared" si="16"/>
        <v>制作书:阿兹里斯的骨头</v>
      </c>
    </row>
    <row r="46" spans="1:21" s="13" customFormat="1" ht="20.100000000000001" customHeight="1">
      <c r="C46" s="26"/>
      <c r="D46" s="24"/>
      <c r="E46" s="12"/>
      <c r="F46" s="26" t="s">
        <v>633</v>
      </c>
      <c r="G46" s="65" t="s">
        <v>627</v>
      </c>
      <c r="H46" s="65">
        <v>5</v>
      </c>
      <c r="I46" s="65" t="s">
        <v>641</v>
      </c>
      <c r="J46" s="65">
        <v>1</v>
      </c>
      <c r="K46" s="65" t="s">
        <v>491</v>
      </c>
      <c r="L46" s="65">
        <v>100</v>
      </c>
      <c r="M46" s="26">
        <f>SUMIF([2]Sheet1!$B:$B,"="&amp;F46,[2]Sheet1!$A:$A)</f>
        <v>10030433</v>
      </c>
      <c r="N46" s="26">
        <f>SUMIF([2]Sheet1!$B:$B,"="&amp;G46,[2]Sheet1!$A:$A)</f>
        <v>10020110</v>
      </c>
      <c r="O46" s="26">
        <f t="shared" si="13"/>
        <v>5</v>
      </c>
      <c r="P46" s="26">
        <f>SUMIF([2]Sheet1!$B:$B,"="&amp;I46,[2]Sheet1!$A:$A)</f>
        <v>10030418</v>
      </c>
      <c r="Q46" s="26">
        <f t="shared" si="14"/>
        <v>1</v>
      </c>
      <c r="R46" s="26">
        <f>SUMIF([2]Sheet1!$B:$B,"="&amp;K46,[2]Sheet1!$A:$A)</f>
        <v>10020107</v>
      </c>
      <c r="S46" s="26">
        <f t="shared" si="15"/>
        <v>100</v>
      </c>
      <c r="T46" s="26" t="s">
        <v>633</v>
      </c>
      <c r="U46" s="24" t="str">
        <f t="shared" si="16"/>
        <v>制作书:帝陨</v>
      </c>
    </row>
    <row r="47" spans="1:21" s="13" customFormat="1" ht="20.100000000000001" customHeight="1">
      <c r="C47" s="26"/>
      <c r="D47" s="24"/>
      <c r="E47" s="12"/>
      <c r="F47" s="65" t="s">
        <v>634</v>
      </c>
      <c r="G47" s="65" t="s">
        <v>627</v>
      </c>
      <c r="H47" s="65">
        <v>3</v>
      </c>
      <c r="I47" s="65" t="s">
        <v>638</v>
      </c>
      <c r="J47" s="65">
        <v>1</v>
      </c>
      <c r="K47" s="65" t="s">
        <v>491</v>
      </c>
      <c r="L47" s="65">
        <v>100</v>
      </c>
      <c r="M47" s="26">
        <f>SUMIF([2]Sheet1!$B:$B,"="&amp;F47,[2]Sheet1!$A:$A)</f>
        <v>10030434</v>
      </c>
      <c r="N47" s="26">
        <f>SUMIF([2]Sheet1!$B:$B,"="&amp;G47,[2]Sheet1!$A:$A)</f>
        <v>10020110</v>
      </c>
      <c r="O47" s="26">
        <f t="shared" si="13"/>
        <v>3</v>
      </c>
      <c r="P47" s="26">
        <f>SUMIF([2]Sheet1!$B:$B,"="&amp;I47,[2]Sheet1!$A:$A)</f>
        <v>10030411</v>
      </c>
      <c r="Q47" s="26">
        <f t="shared" si="14"/>
        <v>1</v>
      </c>
      <c r="R47" s="26">
        <f>SUMIF([2]Sheet1!$B:$B,"="&amp;K47,[2]Sheet1!$A:$A)</f>
        <v>10020107</v>
      </c>
      <c r="S47" s="26">
        <f t="shared" si="15"/>
        <v>100</v>
      </c>
      <c r="T47" s="65" t="s">
        <v>634</v>
      </c>
      <c r="U47" s="24" t="str">
        <f t="shared" si="16"/>
        <v>制作书:阿兹里斯的项链</v>
      </c>
    </row>
    <row r="48" spans="1:21" s="13" customFormat="1" ht="20.100000000000001" customHeight="1">
      <c r="D48" s="24"/>
      <c r="E48" s="12"/>
      <c r="F48" s="12"/>
      <c r="G48" s="12"/>
      <c r="H48" s="12"/>
      <c r="I48" s="12"/>
      <c r="J48" s="12"/>
      <c r="K48" s="12"/>
      <c r="L48" s="12"/>
      <c r="M48" s="26"/>
      <c r="N48" s="12"/>
      <c r="O48" s="12"/>
      <c r="P48" s="12"/>
      <c r="Q48" s="12"/>
      <c r="R48" s="12"/>
      <c r="S48" s="12"/>
      <c r="T48" s="12"/>
      <c r="U48" s="12"/>
    </row>
    <row r="49" spans="1:21" s="13" customFormat="1" ht="20.100000000000001" customHeight="1">
      <c r="D49" s="24"/>
      <c r="E49" s="12"/>
      <c r="H49" s="12"/>
      <c r="I49" s="12"/>
      <c r="J49" s="12"/>
      <c r="L49" s="12"/>
      <c r="M49" s="26"/>
      <c r="N49" s="24"/>
      <c r="O49" s="24"/>
      <c r="P49" s="24"/>
      <c r="Q49" s="24"/>
      <c r="R49" s="24"/>
      <c r="S49" s="24"/>
    </row>
    <row r="50" spans="1:21" s="13" customFormat="1" ht="20.100000000000001" customHeight="1">
      <c r="D50" s="24"/>
      <c r="E50" s="12"/>
      <c r="F50" s="19" t="s">
        <v>167</v>
      </c>
      <c r="G50" s="19" t="s">
        <v>441</v>
      </c>
      <c r="H50" s="19" t="s">
        <v>342</v>
      </c>
      <c r="I50" s="19" t="s">
        <v>439</v>
      </c>
      <c r="J50" s="63" t="s">
        <v>342</v>
      </c>
      <c r="K50" s="19" t="s">
        <v>440</v>
      </c>
      <c r="L50" s="19" t="s">
        <v>342</v>
      </c>
      <c r="M50" s="26"/>
      <c r="N50" s="24"/>
      <c r="O50" s="24"/>
      <c r="P50" s="24"/>
      <c r="Q50" s="24"/>
      <c r="R50" s="24"/>
      <c r="S50" s="24"/>
      <c r="T50" s="19"/>
    </row>
    <row r="51" spans="1:21" s="13" customFormat="1" ht="20.100000000000001" customHeight="1">
      <c r="A51" s="14" t="s">
        <v>460</v>
      </c>
      <c r="C51" s="57" t="s">
        <v>461</v>
      </c>
      <c r="D51" s="24"/>
      <c r="E51" s="12"/>
      <c r="F51" s="26" t="s">
        <v>492</v>
      </c>
      <c r="G51" s="14" t="s">
        <v>501</v>
      </c>
      <c r="H51" s="14">
        <v>30</v>
      </c>
      <c r="I51" s="14" t="s">
        <v>505</v>
      </c>
      <c r="J51" s="14">
        <v>20</v>
      </c>
      <c r="K51" s="14" t="s">
        <v>506</v>
      </c>
      <c r="L51" s="14">
        <v>30</v>
      </c>
      <c r="M51" s="26">
        <f>SUMIF([2]Sheet1!$B:$B,"="&amp;F51,[2]Sheet1!$A:$A)</f>
        <v>10030522</v>
      </c>
      <c r="N51" s="26">
        <f>SUMIF([2]Sheet1!$B:$B,"="&amp;G51,[2]Sheet1!$A:$A)</f>
        <v>10020154</v>
      </c>
      <c r="O51" s="26">
        <f>H51</f>
        <v>30</v>
      </c>
      <c r="P51" s="26">
        <f>SUMIF([2]Sheet1!$B:$B,"="&amp;I51,[2]Sheet1!$A:$A)</f>
        <v>10020156</v>
      </c>
      <c r="Q51" s="26">
        <f t="shared" ref="Q51:Q59" si="17">J51</f>
        <v>20</v>
      </c>
      <c r="R51" s="26">
        <f>SUMIF([2]Sheet1!$B:$B,"="&amp;K51,[2]Sheet1!$A:$A)</f>
        <v>10020155</v>
      </c>
      <c r="S51" s="26">
        <f t="shared" ref="S51:S59" si="18">L51</f>
        <v>30</v>
      </c>
      <c r="T51" s="26" t="s">
        <v>492</v>
      </c>
      <c r="U51" s="12" t="str">
        <f t="shared" si="5"/>
        <v>制作书:精灵项链</v>
      </c>
    </row>
    <row r="52" spans="1:21" s="13" customFormat="1" ht="20.100000000000001" customHeight="1">
      <c r="C52" s="57" t="s">
        <v>510</v>
      </c>
      <c r="D52" s="24"/>
      <c r="E52" s="12"/>
      <c r="F52" s="14" t="s">
        <v>493</v>
      </c>
      <c r="G52" s="14" t="s">
        <v>501</v>
      </c>
      <c r="H52" s="14">
        <v>30</v>
      </c>
      <c r="I52" s="14" t="s">
        <v>511</v>
      </c>
      <c r="J52" s="14">
        <v>25</v>
      </c>
      <c r="K52" s="14" t="s">
        <v>508</v>
      </c>
      <c r="L52" s="14">
        <v>30</v>
      </c>
      <c r="M52" s="26">
        <f>SUMIF([2]Sheet1!$B:$B,"="&amp;F52,[2]Sheet1!$A:$A)</f>
        <v>10030523</v>
      </c>
      <c r="N52" s="26">
        <f>SUMIF([2]Sheet1!$B:$B,"="&amp;G52,[2]Sheet1!$A:$A)</f>
        <v>10020154</v>
      </c>
      <c r="O52" s="26">
        <f t="shared" ref="O52" si="19">H52</f>
        <v>30</v>
      </c>
      <c r="P52" s="26">
        <f>SUMIF([2]Sheet1!$B:$B,"="&amp;I52,[2]Sheet1!$A:$A)</f>
        <v>10020152</v>
      </c>
      <c r="Q52" s="26">
        <f t="shared" si="17"/>
        <v>25</v>
      </c>
      <c r="R52" s="26">
        <f>SUMIF([2]Sheet1!$B:$B,"="&amp;K52,[2]Sheet1!$A:$A)</f>
        <v>10020155</v>
      </c>
      <c r="S52" s="26">
        <f t="shared" si="18"/>
        <v>30</v>
      </c>
      <c r="T52" s="65" t="s">
        <v>493</v>
      </c>
      <c r="U52" s="12" t="str">
        <f t="shared" si="5"/>
        <v>制作书:精灵指环</v>
      </c>
    </row>
    <row r="53" spans="1:21" s="13" customFormat="1" ht="20.100000000000001" customHeight="1">
      <c r="C53" s="57" t="s">
        <v>617</v>
      </c>
      <c r="D53" s="24"/>
      <c r="E53" s="12"/>
      <c r="F53" s="14" t="s">
        <v>494</v>
      </c>
      <c r="G53" s="14" t="s">
        <v>463</v>
      </c>
      <c r="H53" s="14">
        <v>30</v>
      </c>
      <c r="I53" s="14" t="s">
        <v>516</v>
      </c>
      <c r="J53" s="14">
        <v>25</v>
      </c>
      <c r="K53" s="14" t="s">
        <v>517</v>
      </c>
      <c r="L53" s="14">
        <v>10</v>
      </c>
      <c r="M53" s="26">
        <f>SUMIF([2]Sheet1!$B:$B,"="&amp;F53,[2]Sheet1!$A:$A)</f>
        <v>10030524</v>
      </c>
      <c r="N53" s="26">
        <f>SUMIF([2]Sheet1!$B:$B,"="&amp;G53,[2]Sheet1!$A:$A)</f>
        <v>10020153</v>
      </c>
      <c r="O53" s="26">
        <f>H53</f>
        <v>30</v>
      </c>
      <c r="P53" s="26">
        <f>SUMIF([2]Sheet1!$B:$B,"="&amp;I53,[2]Sheet1!$A:$A)</f>
        <v>10020151</v>
      </c>
      <c r="Q53" s="26">
        <f t="shared" si="17"/>
        <v>25</v>
      </c>
      <c r="R53" s="26">
        <f>SUMIF([2]Sheet1!$B:$B,"="&amp;K53,[2]Sheet1!$A:$A)</f>
        <v>10020158</v>
      </c>
      <c r="S53" s="26">
        <f t="shared" si="18"/>
        <v>10</v>
      </c>
      <c r="T53" s="65" t="s">
        <v>494</v>
      </c>
      <c r="U53" s="12" t="str">
        <f t="shared" si="5"/>
        <v>制作书:暮色战甲</v>
      </c>
    </row>
    <row r="54" spans="1:21" s="13" customFormat="1" ht="20.100000000000001" customHeight="1">
      <c r="C54" s="57" t="s">
        <v>500</v>
      </c>
      <c r="D54" s="24"/>
      <c r="E54" s="12"/>
      <c r="F54" s="14" t="s">
        <v>495</v>
      </c>
      <c r="G54" s="14" t="s">
        <v>509</v>
      </c>
      <c r="H54" s="14">
        <v>30</v>
      </c>
      <c r="I54" s="14" t="s">
        <v>505</v>
      </c>
      <c r="J54" s="14">
        <v>20</v>
      </c>
      <c r="K54" s="14" t="s">
        <v>465</v>
      </c>
      <c r="L54" s="14">
        <v>10</v>
      </c>
      <c r="M54" s="26">
        <f>SUMIF([2]Sheet1!$B:$B,"="&amp;F54,[2]Sheet1!$A:$A)</f>
        <v>10030525</v>
      </c>
      <c r="N54" s="26">
        <f>SUMIF([2]Sheet1!$B:$B,"="&amp;G54,[2]Sheet1!$A:$A)</f>
        <v>10020153</v>
      </c>
      <c r="O54" s="26">
        <f t="shared" ref="O54:O59" si="20">H54</f>
        <v>30</v>
      </c>
      <c r="P54" s="26">
        <f>SUMIF([2]Sheet1!$B:$B,"="&amp;I54,[2]Sheet1!$A:$A)</f>
        <v>10020156</v>
      </c>
      <c r="Q54" s="26">
        <f t="shared" si="17"/>
        <v>20</v>
      </c>
      <c r="R54" s="26">
        <f>SUMIF([2]Sheet1!$B:$B,"="&amp;K54,[2]Sheet1!$A:$A)</f>
        <v>10020159</v>
      </c>
      <c r="S54" s="26">
        <f t="shared" si="18"/>
        <v>10</v>
      </c>
      <c r="T54" s="65" t="s">
        <v>495</v>
      </c>
      <c r="U54" s="12" t="str">
        <f t="shared" si="5"/>
        <v>制作书:暮色战盔</v>
      </c>
    </row>
    <row r="55" spans="1:21" s="13" customFormat="1" ht="20.100000000000001" customHeight="1">
      <c r="C55" s="57" t="s">
        <v>506</v>
      </c>
      <c r="D55" s="24" t="s">
        <v>536</v>
      </c>
      <c r="E55" s="12"/>
      <c r="F55" s="14" t="s">
        <v>496</v>
      </c>
      <c r="G55" s="14" t="s">
        <v>462</v>
      </c>
      <c r="H55" s="14">
        <v>30</v>
      </c>
      <c r="I55" s="14" t="s">
        <v>507</v>
      </c>
      <c r="J55" s="14">
        <v>25</v>
      </c>
      <c r="K55" s="14" t="s">
        <v>464</v>
      </c>
      <c r="L55" s="14">
        <v>10</v>
      </c>
      <c r="M55" s="26">
        <f>SUMIF([2]Sheet1!$B:$B,"="&amp;F55,[2]Sheet1!$A:$A)</f>
        <v>10030526</v>
      </c>
      <c r="N55" s="26">
        <f>SUMIF([2]Sheet1!$B:$B,"="&amp;G55,[2]Sheet1!$A:$A)</f>
        <v>10020152</v>
      </c>
      <c r="O55" s="26">
        <f t="shared" si="20"/>
        <v>30</v>
      </c>
      <c r="P55" s="26">
        <f>SUMIF([2]Sheet1!$B:$B,"="&amp;I55,[2]Sheet1!$A:$A)</f>
        <v>10020155</v>
      </c>
      <c r="Q55" s="26">
        <f t="shared" si="17"/>
        <v>25</v>
      </c>
      <c r="R55" s="26">
        <f>SUMIF([2]Sheet1!$B:$B,"="&amp;K55,[2]Sheet1!$A:$A)</f>
        <v>10020158</v>
      </c>
      <c r="S55" s="26">
        <f t="shared" si="18"/>
        <v>10</v>
      </c>
      <c r="T55" s="65" t="s">
        <v>496</v>
      </c>
      <c r="U55" s="12" t="str">
        <f t="shared" si="5"/>
        <v>制作书:暮色长裤</v>
      </c>
    </row>
    <row r="56" spans="1:21" s="13" customFormat="1" ht="20.100000000000001" customHeight="1">
      <c r="C56" s="57" t="s">
        <v>503</v>
      </c>
      <c r="D56" s="24" t="s">
        <v>539</v>
      </c>
      <c r="E56" s="12"/>
      <c r="F56" s="14" t="s">
        <v>512</v>
      </c>
      <c r="G56" s="14" t="s">
        <v>462</v>
      </c>
      <c r="H56" s="14">
        <v>30</v>
      </c>
      <c r="I56" s="14" t="s">
        <v>513</v>
      </c>
      <c r="J56" s="14">
        <v>25</v>
      </c>
      <c r="K56" s="14" t="s">
        <v>465</v>
      </c>
      <c r="L56" s="14">
        <v>10</v>
      </c>
      <c r="M56" s="26">
        <f>SUMIF([2]Sheet1!$B:$B,"="&amp;F56,[2]Sheet1!$A:$A)</f>
        <v>10030527</v>
      </c>
      <c r="N56" s="26">
        <f>SUMIF([2]Sheet1!$B:$B,"="&amp;G56,[2]Sheet1!$A:$A)</f>
        <v>10020152</v>
      </c>
      <c r="O56" s="26">
        <f t="shared" si="20"/>
        <v>30</v>
      </c>
      <c r="P56" s="26">
        <f>SUMIF([2]Sheet1!$B:$B,"="&amp;I56,[2]Sheet1!$A:$A)</f>
        <v>10020153</v>
      </c>
      <c r="Q56" s="26">
        <f t="shared" si="17"/>
        <v>25</v>
      </c>
      <c r="R56" s="26">
        <f>SUMIF([2]Sheet1!$B:$B,"="&amp;K56,[2]Sheet1!$A:$A)</f>
        <v>10020159</v>
      </c>
      <c r="S56" s="26">
        <f t="shared" si="18"/>
        <v>10</v>
      </c>
      <c r="T56" s="65" t="s">
        <v>512</v>
      </c>
      <c r="U56" s="12" t="str">
        <f t="shared" si="5"/>
        <v>制作书:暮色手套</v>
      </c>
    </row>
    <row r="57" spans="1:21" s="13" customFormat="1" ht="20.100000000000001" customHeight="1">
      <c r="C57" s="57" t="s">
        <v>502</v>
      </c>
      <c r="D57" s="24" t="s">
        <v>538</v>
      </c>
      <c r="E57" s="12"/>
      <c r="F57" s="14" t="s">
        <v>497</v>
      </c>
      <c r="G57" s="14" t="s">
        <v>515</v>
      </c>
      <c r="H57" s="14">
        <v>30</v>
      </c>
      <c r="I57" s="14" t="s">
        <v>507</v>
      </c>
      <c r="J57" s="14">
        <v>25</v>
      </c>
      <c r="K57" s="14" t="s">
        <v>464</v>
      </c>
      <c r="L57" s="14">
        <v>10</v>
      </c>
      <c r="M57" s="26">
        <f>SUMIF([2]Sheet1!$B:$B,"="&amp;F57,[2]Sheet1!$A:$A)</f>
        <v>10030528</v>
      </c>
      <c r="N57" s="26">
        <f>SUMIF([2]Sheet1!$B:$B,"="&amp;G57,[2]Sheet1!$A:$A)</f>
        <v>10020151</v>
      </c>
      <c r="O57" s="26">
        <f t="shared" si="20"/>
        <v>30</v>
      </c>
      <c r="P57" s="26">
        <f>SUMIF([2]Sheet1!$B:$B,"="&amp;I57,[2]Sheet1!$A:$A)</f>
        <v>10020155</v>
      </c>
      <c r="Q57" s="26">
        <f t="shared" si="17"/>
        <v>25</v>
      </c>
      <c r="R57" s="26">
        <f>SUMIF([2]Sheet1!$B:$B,"="&amp;K57,[2]Sheet1!$A:$A)</f>
        <v>10020158</v>
      </c>
      <c r="S57" s="26">
        <f t="shared" si="18"/>
        <v>10</v>
      </c>
      <c r="T57" s="65" t="s">
        <v>497</v>
      </c>
      <c r="U57" s="12" t="str">
        <f t="shared" si="5"/>
        <v>制作书:暮色腰带</v>
      </c>
    </row>
    <row r="58" spans="1:21" s="13" customFormat="1" ht="20.100000000000001" customHeight="1">
      <c r="C58" s="57" t="s">
        <v>464</v>
      </c>
      <c r="D58" s="24"/>
      <c r="E58" s="12"/>
      <c r="F58" s="14" t="s">
        <v>498</v>
      </c>
      <c r="G58" s="14" t="s">
        <v>515</v>
      </c>
      <c r="H58" s="14">
        <v>30</v>
      </c>
      <c r="I58" s="14" t="s">
        <v>505</v>
      </c>
      <c r="J58" s="14">
        <v>20</v>
      </c>
      <c r="K58" s="14" t="s">
        <v>514</v>
      </c>
      <c r="L58" s="14">
        <v>10</v>
      </c>
      <c r="M58" s="26">
        <f>SUMIF([2]Sheet1!$B:$B,"="&amp;F58,[2]Sheet1!$A:$A)</f>
        <v>10030529</v>
      </c>
      <c r="N58" s="26">
        <f>SUMIF([2]Sheet1!$B:$B,"="&amp;G58,[2]Sheet1!$A:$A)</f>
        <v>10020151</v>
      </c>
      <c r="O58" s="26">
        <f t="shared" si="20"/>
        <v>30</v>
      </c>
      <c r="P58" s="26">
        <f>SUMIF([2]Sheet1!$B:$B,"="&amp;I58,[2]Sheet1!$A:$A)</f>
        <v>10020156</v>
      </c>
      <c r="Q58" s="26">
        <f t="shared" si="17"/>
        <v>20</v>
      </c>
      <c r="R58" s="26">
        <f>SUMIF([2]Sheet1!$B:$B,"="&amp;K58,[2]Sheet1!$A:$A)</f>
        <v>10020159</v>
      </c>
      <c r="S58" s="26">
        <f t="shared" si="18"/>
        <v>10</v>
      </c>
      <c r="T58" s="65" t="s">
        <v>498</v>
      </c>
      <c r="U58" s="12" t="str">
        <f t="shared" si="5"/>
        <v>制作书:暮色靴子</v>
      </c>
    </row>
    <row r="59" spans="1:21" s="13" customFormat="1" ht="20.100000000000001" customHeight="1">
      <c r="C59" s="62" t="s">
        <v>465</v>
      </c>
      <c r="D59" s="24"/>
      <c r="E59" s="12"/>
      <c r="F59" s="14" t="s">
        <v>499</v>
      </c>
      <c r="G59" s="14" t="s">
        <v>507</v>
      </c>
      <c r="H59" s="14">
        <v>30</v>
      </c>
      <c r="I59" s="14" t="s">
        <v>504</v>
      </c>
      <c r="J59" s="14">
        <v>1</v>
      </c>
      <c r="K59" s="14" t="s">
        <v>516</v>
      </c>
      <c r="L59" s="14">
        <v>30</v>
      </c>
      <c r="M59" s="26">
        <f>SUMIF([2]Sheet1!$B:$B,"="&amp;F59,[2]Sheet1!$A:$A)</f>
        <v>10030530</v>
      </c>
      <c r="N59" s="26">
        <f>SUMIF([2]Sheet1!$B:$B,"="&amp;G59,[2]Sheet1!$A:$A)</f>
        <v>10020155</v>
      </c>
      <c r="O59" s="26">
        <f t="shared" si="20"/>
        <v>30</v>
      </c>
      <c r="P59" s="26">
        <f>SUMIF([2]Sheet1!$B:$B,"="&amp;I59,[2]Sheet1!$A:$A)</f>
        <v>10020157</v>
      </c>
      <c r="Q59" s="26">
        <f t="shared" si="17"/>
        <v>1</v>
      </c>
      <c r="R59" s="26">
        <f>SUMIF([2]Sheet1!$B:$B,"="&amp;K59,[2]Sheet1!$A:$A)</f>
        <v>10020151</v>
      </c>
      <c r="S59" s="26">
        <f t="shared" si="18"/>
        <v>30</v>
      </c>
      <c r="T59" s="65" t="s">
        <v>499</v>
      </c>
      <c r="U59" s="12" t="str">
        <f t="shared" si="5"/>
        <v>制作书:暮色饰品</v>
      </c>
    </row>
    <row r="60" spans="1:21" s="13" customFormat="1" ht="20.100000000000001" customHeight="1">
      <c r="C60" s="26" t="s">
        <v>626</v>
      </c>
      <c r="D60" s="24"/>
      <c r="E60" s="12"/>
      <c r="F60" s="65"/>
      <c r="G60" s="65"/>
      <c r="H60" s="65"/>
      <c r="I60" s="65"/>
      <c r="J60" s="65"/>
      <c r="K60" s="65"/>
      <c r="L60" s="65"/>
      <c r="M60" s="26"/>
      <c r="N60" s="26"/>
      <c r="O60" s="26"/>
      <c r="P60" s="26"/>
      <c r="Q60" s="26"/>
      <c r="R60" s="26"/>
      <c r="S60" s="26"/>
      <c r="T60" s="65"/>
    </row>
    <row r="61" spans="1:21" s="13" customFormat="1" ht="20.100000000000001" customHeight="1">
      <c r="D61" s="24"/>
      <c r="E61" s="12"/>
      <c r="F61" s="26" t="s">
        <v>629</v>
      </c>
      <c r="G61" s="65" t="s">
        <v>515</v>
      </c>
      <c r="H61" s="65">
        <v>30</v>
      </c>
      <c r="I61" s="65" t="s">
        <v>506</v>
      </c>
      <c r="J61" s="65">
        <v>30</v>
      </c>
      <c r="K61" s="65" t="s">
        <v>465</v>
      </c>
      <c r="L61" s="65">
        <v>10</v>
      </c>
      <c r="M61" s="26">
        <f>SUMIF([2]Sheet1!$B:$B,"="&amp;F61,[2]Sheet1!$A:$A)</f>
        <v>10030531</v>
      </c>
      <c r="N61" s="26">
        <f>SUMIF([2]Sheet1!$B:$B,"="&amp;G61,[2]Sheet1!$A:$A)</f>
        <v>10020151</v>
      </c>
      <c r="O61" s="26">
        <f t="shared" ref="O61:O65" si="21">H61</f>
        <v>30</v>
      </c>
      <c r="P61" s="26">
        <f>SUMIF([2]Sheet1!$B:$B,"="&amp;I61,[2]Sheet1!$A:$A)</f>
        <v>10020155</v>
      </c>
      <c r="Q61" s="26">
        <f t="shared" ref="Q61:Q65" si="22">J61</f>
        <v>30</v>
      </c>
      <c r="R61" s="26">
        <f>SUMIF([2]Sheet1!$B:$B,"="&amp;K61,[2]Sheet1!$A:$A)</f>
        <v>10020159</v>
      </c>
      <c r="S61" s="26">
        <f t="shared" ref="S61:S65" si="23">L61</f>
        <v>10</v>
      </c>
      <c r="T61" s="26" t="s">
        <v>629</v>
      </c>
      <c r="U61" s="12" t="str">
        <f t="shared" si="5"/>
        <v>制作书:狂暴魔法书</v>
      </c>
    </row>
    <row r="62" spans="1:21" s="13" customFormat="1" ht="20.100000000000001" customHeight="1">
      <c r="E62" s="12"/>
      <c r="F62" s="26" t="s">
        <v>630</v>
      </c>
      <c r="G62" s="65" t="s">
        <v>515</v>
      </c>
      <c r="H62" s="65">
        <v>30</v>
      </c>
      <c r="I62" s="65" t="s">
        <v>503</v>
      </c>
      <c r="J62" s="65">
        <v>20</v>
      </c>
      <c r="K62" s="65" t="s">
        <v>507</v>
      </c>
      <c r="L62" s="65">
        <v>25</v>
      </c>
      <c r="M62" s="26">
        <f>SUMIF([2]Sheet1!$B:$B,"="&amp;F62,[2]Sheet1!$A:$A)</f>
        <v>10030532</v>
      </c>
      <c r="N62" s="26">
        <f>SUMIF([2]Sheet1!$B:$B,"="&amp;G62,[2]Sheet1!$A:$A)</f>
        <v>10020151</v>
      </c>
      <c r="O62" s="26">
        <f t="shared" si="21"/>
        <v>30</v>
      </c>
      <c r="P62" s="26">
        <f>SUMIF([2]Sheet1!$B:$B,"="&amp;I62,[2]Sheet1!$A:$A)</f>
        <v>10020156</v>
      </c>
      <c r="Q62" s="26">
        <f t="shared" si="22"/>
        <v>20</v>
      </c>
      <c r="R62" s="26">
        <f>SUMIF([2]Sheet1!$B:$B,"="&amp;K62,[2]Sheet1!$A:$A)</f>
        <v>10020155</v>
      </c>
      <c r="S62" s="26">
        <f t="shared" si="23"/>
        <v>25</v>
      </c>
      <c r="T62" s="26" t="s">
        <v>630</v>
      </c>
      <c r="U62" s="12" t="str">
        <f t="shared" si="5"/>
        <v>制作书:高级治愈灵石</v>
      </c>
    </row>
    <row r="63" spans="1:21" s="13" customFormat="1" ht="20.100000000000001" customHeight="1">
      <c r="D63" s="24"/>
      <c r="E63" s="12"/>
      <c r="F63" s="65" t="s">
        <v>639</v>
      </c>
      <c r="G63" s="26" t="s">
        <v>626</v>
      </c>
      <c r="H63" s="65">
        <v>1</v>
      </c>
      <c r="I63" s="65" t="s">
        <v>502</v>
      </c>
      <c r="J63" s="65">
        <v>3</v>
      </c>
      <c r="K63" s="65" t="s">
        <v>507</v>
      </c>
      <c r="L63" s="65">
        <v>50</v>
      </c>
      <c r="M63" s="26">
        <f>SUMIF([2]Sheet1!$B:$B,"="&amp;F63,[2]Sheet1!$A:$A)</f>
        <v>10030534</v>
      </c>
      <c r="N63" s="26">
        <f>SUMIF([2]Sheet1!$B:$B,"="&amp;G63,[2]Sheet1!$A:$A)</f>
        <v>0</v>
      </c>
      <c r="O63" s="26">
        <f t="shared" si="21"/>
        <v>1</v>
      </c>
      <c r="P63" s="26">
        <f>SUMIF([2]Sheet1!$B:$B,"="&amp;I63,[2]Sheet1!$A:$A)</f>
        <v>10020157</v>
      </c>
      <c r="Q63" s="26">
        <f t="shared" si="22"/>
        <v>3</v>
      </c>
      <c r="R63" s="26">
        <f>SUMIF([2]Sheet1!$B:$B,"="&amp;K63,[2]Sheet1!$A:$A)</f>
        <v>10020155</v>
      </c>
      <c r="S63" s="26">
        <f t="shared" si="23"/>
        <v>50</v>
      </c>
      <c r="T63" s="65" t="s">
        <v>628</v>
      </c>
      <c r="U63" s="12" t="str">
        <f t="shared" si="5"/>
        <v>制作书:艾力克斯的法术书</v>
      </c>
    </row>
    <row r="64" spans="1:21" s="13" customFormat="1" ht="20.100000000000001" customHeight="1">
      <c r="D64" s="24"/>
      <c r="E64" s="12"/>
      <c r="F64" s="65" t="s">
        <v>631</v>
      </c>
      <c r="G64" s="26" t="s">
        <v>626</v>
      </c>
      <c r="H64" s="65">
        <v>5</v>
      </c>
      <c r="I64" s="65" t="s">
        <v>640</v>
      </c>
      <c r="J64" s="65">
        <v>1</v>
      </c>
      <c r="K64" s="65" t="s">
        <v>502</v>
      </c>
      <c r="L64" s="65">
        <v>10</v>
      </c>
      <c r="M64" s="26">
        <f>SUMIF([2]Sheet1!$B:$B,"="&amp;F64,[2]Sheet1!$A:$A)</f>
        <v>10030535</v>
      </c>
      <c r="N64" s="26">
        <f>SUMIF([2]Sheet1!$B:$B,"="&amp;G64,[2]Sheet1!$A:$A)</f>
        <v>0</v>
      </c>
      <c r="O64" s="26">
        <f t="shared" si="21"/>
        <v>5</v>
      </c>
      <c r="P64" s="26">
        <f>SUMIF([2]Sheet1!$B:$B,"="&amp;I64,[2]Sheet1!$A:$A)</f>
        <v>10030518</v>
      </c>
      <c r="Q64" s="26">
        <f t="shared" si="22"/>
        <v>1</v>
      </c>
      <c r="R64" s="26">
        <f>SUMIF([2]Sheet1!$B:$B,"="&amp;K64,[2]Sheet1!$A:$A)</f>
        <v>10020157</v>
      </c>
      <c r="S64" s="26">
        <f t="shared" si="23"/>
        <v>10</v>
      </c>
      <c r="T64" s="65" t="s">
        <v>631</v>
      </c>
      <c r="U64" s="12" t="str">
        <f t="shared" si="5"/>
        <v>制作书:毁灭</v>
      </c>
    </row>
    <row r="65" spans="1:21" s="13" customFormat="1" ht="20.100000000000001" customHeight="1">
      <c r="D65" s="24"/>
      <c r="E65" s="12"/>
      <c r="F65" s="65" t="s">
        <v>632</v>
      </c>
      <c r="G65" s="26" t="s">
        <v>626</v>
      </c>
      <c r="H65" s="65">
        <v>3</v>
      </c>
      <c r="I65" s="65" t="s">
        <v>637</v>
      </c>
      <c r="J65" s="65">
        <v>1</v>
      </c>
      <c r="K65" s="65" t="s">
        <v>502</v>
      </c>
      <c r="L65" s="65">
        <v>5</v>
      </c>
      <c r="M65" s="26">
        <f>SUMIF([2]Sheet1!$B:$B,"="&amp;F65,[2]Sheet1!$A:$A)</f>
        <v>10030536</v>
      </c>
      <c r="N65" s="26">
        <f>SUMIF([2]Sheet1!$B:$B,"="&amp;G65,[2]Sheet1!$A:$A)</f>
        <v>0</v>
      </c>
      <c r="O65" s="26">
        <f t="shared" si="21"/>
        <v>3</v>
      </c>
      <c r="P65" s="26">
        <f>SUMIF([2]Sheet1!$B:$B,"="&amp;I65,[2]Sheet1!$A:$A)</f>
        <v>10030516</v>
      </c>
      <c r="Q65" s="26">
        <f t="shared" si="22"/>
        <v>1</v>
      </c>
      <c r="R65" s="26">
        <f>SUMIF([2]Sheet1!$B:$B,"="&amp;K65,[2]Sheet1!$A:$A)</f>
        <v>10020157</v>
      </c>
      <c r="S65" s="26">
        <f t="shared" si="23"/>
        <v>5</v>
      </c>
      <c r="T65" s="65" t="s">
        <v>632</v>
      </c>
      <c r="U65" s="12" t="str">
        <f t="shared" si="5"/>
        <v>制作书:艾力克斯的护符</v>
      </c>
    </row>
    <row r="66" spans="1:21" s="13" customFormat="1" ht="20.100000000000001" customHeight="1">
      <c r="D66" s="24"/>
      <c r="E66" s="12"/>
      <c r="F66" s="12"/>
      <c r="H66" s="12"/>
      <c r="I66" s="12"/>
      <c r="J66" s="12"/>
      <c r="L66" s="12"/>
      <c r="M66" s="26"/>
      <c r="N66" s="24"/>
      <c r="O66" s="24"/>
      <c r="P66" s="24"/>
      <c r="Q66" s="24"/>
      <c r="R66" s="24"/>
      <c r="S66" s="24"/>
      <c r="T66" s="12"/>
    </row>
    <row r="67" spans="1:21" s="13" customFormat="1" ht="20.100000000000001" customHeight="1">
      <c r="D67" s="24"/>
      <c r="E67" s="12"/>
      <c r="F67" s="12"/>
      <c r="H67" s="12"/>
      <c r="I67" s="12"/>
      <c r="J67" s="12"/>
      <c r="L67" s="12"/>
      <c r="M67" s="26"/>
      <c r="N67" s="24"/>
      <c r="O67" s="24"/>
      <c r="P67" s="24"/>
      <c r="Q67" s="24"/>
      <c r="R67" s="24"/>
      <c r="S67" s="24"/>
      <c r="T67" s="12"/>
    </row>
    <row r="68" spans="1:21" s="13" customFormat="1" ht="20.100000000000001" customHeight="1">
      <c r="D68" s="24"/>
      <c r="E68" s="12"/>
      <c r="F68" s="19" t="s">
        <v>167</v>
      </c>
      <c r="G68" s="19" t="s">
        <v>441</v>
      </c>
      <c r="H68" s="19" t="s">
        <v>342</v>
      </c>
      <c r="I68" s="19" t="s">
        <v>439</v>
      </c>
      <c r="J68" s="63" t="s">
        <v>342</v>
      </c>
      <c r="K68" s="19" t="s">
        <v>440</v>
      </c>
      <c r="L68" s="19" t="s">
        <v>342</v>
      </c>
      <c r="M68" s="26"/>
      <c r="N68" s="24"/>
      <c r="O68" s="24"/>
      <c r="P68" s="24"/>
      <c r="Q68" s="24"/>
      <c r="R68" s="24"/>
      <c r="S68" s="24"/>
      <c r="T68" s="19"/>
    </row>
    <row r="69" spans="1:21" s="13" customFormat="1" ht="20.100000000000001" customHeight="1">
      <c r="A69" s="26" t="s">
        <v>474</v>
      </c>
      <c r="C69" s="57" t="s">
        <v>466</v>
      </c>
      <c r="D69" s="24"/>
      <c r="E69" s="12"/>
      <c r="F69" s="26" t="s">
        <v>518</v>
      </c>
      <c r="G69" s="14" t="s">
        <v>527</v>
      </c>
      <c r="H69" s="14">
        <v>30</v>
      </c>
      <c r="I69" s="14" t="s">
        <v>535</v>
      </c>
      <c r="J69" s="14">
        <v>20</v>
      </c>
      <c r="K69" s="26" t="s">
        <v>537</v>
      </c>
      <c r="L69" s="14">
        <v>30</v>
      </c>
      <c r="M69" s="26">
        <f>SUMIF([2]Sheet1!$B:$B,"="&amp;F69,[2]Sheet1!$A:$A)</f>
        <v>10030622</v>
      </c>
      <c r="N69" s="26">
        <f>SUMIF([2]Sheet1!$B:$B,"="&amp;G69,[2]Sheet1!$A:$A)</f>
        <v>10020203</v>
      </c>
      <c r="O69" s="26">
        <f>H69</f>
        <v>30</v>
      </c>
      <c r="P69" s="26">
        <f>SUMIF([2]Sheet1!$B:$B,"="&amp;I69,[2]Sheet1!$A:$A)</f>
        <v>10020202</v>
      </c>
      <c r="Q69" s="26">
        <f t="shared" ref="Q69:Q76" si="24">J69</f>
        <v>20</v>
      </c>
      <c r="R69" s="26">
        <f>SUMIF([2]Sheet1!$B:$B,"="&amp;K69,[2]Sheet1!$A:$A)</f>
        <v>10020206</v>
      </c>
      <c r="S69" s="26">
        <f t="shared" ref="S69:S76" si="25">L69</f>
        <v>30</v>
      </c>
      <c r="T69" s="26" t="s">
        <v>518</v>
      </c>
      <c r="U69" s="12" t="str">
        <f t="shared" si="5"/>
        <v>制作书:熔岩项链</v>
      </c>
    </row>
    <row r="70" spans="1:21" s="13" customFormat="1" ht="20.100000000000001" customHeight="1">
      <c r="C70" s="57" t="s">
        <v>467</v>
      </c>
      <c r="D70" s="24"/>
      <c r="E70" s="12"/>
      <c r="F70" s="26" t="s">
        <v>519</v>
      </c>
      <c r="G70" s="14" t="s">
        <v>528</v>
      </c>
      <c r="H70" s="14">
        <v>30</v>
      </c>
      <c r="I70" s="14" t="s">
        <v>534</v>
      </c>
      <c r="J70" s="14">
        <v>25</v>
      </c>
      <c r="K70" s="14" t="s">
        <v>537</v>
      </c>
      <c r="L70" s="14">
        <v>30</v>
      </c>
      <c r="M70" s="26">
        <f>SUMIF([2]Sheet1!$B:$B,"="&amp;F70,[2]Sheet1!$A:$A)</f>
        <v>10030623</v>
      </c>
      <c r="N70" s="26">
        <f>SUMIF([2]Sheet1!$B:$B,"="&amp;G70,[2]Sheet1!$A:$A)</f>
        <v>10020203</v>
      </c>
      <c r="O70" s="26">
        <f>H70</f>
        <v>30</v>
      </c>
      <c r="P70" s="26">
        <f>SUMIF([2]Sheet1!$B:$B,"="&amp;I70,[2]Sheet1!$A:$A)</f>
        <v>10020201</v>
      </c>
      <c r="Q70" s="26">
        <f t="shared" si="24"/>
        <v>25</v>
      </c>
      <c r="R70" s="26">
        <f>SUMIF([2]Sheet1!$B:$B,"="&amp;K70,[2]Sheet1!$A:$A)</f>
        <v>10020206</v>
      </c>
      <c r="S70" s="26">
        <f t="shared" si="25"/>
        <v>30</v>
      </c>
      <c r="T70" s="65" t="s">
        <v>519</v>
      </c>
      <c r="U70" s="12" t="str">
        <f t="shared" si="5"/>
        <v>制作书:熔岩指环</v>
      </c>
    </row>
    <row r="71" spans="1:21" s="13" customFormat="1" ht="20.100000000000001" customHeight="1">
      <c r="C71" s="57" t="s">
        <v>468</v>
      </c>
      <c r="D71" s="24"/>
      <c r="E71" s="12"/>
      <c r="F71" s="26" t="s">
        <v>520</v>
      </c>
      <c r="G71" s="14" t="s">
        <v>543</v>
      </c>
      <c r="H71" s="14">
        <v>20</v>
      </c>
      <c r="I71" s="14" t="s">
        <v>526</v>
      </c>
      <c r="J71" s="14">
        <v>25</v>
      </c>
      <c r="K71" s="26" t="s">
        <v>531</v>
      </c>
      <c r="L71" s="14">
        <v>10</v>
      </c>
      <c r="M71" s="26">
        <f>SUMIF([2]Sheet1!$B:$B,"="&amp;F71,[2]Sheet1!$A:$A)</f>
        <v>10030624</v>
      </c>
      <c r="N71" s="26">
        <f>SUMIF([2]Sheet1!$B:$B,"="&amp;G71,[2]Sheet1!$A:$A)</f>
        <v>10020205</v>
      </c>
      <c r="O71" s="26">
        <f t="shared" ref="O71:O76" si="26">H71</f>
        <v>20</v>
      </c>
      <c r="P71" s="26">
        <f>SUMIF([2]Sheet1!$B:$B,"="&amp;I71,[2]Sheet1!$A:$A)</f>
        <v>10020204</v>
      </c>
      <c r="Q71" s="26">
        <f t="shared" si="24"/>
        <v>25</v>
      </c>
      <c r="R71" s="26">
        <f>SUMIF([2]Sheet1!$B:$B,"="&amp;K71,[2]Sheet1!$A:$A)</f>
        <v>10020213</v>
      </c>
      <c r="S71" s="26">
        <f t="shared" si="25"/>
        <v>10</v>
      </c>
      <c r="T71" s="65" t="s">
        <v>520</v>
      </c>
      <c r="U71" s="12" t="str">
        <f t="shared" si="5"/>
        <v>制作书:炙热战甲</v>
      </c>
    </row>
    <row r="72" spans="1:21" s="13" customFormat="1" ht="20.100000000000001" customHeight="1">
      <c r="C72" s="57" t="s">
        <v>529</v>
      </c>
      <c r="D72" s="24"/>
      <c r="E72" s="12"/>
      <c r="F72" s="26" t="s">
        <v>521</v>
      </c>
      <c r="G72" s="14" t="s">
        <v>540</v>
      </c>
      <c r="H72" s="14">
        <v>20</v>
      </c>
      <c r="I72" s="14" t="s">
        <v>526</v>
      </c>
      <c r="J72" s="14">
        <v>20</v>
      </c>
      <c r="K72" s="14" t="s">
        <v>532</v>
      </c>
      <c r="L72" s="14">
        <v>10</v>
      </c>
      <c r="M72" s="26">
        <f>SUMIF([2]Sheet1!$B:$B,"="&amp;F72,[2]Sheet1!$A:$A)</f>
        <v>10030625</v>
      </c>
      <c r="N72" s="26">
        <f>SUMIF([2]Sheet1!$B:$B,"="&amp;G72,[2]Sheet1!$A:$A)</f>
        <v>10020205</v>
      </c>
      <c r="O72" s="26">
        <f t="shared" si="26"/>
        <v>20</v>
      </c>
      <c r="P72" s="26">
        <f>SUMIF([2]Sheet1!$B:$B,"="&amp;I72,[2]Sheet1!$A:$A)</f>
        <v>10020204</v>
      </c>
      <c r="Q72" s="26">
        <f t="shared" si="24"/>
        <v>20</v>
      </c>
      <c r="R72" s="26">
        <f>SUMIF([2]Sheet1!$B:$B,"="&amp;K72,[2]Sheet1!$A:$A)</f>
        <v>10020214</v>
      </c>
      <c r="S72" s="26">
        <f t="shared" si="25"/>
        <v>10</v>
      </c>
      <c r="T72" s="65" t="s">
        <v>521</v>
      </c>
      <c r="U72" s="12" t="str">
        <f t="shared" si="5"/>
        <v>制作书:炙热战盔</v>
      </c>
    </row>
    <row r="73" spans="1:21" s="13" customFormat="1" ht="20.100000000000001" customHeight="1">
      <c r="C73" s="57" t="s">
        <v>540</v>
      </c>
      <c r="D73" s="24" t="s">
        <v>539</v>
      </c>
      <c r="E73" s="12"/>
      <c r="F73" s="26" t="s">
        <v>522</v>
      </c>
      <c r="G73" s="14" t="s">
        <v>533</v>
      </c>
      <c r="H73" s="14">
        <v>30</v>
      </c>
      <c r="I73" s="14" t="s">
        <v>528</v>
      </c>
      <c r="J73" s="14">
        <v>25</v>
      </c>
      <c r="K73" s="14" t="s">
        <v>531</v>
      </c>
      <c r="L73" s="14">
        <v>10</v>
      </c>
      <c r="M73" s="26">
        <f>SUMIF([2]Sheet1!$B:$B,"="&amp;F73,[2]Sheet1!$A:$A)</f>
        <v>10030626</v>
      </c>
      <c r="N73" s="26">
        <f>SUMIF([2]Sheet1!$B:$B,"="&amp;G73,[2]Sheet1!$A:$A)</f>
        <v>10020201</v>
      </c>
      <c r="O73" s="26">
        <f t="shared" si="26"/>
        <v>30</v>
      </c>
      <c r="P73" s="26">
        <f>SUMIF([2]Sheet1!$B:$B,"="&amp;I73,[2]Sheet1!$A:$A)</f>
        <v>10020203</v>
      </c>
      <c r="Q73" s="26">
        <f t="shared" si="24"/>
        <v>25</v>
      </c>
      <c r="R73" s="26">
        <f>SUMIF([2]Sheet1!$B:$B,"="&amp;K73,[2]Sheet1!$A:$A)</f>
        <v>10020213</v>
      </c>
      <c r="S73" s="26">
        <f t="shared" si="25"/>
        <v>10</v>
      </c>
      <c r="T73" s="65" t="s">
        <v>522</v>
      </c>
      <c r="U73" s="12" t="str">
        <f t="shared" si="5"/>
        <v>制作书:炙热长裤</v>
      </c>
    </row>
    <row r="74" spans="1:21" s="13" customFormat="1" ht="20.100000000000001" customHeight="1">
      <c r="C74" s="57" t="s">
        <v>618</v>
      </c>
      <c r="D74" s="24" t="s">
        <v>536</v>
      </c>
      <c r="E74" s="12"/>
      <c r="F74" s="26" t="s">
        <v>523</v>
      </c>
      <c r="G74" s="14" t="s">
        <v>533</v>
      </c>
      <c r="H74" s="14">
        <v>30</v>
      </c>
      <c r="I74" s="14" t="s">
        <v>537</v>
      </c>
      <c r="J74" s="14">
        <v>25</v>
      </c>
      <c r="K74" s="14" t="s">
        <v>532</v>
      </c>
      <c r="L74" s="14">
        <v>10</v>
      </c>
      <c r="M74" s="26">
        <f>SUMIF([2]Sheet1!$B:$B,"="&amp;F74,[2]Sheet1!$A:$A)</f>
        <v>10030627</v>
      </c>
      <c r="N74" s="26">
        <f>SUMIF([2]Sheet1!$B:$B,"="&amp;G74,[2]Sheet1!$A:$A)</f>
        <v>10020201</v>
      </c>
      <c r="O74" s="26">
        <f t="shared" si="26"/>
        <v>30</v>
      </c>
      <c r="P74" s="26">
        <f>SUMIF([2]Sheet1!$B:$B,"="&amp;I74,[2]Sheet1!$A:$A)</f>
        <v>10020206</v>
      </c>
      <c r="Q74" s="26">
        <f t="shared" si="24"/>
        <v>25</v>
      </c>
      <c r="R74" s="26">
        <f>SUMIF([2]Sheet1!$B:$B,"="&amp;K74,[2]Sheet1!$A:$A)</f>
        <v>10020214</v>
      </c>
      <c r="S74" s="26">
        <f t="shared" si="25"/>
        <v>10</v>
      </c>
      <c r="T74" s="65" t="s">
        <v>523</v>
      </c>
      <c r="U74" s="12" t="str">
        <f t="shared" si="5"/>
        <v>制作书:炙热手套</v>
      </c>
    </row>
    <row r="75" spans="1:21" s="13" customFormat="1" ht="20.100000000000001" customHeight="1">
      <c r="C75" s="57" t="s">
        <v>469</v>
      </c>
      <c r="D75" s="24"/>
      <c r="E75" s="12"/>
      <c r="F75" s="26" t="s">
        <v>524</v>
      </c>
      <c r="G75" s="14" t="s">
        <v>530</v>
      </c>
      <c r="H75" s="14">
        <v>30</v>
      </c>
      <c r="I75" s="14" t="s">
        <v>537</v>
      </c>
      <c r="J75" s="14">
        <v>25</v>
      </c>
      <c r="K75" s="14" t="s">
        <v>531</v>
      </c>
      <c r="L75" s="14">
        <v>10</v>
      </c>
      <c r="M75" s="26">
        <f>SUMIF([2]Sheet1!$B:$B,"="&amp;F75,[2]Sheet1!$A:$A)</f>
        <v>10030628</v>
      </c>
      <c r="N75" s="26">
        <f>SUMIF([2]Sheet1!$B:$B,"="&amp;G75,[2]Sheet1!$A:$A)</f>
        <v>10020202</v>
      </c>
      <c r="O75" s="26">
        <f t="shared" si="26"/>
        <v>30</v>
      </c>
      <c r="P75" s="26">
        <f>SUMIF([2]Sheet1!$B:$B,"="&amp;I75,[2]Sheet1!$A:$A)</f>
        <v>10020206</v>
      </c>
      <c r="Q75" s="26">
        <f t="shared" si="24"/>
        <v>25</v>
      </c>
      <c r="R75" s="26">
        <f>SUMIF([2]Sheet1!$B:$B,"="&amp;K75,[2]Sheet1!$A:$A)</f>
        <v>10020213</v>
      </c>
      <c r="S75" s="26">
        <f t="shared" si="25"/>
        <v>10</v>
      </c>
      <c r="T75" s="65" t="s">
        <v>524</v>
      </c>
      <c r="U75" s="12" t="str">
        <f t="shared" si="5"/>
        <v>制作书:炙热腰带</v>
      </c>
    </row>
    <row r="76" spans="1:21" s="13" customFormat="1" ht="20.100000000000001" customHeight="1">
      <c r="C76" s="57" t="s">
        <v>612</v>
      </c>
      <c r="D76" s="24" t="s">
        <v>538</v>
      </c>
      <c r="E76" s="12"/>
      <c r="F76" s="26" t="s">
        <v>525</v>
      </c>
      <c r="G76" s="14" t="s">
        <v>467</v>
      </c>
      <c r="H76" s="14">
        <v>30</v>
      </c>
      <c r="I76" s="14" t="s">
        <v>534</v>
      </c>
      <c r="J76" s="14">
        <v>20</v>
      </c>
      <c r="K76" s="14" t="s">
        <v>532</v>
      </c>
      <c r="L76" s="14">
        <v>10</v>
      </c>
      <c r="M76" s="26">
        <f>SUMIF([2]Sheet1!$B:$B,"="&amp;F76,[2]Sheet1!$A:$A)</f>
        <v>10030629</v>
      </c>
      <c r="N76" s="26">
        <f>SUMIF([2]Sheet1!$B:$B,"="&amp;G76,[2]Sheet1!$A:$A)</f>
        <v>10020202</v>
      </c>
      <c r="O76" s="26">
        <f t="shared" si="26"/>
        <v>30</v>
      </c>
      <c r="P76" s="26">
        <f>SUMIF([2]Sheet1!$B:$B,"="&amp;I76,[2]Sheet1!$A:$A)</f>
        <v>10020201</v>
      </c>
      <c r="Q76" s="26">
        <f t="shared" si="24"/>
        <v>20</v>
      </c>
      <c r="R76" s="26">
        <f>SUMIF([2]Sheet1!$B:$B,"="&amp;K76,[2]Sheet1!$A:$A)</f>
        <v>10020214</v>
      </c>
      <c r="S76" s="26">
        <f t="shared" si="25"/>
        <v>10</v>
      </c>
      <c r="T76" s="65" t="s">
        <v>525</v>
      </c>
      <c r="U76" s="12" t="str">
        <f t="shared" si="5"/>
        <v>制作书:炙热靴子</v>
      </c>
    </row>
    <row r="77" spans="1:21" s="13" customFormat="1" ht="20.100000000000001" customHeight="1">
      <c r="C77" s="57" t="s">
        <v>470</v>
      </c>
      <c r="D77" s="24"/>
      <c r="E77" s="12"/>
      <c r="F77" s="6"/>
      <c r="G77" s="14" t="s">
        <v>613</v>
      </c>
      <c r="H77" s="14"/>
      <c r="I77" s="12"/>
      <c r="J77" s="14"/>
      <c r="L77" s="14"/>
      <c r="M77" s="26"/>
      <c r="N77" s="26">
        <f>SUMIF([2]Sheet1!$B:$B,"="&amp;G77,[2]Sheet1!$A:$A)</f>
        <v>10020208</v>
      </c>
      <c r="O77" s="24"/>
      <c r="P77" s="24"/>
      <c r="Q77" s="24"/>
      <c r="R77" s="24"/>
      <c r="S77" s="24"/>
    </row>
    <row r="78" spans="1:21" ht="20.100000000000001" customHeight="1">
      <c r="C78" s="57" t="s">
        <v>471</v>
      </c>
      <c r="D78" s="24"/>
      <c r="N78" s="5"/>
      <c r="O78" s="5"/>
      <c r="P78" s="5"/>
      <c r="Q78" s="5"/>
      <c r="R78" s="5"/>
      <c r="S78" s="5"/>
    </row>
    <row r="79" spans="1:21" ht="20.100000000000001" customHeight="1">
      <c r="C79" s="57" t="s">
        <v>472</v>
      </c>
      <c r="D79" s="6"/>
      <c r="N79" s="5"/>
      <c r="O79" s="5"/>
      <c r="P79" s="5"/>
      <c r="Q79" s="5"/>
      <c r="R79" s="5"/>
      <c r="S79" s="5"/>
    </row>
    <row r="80" spans="1:21" ht="20.100000000000001" customHeight="1">
      <c r="C80" s="57" t="s">
        <v>473</v>
      </c>
      <c r="D80" s="6"/>
    </row>
    <row r="81" spans="3:4" ht="20.100000000000001" customHeight="1">
      <c r="C81" s="57" t="s">
        <v>541</v>
      </c>
    </row>
    <row r="82" spans="3:4" ht="20.100000000000001" customHeight="1">
      <c r="C82" s="57" t="s">
        <v>542</v>
      </c>
    </row>
    <row r="83" spans="3:4" ht="20.100000000000001" customHeight="1">
      <c r="C83" s="57"/>
      <c r="D83" s="24"/>
    </row>
    <row r="84" spans="3:4" ht="20.100000000000001" customHeight="1"/>
    <row r="85" spans="3:4" ht="20.100000000000001" customHeight="1"/>
    <row r="86" spans="3:4" ht="20.100000000000001" customHeight="1"/>
    <row r="87" spans="3:4" ht="20.100000000000001" customHeight="1"/>
    <row r="88" spans="3:4" ht="20.100000000000001" customHeight="1"/>
    <row r="89" spans="3:4" ht="20.100000000000001" customHeight="1"/>
    <row r="90" spans="3:4" ht="20.100000000000001" customHeight="1"/>
    <row r="91" spans="3:4" ht="20.100000000000001" customHeight="1"/>
    <row r="92" spans="3:4" ht="20.100000000000001" customHeight="1"/>
    <row r="93" spans="3:4" ht="20.100000000000001" customHeight="1"/>
    <row r="94" spans="3:4" ht="20.100000000000001" customHeight="1"/>
    <row r="95" spans="3:4" ht="20.100000000000001" customHeight="1"/>
  </sheetData>
  <phoneticPr fontId="5" type="noConversion"/>
  <pageMargins left="0.7" right="0.7" top="0.75" bottom="0.75" header="0.3" footer="0.3"/>
  <pageSetup paperSize="9" orientation="portrait" r:id="rId1"/>
  <ignoredErrors>
    <ignoredError sqref="O20:O27 Q20:Q2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B2:M52"/>
  <sheetViews>
    <sheetView workbookViewId="0">
      <selection activeCell="D9" sqref="D9"/>
    </sheetView>
  </sheetViews>
  <sheetFormatPr defaultRowHeight="13.5"/>
  <cols>
    <col min="3" max="3" width="18.625" bestFit="1" customWidth="1"/>
    <col min="4" max="4" width="18.5" customWidth="1"/>
    <col min="8" max="8" width="12.5" customWidth="1"/>
    <col min="9" max="9" width="12.5" style="52" customWidth="1"/>
    <col min="11" max="11" width="9" style="52"/>
    <col min="12" max="12" width="14.125" customWidth="1"/>
  </cols>
  <sheetData>
    <row r="2" spans="2:13">
      <c r="B2" s="28" t="s">
        <v>312</v>
      </c>
      <c r="I2" s="27" t="s">
        <v>342</v>
      </c>
      <c r="L2" s="27" t="s">
        <v>345</v>
      </c>
    </row>
    <row r="3" spans="2:13">
      <c r="B3" s="41">
        <v>10010001</v>
      </c>
      <c r="C3" s="42" t="s">
        <v>313</v>
      </c>
      <c r="D3" s="51">
        <v>30</v>
      </c>
      <c r="E3" s="51">
        <f>ROUND(D3*0.5,0)</f>
        <v>15</v>
      </c>
      <c r="F3" s="56">
        <v>10020001</v>
      </c>
      <c r="G3" s="58" t="s">
        <v>327</v>
      </c>
      <c r="H3" s="48" t="s">
        <v>327</v>
      </c>
      <c r="I3" s="39" t="s">
        <v>344</v>
      </c>
      <c r="L3" s="27">
        <v>3600</v>
      </c>
    </row>
    <row r="4" spans="2:13">
      <c r="B4" s="41">
        <v>10010011</v>
      </c>
      <c r="C4" s="42" t="s">
        <v>314</v>
      </c>
      <c r="D4" s="50" t="s">
        <v>341</v>
      </c>
      <c r="E4" s="51">
        <f t="shared" ref="E4:E52" si="0">ROUND(D4*0.5,0)</f>
        <v>30</v>
      </c>
      <c r="F4" s="56">
        <v>10020002</v>
      </c>
      <c r="G4" s="57" t="s">
        <v>328</v>
      </c>
      <c r="H4" s="47" t="s">
        <v>328</v>
      </c>
      <c r="I4" s="39" t="s">
        <v>343</v>
      </c>
      <c r="L4" s="27">
        <v>2400</v>
      </c>
      <c r="M4" s="54"/>
    </row>
    <row r="5" spans="2:13">
      <c r="B5" s="41">
        <v>10010033</v>
      </c>
      <c r="C5" s="42" t="s">
        <v>315</v>
      </c>
      <c r="D5" s="55" t="s">
        <v>346</v>
      </c>
      <c r="E5" s="51">
        <f t="shared" si="0"/>
        <v>2500</v>
      </c>
      <c r="F5" s="56">
        <v>10020003</v>
      </c>
      <c r="G5" s="57" t="s">
        <v>329</v>
      </c>
      <c r="H5" s="47" t="s">
        <v>329</v>
      </c>
      <c r="I5" s="39" t="s">
        <v>343</v>
      </c>
      <c r="L5" s="27">
        <v>2400</v>
      </c>
      <c r="M5" s="54"/>
    </row>
    <row r="6" spans="2:13">
      <c r="B6" s="41">
        <v>10010041</v>
      </c>
      <c r="C6" s="42" t="s">
        <v>316</v>
      </c>
      <c r="D6" s="46">
        <v>1000</v>
      </c>
      <c r="E6" s="51">
        <f t="shared" si="0"/>
        <v>500</v>
      </c>
      <c r="F6" s="56">
        <v>10020005</v>
      </c>
      <c r="G6" s="57" t="s">
        <v>330</v>
      </c>
      <c r="H6" s="47" t="s">
        <v>330</v>
      </c>
      <c r="I6" s="39" t="s">
        <v>343</v>
      </c>
      <c r="L6" s="27">
        <v>2400</v>
      </c>
      <c r="M6" s="54"/>
    </row>
    <row r="7" spans="2:13">
      <c r="B7" s="41">
        <v>10010042</v>
      </c>
      <c r="C7" s="45" t="s">
        <v>317</v>
      </c>
      <c r="D7" s="46">
        <v>1000</v>
      </c>
      <c r="E7" s="51">
        <f t="shared" si="0"/>
        <v>500</v>
      </c>
      <c r="F7" s="56">
        <v>10020007</v>
      </c>
      <c r="G7" s="57" t="s">
        <v>331</v>
      </c>
      <c r="H7" s="47" t="s">
        <v>331</v>
      </c>
      <c r="I7" s="39" t="s">
        <v>343</v>
      </c>
      <c r="L7" s="27">
        <v>2400</v>
      </c>
      <c r="M7" s="54"/>
    </row>
    <row r="8" spans="2:13">
      <c r="B8" s="41">
        <v>10010101</v>
      </c>
      <c r="C8" s="42" t="s">
        <v>318</v>
      </c>
      <c r="D8" s="46">
        <v>2600</v>
      </c>
      <c r="E8" s="51">
        <f t="shared" si="0"/>
        <v>1300</v>
      </c>
      <c r="F8" s="56">
        <v>10020009</v>
      </c>
      <c r="G8" s="59" t="s">
        <v>332</v>
      </c>
      <c r="H8" s="49" t="s">
        <v>332</v>
      </c>
      <c r="I8" s="39" t="s">
        <v>343</v>
      </c>
      <c r="L8" s="27">
        <v>2400</v>
      </c>
      <c r="M8" s="54"/>
    </row>
    <row r="9" spans="2:13">
      <c r="B9" s="41">
        <v>10010102</v>
      </c>
      <c r="C9" s="42" t="s">
        <v>319</v>
      </c>
      <c r="D9" s="46">
        <v>2280</v>
      </c>
      <c r="E9" s="51">
        <f t="shared" si="0"/>
        <v>1140</v>
      </c>
      <c r="F9" s="56">
        <v>10020010</v>
      </c>
      <c r="G9" s="59" t="s">
        <v>333</v>
      </c>
      <c r="H9" s="49" t="s">
        <v>333</v>
      </c>
      <c r="I9" s="39" t="s">
        <v>344</v>
      </c>
      <c r="L9" s="27">
        <v>4200</v>
      </c>
      <c r="M9" s="54"/>
    </row>
    <row r="10" spans="2:13">
      <c r="B10" s="41">
        <v>10010103</v>
      </c>
      <c r="C10" s="42" t="s">
        <v>320</v>
      </c>
      <c r="D10" s="46">
        <v>3020</v>
      </c>
      <c r="E10" s="51">
        <f t="shared" si="0"/>
        <v>1510</v>
      </c>
      <c r="F10" s="56">
        <v>10020011</v>
      </c>
      <c r="G10" s="57" t="s">
        <v>334</v>
      </c>
      <c r="H10" s="47" t="s">
        <v>334</v>
      </c>
      <c r="I10" s="39" t="s">
        <v>343</v>
      </c>
      <c r="L10" s="27">
        <v>3600</v>
      </c>
      <c r="M10" s="54"/>
    </row>
    <row r="11" spans="2:13">
      <c r="B11" s="41">
        <v>10010104</v>
      </c>
      <c r="C11" s="42" t="s">
        <v>321</v>
      </c>
      <c r="D11" s="46">
        <v>1320</v>
      </c>
      <c r="E11" s="51">
        <f t="shared" si="0"/>
        <v>660</v>
      </c>
      <c r="F11" s="56">
        <v>10020012</v>
      </c>
      <c r="G11" s="57" t="s">
        <v>335</v>
      </c>
      <c r="H11" s="47" t="s">
        <v>335</v>
      </c>
      <c r="I11" s="39" t="s">
        <v>343</v>
      </c>
      <c r="L11" s="27">
        <v>3600</v>
      </c>
      <c r="M11" s="54"/>
    </row>
    <row r="12" spans="2:13">
      <c r="B12" s="41">
        <v>10010105</v>
      </c>
      <c r="C12" s="42" t="s">
        <v>322</v>
      </c>
      <c r="D12" s="46">
        <v>3300</v>
      </c>
      <c r="E12" s="51">
        <f t="shared" si="0"/>
        <v>1650</v>
      </c>
      <c r="F12" s="56">
        <v>10020013</v>
      </c>
      <c r="G12" s="57" t="s">
        <v>336</v>
      </c>
      <c r="H12" s="47" t="s">
        <v>336</v>
      </c>
      <c r="I12" s="39" t="s">
        <v>343</v>
      </c>
      <c r="L12" s="27">
        <v>3600</v>
      </c>
      <c r="M12" s="54"/>
    </row>
    <row r="13" spans="2:13">
      <c r="B13" s="41">
        <v>10010106</v>
      </c>
      <c r="C13" s="42" t="s">
        <v>323</v>
      </c>
      <c r="D13" s="46">
        <v>1560</v>
      </c>
      <c r="E13" s="51">
        <f t="shared" si="0"/>
        <v>780</v>
      </c>
      <c r="F13" s="56">
        <v>10020014</v>
      </c>
      <c r="G13" s="57" t="s">
        <v>337</v>
      </c>
      <c r="H13" s="47" t="s">
        <v>337</v>
      </c>
      <c r="I13" s="39" t="s">
        <v>343</v>
      </c>
      <c r="L13" s="27">
        <v>3600</v>
      </c>
      <c r="M13" s="54"/>
    </row>
    <row r="14" spans="2:13">
      <c r="B14" s="41">
        <v>10010107</v>
      </c>
      <c r="C14" s="42" t="s">
        <v>324</v>
      </c>
      <c r="D14" s="46">
        <v>1240</v>
      </c>
      <c r="E14" s="51">
        <f t="shared" si="0"/>
        <v>620</v>
      </c>
      <c r="F14" s="56">
        <v>10020015</v>
      </c>
      <c r="G14" s="57" t="s">
        <v>338</v>
      </c>
      <c r="H14" s="47" t="s">
        <v>338</v>
      </c>
      <c r="I14" s="39" t="s">
        <v>344</v>
      </c>
      <c r="L14" s="27">
        <v>6000</v>
      </c>
      <c r="M14" s="54"/>
    </row>
    <row r="15" spans="2:13">
      <c r="B15" s="41">
        <v>10010108</v>
      </c>
      <c r="C15" s="42" t="s">
        <v>325</v>
      </c>
      <c r="D15" s="46">
        <v>1480</v>
      </c>
      <c r="E15" s="51">
        <f t="shared" si="0"/>
        <v>740</v>
      </c>
      <c r="F15" s="56">
        <v>10020016</v>
      </c>
      <c r="G15" s="57" t="s">
        <v>339</v>
      </c>
      <c r="H15" s="47" t="s">
        <v>339</v>
      </c>
      <c r="I15" s="39" t="s">
        <v>343</v>
      </c>
      <c r="J15" s="53">
        <v>100</v>
      </c>
      <c r="K15" s="40"/>
      <c r="L15" s="27">
        <v>3000</v>
      </c>
      <c r="M15" s="54"/>
    </row>
    <row r="16" spans="2:13">
      <c r="B16" s="41">
        <v>10010109</v>
      </c>
      <c r="C16" s="42" t="s">
        <v>326</v>
      </c>
      <c r="D16" s="46">
        <v>78000</v>
      </c>
      <c r="E16" s="51">
        <f t="shared" si="0"/>
        <v>39000</v>
      </c>
      <c r="F16" s="56">
        <v>10020017</v>
      </c>
      <c r="G16" s="57" t="s">
        <v>340</v>
      </c>
      <c r="H16" s="47" t="s">
        <v>340</v>
      </c>
      <c r="I16" s="39" t="s">
        <v>343</v>
      </c>
      <c r="J16" s="53">
        <v>175</v>
      </c>
      <c r="K16" s="40"/>
      <c r="L16" s="27">
        <v>4200</v>
      </c>
      <c r="M16" s="54"/>
    </row>
    <row r="17" spans="2:7">
      <c r="B17" s="42">
        <v>10030101</v>
      </c>
      <c r="C17" s="42" t="s">
        <v>118</v>
      </c>
      <c r="D17" s="46">
        <v>420</v>
      </c>
      <c r="E17" s="51">
        <f t="shared" si="0"/>
        <v>210</v>
      </c>
      <c r="F17" s="56"/>
      <c r="G17" s="57"/>
    </row>
    <row r="18" spans="2:7">
      <c r="B18" s="42">
        <v>10030102</v>
      </c>
      <c r="C18" s="42" t="s">
        <v>119</v>
      </c>
      <c r="D18" s="46">
        <v>720</v>
      </c>
      <c r="E18" s="51">
        <f t="shared" si="0"/>
        <v>360</v>
      </c>
    </row>
    <row r="19" spans="2:7">
      <c r="B19" s="42">
        <v>10030103</v>
      </c>
      <c r="C19" s="42" t="s">
        <v>120</v>
      </c>
      <c r="D19" s="46">
        <v>380</v>
      </c>
      <c r="E19" s="51">
        <f t="shared" si="0"/>
        <v>190</v>
      </c>
    </row>
    <row r="20" spans="2:7">
      <c r="B20" s="42">
        <v>10030104</v>
      </c>
      <c r="C20" s="42" t="s">
        <v>121</v>
      </c>
      <c r="D20" s="46">
        <v>500</v>
      </c>
      <c r="E20" s="51">
        <f t="shared" si="0"/>
        <v>250</v>
      </c>
    </row>
    <row r="21" spans="2:7">
      <c r="B21" s="42">
        <v>10030105</v>
      </c>
      <c r="C21" s="42" t="s">
        <v>122</v>
      </c>
      <c r="D21" s="46">
        <v>660</v>
      </c>
      <c r="E21" s="51">
        <f t="shared" si="0"/>
        <v>330</v>
      </c>
    </row>
    <row r="22" spans="2:7">
      <c r="B22" s="42">
        <v>10030106</v>
      </c>
      <c r="C22" s="42" t="s">
        <v>123</v>
      </c>
      <c r="D22" s="46">
        <v>300</v>
      </c>
      <c r="E22" s="51">
        <f t="shared" si="0"/>
        <v>150</v>
      </c>
    </row>
    <row r="23" spans="2:7">
      <c r="B23" s="42">
        <v>10030107</v>
      </c>
      <c r="C23" s="42" t="s">
        <v>124</v>
      </c>
      <c r="D23" s="46">
        <v>520</v>
      </c>
      <c r="E23" s="51">
        <f t="shared" si="0"/>
        <v>260</v>
      </c>
    </row>
    <row r="24" spans="2:7">
      <c r="B24" s="42" t="s">
        <v>113</v>
      </c>
      <c r="C24" s="42" t="s">
        <v>125</v>
      </c>
      <c r="D24" s="46">
        <v>300</v>
      </c>
      <c r="E24" s="51">
        <f t="shared" si="0"/>
        <v>150</v>
      </c>
    </row>
    <row r="25" spans="2:7">
      <c r="B25" s="42">
        <v>10030109</v>
      </c>
      <c r="C25" s="42" t="s">
        <v>126</v>
      </c>
      <c r="D25" s="46">
        <v>520</v>
      </c>
      <c r="E25" s="51">
        <f t="shared" si="0"/>
        <v>260</v>
      </c>
    </row>
    <row r="26" spans="2:7">
      <c r="B26" s="42">
        <v>10030110</v>
      </c>
      <c r="C26" s="42" t="s">
        <v>127</v>
      </c>
      <c r="D26" s="46">
        <v>1040</v>
      </c>
      <c r="E26" s="51">
        <f t="shared" si="0"/>
        <v>520</v>
      </c>
    </row>
    <row r="27" spans="2:7">
      <c r="B27" s="42" t="s">
        <v>114</v>
      </c>
      <c r="C27" s="42" t="s">
        <v>128</v>
      </c>
      <c r="D27" s="46">
        <v>800</v>
      </c>
      <c r="E27" s="51">
        <f t="shared" si="0"/>
        <v>400</v>
      </c>
    </row>
    <row r="28" spans="2:7">
      <c r="B28" s="42" t="s">
        <v>115</v>
      </c>
      <c r="C28" s="42" t="s">
        <v>129</v>
      </c>
      <c r="D28" s="46">
        <v>2280</v>
      </c>
      <c r="E28" s="51">
        <f t="shared" si="0"/>
        <v>1140</v>
      </c>
    </row>
    <row r="29" spans="2:7">
      <c r="B29" s="42" t="s">
        <v>116</v>
      </c>
      <c r="C29" s="42" t="s">
        <v>130</v>
      </c>
      <c r="D29" s="46">
        <v>4800</v>
      </c>
      <c r="E29" s="51">
        <f t="shared" si="0"/>
        <v>2400</v>
      </c>
    </row>
    <row r="30" spans="2:7">
      <c r="B30" s="42" t="s">
        <v>117</v>
      </c>
      <c r="C30" s="42" t="s">
        <v>131</v>
      </c>
      <c r="D30" s="46">
        <v>1140</v>
      </c>
      <c r="E30" s="51">
        <f t="shared" si="0"/>
        <v>570</v>
      </c>
    </row>
    <row r="31" spans="2:7">
      <c r="B31" s="41">
        <v>10030201</v>
      </c>
      <c r="C31" s="42" t="s">
        <v>132</v>
      </c>
      <c r="D31" s="46">
        <v>1380</v>
      </c>
      <c r="E31" s="51">
        <f t="shared" si="0"/>
        <v>690</v>
      </c>
    </row>
    <row r="32" spans="2:7">
      <c r="B32" s="41">
        <v>10030202</v>
      </c>
      <c r="C32" s="42" t="s">
        <v>133</v>
      </c>
      <c r="D32" s="46">
        <v>1700</v>
      </c>
      <c r="E32" s="51">
        <f t="shared" si="0"/>
        <v>850</v>
      </c>
    </row>
    <row r="33" spans="2:5">
      <c r="B33" s="41">
        <v>10030203</v>
      </c>
      <c r="C33" s="42" t="s">
        <v>134</v>
      </c>
      <c r="D33" s="46">
        <v>5100</v>
      </c>
      <c r="E33" s="51">
        <f t="shared" si="0"/>
        <v>2550</v>
      </c>
    </row>
    <row r="34" spans="2:5">
      <c r="B34" s="41">
        <v>10030204</v>
      </c>
      <c r="C34" s="42" t="s">
        <v>135</v>
      </c>
      <c r="D34" s="46">
        <v>1100</v>
      </c>
      <c r="E34" s="51">
        <f t="shared" si="0"/>
        <v>550</v>
      </c>
    </row>
    <row r="35" spans="2:5">
      <c r="B35" s="41">
        <v>10030205</v>
      </c>
      <c r="C35" s="42" t="s">
        <v>136</v>
      </c>
      <c r="D35" s="46">
        <v>1400</v>
      </c>
      <c r="E35" s="51">
        <f t="shared" si="0"/>
        <v>700</v>
      </c>
    </row>
    <row r="36" spans="2:5">
      <c r="B36" s="41">
        <v>10030206</v>
      </c>
      <c r="C36" s="42" t="s">
        <v>137</v>
      </c>
      <c r="D36" s="46">
        <v>1560</v>
      </c>
      <c r="E36" s="51">
        <f t="shared" si="0"/>
        <v>780</v>
      </c>
    </row>
    <row r="37" spans="2:5">
      <c r="B37" s="41">
        <v>10030207</v>
      </c>
      <c r="C37" s="42" t="s">
        <v>138</v>
      </c>
      <c r="D37" s="46">
        <v>4640</v>
      </c>
      <c r="E37" s="51">
        <f t="shared" si="0"/>
        <v>2320</v>
      </c>
    </row>
    <row r="38" spans="2:5">
      <c r="B38" s="41">
        <v>10030208</v>
      </c>
      <c r="C38" s="42" t="s">
        <v>139</v>
      </c>
      <c r="D38" s="46">
        <v>1120</v>
      </c>
      <c r="E38" s="51">
        <f t="shared" si="0"/>
        <v>560</v>
      </c>
    </row>
    <row r="39" spans="2:5">
      <c r="B39" s="41">
        <v>10030209</v>
      </c>
      <c r="C39" s="42" t="s">
        <v>140</v>
      </c>
      <c r="D39" s="46">
        <v>3700</v>
      </c>
      <c r="E39" s="51">
        <f t="shared" si="0"/>
        <v>1850</v>
      </c>
    </row>
    <row r="40" spans="2:5">
      <c r="B40" s="41">
        <v>10030210</v>
      </c>
      <c r="C40" s="42" t="s">
        <v>141</v>
      </c>
      <c r="D40" s="46">
        <v>1000</v>
      </c>
      <c r="E40" s="51">
        <f t="shared" si="0"/>
        <v>500</v>
      </c>
    </row>
    <row r="41" spans="2:5">
      <c r="B41" s="41">
        <v>10030211</v>
      </c>
      <c r="C41" s="42" t="s">
        <v>142</v>
      </c>
      <c r="D41" s="46">
        <v>2220</v>
      </c>
      <c r="E41" s="51">
        <f t="shared" si="0"/>
        <v>1110</v>
      </c>
    </row>
    <row r="42" spans="2:5">
      <c r="B42" s="41">
        <v>10030212</v>
      </c>
      <c r="C42" s="42" t="s">
        <v>143</v>
      </c>
      <c r="D42" s="46">
        <v>2020</v>
      </c>
      <c r="E42" s="51">
        <f t="shared" si="0"/>
        <v>1010</v>
      </c>
    </row>
    <row r="43" spans="2:5">
      <c r="B43" s="41">
        <v>10030213</v>
      </c>
      <c r="C43" s="42" t="s">
        <v>144</v>
      </c>
      <c r="D43" s="46">
        <v>2400</v>
      </c>
      <c r="E43" s="51">
        <f t="shared" si="0"/>
        <v>1200</v>
      </c>
    </row>
    <row r="44" spans="2:5">
      <c r="B44" s="41">
        <v>10030214</v>
      </c>
      <c r="C44" s="42" t="s">
        <v>145</v>
      </c>
      <c r="D44" s="46">
        <v>7000</v>
      </c>
      <c r="E44" s="51">
        <f t="shared" si="0"/>
        <v>3500</v>
      </c>
    </row>
    <row r="45" spans="2:5">
      <c r="B45" s="41">
        <v>10030215</v>
      </c>
      <c r="C45" s="42" t="s">
        <v>146</v>
      </c>
      <c r="D45" s="46">
        <v>9200</v>
      </c>
      <c r="E45" s="51">
        <f t="shared" si="0"/>
        <v>4600</v>
      </c>
    </row>
    <row r="46" spans="2:5">
      <c r="B46" s="41">
        <v>10030216</v>
      </c>
      <c r="C46" s="42" t="s">
        <v>147</v>
      </c>
      <c r="D46" s="46">
        <v>10400</v>
      </c>
      <c r="E46" s="51">
        <f t="shared" si="0"/>
        <v>5200</v>
      </c>
    </row>
    <row r="47" spans="2:5">
      <c r="B47" s="41">
        <v>10030217</v>
      </c>
      <c r="C47" s="42" t="s">
        <v>148</v>
      </c>
      <c r="D47" s="46">
        <v>15600</v>
      </c>
      <c r="E47" s="51">
        <f t="shared" si="0"/>
        <v>7800</v>
      </c>
    </row>
    <row r="48" spans="2:5">
      <c r="B48" s="41">
        <v>10030218</v>
      </c>
      <c r="C48" s="42" t="s">
        <v>149</v>
      </c>
      <c r="D48" s="46">
        <v>9300</v>
      </c>
      <c r="E48" s="51">
        <f t="shared" si="0"/>
        <v>4650</v>
      </c>
    </row>
    <row r="49" spans="2:5">
      <c r="B49" s="41">
        <v>10030219</v>
      </c>
      <c r="C49" s="42" t="s">
        <v>150</v>
      </c>
      <c r="D49" s="46">
        <v>32280</v>
      </c>
      <c r="E49" s="51">
        <f t="shared" si="0"/>
        <v>16140</v>
      </c>
    </row>
    <row r="50" spans="2:5">
      <c r="B50" s="41">
        <v>10030220</v>
      </c>
      <c r="C50" s="42" t="s">
        <v>151</v>
      </c>
      <c r="D50" s="46">
        <v>39000</v>
      </c>
      <c r="E50" s="51">
        <f t="shared" si="0"/>
        <v>19500</v>
      </c>
    </row>
    <row r="51" spans="2:5">
      <c r="B51" s="41">
        <v>10030221</v>
      </c>
      <c r="C51" s="42" t="s">
        <v>152</v>
      </c>
      <c r="D51" s="46">
        <v>4660</v>
      </c>
      <c r="E51" s="51">
        <f t="shared" si="0"/>
        <v>2330</v>
      </c>
    </row>
    <row r="52" spans="2:5">
      <c r="B52" s="44">
        <v>10030222</v>
      </c>
      <c r="C52" s="43" t="s">
        <v>153</v>
      </c>
      <c r="D52" s="46">
        <v>16140</v>
      </c>
      <c r="E52" s="51">
        <f t="shared" si="0"/>
        <v>8070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1"/>
  <sheetViews>
    <sheetView workbookViewId="0">
      <selection activeCell="C2" sqref="C2"/>
    </sheetView>
  </sheetViews>
  <sheetFormatPr defaultRowHeight="13.5"/>
  <cols>
    <col min="2" max="2" width="12.625" customWidth="1"/>
    <col min="3" max="3" width="12.125" customWidth="1"/>
    <col min="4" max="4" width="12.25" style="54" bestFit="1" customWidth="1"/>
    <col min="5" max="6" width="14.125" style="54" bestFit="1" customWidth="1"/>
    <col min="7" max="7" width="13.375" style="54" bestFit="1" customWidth="1"/>
    <col min="11" max="11" width="20.625" customWidth="1"/>
    <col min="12" max="13" width="9" style="6"/>
    <col min="14" max="14" width="19.75" customWidth="1"/>
  </cols>
  <sheetData>
    <row r="1" spans="1:17" s="12" customFormat="1" ht="20.100000000000001" customHeight="1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L1" s="65"/>
      <c r="M1" s="65"/>
    </row>
    <row r="2" spans="1:17" s="12" customFormat="1" ht="20.100000000000001" customHeight="1">
      <c r="A2" s="26">
        <v>1</v>
      </c>
      <c r="B2" s="14">
        <f>LOOKUP(A2,建筑等级和人物等级匹配关系!$H$2:$H$26,建筑等级和人物等级匹配关系!$K$2:$K$26)</f>
        <v>10</v>
      </c>
      <c r="C2" s="14">
        <f>LOOKUP(B2,怪物掉落!$A$2:$A$66,怪物掉落!$B$2:$B$66)*怪物掉落!$V$2</f>
        <v>3700</v>
      </c>
      <c r="D2" s="26">
        <f>E2*24</f>
        <v>34560</v>
      </c>
      <c r="E2" s="26">
        <f>F2*60</f>
        <v>1440</v>
      </c>
      <c r="F2" s="26">
        <f>G2*12</f>
        <v>24</v>
      </c>
      <c r="G2" s="26">
        <v>2</v>
      </c>
      <c r="J2" s="14" t="s">
        <v>385</v>
      </c>
      <c r="K2" s="14" t="s">
        <v>384</v>
      </c>
      <c r="L2" s="65" t="s">
        <v>386</v>
      </c>
      <c r="M2" s="65" t="s">
        <v>732</v>
      </c>
      <c r="N2" s="14" t="s">
        <v>383</v>
      </c>
      <c r="P2" s="14"/>
      <c r="Q2" s="14"/>
    </row>
    <row r="3" spans="1:17" s="12" customFormat="1" ht="20.100000000000001" customHeight="1">
      <c r="A3" s="26">
        <v>2</v>
      </c>
      <c r="B3" s="14">
        <f>LOOKUP(A3,建筑等级和人物等级匹配关系!$H$2:$H$26,建筑等级和人物等级匹配关系!$K$2:$K$26)</f>
        <v>14</v>
      </c>
      <c r="C3" s="14">
        <f>LOOKUP(B3,怪物掉落!$A$2:$A$66,怪物掉落!$B$2:$B$66)*怪物掉落!$V$2</f>
        <v>4900</v>
      </c>
      <c r="D3" s="26">
        <f t="shared" ref="D3:D26" si="0">E3*24</f>
        <v>51840</v>
      </c>
      <c r="E3" s="26">
        <f t="shared" ref="E3:E26" si="1">F3*60</f>
        <v>2160</v>
      </c>
      <c r="F3" s="26">
        <f t="shared" ref="F3:F26" si="2">G3*12</f>
        <v>36</v>
      </c>
      <c r="G3" s="26">
        <v>3</v>
      </c>
      <c r="J3" s="14">
        <v>10010001</v>
      </c>
      <c r="K3" s="14" t="s">
        <v>371</v>
      </c>
      <c r="L3" s="65">
        <v>1</v>
      </c>
      <c r="M3" s="65">
        <v>0.03</v>
      </c>
      <c r="N3" s="14">
        <f>ROUND(LOOKUP(L3,$A$2:$A$26,$D$2:$D$26)*M3,-2)</f>
        <v>1000</v>
      </c>
    </row>
    <row r="4" spans="1:17" s="12" customFormat="1" ht="20.100000000000001" customHeight="1">
      <c r="A4" s="26">
        <v>3</v>
      </c>
      <c r="B4" s="14">
        <f>LOOKUP(A4,建筑等级和人物等级匹配关系!$H$2:$H$26,建筑等级和人物等级匹配关系!$K$2:$K$26)</f>
        <v>16</v>
      </c>
      <c r="C4" s="14">
        <f>LOOKUP(B4,怪物掉落!$A$2:$A$66,怪物掉落!$B$2:$B$66)*怪物掉落!$V$2</f>
        <v>5500</v>
      </c>
      <c r="D4" s="26">
        <f t="shared" si="0"/>
        <v>69120</v>
      </c>
      <c r="E4" s="26">
        <f t="shared" si="1"/>
        <v>2880</v>
      </c>
      <c r="F4" s="26">
        <f t="shared" si="2"/>
        <v>48</v>
      </c>
      <c r="G4" s="26">
        <v>4</v>
      </c>
      <c r="J4" s="14">
        <v>10010061</v>
      </c>
      <c r="K4" s="14" t="s">
        <v>373</v>
      </c>
      <c r="L4" s="65">
        <v>1</v>
      </c>
      <c r="M4" s="65">
        <v>0.15</v>
      </c>
      <c r="N4" s="14">
        <f t="shared" ref="N4" si="3">ROUND(LOOKUP(L4,$A$2:$A$26,$D$2:$D$26)*M4,-2)</f>
        <v>5200</v>
      </c>
    </row>
    <row r="5" spans="1:17" s="12" customFormat="1" ht="20.100000000000001" customHeight="1">
      <c r="A5" s="26">
        <v>4</v>
      </c>
      <c r="B5" s="14">
        <f>LOOKUP(A5,建筑等级和人物等级匹配关系!$H$2:$H$26,建筑等级和人物等级匹配关系!$K$2:$K$26)</f>
        <v>19</v>
      </c>
      <c r="C5" s="14">
        <f>LOOKUP(B5,怪物掉落!$A$2:$A$66,怪物掉落!$B$2:$B$66)*怪物掉落!$V$2</f>
        <v>6400</v>
      </c>
      <c r="D5" s="26">
        <f t="shared" si="0"/>
        <v>86400</v>
      </c>
      <c r="E5" s="26">
        <f>F5*60</f>
        <v>3600</v>
      </c>
      <c r="F5" s="26">
        <f t="shared" si="2"/>
        <v>60</v>
      </c>
      <c r="G5" s="26">
        <v>5</v>
      </c>
      <c r="J5" s="14">
        <v>10010103</v>
      </c>
      <c r="K5" s="26" t="s">
        <v>369</v>
      </c>
      <c r="L5" s="65">
        <v>1</v>
      </c>
      <c r="M5" s="65">
        <v>0.2</v>
      </c>
      <c r="N5" s="14">
        <f t="shared" ref="N5:N68" si="4">ROUND(LOOKUP(L5,$A$2:$A$26,$D$2:$D$26)*M5,-2)</f>
        <v>6900</v>
      </c>
    </row>
    <row r="6" spans="1:17" s="12" customFormat="1" ht="20.100000000000001" customHeight="1">
      <c r="A6" s="26">
        <v>5</v>
      </c>
      <c r="B6" s="14">
        <f>LOOKUP(A6,建筑等级和人物等级匹配关系!$H$2:$H$26,建筑等级和人物等级匹配关系!$K$2:$K$26)</f>
        <v>21</v>
      </c>
      <c r="C6" s="14">
        <f>LOOKUP(B6,怪物掉落!$A$2:$A$66,怪物掉落!$B$2:$B$66)*怪物掉落!$V$2</f>
        <v>7000</v>
      </c>
      <c r="D6" s="26">
        <f t="shared" si="0"/>
        <v>103680</v>
      </c>
      <c r="E6" s="26">
        <f t="shared" si="1"/>
        <v>4320</v>
      </c>
      <c r="F6" s="26">
        <f t="shared" si="2"/>
        <v>72</v>
      </c>
      <c r="G6" s="26">
        <v>6</v>
      </c>
      <c r="J6" s="14">
        <v>10020010</v>
      </c>
      <c r="K6" s="14" t="s">
        <v>379</v>
      </c>
      <c r="L6" s="65">
        <v>1</v>
      </c>
      <c r="M6" s="65">
        <v>0.3</v>
      </c>
      <c r="N6" s="14">
        <f t="shared" si="4"/>
        <v>10400</v>
      </c>
    </row>
    <row r="7" spans="1:17" s="12" customFormat="1" ht="20.100000000000001" customHeight="1">
      <c r="A7" s="26">
        <v>6</v>
      </c>
      <c r="B7" s="14">
        <f>LOOKUP(A7,建筑等级和人物等级匹配关系!$H$2:$H$26,建筑等级和人物等级匹配关系!$K$2:$K$26)</f>
        <v>23</v>
      </c>
      <c r="C7" s="14">
        <f>LOOKUP(B7,怪物掉落!$A$2:$A$66,怪物掉落!$B$2:$B$66)*怪物掉落!$V$2</f>
        <v>7600</v>
      </c>
      <c r="D7" s="26">
        <f t="shared" si="0"/>
        <v>120960</v>
      </c>
      <c r="E7" s="26">
        <f t="shared" si="1"/>
        <v>5040</v>
      </c>
      <c r="F7" s="26">
        <f t="shared" si="2"/>
        <v>84</v>
      </c>
      <c r="G7" s="26">
        <v>7</v>
      </c>
      <c r="J7" s="26">
        <v>10030262</v>
      </c>
      <c r="K7" s="26" t="s">
        <v>377</v>
      </c>
      <c r="L7" s="65">
        <v>1</v>
      </c>
      <c r="M7" s="65">
        <v>1</v>
      </c>
      <c r="N7" s="14">
        <f t="shared" si="4"/>
        <v>34600</v>
      </c>
    </row>
    <row r="8" spans="1:17" s="12" customFormat="1" ht="20.100000000000001" customHeight="1">
      <c r="A8" s="26">
        <v>7</v>
      </c>
      <c r="B8" s="14">
        <f>LOOKUP(A8,建筑等级和人物等级匹配关系!$H$2:$H$26,建筑等级和人物等级匹配关系!$K$2:$K$26)</f>
        <v>25</v>
      </c>
      <c r="C8" s="14">
        <f>LOOKUP(B8,怪物掉落!$A$2:$A$66,怪物掉落!$B$2:$B$66)*怪物掉落!$V$2</f>
        <v>8200</v>
      </c>
      <c r="D8" s="26">
        <f t="shared" si="0"/>
        <v>138240</v>
      </c>
      <c r="E8" s="26">
        <f t="shared" si="1"/>
        <v>5760</v>
      </c>
      <c r="F8" s="26">
        <f t="shared" si="2"/>
        <v>96</v>
      </c>
      <c r="G8" s="26">
        <v>8</v>
      </c>
      <c r="J8" s="14">
        <v>10010011</v>
      </c>
      <c r="K8" s="14" t="s">
        <v>372</v>
      </c>
      <c r="L8" s="65">
        <v>3</v>
      </c>
      <c r="M8" s="65">
        <v>0.06</v>
      </c>
      <c r="N8" s="14">
        <f t="shared" si="4"/>
        <v>4100</v>
      </c>
    </row>
    <row r="9" spans="1:17" s="12" customFormat="1" ht="20.100000000000001" customHeight="1">
      <c r="A9" s="26">
        <v>8</v>
      </c>
      <c r="B9" s="14">
        <f>LOOKUP(A9,建筑等级和人物等级匹配关系!$H$2:$H$26,建筑等级和人物等级匹配关系!$K$2:$K$26)</f>
        <v>27</v>
      </c>
      <c r="C9" s="14">
        <f>LOOKUP(B9,怪物掉落!$A$2:$A$66,怪物掉落!$B$2:$B$66)*怪物掉落!$V$2</f>
        <v>8800</v>
      </c>
      <c r="D9" s="26">
        <f t="shared" si="0"/>
        <v>172800</v>
      </c>
      <c r="E9" s="26">
        <f t="shared" si="1"/>
        <v>7200</v>
      </c>
      <c r="F9" s="26">
        <f t="shared" si="2"/>
        <v>120</v>
      </c>
      <c r="G9" s="26">
        <v>10</v>
      </c>
      <c r="J9" s="14">
        <v>10010071</v>
      </c>
      <c r="K9" s="14" t="s">
        <v>374</v>
      </c>
      <c r="L9" s="65">
        <v>3</v>
      </c>
      <c r="M9" s="65">
        <v>0.1</v>
      </c>
      <c r="N9" s="14">
        <f t="shared" si="4"/>
        <v>6900</v>
      </c>
    </row>
    <row r="10" spans="1:17" s="12" customFormat="1" ht="20.100000000000001" customHeight="1">
      <c r="A10" s="26">
        <v>9</v>
      </c>
      <c r="B10" s="14">
        <f>LOOKUP(A10,建筑等级和人物等级匹配关系!$H$2:$H$26,建筑等级和人物等级匹配关系!$K$2:$K$26)</f>
        <v>29</v>
      </c>
      <c r="C10" s="14">
        <f>LOOKUP(B10,怪物掉落!$A$2:$A$66,怪物掉落!$B$2:$B$66)*怪物掉落!$V$2</f>
        <v>9400</v>
      </c>
      <c r="D10" s="26">
        <f t="shared" si="0"/>
        <v>207360</v>
      </c>
      <c r="E10" s="26">
        <f t="shared" si="1"/>
        <v>8640</v>
      </c>
      <c r="F10" s="26">
        <f t="shared" si="2"/>
        <v>144</v>
      </c>
      <c r="G10" s="26">
        <f>G9+2</f>
        <v>12</v>
      </c>
      <c r="J10" s="14">
        <v>10010106</v>
      </c>
      <c r="K10" s="14" t="s">
        <v>380</v>
      </c>
      <c r="L10" s="65">
        <v>3</v>
      </c>
      <c r="M10" s="65">
        <v>0.35</v>
      </c>
      <c r="N10" s="14">
        <f t="shared" si="4"/>
        <v>24200</v>
      </c>
    </row>
    <row r="11" spans="1:17" s="12" customFormat="1" ht="20.100000000000001" customHeight="1">
      <c r="A11" s="26">
        <v>10</v>
      </c>
      <c r="B11" s="14">
        <f>LOOKUP(A11,建筑等级和人物等级匹配关系!$H$2:$H$26,建筑等级和人物等级匹配关系!$K$2:$K$26)</f>
        <v>31</v>
      </c>
      <c r="C11" s="14">
        <f>LOOKUP(B11,怪物掉落!$A$2:$A$66,怪物掉落!$B$2:$B$66)*怪物掉落!$V$2</f>
        <v>10000</v>
      </c>
      <c r="D11" s="26">
        <f t="shared" si="0"/>
        <v>241920</v>
      </c>
      <c r="E11" s="26">
        <f t="shared" si="1"/>
        <v>10080</v>
      </c>
      <c r="F11" s="26">
        <f t="shared" si="2"/>
        <v>168</v>
      </c>
      <c r="G11" s="26">
        <f t="shared" ref="G11:G16" si="5">G10+2</f>
        <v>14</v>
      </c>
      <c r="J11" s="14">
        <v>10010107</v>
      </c>
      <c r="K11" s="14" t="s">
        <v>381</v>
      </c>
      <c r="L11" s="65">
        <v>3</v>
      </c>
      <c r="M11" s="65">
        <v>0.35</v>
      </c>
      <c r="N11" s="14">
        <f t="shared" si="4"/>
        <v>24200</v>
      </c>
    </row>
    <row r="12" spans="1:17" s="12" customFormat="1" ht="20.100000000000001" customHeight="1">
      <c r="A12" s="26">
        <v>11</v>
      </c>
      <c r="B12" s="14">
        <f>LOOKUP(A12,建筑等级和人物等级匹配关系!$H$2:$H$26,建筑等级和人物等级匹配关系!$K$2:$K$26)</f>
        <v>33</v>
      </c>
      <c r="C12" s="14">
        <f>LOOKUP(B12,怪物掉落!$A$2:$A$66,怪物掉落!$B$2:$B$66)*怪物掉落!$V$2</f>
        <v>10600</v>
      </c>
      <c r="D12" s="26">
        <f t="shared" si="0"/>
        <v>276480</v>
      </c>
      <c r="E12" s="26">
        <f t="shared" si="1"/>
        <v>11520</v>
      </c>
      <c r="F12" s="26">
        <f t="shared" si="2"/>
        <v>192</v>
      </c>
      <c r="G12" s="26">
        <f t="shared" si="5"/>
        <v>16</v>
      </c>
      <c r="J12" s="14">
        <v>10010108</v>
      </c>
      <c r="K12" s="14" t="s">
        <v>382</v>
      </c>
      <c r="L12" s="65">
        <v>3</v>
      </c>
      <c r="M12" s="65">
        <v>0.35</v>
      </c>
      <c r="N12" s="14">
        <f t="shared" si="4"/>
        <v>24200</v>
      </c>
    </row>
    <row r="13" spans="1:17" s="12" customFormat="1" ht="20.100000000000001" customHeight="1">
      <c r="A13" s="26">
        <v>12</v>
      </c>
      <c r="B13" s="14">
        <f>LOOKUP(A13,建筑等级和人物等级匹配关系!$H$2:$H$26,建筑等级和人物等级匹配关系!$K$2:$K$26)</f>
        <v>35</v>
      </c>
      <c r="C13" s="14">
        <f>LOOKUP(B13,怪物掉落!$A$2:$A$66,怪物掉落!$B$2:$B$66)*怪物掉落!$V$2</f>
        <v>11200</v>
      </c>
      <c r="D13" s="26">
        <f t="shared" si="0"/>
        <v>311040</v>
      </c>
      <c r="E13" s="26">
        <f t="shared" si="1"/>
        <v>12960</v>
      </c>
      <c r="F13" s="26">
        <f t="shared" si="2"/>
        <v>216</v>
      </c>
      <c r="G13" s="26">
        <f t="shared" si="5"/>
        <v>18</v>
      </c>
      <c r="J13" s="14">
        <v>10030261</v>
      </c>
      <c r="K13" s="14" t="s">
        <v>378</v>
      </c>
      <c r="L13" s="65">
        <v>3</v>
      </c>
      <c r="M13" s="65">
        <v>0.75</v>
      </c>
      <c r="N13" s="14">
        <f t="shared" si="4"/>
        <v>51800</v>
      </c>
    </row>
    <row r="14" spans="1:17" s="12" customFormat="1" ht="20.100000000000001" customHeight="1">
      <c r="A14" s="26">
        <v>13</v>
      </c>
      <c r="B14" s="14">
        <f>LOOKUP(A14,建筑等级和人物等级匹配关系!$H$2:$H$26,建筑等级和人物等级匹配关系!$K$2:$K$26)</f>
        <v>37</v>
      </c>
      <c r="C14" s="14">
        <f>LOOKUP(B14,怪物掉落!$A$2:$A$66,怪物掉落!$B$2:$B$66)*怪物掉落!$V$2</f>
        <v>11800</v>
      </c>
      <c r="D14" s="26">
        <f t="shared" si="0"/>
        <v>345600</v>
      </c>
      <c r="E14" s="26">
        <f t="shared" si="1"/>
        <v>14400</v>
      </c>
      <c r="F14" s="26">
        <f t="shared" si="2"/>
        <v>240</v>
      </c>
      <c r="G14" s="26">
        <f t="shared" si="5"/>
        <v>20</v>
      </c>
      <c r="J14" s="14">
        <v>10010012</v>
      </c>
      <c r="K14" s="26" t="s">
        <v>370</v>
      </c>
      <c r="L14" s="65">
        <v>3</v>
      </c>
      <c r="M14" s="65">
        <v>0.5</v>
      </c>
      <c r="N14" s="14">
        <f t="shared" si="4"/>
        <v>34600</v>
      </c>
    </row>
    <row r="15" spans="1:17" s="12" customFormat="1" ht="20.100000000000001" customHeight="1">
      <c r="A15" s="26">
        <v>14</v>
      </c>
      <c r="B15" s="14">
        <f>LOOKUP(A15,建筑等级和人物等级匹配关系!$H$2:$H$26,建筑等级和人物等级匹配关系!$K$2:$K$26)</f>
        <v>39</v>
      </c>
      <c r="C15" s="14">
        <f>LOOKUP(B15,怪物掉落!$A$2:$A$66,怪物掉落!$B$2:$B$66)*怪物掉落!$V$2</f>
        <v>12400</v>
      </c>
      <c r="D15" s="26">
        <f t="shared" si="0"/>
        <v>380160</v>
      </c>
      <c r="E15" s="26">
        <f t="shared" si="1"/>
        <v>15840</v>
      </c>
      <c r="F15" s="26">
        <f t="shared" si="2"/>
        <v>264</v>
      </c>
      <c r="G15" s="26">
        <f t="shared" si="5"/>
        <v>22</v>
      </c>
      <c r="J15" s="14">
        <v>10030261</v>
      </c>
      <c r="K15" s="14" t="s">
        <v>376</v>
      </c>
      <c r="L15" s="65">
        <v>3</v>
      </c>
      <c r="M15" s="65">
        <v>1</v>
      </c>
      <c r="N15" s="14">
        <f t="shared" si="4"/>
        <v>69100</v>
      </c>
    </row>
    <row r="16" spans="1:17" s="12" customFormat="1" ht="20.100000000000001" customHeight="1">
      <c r="A16" s="26">
        <v>15</v>
      </c>
      <c r="B16" s="14">
        <f>LOOKUP(A16,建筑等级和人物等级匹配关系!$H$2:$H$26,建筑等级和人物等级匹配关系!$K$2:$K$26)</f>
        <v>41</v>
      </c>
      <c r="C16" s="14">
        <f>LOOKUP(B16,怪物掉落!$A$2:$A$66,怪物掉落!$B$2:$B$66)*怪物掉落!$V$2</f>
        <v>13000</v>
      </c>
      <c r="D16" s="26">
        <f t="shared" si="0"/>
        <v>414720</v>
      </c>
      <c r="E16" s="26">
        <f t="shared" si="1"/>
        <v>17280</v>
      </c>
      <c r="F16" s="26">
        <f t="shared" si="2"/>
        <v>288</v>
      </c>
      <c r="G16" s="26">
        <f t="shared" si="5"/>
        <v>24</v>
      </c>
      <c r="J16" s="41">
        <v>10010002</v>
      </c>
      <c r="K16" s="42" t="s">
        <v>733</v>
      </c>
      <c r="L16" s="65">
        <v>5</v>
      </c>
      <c r="M16" s="65">
        <v>0.03</v>
      </c>
      <c r="N16" s="65">
        <f t="shared" si="4"/>
        <v>3100</v>
      </c>
      <c r="Q16" s="26"/>
    </row>
    <row r="17" spans="1:17" s="12" customFormat="1" ht="20.100000000000001" customHeight="1">
      <c r="A17" s="26">
        <v>16</v>
      </c>
      <c r="B17" s="14">
        <f>LOOKUP(A17,建筑等级和人物等级匹配关系!$H$2:$H$26,建筑等级和人物等级匹配关系!$K$2:$K$26)</f>
        <v>43</v>
      </c>
      <c r="C17" s="14">
        <f>LOOKUP(B17,怪物掉落!$A$2:$A$66,怪物掉落!$B$2:$B$66)*怪物掉落!$V$2</f>
        <v>13600</v>
      </c>
      <c r="D17" s="26">
        <f t="shared" si="0"/>
        <v>449280</v>
      </c>
      <c r="E17" s="26">
        <f t="shared" si="1"/>
        <v>18720</v>
      </c>
      <c r="F17" s="26">
        <f t="shared" si="2"/>
        <v>312</v>
      </c>
      <c r="G17" s="26">
        <f>G16+2</f>
        <v>26</v>
      </c>
      <c r="J17" s="66">
        <v>10010072</v>
      </c>
      <c r="K17" s="67" t="s">
        <v>734</v>
      </c>
      <c r="L17" s="65">
        <v>5</v>
      </c>
      <c r="M17" s="65">
        <v>0.15</v>
      </c>
      <c r="N17" s="65">
        <f t="shared" si="4"/>
        <v>15600</v>
      </c>
      <c r="Q17" s="26"/>
    </row>
    <row r="18" spans="1:17" s="12" customFormat="1" ht="20.100000000000001" customHeight="1">
      <c r="A18" s="26">
        <v>17</v>
      </c>
      <c r="B18" s="14">
        <f>LOOKUP(A18,建筑等级和人物等级匹配关系!$H$2:$H$26,建筑等级和人物等级匹配关系!$K$2:$K$26)</f>
        <v>45</v>
      </c>
      <c r="C18" s="14">
        <f>LOOKUP(B18,怪物掉落!$A$2:$A$66,怪物掉落!$B$2:$B$66)*怪物掉落!$V$2</f>
        <v>14200</v>
      </c>
      <c r="D18" s="26">
        <f t="shared" si="0"/>
        <v>483840</v>
      </c>
      <c r="E18" s="26">
        <f t="shared" si="1"/>
        <v>20160</v>
      </c>
      <c r="F18" s="26">
        <f t="shared" si="2"/>
        <v>336</v>
      </c>
      <c r="G18" s="26">
        <f t="shared" ref="G18:G21" si="6">G17+2</f>
        <v>28</v>
      </c>
      <c r="J18" s="41">
        <v>10010209</v>
      </c>
      <c r="K18" s="42" t="s">
        <v>744</v>
      </c>
      <c r="L18" s="65">
        <v>5</v>
      </c>
      <c r="M18" s="65">
        <v>0.5</v>
      </c>
      <c r="N18" s="65">
        <f t="shared" si="4"/>
        <v>51800</v>
      </c>
    </row>
    <row r="19" spans="1:17" s="12" customFormat="1" ht="20.100000000000001" customHeight="1">
      <c r="A19" s="26">
        <v>18</v>
      </c>
      <c r="B19" s="14">
        <f>LOOKUP(A19,建筑等级和人物等级匹配关系!$H$2:$H$26,建筑等级和人物等级匹配关系!$K$2:$K$26)</f>
        <v>47</v>
      </c>
      <c r="C19" s="14">
        <f>LOOKUP(B19,怪物掉落!$A$2:$A$66,怪物掉落!$B$2:$B$66)*怪物掉落!$V$2</f>
        <v>14800</v>
      </c>
      <c r="D19" s="26">
        <f t="shared" si="0"/>
        <v>518400</v>
      </c>
      <c r="E19" s="26">
        <f t="shared" si="1"/>
        <v>21600</v>
      </c>
      <c r="F19" s="26">
        <f t="shared" si="2"/>
        <v>360</v>
      </c>
      <c r="G19" s="26">
        <f t="shared" si="6"/>
        <v>30</v>
      </c>
      <c r="J19" s="41">
        <v>10010211</v>
      </c>
      <c r="K19" s="42" t="s">
        <v>741</v>
      </c>
      <c r="L19" s="65">
        <v>5</v>
      </c>
      <c r="M19" s="65">
        <v>0.5</v>
      </c>
      <c r="N19" s="65">
        <f t="shared" si="4"/>
        <v>51800</v>
      </c>
    </row>
    <row r="20" spans="1:17" s="12" customFormat="1" ht="20.100000000000001" customHeight="1">
      <c r="A20" s="26">
        <v>19</v>
      </c>
      <c r="B20" s="14">
        <f>LOOKUP(A20,建筑等级和人物等级匹配关系!$H$2:$H$26,建筑等级和人物等级匹配关系!$K$2:$K$26)</f>
        <v>49</v>
      </c>
      <c r="C20" s="14">
        <f>LOOKUP(B20,怪物掉落!$A$2:$A$66,怪物掉落!$B$2:$B$66)*怪物掉落!$V$2</f>
        <v>15400</v>
      </c>
      <c r="D20" s="26">
        <f t="shared" si="0"/>
        <v>552960</v>
      </c>
      <c r="E20" s="26">
        <f t="shared" si="1"/>
        <v>23040</v>
      </c>
      <c r="F20" s="26">
        <f t="shared" si="2"/>
        <v>384</v>
      </c>
      <c r="G20" s="26">
        <f t="shared" si="6"/>
        <v>32</v>
      </c>
      <c r="J20" s="41">
        <v>10010204</v>
      </c>
      <c r="K20" s="42" t="s">
        <v>736</v>
      </c>
      <c r="L20" s="65">
        <v>5</v>
      </c>
      <c r="M20" s="65">
        <v>0.35</v>
      </c>
      <c r="N20" s="65">
        <f t="shared" si="4"/>
        <v>36300</v>
      </c>
    </row>
    <row r="21" spans="1:17" s="12" customFormat="1" ht="20.100000000000001" customHeight="1">
      <c r="A21" s="26">
        <v>20</v>
      </c>
      <c r="B21" s="14">
        <f>LOOKUP(A21,建筑等级和人物等级匹配关系!$H$2:$H$26,建筑等级和人物等级匹配关系!$K$2:$K$26)</f>
        <v>51</v>
      </c>
      <c r="C21" s="14">
        <f>LOOKUP(B21,怪物掉落!$A$2:$A$66,怪物掉落!$B$2:$B$66)*怪物掉落!$V$2</f>
        <v>16000</v>
      </c>
      <c r="D21" s="26">
        <f t="shared" si="0"/>
        <v>587520</v>
      </c>
      <c r="E21" s="26">
        <f t="shared" si="1"/>
        <v>24480</v>
      </c>
      <c r="F21" s="26">
        <f t="shared" si="2"/>
        <v>408</v>
      </c>
      <c r="G21" s="26">
        <f t="shared" si="6"/>
        <v>34</v>
      </c>
      <c r="J21" s="41">
        <v>10010205</v>
      </c>
      <c r="K21" s="42" t="s">
        <v>737</v>
      </c>
      <c r="L21" s="65">
        <v>5</v>
      </c>
      <c r="M21" s="65">
        <v>0.35</v>
      </c>
      <c r="N21" s="65">
        <f t="shared" si="4"/>
        <v>36300</v>
      </c>
    </row>
    <row r="22" spans="1:17" s="12" customFormat="1" ht="20.100000000000001" customHeight="1">
      <c r="A22" s="26">
        <v>21</v>
      </c>
      <c r="B22" s="14">
        <f>LOOKUP(A22,建筑等级和人物等级匹配关系!$H$2:$H$26,建筑等级和人物等级匹配关系!$K$2:$K$26)</f>
        <v>53</v>
      </c>
      <c r="C22" s="14">
        <f>LOOKUP(B22,怪物掉落!$A$2:$A$66,怪物掉落!$B$2:$B$66)*怪物掉落!$V$2</f>
        <v>16600</v>
      </c>
      <c r="D22" s="26">
        <f t="shared" si="0"/>
        <v>639360</v>
      </c>
      <c r="E22" s="26">
        <f t="shared" si="1"/>
        <v>26640</v>
      </c>
      <c r="F22" s="26">
        <f t="shared" si="2"/>
        <v>444</v>
      </c>
      <c r="G22" s="26">
        <f>G21+3</f>
        <v>37</v>
      </c>
      <c r="J22" s="69">
        <v>10020057</v>
      </c>
      <c r="K22" s="67" t="s">
        <v>746</v>
      </c>
      <c r="L22" s="65">
        <v>5</v>
      </c>
      <c r="M22" s="65">
        <v>0.05</v>
      </c>
      <c r="N22" s="65">
        <f t="shared" si="4"/>
        <v>5200</v>
      </c>
    </row>
    <row r="23" spans="1:17" s="12" customFormat="1" ht="20.100000000000001" customHeight="1">
      <c r="A23" s="26">
        <v>22</v>
      </c>
      <c r="B23" s="14">
        <f>LOOKUP(A23,建筑等级和人物等级匹配关系!$H$2:$H$26,建筑等级和人物等级匹配关系!$K$2:$K$26)</f>
        <v>55</v>
      </c>
      <c r="C23" s="14">
        <f>LOOKUP(B23,怪物掉落!$A$2:$A$66,怪物掉落!$B$2:$B$66)*怪物掉落!$V$2</f>
        <v>17200</v>
      </c>
      <c r="D23" s="26">
        <f t="shared" si="0"/>
        <v>691200</v>
      </c>
      <c r="E23" s="26">
        <f t="shared" si="1"/>
        <v>28800</v>
      </c>
      <c r="F23" s="26">
        <f t="shared" si="2"/>
        <v>480</v>
      </c>
      <c r="G23" s="26">
        <f t="shared" ref="G23:G25" si="7">G22+3</f>
        <v>40</v>
      </c>
      <c r="J23" s="41">
        <v>10010012</v>
      </c>
      <c r="K23" s="42" t="s">
        <v>735</v>
      </c>
      <c r="L23" s="65">
        <v>7</v>
      </c>
      <c r="M23" s="65">
        <v>0.06</v>
      </c>
      <c r="N23" s="65">
        <f t="shared" si="4"/>
        <v>8300</v>
      </c>
    </row>
    <row r="24" spans="1:17" s="12" customFormat="1" ht="20.100000000000001" customHeight="1">
      <c r="A24" s="26">
        <v>23</v>
      </c>
      <c r="B24" s="14">
        <f>LOOKUP(A24,建筑等级和人物等级匹配关系!$H$2:$H$26,建筑等级和人物等级匹配关系!$K$2:$K$26)</f>
        <v>57</v>
      </c>
      <c r="C24" s="14">
        <f>LOOKUP(B24,怪物掉落!$A$2:$A$66,怪物掉落!$B$2:$B$66)*怪物掉落!$V$2</f>
        <v>17800</v>
      </c>
      <c r="D24" s="26">
        <f t="shared" si="0"/>
        <v>743040</v>
      </c>
      <c r="E24" s="26">
        <f t="shared" si="1"/>
        <v>30960</v>
      </c>
      <c r="F24" s="26">
        <f t="shared" si="2"/>
        <v>516</v>
      </c>
      <c r="G24" s="26">
        <f t="shared" si="7"/>
        <v>43</v>
      </c>
      <c r="J24" s="66">
        <v>10010062</v>
      </c>
      <c r="K24" s="67" t="s">
        <v>424</v>
      </c>
      <c r="L24" s="68">
        <v>7</v>
      </c>
      <c r="M24" s="65">
        <v>0.1</v>
      </c>
      <c r="N24" s="65">
        <f t="shared" si="4"/>
        <v>13800</v>
      </c>
      <c r="O24" s="54"/>
    </row>
    <row r="25" spans="1:17" s="12" customFormat="1" ht="20.100000000000001" customHeight="1">
      <c r="A25" s="26">
        <v>24</v>
      </c>
      <c r="B25" s="14">
        <f>LOOKUP(A25,建筑等级和人物等级匹配关系!$H$2:$H$26,建筑等级和人物等级匹配关系!$K$2:$K$26)</f>
        <v>59</v>
      </c>
      <c r="C25" s="14">
        <f>LOOKUP(B25,怪物掉落!$A$2:$A$66,怪物掉落!$B$2:$B$66)*怪物掉落!$V$2</f>
        <v>18400</v>
      </c>
      <c r="D25" s="26">
        <f t="shared" si="0"/>
        <v>794880</v>
      </c>
      <c r="E25" s="26">
        <f t="shared" si="1"/>
        <v>33120</v>
      </c>
      <c r="F25" s="26">
        <f t="shared" si="2"/>
        <v>552</v>
      </c>
      <c r="G25" s="26">
        <f t="shared" si="7"/>
        <v>46</v>
      </c>
      <c r="J25" s="41">
        <v>10010206</v>
      </c>
      <c r="K25" s="42" t="s">
        <v>738</v>
      </c>
      <c r="L25" s="68">
        <v>7</v>
      </c>
      <c r="M25" s="65">
        <v>0.35</v>
      </c>
      <c r="N25" s="65">
        <f t="shared" si="4"/>
        <v>48400</v>
      </c>
      <c r="O25" s="54"/>
    </row>
    <row r="26" spans="1:17" s="12" customFormat="1" ht="20.100000000000001" customHeight="1">
      <c r="A26" s="26">
        <v>25</v>
      </c>
      <c r="B26" s="14">
        <f>LOOKUP(A26,建筑等级和人物等级匹配关系!$H$2:$H$26,建筑等级和人物等级匹配关系!$K$2:$K$26)</f>
        <v>65</v>
      </c>
      <c r="C26" s="14">
        <f>LOOKUP(B26,怪物掉落!$A$2:$A$66,怪物掉落!$B$2:$B$66)*怪物掉落!$V$2</f>
        <v>20200</v>
      </c>
      <c r="D26" s="26">
        <f t="shared" si="0"/>
        <v>864000</v>
      </c>
      <c r="E26" s="26">
        <f t="shared" si="1"/>
        <v>36000</v>
      </c>
      <c r="F26" s="26">
        <f t="shared" si="2"/>
        <v>600</v>
      </c>
      <c r="G26" s="26">
        <f>G25+4</f>
        <v>50</v>
      </c>
      <c r="J26" s="41">
        <v>10010207</v>
      </c>
      <c r="K26" s="42" t="s">
        <v>739</v>
      </c>
      <c r="L26" s="68">
        <v>7</v>
      </c>
      <c r="M26" s="65">
        <v>0.35</v>
      </c>
      <c r="N26" s="65">
        <f t="shared" si="4"/>
        <v>48400</v>
      </c>
    </row>
    <row r="27" spans="1:17" ht="20.100000000000001" customHeight="1">
      <c r="J27" s="41">
        <v>10010212</v>
      </c>
      <c r="K27" s="42" t="s">
        <v>742</v>
      </c>
      <c r="L27" s="68">
        <v>7</v>
      </c>
      <c r="M27" s="65">
        <v>2</v>
      </c>
      <c r="N27" s="65">
        <f t="shared" si="4"/>
        <v>276500</v>
      </c>
    </row>
    <row r="28" spans="1:17" ht="20.100000000000001" customHeight="1">
      <c r="J28" s="69">
        <v>10030319</v>
      </c>
      <c r="K28" s="32" t="s">
        <v>804</v>
      </c>
      <c r="L28" s="68">
        <v>7</v>
      </c>
      <c r="M28" s="65">
        <v>0.75</v>
      </c>
      <c r="N28" s="65">
        <f t="shared" si="4"/>
        <v>103700</v>
      </c>
    </row>
    <row r="29" spans="1:17" ht="20.100000000000001" customHeight="1">
      <c r="J29" s="69">
        <v>10030331</v>
      </c>
      <c r="K29" s="71" t="s">
        <v>805</v>
      </c>
      <c r="L29" s="68">
        <v>7</v>
      </c>
      <c r="M29" s="65">
        <v>1.5</v>
      </c>
      <c r="N29" s="65">
        <f t="shared" si="4"/>
        <v>207400</v>
      </c>
    </row>
    <row r="30" spans="1:17" ht="20.100000000000001" customHeight="1">
      <c r="B30" s="24"/>
      <c r="C30" s="24"/>
      <c r="D30" s="24"/>
      <c r="E30" s="24"/>
      <c r="J30" s="41">
        <v>10011001</v>
      </c>
      <c r="K30" s="42" t="s">
        <v>740</v>
      </c>
      <c r="L30" s="68">
        <v>9</v>
      </c>
      <c r="M30" s="65">
        <v>3</v>
      </c>
      <c r="N30" s="65">
        <f t="shared" si="4"/>
        <v>622100</v>
      </c>
    </row>
    <row r="31" spans="1:17" ht="20.100000000000001" customHeight="1">
      <c r="B31" s="24"/>
      <c r="C31" s="24">
        <v>10010213</v>
      </c>
      <c r="D31" s="24" t="s">
        <v>743</v>
      </c>
      <c r="E31" s="12"/>
      <c r="J31" s="41">
        <v>10010201</v>
      </c>
      <c r="K31" s="42" t="s">
        <v>803</v>
      </c>
      <c r="L31" s="68">
        <v>9</v>
      </c>
      <c r="M31" s="65">
        <v>0.5</v>
      </c>
      <c r="N31" s="65">
        <f t="shared" si="4"/>
        <v>103700</v>
      </c>
    </row>
    <row r="32" spans="1:17" ht="20.100000000000001" customHeight="1">
      <c r="B32" s="12"/>
      <c r="C32" s="12">
        <v>10010214</v>
      </c>
      <c r="D32" s="12" t="s">
        <v>748</v>
      </c>
      <c r="E32" s="12"/>
      <c r="J32" s="41">
        <v>10010202</v>
      </c>
      <c r="K32" s="42" t="s">
        <v>802</v>
      </c>
      <c r="L32" s="68">
        <v>9</v>
      </c>
      <c r="M32" s="65">
        <v>0.5</v>
      </c>
      <c r="N32" s="65">
        <f t="shared" si="4"/>
        <v>103700</v>
      </c>
    </row>
    <row r="33" spans="2:14" ht="20.100000000000001" customHeight="1">
      <c r="B33" s="12"/>
      <c r="C33" s="12"/>
      <c r="D33" s="12"/>
      <c r="E33" s="12"/>
      <c r="J33" s="41">
        <v>10010210</v>
      </c>
      <c r="K33" s="42" t="s">
        <v>745</v>
      </c>
      <c r="L33" s="68">
        <v>9</v>
      </c>
      <c r="M33" s="65">
        <v>0.75</v>
      </c>
      <c r="N33" s="65">
        <f t="shared" si="4"/>
        <v>155500</v>
      </c>
    </row>
    <row r="34" spans="2:14" ht="20.100000000000001" customHeight="1">
      <c r="J34" s="69">
        <v>10020056</v>
      </c>
      <c r="K34" s="67" t="s">
        <v>747</v>
      </c>
      <c r="L34" s="68">
        <v>9</v>
      </c>
      <c r="M34" s="65">
        <v>0.65</v>
      </c>
      <c r="N34" s="65">
        <f t="shared" si="4"/>
        <v>134800</v>
      </c>
    </row>
    <row r="35" spans="2:14" ht="20.100000000000001" customHeight="1">
      <c r="J35" s="69">
        <v>10020063</v>
      </c>
      <c r="K35" s="57" t="s">
        <v>749</v>
      </c>
      <c r="L35" s="68">
        <v>9</v>
      </c>
      <c r="M35" s="65">
        <v>1.5</v>
      </c>
      <c r="N35" s="65">
        <f t="shared" si="4"/>
        <v>311000</v>
      </c>
    </row>
    <row r="36" spans="2:14" ht="20.100000000000001" customHeight="1">
      <c r="J36" s="69">
        <v>10030332</v>
      </c>
      <c r="K36" s="71" t="s">
        <v>653</v>
      </c>
      <c r="L36" s="68">
        <v>9</v>
      </c>
      <c r="M36" s="65">
        <v>2</v>
      </c>
      <c r="N36" s="65">
        <f t="shared" si="4"/>
        <v>414700</v>
      </c>
    </row>
    <row r="37" spans="2:14" ht="20.100000000000001" customHeight="1">
      <c r="J37" s="41">
        <v>10010003</v>
      </c>
      <c r="K37" s="4" t="s">
        <v>751</v>
      </c>
      <c r="L37" s="68">
        <v>10</v>
      </c>
      <c r="M37" s="65">
        <v>0.03</v>
      </c>
      <c r="N37" s="65">
        <f t="shared" si="4"/>
        <v>7300</v>
      </c>
    </row>
    <row r="38" spans="2:14" ht="20.100000000000001" customHeight="1">
      <c r="J38" s="66">
        <v>10010063</v>
      </c>
      <c r="K38" s="67" t="s">
        <v>765</v>
      </c>
      <c r="L38" s="68">
        <v>10</v>
      </c>
      <c r="M38" s="65">
        <v>0.15</v>
      </c>
      <c r="N38" s="65">
        <f t="shared" si="4"/>
        <v>36300</v>
      </c>
    </row>
    <row r="39" spans="2:14" ht="20.100000000000001" customHeight="1">
      <c r="J39" s="41">
        <v>10010301</v>
      </c>
      <c r="K39" s="42" t="s">
        <v>753</v>
      </c>
      <c r="L39" s="68">
        <v>10</v>
      </c>
      <c r="M39" s="65">
        <v>0.5</v>
      </c>
      <c r="N39" s="65">
        <f t="shared" si="4"/>
        <v>121000</v>
      </c>
    </row>
    <row r="40" spans="2:14" ht="20.100000000000001" customHeight="1">
      <c r="J40" s="41">
        <v>10010302</v>
      </c>
      <c r="K40" s="42" t="s">
        <v>754</v>
      </c>
      <c r="L40" s="68">
        <v>10</v>
      </c>
      <c r="M40" s="65">
        <v>0.5</v>
      </c>
      <c r="N40" s="65">
        <f t="shared" si="4"/>
        <v>121000</v>
      </c>
    </row>
    <row r="41" spans="2:14" ht="20.100000000000001" customHeight="1">
      <c r="J41" s="41">
        <v>10010304</v>
      </c>
      <c r="K41" s="42" t="s">
        <v>756</v>
      </c>
      <c r="L41" s="68">
        <v>10</v>
      </c>
      <c r="M41" s="65">
        <v>0.75</v>
      </c>
      <c r="N41" s="65">
        <f t="shared" si="4"/>
        <v>181400</v>
      </c>
    </row>
    <row r="42" spans="2:14" ht="20.100000000000001" customHeight="1">
      <c r="J42" s="41">
        <v>10010306</v>
      </c>
      <c r="K42" s="42" t="s">
        <v>760</v>
      </c>
      <c r="L42" s="68">
        <v>10</v>
      </c>
      <c r="M42" s="65">
        <v>0.75</v>
      </c>
      <c r="N42" s="65">
        <f t="shared" si="4"/>
        <v>181400</v>
      </c>
    </row>
    <row r="43" spans="2:14" ht="20.100000000000001" customHeight="1">
      <c r="J43" s="41">
        <v>10020106</v>
      </c>
      <c r="K43" s="67" t="s">
        <v>766</v>
      </c>
      <c r="L43" s="68">
        <v>10</v>
      </c>
      <c r="M43" s="65">
        <v>1</v>
      </c>
      <c r="N43" s="65">
        <f t="shared" si="4"/>
        <v>241900</v>
      </c>
    </row>
    <row r="44" spans="2:14" ht="20.100000000000001" customHeight="1">
      <c r="J44" s="41">
        <v>10010013</v>
      </c>
      <c r="K44" s="42" t="s">
        <v>752</v>
      </c>
      <c r="L44" s="68">
        <v>12</v>
      </c>
      <c r="M44" s="65">
        <v>0.06</v>
      </c>
      <c r="N44" s="65">
        <f t="shared" si="4"/>
        <v>18700</v>
      </c>
    </row>
    <row r="45" spans="2:14" ht="20.100000000000001" customHeight="1">
      <c r="J45" s="66">
        <v>10010073</v>
      </c>
      <c r="K45" s="67" t="s">
        <v>734</v>
      </c>
      <c r="L45" s="68">
        <v>12</v>
      </c>
      <c r="M45" s="65">
        <v>0.1</v>
      </c>
      <c r="N45" s="65">
        <f t="shared" si="4"/>
        <v>31100</v>
      </c>
    </row>
    <row r="46" spans="2:14" ht="20.100000000000001" customHeight="1">
      <c r="I46" s="26" t="s">
        <v>796</v>
      </c>
      <c r="J46" s="32">
        <v>10030430</v>
      </c>
      <c r="K46" s="62" t="s">
        <v>763</v>
      </c>
      <c r="L46" s="68">
        <v>12</v>
      </c>
      <c r="M46" s="65">
        <v>1</v>
      </c>
      <c r="N46" s="65">
        <f t="shared" si="4"/>
        <v>311000</v>
      </c>
    </row>
    <row r="47" spans="2:14" ht="20.100000000000001" customHeight="1">
      <c r="J47" s="41">
        <v>10010305</v>
      </c>
      <c r="K47" s="42" t="s">
        <v>757</v>
      </c>
      <c r="L47" s="68">
        <v>12</v>
      </c>
      <c r="M47" s="65">
        <v>0.5</v>
      </c>
      <c r="N47" s="65">
        <f t="shared" si="4"/>
        <v>155500</v>
      </c>
    </row>
    <row r="48" spans="2:14" ht="20.100000000000001" customHeight="1">
      <c r="J48" s="41">
        <v>10010307</v>
      </c>
      <c r="K48" s="42" t="s">
        <v>758</v>
      </c>
      <c r="L48" s="68">
        <v>12</v>
      </c>
      <c r="M48" s="65">
        <v>0.5</v>
      </c>
      <c r="N48" s="65">
        <f t="shared" si="4"/>
        <v>155500</v>
      </c>
    </row>
    <row r="49" spans="9:14" ht="20.100000000000001" customHeight="1">
      <c r="J49" s="41">
        <v>10010309</v>
      </c>
      <c r="K49" s="42" t="s">
        <v>761</v>
      </c>
      <c r="L49" s="68">
        <v>12</v>
      </c>
      <c r="M49" s="65">
        <v>1</v>
      </c>
      <c r="N49" s="65">
        <f t="shared" si="4"/>
        <v>311000</v>
      </c>
    </row>
    <row r="50" spans="9:14" ht="20.100000000000001" customHeight="1">
      <c r="J50" s="41">
        <v>10010308</v>
      </c>
      <c r="K50" s="42" t="s">
        <v>759</v>
      </c>
      <c r="L50" s="68">
        <v>12</v>
      </c>
      <c r="M50" s="65">
        <v>1</v>
      </c>
      <c r="N50" s="65">
        <f t="shared" si="4"/>
        <v>311000</v>
      </c>
    </row>
    <row r="51" spans="9:14" ht="20.100000000000001" customHeight="1">
      <c r="J51" s="41">
        <v>10011002</v>
      </c>
      <c r="K51" s="42" t="s">
        <v>764</v>
      </c>
      <c r="L51" s="68">
        <v>14</v>
      </c>
      <c r="M51" s="65">
        <v>3</v>
      </c>
      <c r="N51" s="65">
        <f t="shared" si="4"/>
        <v>1140500</v>
      </c>
    </row>
    <row r="52" spans="9:14" ht="20.100000000000001" customHeight="1">
      <c r="J52" s="41">
        <v>10010303</v>
      </c>
      <c r="K52" s="42" t="s">
        <v>755</v>
      </c>
      <c r="L52" s="68">
        <v>14</v>
      </c>
      <c r="M52" s="65">
        <v>1</v>
      </c>
      <c r="N52" s="65">
        <f t="shared" si="4"/>
        <v>380200</v>
      </c>
    </row>
    <row r="53" spans="9:14" ht="20.100000000000001" customHeight="1">
      <c r="J53" s="32">
        <v>10030431</v>
      </c>
      <c r="K53" s="62" t="s">
        <v>668</v>
      </c>
      <c r="L53" s="68">
        <v>14</v>
      </c>
      <c r="M53" s="65">
        <v>1</v>
      </c>
      <c r="N53" s="65">
        <f t="shared" si="4"/>
        <v>380200</v>
      </c>
    </row>
    <row r="54" spans="9:14" ht="20.100000000000001" customHeight="1">
      <c r="J54" s="41">
        <v>10020110</v>
      </c>
      <c r="K54" s="57" t="s">
        <v>762</v>
      </c>
      <c r="L54" s="68">
        <v>14</v>
      </c>
      <c r="M54" s="65">
        <v>1.5</v>
      </c>
      <c r="N54" s="65">
        <f t="shared" si="4"/>
        <v>570200</v>
      </c>
    </row>
    <row r="55" spans="9:14" ht="20.100000000000001" customHeight="1">
      <c r="J55" s="41">
        <v>10020107</v>
      </c>
      <c r="K55" s="67" t="s">
        <v>767</v>
      </c>
      <c r="L55" s="68">
        <v>14</v>
      </c>
      <c r="M55" s="65">
        <v>0.05</v>
      </c>
      <c r="N55" s="65">
        <f t="shared" si="4"/>
        <v>19000</v>
      </c>
    </row>
    <row r="56" spans="9:14" ht="20.100000000000001" customHeight="1">
      <c r="J56" s="41">
        <v>10010004</v>
      </c>
      <c r="K56" s="4" t="s">
        <v>775</v>
      </c>
      <c r="L56" s="68">
        <v>15</v>
      </c>
      <c r="M56" s="65">
        <v>0.03</v>
      </c>
      <c r="N56" s="65">
        <f t="shared" si="4"/>
        <v>12400</v>
      </c>
    </row>
    <row r="57" spans="9:14" ht="20.100000000000001" customHeight="1">
      <c r="J57" s="66">
        <v>10010064</v>
      </c>
      <c r="K57" s="67" t="s">
        <v>776</v>
      </c>
      <c r="L57" s="68">
        <v>15</v>
      </c>
      <c r="M57" s="65">
        <v>0.15</v>
      </c>
      <c r="N57" s="65">
        <f t="shared" si="4"/>
        <v>62200</v>
      </c>
    </row>
    <row r="58" spans="9:14" ht="20.100000000000001" customHeight="1">
      <c r="J58" s="41">
        <v>10010403</v>
      </c>
      <c r="K58" s="42" t="s">
        <v>779</v>
      </c>
      <c r="L58" s="68">
        <v>15</v>
      </c>
      <c r="M58" s="65">
        <v>1</v>
      </c>
      <c r="N58" s="65">
        <f t="shared" si="4"/>
        <v>414700</v>
      </c>
    </row>
    <row r="59" spans="9:14" ht="20.100000000000001" customHeight="1">
      <c r="I59" s="8" t="s">
        <v>795</v>
      </c>
      <c r="J59" s="41">
        <v>10010404</v>
      </c>
      <c r="K59" s="42" t="s">
        <v>780</v>
      </c>
      <c r="L59" s="68">
        <v>15</v>
      </c>
      <c r="M59" s="65">
        <v>1</v>
      </c>
      <c r="N59" s="65">
        <f t="shared" si="4"/>
        <v>414700</v>
      </c>
    </row>
    <row r="60" spans="9:14" ht="20.100000000000001" customHeight="1">
      <c r="J60" s="41">
        <v>10010405</v>
      </c>
      <c r="K60" s="42" t="s">
        <v>781</v>
      </c>
      <c r="L60" s="68">
        <v>15</v>
      </c>
      <c r="M60" s="65">
        <v>1</v>
      </c>
      <c r="N60" s="65">
        <f t="shared" si="4"/>
        <v>414700</v>
      </c>
    </row>
    <row r="61" spans="9:14" ht="20.100000000000001" customHeight="1">
      <c r="J61" s="41">
        <v>10010406</v>
      </c>
      <c r="K61" s="42" t="s">
        <v>782</v>
      </c>
      <c r="L61" s="68">
        <v>15</v>
      </c>
      <c r="M61" s="65">
        <v>1</v>
      </c>
      <c r="N61" s="65">
        <f t="shared" si="4"/>
        <v>414700</v>
      </c>
    </row>
    <row r="62" spans="9:14" ht="20.100000000000001" customHeight="1">
      <c r="J62" s="41">
        <v>10010410</v>
      </c>
      <c r="K62" s="42" t="s">
        <v>790</v>
      </c>
      <c r="L62" s="68">
        <v>15</v>
      </c>
      <c r="M62" s="65">
        <v>1.5</v>
      </c>
      <c r="N62" s="65">
        <f t="shared" si="4"/>
        <v>622100</v>
      </c>
    </row>
    <row r="63" spans="9:14" ht="20.100000000000001" customHeight="1">
      <c r="J63" s="41">
        <v>10010411</v>
      </c>
      <c r="K63" s="42" t="s">
        <v>791</v>
      </c>
      <c r="L63" s="68">
        <v>15</v>
      </c>
      <c r="M63" s="65">
        <v>2</v>
      </c>
      <c r="N63" s="65">
        <f t="shared" si="4"/>
        <v>829400</v>
      </c>
    </row>
    <row r="64" spans="9:14" ht="20.100000000000001" customHeight="1">
      <c r="J64" s="41">
        <v>10010014</v>
      </c>
      <c r="K64" s="42" t="s">
        <v>774</v>
      </c>
      <c r="L64" s="68">
        <v>17</v>
      </c>
      <c r="M64" s="65">
        <v>0.06</v>
      </c>
      <c r="N64" s="65">
        <f t="shared" si="4"/>
        <v>29000</v>
      </c>
    </row>
    <row r="65" spans="5:15" ht="20.100000000000001" customHeight="1">
      <c r="J65" s="66">
        <v>10010074</v>
      </c>
      <c r="K65" s="67" t="s">
        <v>786</v>
      </c>
      <c r="L65" s="68">
        <v>17</v>
      </c>
      <c r="M65" s="65">
        <v>0.1</v>
      </c>
      <c r="N65" s="65">
        <f t="shared" si="4"/>
        <v>48400</v>
      </c>
    </row>
    <row r="66" spans="5:15" ht="20.100000000000001" customHeight="1">
      <c r="J66" s="41">
        <v>10010401</v>
      </c>
      <c r="K66" s="42" t="s">
        <v>777</v>
      </c>
      <c r="L66" s="68">
        <v>17</v>
      </c>
      <c r="M66" s="65">
        <v>1.2</v>
      </c>
      <c r="N66" s="65">
        <f t="shared" si="4"/>
        <v>580600</v>
      </c>
    </row>
    <row r="67" spans="5:15" ht="20.100000000000001" customHeight="1">
      <c r="J67" s="41">
        <v>10010402</v>
      </c>
      <c r="K67" s="42" t="s">
        <v>778</v>
      </c>
      <c r="L67" s="68">
        <v>17</v>
      </c>
      <c r="M67" s="65">
        <v>1.2</v>
      </c>
      <c r="N67" s="65">
        <f t="shared" si="4"/>
        <v>580600</v>
      </c>
    </row>
    <row r="68" spans="5:15" ht="20.100000000000001" customHeight="1">
      <c r="J68" s="41">
        <v>10010407</v>
      </c>
      <c r="K68" s="42" t="s">
        <v>783</v>
      </c>
      <c r="L68" s="68">
        <v>17</v>
      </c>
      <c r="M68" s="65">
        <v>1</v>
      </c>
      <c r="N68" s="65">
        <f t="shared" si="4"/>
        <v>483800</v>
      </c>
    </row>
    <row r="69" spans="5:15" ht="20.100000000000001" customHeight="1">
      <c r="J69" s="41">
        <v>10010408</v>
      </c>
      <c r="K69" s="42" t="s">
        <v>784</v>
      </c>
      <c r="L69" s="68">
        <v>17</v>
      </c>
      <c r="M69" s="65">
        <v>1</v>
      </c>
      <c r="N69" s="65">
        <f t="shared" ref="N69:N88" si="8">ROUND(LOOKUP(L69,$A$2:$A$26,$D$2:$D$26)*M69,-2)</f>
        <v>483800</v>
      </c>
    </row>
    <row r="70" spans="5:15" ht="20.100000000000001" customHeight="1">
      <c r="J70" s="41">
        <v>10010412</v>
      </c>
      <c r="K70" s="42" t="s">
        <v>792</v>
      </c>
      <c r="L70" s="68">
        <v>17</v>
      </c>
      <c r="M70" s="65">
        <v>2</v>
      </c>
      <c r="N70" s="65">
        <f t="shared" si="8"/>
        <v>967700</v>
      </c>
    </row>
    <row r="71" spans="5:15" ht="20.100000000000001" customHeight="1">
      <c r="E71" s="42"/>
      <c r="J71" s="41">
        <v>10011003</v>
      </c>
      <c r="K71" s="42" t="s">
        <v>794</v>
      </c>
      <c r="L71" s="68">
        <v>19</v>
      </c>
      <c r="M71" s="65">
        <v>3</v>
      </c>
      <c r="N71" s="65">
        <f t="shared" si="8"/>
        <v>1658900</v>
      </c>
    </row>
    <row r="72" spans="5:15" ht="20.100000000000001" customHeight="1">
      <c r="E72" s="42"/>
      <c r="J72" s="41">
        <v>10010409</v>
      </c>
      <c r="K72" s="42" t="s">
        <v>785</v>
      </c>
      <c r="L72" s="68">
        <v>19</v>
      </c>
      <c r="M72" s="65">
        <v>2</v>
      </c>
      <c r="N72" s="65">
        <f t="shared" si="8"/>
        <v>1105900</v>
      </c>
    </row>
    <row r="73" spans="5:15" ht="20.100000000000001" customHeight="1">
      <c r="J73" s="41">
        <v>10020161</v>
      </c>
      <c r="K73" s="62" t="s">
        <v>793</v>
      </c>
      <c r="L73" s="68">
        <v>19</v>
      </c>
      <c r="M73" s="65">
        <v>1.5</v>
      </c>
      <c r="N73" s="65">
        <f t="shared" si="8"/>
        <v>829400</v>
      </c>
    </row>
    <row r="74" spans="5:15" ht="20.100000000000001" customHeight="1">
      <c r="J74" s="70">
        <v>10030533</v>
      </c>
      <c r="K74" s="62" t="s">
        <v>703</v>
      </c>
      <c r="L74" s="68">
        <v>19</v>
      </c>
      <c r="M74" s="65">
        <v>2</v>
      </c>
      <c r="N74" s="65">
        <f t="shared" si="8"/>
        <v>1105900</v>
      </c>
    </row>
    <row r="75" spans="5:15" ht="20.100000000000001" customHeight="1">
      <c r="J75" s="41">
        <v>10020157</v>
      </c>
      <c r="K75" s="67" t="s">
        <v>806</v>
      </c>
      <c r="L75" s="68">
        <v>19</v>
      </c>
      <c r="M75" s="65">
        <v>1</v>
      </c>
      <c r="N75" s="65">
        <f t="shared" si="8"/>
        <v>553000</v>
      </c>
    </row>
    <row r="76" spans="5:15" ht="20.100000000000001" customHeight="1">
      <c r="J76" s="41">
        <v>10010005</v>
      </c>
      <c r="K76" s="4" t="s">
        <v>799</v>
      </c>
      <c r="L76" s="68">
        <v>20</v>
      </c>
      <c r="M76" s="65">
        <v>0.03</v>
      </c>
      <c r="N76" s="65">
        <f t="shared" si="8"/>
        <v>17600</v>
      </c>
    </row>
    <row r="77" spans="5:15" ht="20.100000000000001" customHeight="1">
      <c r="E77" s="70">
        <v>10030531</v>
      </c>
      <c r="F77" s="62" t="s">
        <v>701</v>
      </c>
      <c r="J77" s="66">
        <v>10010065</v>
      </c>
      <c r="K77" s="67" t="s">
        <v>424</v>
      </c>
      <c r="L77" s="68">
        <v>20</v>
      </c>
      <c r="M77" s="65">
        <v>0.15</v>
      </c>
      <c r="N77" s="65">
        <f t="shared" si="8"/>
        <v>88100</v>
      </c>
    </row>
    <row r="78" spans="5:15" ht="20.100000000000001" customHeight="1">
      <c r="E78" s="70">
        <v>10030532</v>
      </c>
      <c r="F78" s="62" t="s">
        <v>787</v>
      </c>
      <c r="J78" s="41">
        <v>10010503</v>
      </c>
      <c r="K78" s="42" t="s">
        <v>768</v>
      </c>
      <c r="L78" s="68">
        <v>20</v>
      </c>
      <c r="M78" s="15">
        <v>1.5</v>
      </c>
      <c r="N78" s="65">
        <f t="shared" si="8"/>
        <v>881300</v>
      </c>
    </row>
    <row r="79" spans="5:15" ht="20.100000000000001" customHeight="1">
      <c r="E79" s="70">
        <v>10030533</v>
      </c>
      <c r="F79" s="62" t="s">
        <v>703</v>
      </c>
      <c r="J79" s="41">
        <v>10010504</v>
      </c>
      <c r="K79" s="42" t="s">
        <v>769</v>
      </c>
      <c r="L79" s="68">
        <v>20</v>
      </c>
      <c r="M79" s="15">
        <v>1.5</v>
      </c>
      <c r="N79" s="65">
        <f t="shared" si="8"/>
        <v>881300</v>
      </c>
      <c r="O79" s="54"/>
    </row>
    <row r="80" spans="5:15" ht="20.100000000000001" customHeight="1">
      <c r="E80" s="70">
        <v>10030534</v>
      </c>
      <c r="F80" s="62" t="s">
        <v>704</v>
      </c>
      <c r="J80" s="41">
        <v>10010505</v>
      </c>
      <c r="K80" s="42" t="s">
        <v>770</v>
      </c>
      <c r="L80" s="68">
        <v>20</v>
      </c>
      <c r="M80" s="15">
        <v>1.5</v>
      </c>
      <c r="N80" s="65">
        <f t="shared" si="8"/>
        <v>881300</v>
      </c>
    </row>
    <row r="81" spans="5:14" ht="20.100000000000001" customHeight="1">
      <c r="E81" s="70">
        <v>10030535</v>
      </c>
      <c r="F81" s="62" t="s">
        <v>788</v>
      </c>
      <c r="J81" s="41">
        <v>10010506</v>
      </c>
      <c r="K81" s="42" t="s">
        <v>771</v>
      </c>
      <c r="L81" s="68">
        <v>20</v>
      </c>
      <c r="M81" s="15">
        <v>1.5</v>
      </c>
      <c r="N81" s="65">
        <f t="shared" si="8"/>
        <v>881300</v>
      </c>
    </row>
    <row r="82" spans="5:14" ht="20.100000000000001" customHeight="1">
      <c r="E82" s="70">
        <v>10030536</v>
      </c>
      <c r="F82" s="62" t="s">
        <v>789</v>
      </c>
      <c r="J82" s="41">
        <v>10010015</v>
      </c>
      <c r="K82" s="42" t="s">
        <v>800</v>
      </c>
      <c r="L82" s="68">
        <v>23</v>
      </c>
      <c r="M82" s="65">
        <v>0.06</v>
      </c>
      <c r="N82" s="65">
        <f t="shared" si="8"/>
        <v>44600</v>
      </c>
    </row>
    <row r="83" spans="5:14" ht="20.100000000000001" customHeight="1">
      <c r="J83" s="66">
        <v>10010075</v>
      </c>
      <c r="K83" s="67" t="s">
        <v>801</v>
      </c>
      <c r="L83" s="68">
        <v>23</v>
      </c>
      <c r="M83" s="65">
        <v>0.1</v>
      </c>
      <c r="N83" s="65">
        <f t="shared" si="8"/>
        <v>74300</v>
      </c>
    </row>
    <row r="84" spans="5:14" ht="20.100000000000001" customHeight="1">
      <c r="I84" s="8" t="s">
        <v>795</v>
      </c>
      <c r="J84" s="41">
        <v>10010507</v>
      </c>
      <c r="K84" s="42" t="s">
        <v>772</v>
      </c>
      <c r="L84" s="68">
        <v>23</v>
      </c>
      <c r="M84" s="15">
        <v>1.5</v>
      </c>
      <c r="N84" s="65">
        <f t="shared" si="8"/>
        <v>1114600</v>
      </c>
    </row>
    <row r="85" spans="5:14" ht="20.100000000000001" customHeight="1">
      <c r="I85" s="54"/>
      <c r="J85" s="41">
        <v>10010508</v>
      </c>
      <c r="K85" s="42" t="s">
        <v>773</v>
      </c>
      <c r="L85" s="68">
        <v>23</v>
      </c>
      <c r="M85" s="15">
        <v>1.5</v>
      </c>
      <c r="N85" s="65">
        <f t="shared" si="8"/>
        <v>1114600</v>
      </c>
    </row>
    <row r="86" spans="5:14" ht="20.100000000000001" customHeight="1">
      <c r="J86" s="41">
        <v>10010501</v>
      </c>
      <c r="K86" s="42" t="s">
        <v>797</v>
      </c>
      <c r="L86" s="68">
        <v>23</v>
      </c>
      <c r="M86" s="15">
        <v>1.5</v>
      </c>
      <c r="N86" s="65">
        <f t="shared" si="8"/>
        <v>1114600</v>
      </c>
    </row>
    <row r="87" spans="5:14" ht="20.100000000000001" customHeight="1">
      <c r="J87" s="41">
        <v>10010502</v>
      </c>
      <c r="K87" s="42" t="s">
        <v>798</v>
      </c>
      <c r="L87" s="68">
        <v>23</v>
      </c>
      <c r="M87" s="15">
        <v>1.5</v>
      </c>
      <c r="N87" s="65">
        <f t="shared" si="8"/>
        <v>1114600</v>
      </c>
    </row>
    <row r="88" spans="5:14" ht="20.100000000000001" customHeight="1">
      <c r="J88" s="41">
        <v>10011004</v>
      </c>
      <c r="K88" s="42" t="s">
        <v>807</v>
      </c>
      <c r="L88" s="68">
        <v>25</v>
      </c>
      <c r="M88" s="15">
        <v>5</v>
      </c>
      <c r="N88" s="65">
        <f t="shared" si="8"/>
        <v>4320000</v>
      </c>
    </row>
    <row r="89" spans="5:14" ht="20.100000000000001" customHeight="1"/>
    <row r="90" spans="5:14" ht="20.100000000000001" customHeight="1"/>
    <row r="91" spans="5:14" ht="20.100000000000001" customHeight="1"/>
    <row r="92" spans="5:14" ht="20.100000000000001" customHeight="1"/>
    <row r="93" spans="5:14" ht="20.100000000000001" customHeight="1"/>
    <row r="94" spans="5:14" ht="20.100000000000001" customHeight="1"/>
    <row r="95" spans="5:14" ht="20.100000000000001" customHeight="1"/>
    <row r="96" spans="5:14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18"/>
  <sheetViews>
    <sheetView workbookViewId="0">
      <selection activeCell="G23" sqref="G23"/>
    </sheetView>
  </sheetViews>
  <sheetFormatPr defaultRowHeight="13.5"/>
  <cols>
    <col min="1" max="1" width="9" style="27"/>
    <col min="2" max="3" width="10.125" customWidth="1"/>
    <col min="4" max="7" width="9" style="5"/>
    <col min="9" max="9" width="13" bestFit="1" customWidth="1"/>
    <col min="16" max="17" width="9" style="26"/>
  </cols>
  <sheetData>
    <row r="1" spans="1:23" ht="20.100000000000001" customHeight="1">
      <c r="A1" s="1" t="s">
        <v>0</v>
      </c>
      <c r="B1" s="1" t="s">
        <v>198</v>
      </c>
      <c r="C1" s="1" t="s">
        <v>1</v>
      </c>
      <c r="D1" s="26"/>
      <c r="E1" s="26"/>
      <c r="F1" s="26"/>
      <c r="G1" s="26"/>
    </row>
    <row r="2" spans="1:23" ht="20.100000000000001" customHeight="1">
      <c r="A2" s="30">
        <v>1</v>
      </c>
      <c r="B2" s="2">
        <v>5</v>
      </c>
      <c r="C2" s="2">
        <f>LOOKUP(A2,怪物掉落!A2:A66,怪物掉落!B2:B66)*B2</f>
        <v>50</v>
      </c>
      <c r="E2" s="26">
        <v>1</v>
      </c>
      <c r="F2" s="26">
        <f>LOOKUP(E2,$A$2:$A$36,$C$2:$C$36)</f>
        <v>50</v>
      </c>
      <c r="G2" s="26"/>
      <c r="H2" s="27"/>
      <c r="I2" s="26" t="s">
        <v>199</v>
      </c>
      <c r="J2" s="12" t="s">
        <v>200</v>
      </c>
    </row>
    <row r="3" spans="1:23" ht="20.100000000000001" customHeight="1">
      <c r="A3" s="30">
        <v>2</v>
      </c>
      <c r="B3" s="2">
        <v>5</v>
      </c>
      <c r="C3" s="2">
        <f>LOOKUP(A3,怪物掉落!A3:A67,怪物掉落!B3:B67)*B3</f>
        <v>65</v>
      </c>
      <c r="E3" s="26">
        <v>1</v>
      </c>
      <c r="F3" s="26">
        <f t="shared" ref="F3:F34" si="0">LOOKUP(E3,$A$2:$A$36,$C$2:$C$36)</f>
        <v>50</v>
      </c>
      <c r="I3" s="12"/>
      <c r="J3" s="12" t="s">
        <v>201</v>
      </c>
      <c r="O3" s="64">
        <v>18</v>
      </c>
      <c r="P3" s="26">
        <f>LOOKUP(O3,$U$3:$U$102,$W$3:$W$102)</f>
        <v>1380</v>
      </c>
      <c r="Q3" s="26">
        <f>LOOKUP(O3,$A$2:$A$66,$C$2:$C$66)</f>
        <v>1220</v>
      </c>
      <c r="U3" s="65">
        <v>1</v>
      </c>
      <c r="V3" s="65">
        <v>5</v>
      </c>
      <c r="W3" s="65">
        <v>75</v>
      </c>
    </row>
    <row r="4" spans="1:23" ht="20.100000000000001" customHeight="1">
      <c r="A4" s="30">
        <v>3</v>
      </c>
      <c r="B4" s="2">
        <v>5</v>
      </c>
      <c r="C4" s="2">
        <f>LOOKUP(A4,怪物掉落!A4:A68,怪物掉落!B4:B68)*B4</f>
        <v>80</v>
      </c>
      <c r="E4" s="26">
        <v>2</v>
      </c>
      <c r="F4" s="26">
        <f t="shared" si="0"/>
        <v>65</v>
      </c>
      <c r="I4" s="12"/>
      <c r="J4" s="12" t="s">
        <v>203</v>
      </c>
      <c r="O4" s="64">
        <v>19</v>
      </c>
      <c r="P4" s="26">
        <f t="shared" ref="P4:P67" si="1">LOOKUP(O4,$U$3:$U$102,$W$3:$W$102)</f>
        <v>1500</v>
      </c>
      <c r="Q4" s="26">
        <f t="shared" ref="Q4:Q67" si="2">LOOKUP(O4,$A$2:$A$66,$C$2:$C$66)</f>
        <v>1280</v>
      </c>
      <c r="U4" s="65">
        <v>2</v>
      </c>
      <c r="V4" s="65">
        <v>5</v>
      </c>
      <c r="W4" s="65">
        <v>100</v>
      </c>
    </row>
    <row r="5" spans="1:23" ht="20.100000000000001" customHeight="1">
      <c r="A5" s="30">
        <v>4</v>
      </c>
      <c r="B5" s="2">
        <v>10</v>
      </c>
      <c r="C5" s="2">
        <f>LOOKUP(A5,怪物掉落!A5:A69,怪物掉落!B5:B69)*B5</f>
        <v>190</v>
      </c>
      <c r="E5" s="26">
        <v>3</v>
      </c>
      <c r="F5" s="26">
        <f t="shared" si="0"/>
        <v>80</v>
      </c>
      <c r="I5" s="12"/>
      <c r="J5" s="12"/>
      <c r="O5" s="64">
        <v>19</v>
      </c>
      <c r="P5" s="26">
        <f t="shared" si="1"/>
        <v>1500</v>
      </c>
      <c r="Q5" s="26">
        <f t="shared" si="2"/>
        <v>1280</v>
      </c>
      <c r="U5" s="65">
        <v>3</v>
      </c>
      <c r="V5" s="65">
        <v>5</v>
      </c>
      <c r="W5" s="65">
        <v>125</v>
      </c>
    </row>
    <row r="6" spans="1:23" ht="20.100000000000001" customHeight="1">
      <c r="A6" s="30">
        <v>5</v>
      </c>
      <c r="B6" s="2">
        <v>10</v>
      </c>
      <c r="C6" s="2">
        <f>LOOKUP(A6,怪物掉落!A6:A70,怪物掉落!B6:B70)*B6</f>
        <v>220</v>
      </c>
      <c r="E6" s="26">
        <v>3</v>
      </c>
      <c r="F6" s="26">
        <f t="shared" si="0"/>
        <v>80</v>
      </c>
      <c r="I6" s="14" t="s">
        <v>202</v>
      </c>
      <c r="J6" s="12" t="s">
        <v>200</v>
      </c>
      <c r="O6" s="64">
        <v>20</v>
      </c>
      <c r="P6" s="26">
        <f t="shared" si="1"/>
        <v>1680</v>
      </c>
      <c r="Q6" s="26">
        <f t="shared" si="2"/>
        <v>1340</v>
      </c>
      <c r="U6" s="65">
        <v>4</v>
      </c>
      <c r="V6" s="65">
        <v>5</v>
      </c>
      <c r="W6" s="65">
        <v>150</v>
      </c>
    </row>
    <row r="7" spans="1:23" ht="20.100000000000001" customHeight="1">
      <c r="A7" s="30">
        <v>6</v>
      </c>
      <c r="B7" s="2">
        <v>10</v>
      </c>
      <c r="C7" s="2">
        <f>LOOKUP(A7,怪物掉落!A7:A71,怪物掉落!B7:B71)*B7</f>
        <v>250</v>
      </c>
      <c r="E7" s="26">
        <v>3</v>
      </c>
      <c r="F7" s="26">
        <f t="shared" si="0"/>
        <v>80</v>
      </c>
      <c r="I7" s="12"/>
      <c r="J7" s="12" t="s">
        <v>201</v>
      </c>
      <c r="O7" s="64">
        <v>20</v>
      </c>
      <c r="P7" s="26">
        <f t="shared" si="1"/>
        <v>1680</v>
      </c>
      <c r="Q7" s="26">
        <f t="shared" si="2"/>
        <v>1340</v>
      </c>
      <c r="U7" s="65">
        <v>5</v>
      </c>
      <c r="V7" s="65">
        <v>5</v>
      </c>
      <c r="W7" s="65">
        <v>200</v>
      </c>
    </row>
    <row r="8" spans="1:23" ht="20.100000000000001" customHeight="1">
      <c r="A8" s="30">
        <v>7</v>
      </c>
      <c r="B8" s="2">
        <v>15</v>
      </c>
      <c r="C8" s="2">
        <f>LOOKUP(A8,怪物掉落!A8:A72,怪物掉落!B8:B72)*B8</f>
        <v>420</v>
      </c>
      <c r="E8" s="26">
        <v>3</v>
      </c>
      <c r="F8" s="26">
        <f t="shared" si="0"/>
        <v>80</v>
      </c>
      <c r="I8" s="12"/>
      <c r="J8" s="12" t="s">
        <v>204</v>
      </c>
      <c r="O8" s="64">
        <v>22</v>
      </c>
      <c r="P8" s="26">
        <f t="shared" si="1"/>
        <v>2380</v>
      </c>
      <c r="Q8" s="26">
        <f t="shared" si="2"/>
        <v>1460</v>
      </c>
      <c r="U8" s="65">
        <v>6</v>
      </c>
      <c r="V8" s="65">
        <v>5</v>
      </c>
      <c r="W8" s="65">
        <v>250</v>
      </c>
    </row>
    <row r="9" spans="1:23" ht="20.100000000000001" customHeight="1">
      <c r="A9" s="30">
        <v>8</v>
      </c>
      <c r="B9" s="2">
        <v>15</v>
      </c>
      <c r="C9" s="2">
        <f>LOOKUP(A9,怪物掉落!A9:A73,怪物掉落!B9:B73)*B9</f>
        <v>465</v>
      </c>
      <c r="E9" s="26">
        <v>3</v>
      </c>
      <c r="F9" s="26">
        <f t="shared" si="0"/>
        <v>80</v>
      </c>
      <c r="O9" s="64">
        <v>22</v>
      </c>
      <c r="P9" s="26">
        <f t="shared" si="1"/>
        <v>2380</v>
      </c>
      <c r="Q9" s="26">
        <f t="shared" si="2"/>
        <v>1460</v>
      </c>
      <c r="U9" s="65">
        <v>7</v>
      </c>
      <c r="V9" s="65">
        <v>5</v>
      </c>
      <c r="W9" s="65">
        <v>300</v>
      </c>
    </row>
    <row r="10" spans="1:23" ht="20.100000000000001" customHeight="1">
      <c r="A10" s="30">
        <v>9</v>
      </c>
      <c r="B10" s="2">
        <v>15</v>
      </c>
      <c r="C10" s="2">
        <f>LOOKUP(A10,怪物掉落!A10:A74,怪物掉落!B10:B74)*B10</f>
        <v>510</v>
      </c>
      <c r="E10" s="26">
        <v>3</v>
      </c>
      <c r="F10" s="26">
        <f t="shared" si="0"/>
        <v>80</v>
      </c>
      <c r="O10" s="64">
        <v>22</v>
      </c>
      <c r="P10" s="26">
        <f t="shared" si="1"/>
        <v>2380</v>
      </c>
      <c r="Q10" s="26">
        <f t="shared" si="2"/>
        <v>1460</v>
      </c>
      <c r="U10" s="65">
        <v>8</v>
      </c>
      <c r="V10" s="65">
        <v>5</v>
      </c>
      <c r="W10" s="65">
        <v>350</v>
      </c>
    </row>
    <row r="11" spans="1:23" ht="20.100000000000001" customHeight="1">
      <c r="A11" s="30">
        <v>10</v>
      </c>
      <c r="B11" s="2">
        <v>20</v>
      </c>
      <c r="C11" s="2">
        <f>LOOKUP(A11,怪物掉落!A11:A75,怪物掉落!B11:B75)*B11</f>
        <v>740</v>
      </c>
      <c r="E11" s="26">
        <v>3</v>
      </c>
      <c r="F11" s="26">
        <f t="shared" si="0"/>
        <v>80</v>
      </c>
      <c r="O11" s="64">
        <v>22</v>
      </c>
      <c r="P11" s="26">
        <f t="shared" si="1"/>
        <v>2380</v>
      </c>
      <c r="Q11" s="26">
        <f t="shared" si="2"/>
        <v>1460</v>
      </c>
      <c r="U11" s="65">
        <v>9</v>
      </c>
      <c r="V11" s="65">
        <v>5</v>
      </c>
      <c r="W11" s="65">
        <v>400</v>
      </c>
    </row>
    <row r="12" spans="1:23" ht="20.100000000000001" customHeight="1">
      <c r="A12" s="30">
        <v>11</v>
      </c>
      <c r="B12" s="2">
        <v>20</v>
      </c>
      <c r="C12" s="2">
        <f>LOOKUP(A12,怪物掉落!A12:A76,怪物掉落!B12:B76)*B12</f>
        <v>800</v>
      </c>
      <c r="E12" s="26">
        <v>3</v>
      </c>
      <c r="F12" s="26">
        <f t="shared" si="0"/>
        <v>80</v>
      </c>
      <c r="O12" s="64">
        <v>23</v>
      </c>
      <c r="P12" s="26">
        <f t="shared" si="1"/>
        <v>2590</v>
      </c>
      <c r="Q12" s="26">
        <f t="shared" si="2"/>
        <v>1520</v>
      </c>
      <c r="U12" s="65">
        <v>10</v>
      </c>
      <c r="V12" s="65">
        <v>5</v>
      </c>
      <c r="W12" s="65">
        <v>475</v>
      </c>
    </row>
    <row r="13" spans="1:23" ht="20.100000000000001" customHeight="1">
      <c r="A13" s="30">
        <v>12</v>
      </c>
      <c r="B13" s="2">
        <v>20</v>
      </c>
      <c r="C13" s="2">
        <f>LOOKUP(A13,怪物掉落!A13:A77,怪物掉落!B13:B77)*B13</f>
        <v>860</v>
      </c>
      <c r="E13" s="26">
        <v>3</v>
      </c>
      <c r="F13" s="26">
        <f t="shared" si="0"/>
        <v>80</v>
      </c>
      <c r="O13" s="64">
        <v>23</v>
      </c>
      <c r="P13" s="26">
        <f t="shared" si="1"/>
        <v>2590</v>
      </c>
      <c r="Q13" s="26">
        <f t="shared" si="2"/>
        <v>1520</v>
      </c>
      <c r="U13" s="65">
        <v>11</v>
      </c>
      <c r="V13" s="65">
        <v>6</v>
      </c>
      <c r="W13" s="65">
        <v>660</v>
      </c>
    </row>
    <row r="14" spans="1:23" ht="20.100000000000001" customHeight="1">
      <c r="A14" s="30">
        <v>13</v>
      </c>
      <c r="B14" s="2">
        <v>20</v>
      </c>
      <c r="C14" s="2">
        <f>LOOKUP(A14,怪物掉落!A14:A78,怪物掉落!B14:B78)*B14</f>
        <v>920</v>
      </c>
      <c r="E14" s="26">
        <v>3</v>
      </c>
      <c r="F14" s="26">
        <f t="shared" si="0"/>
        <v>80</v>
      </c>
      <c r="O14" s="64">
        <v>23</v>
      </c>
      <c r="P14" s="26">
        <f t="shared" si="1"/>
        <v>2590</v>
      </c>
      <c r="Q14" s="26">
        <f t="shared" si="2"/>
        <v>1520</v>
      </c>
      <c r="U14" s="65">
        <v>12</v>
      </c>
      <c r="V14" s="65">
        <v>6</v>
      </c>
      <c r="W14" s="65">
        <v>750</v>
      </c>
    </row>
    <row r="15" spans="1:23" ht="20.100000000000001" customHeight="1">
      <c r="A15" s="30">
        <v>14</v>
      </c>
      <c r="B15" s="2">
        <v>20</v>
      </c>
      <c r="C15" s="2">
        <f>LOOKUP(A15,怪物掉落!A15:A79,怪物掉落!B15:B79)*B15</f>
        <v>980</v>
      </c>
      <c r="E15" s="26">
        <v>4</v>
      </c>
      <c r="F15" s="26">
        <f t="shared" si="0"/>
        <v>190</v>
      </c>
      <c r="O15" s="64">
        <v>23</v>
      </c>
      <c r="P15" s="26">
        <f t="shared" si="1"/>
        <v>2590</v>
      </c>
      <c r="Q15" s="26">
        <f t="shared" si="2"/>
        <v>1520</v>
      </c>
      <c r="U15" s="65">
        <v>13</v>
      </c>
      <c r="V15" s="65">
        <v>6</v>
      </c>
      <c r="W15" s="65">
        <v>840</v>
      </c>
    </row>
    <row r="16" spans="1:23" ht="20.100000000000001" customHeight="1">
      <c r="A16" s="30">
        <v>15</v>
      </c>
      <c r="B16" s="2">
        <v>20</v>
      </c>
      <c r="C16" s="2">
        <f>LOOKUP(A16,怪物掉落!A16:A80,怪物掉落!B16:B80)*B16</f>
        <v>1040</v>
      </c>
      <c r="E16" s="26">
        <v>4</v>
      </c>
      <c r="F16" s="26">
        <f t="shared" si="0"/>
        <v>190</v>
      </c>
      <c r="O16" s="64">
        <v>23</v>
      </c>
      <c r="P16" s="26">
        <f t="shared" si="1"/>
        <v>2590</v>
      </c>
      <c r="Q16" s="26">
        <f t="shared" si="2"/>
        <v>1520</v>
      </c>
      <c r="U16" s="65">
        <v>14</v>
      </c>
      <c r="V16" s="65">
        <v>6</v>
      </c>
      <c r="W16" s="65">
        <v>930</v>
      </c>
    </row>
    <row r="17" spans="1:23" ht="20.100000000000001" customHeight="1">
      <c r="A17" s="30">
        <v>16</v>
      </c>
      <c r="B17" s="2">
        <v>20</v>
      </c>
      <c r="C17" s="2">
        <f>LOOKUP(A17,怪物掉落!A17:A81,怪物掉落!B17:B81)*B17</f>
        <v>1100</v>
      </c>
      <c r="E17" s="26">
        <v>4</v>
      </c>
      <c r="F17" s="26">
        <f t="shared" si="0"/>
        <v>190</v>
      </c>
      <c r="O17" s="64">
        <v>24</v>
      </c>
      <c r="P17" s="26">
        <f t="shared" si="1"/>
        <v>2800</v>
      </c>
      <c r="Q17" s="26">
        <f t="shared" si="2"/>
        <v>1580</v>
      </c>
      <c r="U17" s="65">
        <v>15</v>
      </c>
      <c r="V17" s="65">
        <v>6</v>
      </c>
      <c r="W17" s="65">
        <v>1020</v>
      </c>
    </row>
    <row r="18" spans="1:23" ht="20.100000000000001" customHeight="1">
      <c r="A18" s="30">
        <v>17</v>
      </c>
      <c r="B18" s="2">
        <v>20</v>
      </c>
      <c r="C18" s="2">
        <f>LOOKUP(A18,怪物掉落!A18:A82,怪物掉落!B18:B82)*B18</f>
        <v>1160</v>
      </c>
      <c r="E18" s="26">
        <v>4</v>
      </c>
      <c r="F18" s="26">
        <f t="shared" si="0"/>
        <v>190</v>
      </c>
      <c r="O18" s="64">
        <v>24</v>
      </c>
      <c r="P18" s="26">
        <f t="shared" si="1"/>
        <v>2800</v>
      </c>
      <c r="Q18" s="26">
        <f t="shared" si="2"/>
        <v>1580</v>
      </c>
      <c r="U18" s="65">
        <v>16</v>
      </c>
      <c r="V18" s="65">
        <v>6</v>
      </c>
      <c r="W18" s="65">
        <v>1140</v>
      </c>
    </row>
    <row r="19" spans="1:23" ht="20.100000000000001" customHeight="1">
      <c r="A19" s="30">
        <v>18</v>
      </c>
      <c r="B19" s="2">
        <v>20</v>
      </c>
      <c r="C19" s="2">
        <f>LOOKUP(A19,怪物掉落!A19:A83,怪物掉落!B19:B83)*B19</f>
        <v>1220</v>
      </c>
      <c r="E19" s="26">
        <v>5</v>
      </c>
      <c r="F19" s="26">
        <f t="shared" si="0"/>
        <v>220</v>
      </c>
      <c r="O19" s="64">
        <v>24</v>
      </c>
      <c r="P19" s="26">
        <f t="shared" si="1"/>
        <v>2800</v>
      </c>
      <c r="Q19" s="26">
        <f t="shared" si="2"/>
        <v>1580</v>
      </c>
      <c r="U19" s="65">
        <v>17</v>
      </c>
      <c r="V19" s="65">
        <v>6</v>
      </c>
      <c r="W19" s="65">
        <v>1260</v>
      </c>
    </row>
    <row r="20" spans="1:23" ht="20.100000000000001" customHeight="1">
      <c r="A20" s="30">
        <v>19</v>
      </c>
      <c r="B20" s="2">
        <v>20</v>
      </c>
      <c r="C20" s="2">
        <f>LOOKUP(A20,怪物掉落!A20:A84,怪物掉落!B20:B84)*B20</f>
        <v>1280</v>
      </c>
      <c r="E20" s="26">
        <v>5</v>
      </c>
      <c r="F20" s="26">
        <f t="shared" si="0"/>
        <v>220</v>
      </c>
      <c r="O20" s="64">
        <v>25</v>
      </c>
      <c r="P20" s="26">
        <f t="shared" si="1"/>
        <v>3010</v>
      </c>
      <c r="Q20" s="26">
        <f t="shared" si="2"/>
        <v>1640</v>
      </c>
      <c r="U20" s="65">
        <v>18</v>
      </c>
      <c r="V20" s="65">
        <v>6</v>
      </c>
      <c r="W20" s="65">
        <v>1380</v>
      </c>
    </row>
    <row r="21" spans="1:23" ht="20.100000000000001" customHeight="1">
      <c r="A21" s="30">
        <v>20</v>
      </c>
      <c r="B21" s="2">
        <v>20</v>
      </c>
      <c r="C21" s="2">
        <f>LOOKUP(A21,怪物掉落!A21:A85,怪物掉落!B21:B85)*B21</f>
        <v>1340</v>
      </c>
      <c r="E21" s="26">
        <v>5</v>
      </c>
      <c r="F21" s="26">
        <f t="shared" si="0"/>
        <v>220</v>
      </c>
      <c r="O21" s="64">
        <v>25</v>
      </c>
      <c r="P21" s="26">
        <f t="shared" si="1"/>
        <v>3010</v>
      </c>
      <c r="Q21" s="26">
        <f t="shared" si="2"/>
        <v>1640</v>
      </c>
      <c r="U21" s="65">
        <v>19</v>
      </c>
      <c r="V21" s="65">
        <v>6</v>
      </c>
      <c r="W21" s="65">
        <v>1500</v>
      </c>
    </row>
    <row r="22" spans="1:23" ht="20.100000000000001" customHeight="1">
      <c r="A22" s="30">
        <v>21</v>
      </c>
      <c r="B22" s="2">
        <v>20</v>
      </c>
      <c r="C22" s="2">
        <f>LOOKUP(A22,怪物掉落!A22:A86,怪物掉落!B22:B86)*B22</f>
        <v>1400</v>
      </c>
      <c r="E22" s="26">
        <v>6</v>
      </c>
      <c r="F22" s="26">
        <f t="shared" si="0"/>
        <v>250</v>
      </c>
      <c r="O22" s="64">
        <v>25</v>
      </c>
      <c r="P22" s="26">
        <f t="shared" si="1"/>
        <v>3010</v>
      </c>
      <c r="Q22" s="26">
        <f t="shared" si="2"/>
        <v>1640</v>
      </c>
      <c r="U22" s="65">
        <v>20</v>
      </c>
      <c r="V22" s="65">
        <v>6</v>
      </c>
      <c r="W22" s="65">
        <v>1680</v>
      </c>
    </row>
    <row r="23" spans="1:23" ht="20.100000000000001" customHeight="1">
      <c r="A23" s="30">
        <v>22</v>
      </c>
      <c r="B23" s="2">
        <v>20</v>
      </c>
      <c r="C23" s="2">
        <f>LOOKUP(A23,怪物掉落!A23:A87,怪物掉落!B23:B87)*B23</f>
        <v>1460</v>
      </c>
      <c r="E23" s="26">
        <v>6</v>
      </c>
      <c r="F23" s="26">
        <f t="shared" si="0"/>
        <v>250</v>
      </c>
      <c r="O23" s="64">
        <v>26</v>
      </c>
      <c r="P23" s="26">
        <f t="shared" si="1"/>
        <v>3680</v>
      </c>
      <c r="Q23" s="26">
        <f t="shared" si="2"/>
        <v>1700</v>
      </c>
      <c r="U23" s="65">
        <v>21</v>
      </c>
      <c r="V23" s="65">
        <v>7</v>
      </c>
      <c r="W23" s="65">
        <v>2170</v>
      </c>
    </row>
    <row r="24" spans="1:23" ht="20.100000000000001" customHeight="1">
      <c r="A24" s="30">
        <v>23</v>
      </c>
      <c r="B24" s="2">
        <v>20</v>
      </c>
      <c r="C24" s="2">
        <f>LOOKUP(A24,怪物掉落!A24:A88,怪物掉落!B24:B88)*B24</f>
        <v>1520</v>
      </c>
      <c r="E24" s="26">
        <v>7</v>
      </c>
      <c r="F24" s="26">
        <f t="shared" si="0"/>
        <v>420</v>
      </c>
      <c r="O24" s="64">
        <v>27</v>
      </c>
      <c r="P24" s="26">
        <f t="shared" si="1"/>
        <v>3920</v>
      </c>
      <c r="Q24" s="26">
        <f t="shared" si="2"/>
        <v>1760</v>
      </c>
      <c r="U24" s="65">
        <v>22</v>
      </c>
      <c r="V24" s="65">
        <v>7</v>
      </c>
      <c r="W24" s="65">
        <v>2380</v>
      </c>
    </row>
    <row r="25" spans="1:23" ht="20.100000000000001" customHeight="1">
      <c r="A25" s="30">
        <v>24</v>
      </c>
      <c r="B25" s="2">
        <v>20</v>
      </c>
      <c r="C25" s="2">
        <f>LOOKUP(A25,怪物掉落!A25:A89,怪物掉落!B25:B89)*B25</f>
        <v>1580</v>
      </c>
      <c r="E25" s="26">
        <v>7</v>
      </c>
      <c r="F25" s="26">
        <f t="shared" si="0"/>
        <v>420</v>
      </c>
      <c r="O25" s="64">
        <v>28</v>
      </c>
      <c r="P25" s="26">
        <f t="shared" si="1"/>
        <v>4160</v>
      </c>
      <c r="Q25" s="26">
        <f t="shared" si="2"/>
        <v>1820</v>
      </c>
      <c r="U25" s="65">
        <v>23</v>
      </c>
      <c r="V25" s="65">
        <v>7</v>
      </c>
      <c r="W25" s="65">
        <v>2590</v>
      </c>
    </row>
    <row r="26" spans="1:23" ht="20.100000000000001" customHeight="1">
      <c r="A26" s="30">
        <v>25</v>
      </c>
      <c r="B26" s="2">
        <v>20</v>
      </c>
      <c r="C26" s="2">
        <f>LOOKUP(A26,怪物掉落!A26:A90,怪物掉落!B26:B90)*B26</f>
        <v>1640</v>
      </c>
      <c r="E26" s="26">
        <v>8</v>
      </c>
      <c r="F26" s="26">
        <f t="shared" si="0"/>
        <v>465</v>
      </c>
      <c r="O26" s="64">
        <v>30</v>
      </c>
      <c r="P26" s="26">
        <f t="shared" si="1"/>
        <v>4640</v>
      </c>
      <c r="Q26" s="26">
        <f t="shared" si="2"/>
        <v>1940</v>
      </c>
      <c r="U26" s="65">
        <v>24</v>
      </c>
      <c r="V26" s="65">
        <v>7</v>
      </c>
      <c r="W26" s="65">
        <v>2800</v>
      </c>
    </row>
    <row r="27" spans="1:23" ht="20.100000000000001" customHeight="1">
      <c r="A27" s="30">
        <v>26</v>
      </c>
      <c r="B27" s="2">
        <v>20</v>
      </c>
      <c r="C27" s="2">
        <f>LOOKUP(A27,怪物掉落!A27:A91,怪物掉落!B27:B91)*B27</f>
        <v>1700</v>
      </c>
      <c r="E27" s="26">
        <v>8</v>
      </c>
      <c r="F27" s="26">
        <f t="shared" si="0"/>
        <v>465</v>
      </c>
      <c r="O27" s="64">
        <v>30</v>
      </c>
      <c r="P27" s="26">
        <f t="shared" si="1"/>
        <v>4640</v>
      </c>
      <c r="Q27" s="26">
        <f t="shared" si="2"/>
        <v>1940</v>
      </c>
      <c r="U27" s="65">
        <v>25</v>
      </c>
      <c r="V27" s="65">
        <v>7</v>
      </c>
      <c r="W27" s="65">
        <v>3010</v>
      </c>
    </row>
    <row r="28" spans="1:23" ht="20.100000000000001" customHeight="1">
      <c r="A28" s="30">
        <v>27</v>
      </c>
      <c r="B28" s="2">
        <v>20</v>
      </c>
      <c r="C28" s="2">
        <f>LOOKUP(A28,怪物掉落!A28:A92,怪物掉落!B28:B92)*B28</f>
        <v>1760</v>
      </c>
      <c r="E28" s="26">
        <v>9</v>
      </c>
      <c r="F28" s="26">
        <f t="shared" si="0"/>
        <v>510</v>
      </c>
      <c r="O28" s="64">
        <v>30</v>
      </c>
      <c r="P28" s="26">
        <f t="shared" si="1"/>
        <v>4640</v>
      </c>
      <c r="Q28" s="26">
        <f t="shared" si="2"/>
        <v>1940</v>
      </c>
      <c r="U28" s="65">
        <v>26</v>
      </c>
      <c r="V28" s="65">
        <v>8</v>
      </c>
      <c r="W28" s="65">
        <v>3680</v>
      </c>
    </row>
    <row r="29" spans="1:23" ht="20.100000000000001" customHeight="1">
      <c r="A29" s="30">
        <v>28</v>
      </c>
      <c r="B29" s="2">
        <v>20</v>
      </c>
      <c r="C29" s="2">
        <f>LOOKUP(A29,怪物掉落!A29:A93,怪物掉落!B29:B93)*B29</f>
        <v>1820</v>
      </c>
      <c r="E29" s="26">
        <v>10</v>
      </c>
      <c r="F29" s="26">
        <f t="shared" si="0"/>
        <v>740</v>
      </c>
      <c r="O29" s="64">
        <v>30</v>
      </c>
      <c r="P29" s="26">
        <f t="shared" si="1"/>
        <v>4640</v>
      </c>
      <c r="Q29" s="26">
        <f t="shared" si="2"/>
        <v>1940</v>
      </c>
      <c r="U29" s="65">
        <v>27</v>
      </c>
      <c r="V29" s="65">
        <v>8</v>
      </c>
      <c r="W29" s="65">
        <v>3920</v>
      </c>
    </row>
    <row r="30" spans="1:23" ht="20.100000000000001" customHeight="1">
      <c r="A30" s="30">
        <v>29</v>
      </c>
      <c r="B30" s="2">
        <v>20</v>
      </c>
      <c r="C30" s="2">
        <f>LOOKUP(A30,怪物掉落!A30:A94,怪物掉落!B30:B94)*B30</f>
        <v>1880</v>
      </c>
      <c r="E30" s="26">
        <v>11</v>
      </c>
      <c r="F30" s="26">
        <f t="shared" si="0"/>
        <v>800</v>
      </c>
      <c r="O30" s="64">
        <v>31</v>
      </c>
      <c r="P30" s="26">
        <f t="shared" si="1"/>
        <v>5490</v>
      </c>
      <c r="Q30" s="26">
        <f t="shared" si="2"/>
        <v>2000</v>
      </c>
      <c r="U30" s="65">
        <v>28</v>
      </c>
      <c r="V30" s="65">
        <v>8</v>
      </c>
      <c r="W30" s="65">
        <v>4160</v>
      </c>
    </row>
    <row r="31" spans="1:23" ht="20.100000000000001" customHeight="1">
      <c r="A31" s="30">
        <v>30</v>
      </c>
      <c r="B31" s="2">
        <v>20</v>
      </c>
      <c r="C31" s="2">
        <f>LOOKUP(A31,怪物掉落!A31:A95,怪物掉落!B31:B95)*B31</f>
        <v>1940</v>
      </c>
      <c r="E31" s="26">
        <v>12</v>
      </c>
      <c r="F31" s="26">
        <f t="shared" si="0"/>
        <v>860</v>
      </c>
      <c r="O31" s="64">
        <v>31</v>
      </c>
      <c r="P31" s="26">
        <f t="shared" si="1"/>
        <v>5490</v>
      </c>
      <c r="Q31" s="26">
        <f t="shared" si="2"/>
        <v>2000</v>
      </c>
      <c r="U31" s="65">
        <v>29</v>
      </c>
      <c r="V31" s="65">
        <v>8</v>
      </c>
      <c r="W31" s="65">
        <v>4400</v>
      </c>
    </row>
    <row r="32" spans="1:23" ht="20.100000000000001" customHeight="1">
      <c r="A32" s="30">
        <v>31</v>
      </c>
      <c r="B32" s="2">
        <v>20</v>
      </c>
      <c r="C32" s="2">
        <f>LOOKUP(A32,怪物掉落!A32:A96,怪物掉落!B32:B96)*B32</f>
        <v>2000</v>
      </c>
      <c r="E32" s="26">
        <v>12</v>
      </c>
      <c r="F32" s="26">
        <f t="shared" si="0"/>
        <v>860</v>
      </c>
      <c r="O32" s="64">
        <v>32</v>
      </c>
      <c r="P32" s="26">
        <f t="shared" si="1"/>
        <v>5760</v>
      </c>
      <c r="Q32" s="26">
        <f t="shared" si="2"/>
        <v>2060</v>
      </c>
      <c r="U32" s="65">
        <v>30</v>
      </c>
      <c r="V32" s="65">
        <v>8</v>
      </c>
      <c r="W32" s="65">
        <v>4640</v>
      </c>
    </row>
    <row r="33" spans="1:23" ht="20.100000000000001" customHeight="1">
      <c r="A33" s="30">
        <v>32</v>
      </c>
      <c r="B33" s="2">
        <v>20</v>
      </c>
      <c r="C33" s="2">
        <f>LOOKUP(A33,怪物掉落!A33:A97,怪物掉落!B33:B97)*B33</f>
        <v>2060</v>
      </c>
      <c r="E33" s="26">
        <v>14</v>
      </c>
      <c r="F33" s="26">
        <f t="shared" si="0"/>
        <v>980</v>
      </c>
      <c r="O33" s="64">
        <v>32</v>
      </c>
      <c r="P33" s="26">
        <f t="shared" si="1"/>
        <v>5760</v>
      </c>
      <c r="Q33" s="26">
        <f t="shared" si="2"/>
        <v>2060</v>
      </c>
      <c r="U33" s="65">
        <v>31</v>
      </c>
      <c r="V33" s="65">
        <v>9</v>
      </c>
      <c r="W33" s="65">
        <v>5490</v>
      </c>
    </row>
    <row r="34" spans="1:23" ht="20.100000000000001" customHeight="1">
      <c r="A34" s="30">
        <v>33</v>
      </c>
      <c r="B34" s="2">
        <v>20</v>
      </c>
      <c r="C34" s="2">
        <f>LOOKUP(A34,怪物掉落!A34:A98,怪物掉落!B34:B98)*B34</f>
        <v>2120</v>
      </c>
      <c r="E34" s="26">
        <v>15</v>
      </c>
      <c r="F34" s="26">
        <f t="shared" si="0"/>
        <v>1040</v>
      </c>
      <c r="O34" s="64">
        <v>33</v>
      </c>
      <c r="P34" s="26">
        <f t="shared" si="1"/>
        <v>6030</v>
      </c>
      <c r="Q34" s="26">
        <f t="shared" si="2"/>
        <v>2120</v>
      </c>
      <c r="U34" s="65">
        <v>32</v>
      </c>
      <c r="V34" s="65">
        <v>9</v>
      </c>
      <c r="W34" s="65">
        <v>5760</v>
      </c>
    </row>
    <row r="35" spans="1:23" ht="20.100000000000001" customHeight="1">
      <c r="A35" s="30">
        <v>34</v>
      </c>
      <c r="B35" s="2">
        <v>20</v>
      </c>
      <c r="C35" s="2">
        <f>LOOKUP(A35,怪物掉落!A35:A99,怪物掉落!B35:B99)*B35</f>
        <v>2180</v>
      </c>
      <c r="O35" s="64">
        <v>33</v>
      </c>
      <c r="P35" s="26">
        <f t="shared" si="1"/>
        <v>6030</v>
      </c>
      <c r="Q35" s="26">
        <f t="shared" si="2"/>
        <v>2120</v>
      </c>
      <c r="U35" s="65">
        <v>33</v>
      </c>
      <c r="V35" s="65">
        <v>9</v>
      </c>
      <c r="W35" s="65">
        <v>6030</v>
      </c>
    </row>
    <row r="36" spans="1:23" ht="20.100000000000001" customHeight="1">
      <c r="A36" s="30">
        <v>35</v>
      </c>
      <c r="B36" s="2">
        <v>20</v>
      </c>
      <c r="C36" s="2">
        <f>LOOKUP(A36,怪物掉落!A36:A100,怪物掉落!B36:B100)*B36</f>
        <v>2240</v>
      </c>
      <c r="O36" s="64">
        <v>33</v>
      </c>
      <c r="P36" s="26">
        <f t="shared" si="1"/>
        <v>6030</v>
      </c>
      <c r="Q36" s="26">
        <f t="shared" si="2"/>
        <v>2120</v>
      </c>
      <c r="U36" s="65">
        <v>34</v>
      </c>
      <c r="V36" s="65">
        <v>9</v>
      </c>
      <c r="W36" s="65">
        <v>6300</v>
      </c>
    </row>
    <row r="37" spans="1:23" ht="20.100000000000001" customHeight="1">
      <c r="A37" s="30">
        <v>36</v>
      </c>
      <c r="B37" s="2">
        <v>20</v>
      </c>
      <c r="C37" s="2">
        <f>LOOKUP(A37,怪物掉落!A37:A101,怪物掉落!B37:B101)*B37</f>
        <v>2300</v>
      </c>
      <c r="O37" s="64">
        <v>33</v>
      </c>
      <c r="P37" s="26">
        <f t="shared" si="1"/>
        <v>6030</v>
      </c>
      <c r="Q37" s="26">
        <f t="shared" si="2"/>
        <v>2120</v>
      </c>
      <c r="U37" s="65">
        <v>35</v>
      </c>
      <c r="V37" s="65">
        <v>9</v>
      </c>
      <c r="W37" s="65">
        <v>6570</v>
      </c>
    </row>
    <row r="38" spans="1:23" ht="20.100000000000001" customHeight="1">
      <c r="A38" s="30">
        <v>37</v>
      </c>
      <c r="B38" s="2">
        <v>20</v>
      </c>
      <c r="C38" s="2">
        <f>LOOKUP(A38,怪物掉落!A38:A102,怪物掉落!B38:B102)*B38</f>
        <v>2360</v>
      </c>
      <c r="O38" s="64">
        <v>33</v>
      </c>
      <c r="P38" s="26">
        <f t="shared" si="1"/>
        <v>6030</v>
      </c>
      <c r="Q38" s="26">
        <f t="shared" si="2"/>
        <v>2120</v>
      </c>
      <c r="U38" s="65">
        <v>36</v>
      </c>
      <c r="V38" s="65">
        <v>10</v>
      </c>
      <c r="W38" s="65">
        <v>7600</v>
      </c>
    </row>
    <row r="39" spans="1:23" ht="20.100000000000001" customHeight="1">
      <c r="A39" s="30">
        <v>38</v>
      </c>
      <c r="B39" s="2">
        <v>20</v>
      </c>
      <c r="C39" s="2">
        <f>LOOKUP(A39,怪物掉落!A39:A103,怪物掉落!B39:B103)*B39</f>
        <v>2420</v>
      </c>
      <c r="O39" s="64">
        <v>33</v>
      </c>
      <c r="P39" s="26">
        <f t="shared" si="1"/>
        <v>6030</v>
      </c>
      <c r="Q39" s="26">
        <f t="shared" si="2"/>
        <v>2120</v>
      </c>
      <c r="U39" s="65">
        <v>37</v>
      </c>
      <c r="V39" s="65">
        <v>10</v>
      </c>
      <c r="W39" s="65">
        <v>7900</v>
      </c>
    </row>
    <row r="40" spans="1:23" ht="20.100000000000001" customHeight="1">
      <c r="A40" s="30">
        <v>39</v>
      </c>
      <c r="B40" s="2">
        <v>20</v>
      </c>
      <c r="C40" s="2">
        <f>LOOKUP(A40,怪物掉落!A40:A104,怪物掉落!B40:B104)*B40</f>
        <v>2480</v>
      </c>
      <c r="O40" s="64">
        <v>34</v>
      </c>
      <c r="P40" s="26">
        <f t="shared" si="1"/>
        <v>6300</v>
      </c>
      <c r="Q40" s="26">
        <f t="shared" si="2"/>
        <v>2180</v>
      </c>
      <c r="U40" s="65">
        <v>38</v>
      </c>
      <c r="V40" s="65">
        <v>10</v>
      </c>
      <c r="W40" s="65">
        <v>8200</v>
      </c>
    </row>
    <row r="41" spans="1:23" ht="20.100000000000001" customHeight="1">
      <c r="A41" s="30">
        <v>40</v>
      </c>
      <c r="B41" s="2">
        <v>20</v>
      </c>
      <c r="C41" s="2">
        <f>LOOKUP(A41,怪物掉落!A41:A105,怪物掉落!B41:B105)*B41</f>
        <v>2540</v>
      </c>
      <c r="O41" s="64">
        <v>34</v>
      </c>
      <c r="P41" s="26">
        <f t="shared" si="1"/>
        <v>6300</v>
      </c>
      <c r="Q41" s="26">
        <f t="shared" si="2"/>
        <v>2180</v>
      </c>
      <c r="U41" s="65">
        <v>39</v>
      </c>
      <c r="V41" s="65">
        <v>10</v>
      </c>
      <c r="W41" s="65">
        <v>8500</v>
      </c>
    </row>
    <row r="42" spans="1:23" ht="20.100000000000001" customHeight="1">
      <c r="A42" s="30">
        <v>41</v>
      </c>
      <c r="B42" s="2">
        <v>20</v>
      </c>
      <c r="C42" s="2">
        <f>LOOKUP(A42,怪物掉落!A42:A106,怪物掉落!B42:B106)*B42</f>
        <v>2600</v>
      </c>
      <c r="O42" s="64">
        <v>34</v>
      </c>
      <c r="P42" s="26">
        <f t="shared" si="1"/>
        <v>6300</v>
      </c>
      <c r="Q42" s="26">
        <f t="shared" si="2"/>
        <v>2180</v>
      </c>
      <c r="U42" s="65">
        <v>40</v>
      </c>
      <c r="V42" s="65">
        <v>10</v>
      </c>
      <c r="W42" s="65">
        <v>8800</v>
      </c>
    </row>
    <row r="43" spans="1:23" ht="20.100000000000001" customHeight="1">
      <c r="A43" s="30">
        <v>42</v>
      </c>
      <c r="B43" s="2">
        <v>20</v>
      </c>
      <c r="C43" s="2">
        <f>LOOKUP(A43,怪物掉落!A43:A107,怪物掉落!B43:B107)*B43</f>
        <v>2660</v>
      </c>
      <c r="O43" s="64">
        <v>34</v>
      </c>
      <c r="P43" s="26">
        <f t="shared" si="1"/>
        <v>6300</v>
      </c>
      <c r="Q43" s="26">
        <f t="shared" si="2"/>
        <v>2180</v>
      </c>
      <c r="U43" s="65">
        <v>41</v>
      </c>
      <c r="V43" s="65">
        <v>10</v>
      </c>
      <c r="W43" s="65">
        <v>9100</v>
      </c>
    </row>
    <row r="44" spans="1:23" ht="20.100000000000001" customHeight="1">
      <c r="A44" s="30">
        <v>43</v>
      </c>
      <c r="B44" s="2">
        <v>20</v>
      </c>
      <c r="C44" s="2">
        <f>LOOKUP(A44,怪物掉落!A44:A108,怪物掉落!B44:B108)*B44</f>
        <v>2720</v>
      </c>
      <c r="O44" s="64">
        <v>34</v>
      </c>
      <c r="P44" s="26">
        <f t="shared" si="1"/>
        <v>6300</v>
      </c>
      <c r="Q44" s="26">
        <f t="shared" si="2"/>
        <v>2180</v>
      </c>
      <c r="U44" s="65">
        <v>42</v>
      </c>
      <c r="V44" s="65">
        <v>10</v>
      </c>
      <c r="W44" s="65">
        <v>9400</v>
      </c>
    </row>
    <row r="45" spans="1:23" ht="20.100000000000001" customHeight="1">
      <c r="A45" s="30">
        <v>44</v>
      </c>
      <c r="B45" s="2">
        <v>20</v>
      </c>
      <c r="C45" s="2">
        <f>LOOKUP(A45,怪物掉落!A45:A109,怪物掉落!B45:B109)*B45</f>
        <v>2780</v>
      </c>
      <c r="O45" s="64">
        <v>34</v>
      </c>
      <c r="P45" s="26">
        <f t="shared" si="1"/>
        <v>6300</v>
      </c>
      <c r="Q45" s="26">
        <f t="shared" si="2"/>
        <v>2180</v>
      </c>
      <c r="U45" s="65">
        <v>43</v>
      </c>
      <c r="V45" s="65">
        <v>10</v>
      </c>
      <c r="W45" s="65">
        <v>9700</v>
      </c>
    </row>
    <row r="46" spans="1:23" ht="20.100000000000001" customHeight="1">
      <c r="A46" s="30">
        <v>45</v>
      </c>
      <c r="B46" s="2">
        <v>20</v>
      </c>
      <c r="C46" s="2">
        <f>LOOKUP(A46,怪物掉落!A46:A110,怪物掉落!B46:B110)*B46</f>
        <v>2840</v>
      </c>
      <c r="O46" s="64">
        <v>34</v>
      </c>
      <c r="P46" s="26">
        <f t="shared" si="1"/>
        <v>6300</v>
      </c>
      <c r="Q46" s="26">
        <f t="shared" si="2"/>
        <v>2180</v>
      </c>
      <c r="U46" s="65">
        <v>44</v>
      </c>
      <c r="V46" s="65">
        <v>10</v>
      </c>
      <c r="W46" s="65">
        <v>10000</v>
      </c>
    </row>
    <row r="47" spans="1:23" ht="20.100000000000001" customHeight="1">
      <c r="A47" s="30">
        <v>46</v>
      </c>
      <c r="B47" s="2">
        <v>20</v>
      </c>
      <c r="C47" s="2">
        <f>LOOKUP(A47,怪物掉落!A47:A111,怪物掉落!B47:B111)*B47</f>
        <v>2900</v>
      </c>
      <c r="O47" s="64">
        <v>34</v>
      </c>
      <c r="P47" s="26">
        <f t="shared" si="1"/>
        <v>6300</v>
      </c>
      <c r="Q47" s="26">
        <f t="shared" si="2"/>
        <v>2180</v>
      </c>
      <c r="U47" s="65">
        <v>45</v>
      </c>
      <c r="V47" s="65">
        <v>10</v>
      </c>
      <c r="W47" s="65">
        <v>10300</v>
      </c>
    </row>
    <row r="48" spans="1:23" ht="20.100000000000001" customHeight="1">
      <c r="A48" s="30">
        <v>47</v>
      </c>
      <c r="B48" s="2">
        <v>20</v>
      </c>
      <c r="C48" s="2">
        <f>LOOKUP(A48,怪物掉落!A48:A112,怪物掉落!B48:B112)*B48</f>
        <v>2960</v>
      </c>
      <c r="O48" s="64">
        <v>35</v>
      </c>
      <c r="P48" s="26">
        <f t="shared" si="1"/>
        <v>6570</v>
      </c>
      <c r="Q48" s="26">
        <f t="shared" si="2"/>
        <v>2240</v>
      </c>
      <c r="U48" s="65">
        <v>46</v>
      </c>
      <c r="V48" s="65">
        <v>10</v>
      </c>
      <c r="W48" s="65">
        <v>10600</v>
      </c>
    </row>
    <row r="49" spans="1:23" ht="20.100000000000001" customHeight="1">
      <c r="A49" s="30">
        <v>48</v>
      </c>
      <c r="B49" s="2">
        <v>20</v>
      </c>
      <c r="C49" s="2">
        <f>LOOKUP(A49,怪物掉落!A49:A113,怪物掉落!B49:B113)*B49</f>
        <v>3020</v>
      </c>
      <c r="O49" s="64">
        <v>35</v>
      </c>
      <c r="P49" s="26">
        <f t="shared" si="1"/>
        <v>6570</v>
      </c>
      <c r="Q49" s="26">
        <f t="shared" si="2"/>
        <v>2240</v>
      </c>
      <c r="U49" s="65">
        <v>47</v>
      </c>
      <c r="V49" s="65">
        <v>10</v>
      </c>
      <c r="W49" s="65">
        <v>10900</v>
      </c>
    </row>
    <row r="50" spans="1:23" ht="20.100000000000001" customHeight="1">
      <c r="A50" s="30">
        <v>49</v>
      </c>
      <c r="B50" s="2">
        <v>20</v>
      </c>
      <c r="C50" s="2">
        <f>LOOKUP(A50,怪物掉落!A50:A114,怪物掉落!B50:B114)*B50</f>
        <v>3080</v>
      </c>
      <c r="O50" s="64">
        <v>35</v>
      </c>
      <c r="P50" s="26">
        <f t="shared" si="1"/>
        <v>6570</v>
      </c>
      <c r="Q50" s="26">
        <f t="shared" si="2"/>
        <v>2240</v>
      </c>
      <c r="U50" s="65">
        <v>48</v>
      </c>
      <c r="V50" s="65">
        <v>10</v>
      </c>
      <c r="W50" s="65">
        <v>11200</v>
      </c>
    </row>
    <row r="51" spans="1:23" ht="20.100000000000001" customHeight="1">
      <c r="A51" s="30">
        <v>50</v>
      </c>
      <c r="B51" s="2">
        <v>20</v>
      </c>
      <c r="C51" s="2">
        <f>LOOKUP(A51,怪物掉落!A51:A115,怪物掉落!B51:B115)*B51</f>
        <v>3140</v>
      </c>
      <c r="O51" s="64">
        <v>35</v>
      </c>
      <c r="P51" s="26">
        <f t="shared" si="1"/>
        <v>6570</v>
      </c>
      <c r="Q51" s="26">
        <f t="shared" si="2"/>
        <v>2240</v>
      </c>
      <c r="U51" s="65">
        <v>49</v>
      </c>
      <c r="V51" s="65">
        <v>10</v>
      </c>
      <c r="W51" s="65">
        <v>11500</v>
      </c>
    </row>
    <row r="52" spans="1:23" ht="20.100000000000001" customHeight="1">
      <c r="A52" s="30">
        <v>51</v>
      </c>
      <c r="B52" s="2">
        <v>20</v>
      </c>
      <c r="C52" s="2">
        <f>LOOKUP(A52,怪物掉落!A52:A116,怪物掉落!B52:B116)*B52</f>
        <v>3200</v>
      </c>
      <c r="O52" s="64">
        <v>36</v>
      </c>
      <c r="P52" s="26">
        <f t="shared" si="1"/>
        <v>7600</v>
      </c>
      <c r="Q52" s="26">
        <f t="shared" si="2"/>
        <v>2300</v>
      </c>
      <c r="U52" s="65">
        <v>50</v>
      </c>
      <c r="V52" s="65">
        <v>10</v>
      </c>
      <c r="W52" s="65">
        <v>11800</v>
      </c>
    </row>
    <row r="53" spans="1:23" ht="20.100000000000001" customHeight="1">
      <c r="A53" s="30">
        <v>52</v>
      </c>
      <c r="B53" s="2">
        <v>20</v>
      </c>
      <c r="C53" s="2">
        <f>LOOKUP(A53,怪物掉落!A53:A117,怪物掉落!B53:B117)*B53</f>
        <v>3260</v>
      </c>
      <c r="O53" s="64">
        <v>36</v>
      </c>
      <c r="P53" s="26">
        <f t="shared" si="1"/>
        <v>7600</v>
      </c>
      <c r="Q53" s="26">
        <f t="shared" si="2"/>
        <v>2300</v>
      </c>
      <c r="U53" s="65">
        <v>51</v>
      </c>
      <c r="V53" s="65">
        <v>10</v>
      </c>
      <c r="W53" s="65">
        <v>12100</v>
      </c>
    </row>
    <row r="54" spans="1:23" ht="20.100000000000001" customHeight="1">
      <c r="A54" s="30">
        <v>53</v>
      </c>
      <c r="B54" s="2">
        <v>20</v>
      </c>
      <c r="C54" s="2">
        <f>LOOKUP(A54,怪物掉落!A54:A118,怪物掉落!B54:B118)*B54</f>
        <v>3320</v>
      </c>
      <c r="O54" s="64">
        <v>37</v>
      </c>
      <c r="P54" s="26">
        <f t="shared" si="1"/>
        <v>7900</v>
      </c>
      <c r="Q54" s="26">
        <f t="shared" si="2"/>
        <v>2360</v>
      </c>
      <c r="U54" s="65">
        <v>52</v>
      </c>
      <c r="V54" s="65">
        <v>10</v>
      </c>
      <c r="W54" s="65">
        <v>12400</v>
      </c>
    </row>
    <row r="55" spans="1:23" ht="20.100000000000001" customHeight="1">
      <c r="A55" s="30">
        <v>54</v>
      </c>
      <c r="B55" s="2">
        <v>20</v>
      </c>
      <c r="C55" s="2">
        <f>LOOKUP(A55,怪物掉落!A55:A119,怪物掉落!B55:B119)*B55</f>
        <v>3380</v>
      </c>
      <c r="O55" s="64">
        <v>37</v>
      </c>
      <c r="P55" s="26">
        <f t="shared" si="1"/>
        <v>7900</v>
      </c>
      <c r="Q55" s="26">
        <f t="shared" si="2"/>
        <v>2360</v>
      </c>
      <c r="U55" s="65">
        <v>53</v>
      </c>
      <c r="V55" s="65">
        <v>10</v>
      </c>
      <c r="W55" s="65">
        <v>12700</v>
      </c>
    </row>
    <row r="56" spans="1:23" ht="20.100000000000001" customHeight="1">
      <c r="A56" s="30">
        <v>55</v>
      </c>
      <c r="B56" s="2">
        <v>20</v>
      </c>
      <c r="C56" s="2">
        <f>LOOKUP(A56,怪物掉落!A56:A120,怪物掉落!B56:B120)*B56</f>
        <v>3440</v>
      </c>
      <c r="O56" s="64">
        <v>37</v>
      </c>
      <c r="P56" s="26">
        <f t="shared" si="1"/>
        <v>7900</v>
      </c>
      <c r="Q56" s="26">
        <f t="shared" si="2"/>
        <v>2360</v>
      </c>
      <c r="U56" s="65">
        <v>54</v>
      </c>
      <c r="V56" s="65">
        <v>10</v>
      </c>
      <c r="W56" s="65">
        <v>13000</v>
      </c>
    </row>
    <row r="57" spans="1:23" ht="20.100000000000001" customHeight="1">
      <c r="A57" s="30">
        <v>56</v>
      </c>
      <c r="B57" s="2">
        <v>20</v>
      </c>
      <c r="C57" s="2">
        <f>LOOKUP(A57,怪物掉落!A57:A121,怪物掉落!B57:B121)*B57</f>
        <v>3500</v>
      </c>
      <c r="O57" s="64">
        <v>37</v>
      </c>
      <c r="P57" s="26">
        <f t="shared" si="1"/>
        <v>7900</v>
      </c>
      <c r="Q57" s="26">
        <f t="shared" si="2"/>
        <v>2360</v>
      </c>
      <c r="U57" s="65">
        <v>55</v>
      </c>
      <c r="V57" s="65">
        <v>10</v>
      </c>
      <c r="W57" s="65">
        <v>13300</v>
      </c>
    </row>
    <row r="58" spans="1:23" ht="20.100000000000001" customHeight="1">
      <c r="A58" s="30">
        <v>57</v>
      </c>
      <c r="B58" s="2">
        <v>20</v>
      </c>
      <c r="C58" s="2">
        <f>LOOKUP(A58,怪物掉落!A58:A122,怪物掉落!B58:B122)*B58</f>
        <v>3560</v>
      </c>
      <c r="O58" s="64">
        <v>37</v>
      </c>
      <c r="P58" s="26">
        <f t="shared" si="1"/>
        <v>7900</v>
      </c>
      <c r="Q58" s="26">
        <f t="shared" si="2"/>
        <v>2360</v>
      </c>
      <c r="U58" s="65">
        <v>56</v>
      </c>
      <c r="V58" s="65">
        <v>10</v>
      </c>
      <c r="W58" s="65">
        <v>13600</v>
      </c>
    </row>
    <row r="59" spans="1:23" ht="20.100000000000001" customHeight="1">
      <c r="A59" s="30">
        <v>58</v>
      </c>
      <c r="B59" s="2">
        <v>20</v>
      </c>
      <c r="C59" s="2">
        <f>LOOKUP(A59,怪物掉落!A59:A123,怪物掉落!B59:B123)*B59</f>
        <v>3620</v>
      </c>
      <c r="O59" s="64">
        <v>38</v>
      </c>
      <c r="P59" s="26">
        <f t="shared" si="1"/>
        <v>8200</v>
      </c>
      <c r="Q59" s="26">
        <f t="shared" si="2"/>
        <v>2420</v>
      </c>
      <c r="U59" s="65">
        <v>57</v>
      </c>
      <c r="V59" s="65">
        <v>10</v>
      </c>
      <c r="W59" s="65">
        <v>13900</v>
      </c>
    </row>
    <row r="60" spans="1:23" ht="20.100000000000001" customHeight="1">
      <c r="A60" s="30">
        <v>59</v>
      </c>
      <c r="B60" s="2">
        <v>20</v>
      </c>
      <c r="C60" s="2">
        <f>LOOKUP(A60,怪物掉落!A60:A124,怪物掉落!B60:B124)*B60</f>
        <v>3680</v>
      </c>
      <c r="O60" s="64">
        <v>38</v>
      </c>
      <c r="P60" s="26">
        <f t="shared" si="1"/>
        <v>8200</v>
      </c>
      <c r="Q60" s="26">
        <f t="shared" si="2"/>
        <v>2420</v>
      </c>
      <c r="U60" s="65">
        <v>58</v>
      </c>
      <c r="V60" s="65">
        <v>10</v>
      </c>
      <c r="W60" s="65">
        <v>14200</v>
      </c>
    </row>
    <row r="61" spans="1:23" ht="20.100000000000001" customHeight="1">
      <c r="A61" s="30">
        <v>60</v>
      </c>
      <c r="B61" s="2">
        <v>20</v>
      </c>
      <c r="C61" s="2">
        <f>LOOKUP(A61,怪物掉落!A61:A125,怪物掉落!B61:B125)*B61</f>
        <v>3740</v>
      </c>
      <c r="O61" s="64">
        <v>39</v>
      </c>
      <c r="P61" s="26">
        <f t="shared" si="1"/>
        <v>8500</v>
      </c>
      <c r="Q61" s="26">
        <f t="shared" si="2"/>
        <v>2480</v>
      </c>
      <c r="U61" s="65">
        <v>59</v>
      </c>
      <c r="V61" s="65">
        <v>10</v>
      </c>
      <c r="W61" s="65">
        <v>14500</v>
      </c>
    </row>
    <row r="62" spans="1:23" ht="20.100000000000001" customHeight="1">
      <c r="A62" s="30">
        <v>61</v>
      </c>
      <c r="B62" s="2">
        <v>20</v>
      </c>
      <c r="C62" s="2">
        <f>LOOKUP(A62,怪物掉落!A62:A126,怪物掉落!B62:B126)*B62</f>
        <v>3800</v>
      </c>
      <c r="O62" s="64">
        <v>39</v>
      </c>
      <c r="P62" s="26">
        <f t="shared" si="1"/>
        <v>8500</v>
      </c>
      <c r="Q62" s="26">
        <f t="shared" si="2"/>
        <v>2480</v>
      </c>
      <c r="U62" s="65">
        <v>60</v>
      </c>
      <c r="V62" s="65">
        <v>10</v>
      </c>
      <c r="W62" s="65">
        <v>14800</v>
      </c>
    </row>
    <row r="63" spans="1:23" ht="20.100000000000001" customHeight="1">
      <c r="A63" s="30">
        <v>62</v>
      </c>
      <c r="B63" s="2">
        <v>20</v>
      </c>
      <c r="C63" s="2">
        <f>LOOKUP(A63,怪物掉落!A63:A127,怪物掉落!B63:B127)*B63</f>
        <v>3860</v>
      </c>
      <c r="O63" s="64">
        <v>40</v>
      </c>
      <c r="P63" s="26">
        <f t="shared" si="1"/>
        <v>8800</v>
      </c>
      <c r="Q63" s="26">
        <f t="shared" si="2"/>
        <v>2540</v>
      </c>
      <c r="U63" s="65">
        <v>61</v>
      </c>
      <c r="V63" s="65">
        <v>10</v>
      </c>
      <c r="W63" s="65">
        <v>15100</v>
      </c>
    </row>
    <row r="64" spans="1:23" ht="20.100000000000001" customHeight="1">
      <c r="A64" s="30">
        <v>63</v>
      </c>
      <c r="B64" s="2">
        <v>20</v>
      </c>
      <c r="C64" s="2">
        <f>LOOKUP(A64,怪物掉落!A64:A128,怪物掉落!B64:B128)*B64</f>
        <v>3920</v>
      </c>
      <c r="O64" s="64">
        <v>40</v>
      </c>
      <c r="P64" s="26">
        <f t="shared" si="1"/>
        <v>8800</v>
      </c>
      <c r="Q64" s="26">
        <f t="shared" si="2"/>
        <v>2540</v>
      </c>
      <c r="U64" s="65">
        <v>62</v>
      </c>
      <c r="V64" s="65">
        <v>10</v>
      </c>
      <c r="W64" s="65">
        <v>15400</v>
      </c>
    </row>
    <row r="65" spans="1:23" ht="20.100000000000001" customHeight="1">
      <c r="A65" s="30">
        <v>64</v>
      </c>
      <c r="B65" s="2">
        <v>20</v>
      </c>
      <c r="C65" s="2">
        <f>LOOKUP(A65,怪物掉落!A65:A129,怪物掉落!B65:B129)*B65</f>
        <v>3980</v>
      </c>
      <c r="O65" s="64">
        <v>40</v>
      </c>
      <c r="P65" s="26">
        <f t="shared" si="1"/>
        <v>8800</v>
      </c>
      <c r="Q65" s="26">
        <f t="shared" si="2"/>
        <v>2540</v>
      </c>
      <c r="U65" s="65">
        <v>63</v>
      </c>
      <c r="V65" s="65">
        <v>10</v>
      </c>
      <c r="W65" s="65">
        <v>15700</v>
      </c>
    </row>
    <row r="66" spans="1:23" ht="20.100000000000001" customHeight="1">
      <c r="A66" s="30">
        <v>65</v>
      </c>
      <c r="B66" s="2">
        <v>20</v>
      </c>
      <c r="C66" s="2">
        <f>LOOKUP(A66,怪物掉落!A66:A130,怪物掉落!B66:B130)*B66</f>
        <v>4040</v>
      </c>
      <c r="O66" s="64">
        <v>40</v>
      </c>
      <c r="P66" s="26">
        <f t="shared" si="1"/>
        <v>8800</v>
      </c>
      <c r="Q66" s="26">
        <f t="shared" si="2"/>
        <v>2540</v>
      </c>
      <c r="U66" s="65">
        <v>64</v>
      </c>
      <c r="V66" s="65">
        <v>10</v>
      </c>
      <c r="W66" s="65">
        <v>16000</v>
      </c>
    </row>
    <row r="67" spans="1:23">
      <c r="O67" s="64">
        <v>41</v>
      </c>
      <c r="P67" s="26">
        <f t="shared" si="1"/>
        <v>9100</v>
      </c>
      <c r="Q67" s="26">
        <f t="shared" si="2"/>
        <v>2600</v>
      </c>
      <c r="U67" s="65">
        <v>65</v>
      </c>
      <c r="V67" s="65">
        <v>10</v>
      </c>
      <c r="W67" s="65">
        <v>16300</v>
      </c>
    </row>
    <row r="68" spans="1:23">
      <c r="O68" s="64">
        <v>41</v>
      </c>
      <c r="P68" s="26">
        <f t="shared" ref="P68:P118" si="3">LOOKUP(O68,$U$3:$U$102,$W$3:$W$102)</f>
        <v>9100</v>
      </c>
      <c r="Q68" s="26">
        <f t="shared" ref="Q68:Q118" si="4">LOOKUP(O68,$A$2:$A$66,$C$2:$C$66)</f>
        <v>2600</v>
      </c>
      <c r="U68" s="65">
        <v>66</v>
      </c>
      <c r="V68" s="65">
        <v>10</v>
      </c>
      <c r="W68" s="65">
        <v>0</v>
      </c>
    </row>
    <row r="69" spans="1:23">
      <c r="O69" s="64">
        <v>41</v>
      </c>
      <c r="P69" s="26">
        <f t="shared" si="3"/>
        <v>9100</v>
      </c>
      <c r="Q69" s="26">
        <f t="shared" si="4"/>
        <v>2600</v>
      </c>
      <c r="U69" s="65">
        <v>67</v>
      </c>
      <c r="V69" s="65">
        <v>10</v>
      </c>
      <c r="W69" s="65">
        <v>0</v>
      </c>
    </row>
    <row r="70" spans="1:23">
      <c r="O70" s="64">
        <v>42</v>
      </c>
      <c r="P70" s="26">
        <f t="shared" si="3"/>
        <v>9400</v>
      </c>
      <c r="Q70" s="26">
        <f t="shared" si="4"/>
        <v>2660</v>
      </c>
      <c r="U70" s="65">
        <v>68</v>
      </c>
      <c r="V70" s="65">
        <v>10</v>
      </c>
      <c r="W70" s="65">
        <v>0</v>
      </c>
    </row>
    <row r="71" spans="1:23">
      <c r="O71" s="64">
        <v>42</v>
      </c>
      <c r="P71" s="26">
        <f t="shared" si="3"/>
        <v>9400</v>
      </c>
      <c r="Q71" s="26">
        <f t="shared" si="4"/>
        <v>2660</v>
      </c>
      <c r="U71" s="65">
        <v>69</v>
      </c>
      <c r="V71" s="65">
        <v>10</v>
      </c>
      <c r="W71" s="65">
        <v>0</v>
      </c>
    </row>
    <row r="72" spans="1:23">
      <c r="O72" s="64">
        <v>42</v>
      </c>
      <c r="P72" s="26">
        <f t="shared" si="3"/>
        <v>9400</v>
      </c>
      <c r="Q72" s="26">
        <f t="shared" si="4"/>
        <v>2660</v>
      </c>
      <c r="U72" s="65">
        <v>70</v>
      </c>
      <c r="V72" s="65">
        <v>10</v>
      </c>
      <c r="W72" s="65">
        <v>0</v>
      </c>
    </row>
    <row r="73" spans="1:23">
      <c r="O73" s="64">
        <v>42</v>
      </c>
      <c r="P73" s="26">
        <f t="shared" si="3"/>
        <v>9400</v>
      </c>
      <c r="Q73" s="26">
        <f t="shared" si="4"/>
        <v>2660</v>
      </c>
      <c r="U73" s="65">
        <v>71</v>
      </c>
      <c r="V73" s="65">
        <v>10</v>
      </c>
      <c r="W73" s="65">
        <v>0</v>
      </c>
    </row>
    <row r="74" spans="1:23">
      <c r="O74" s="64">
        <v>42</v>
      </c>
      <c r="P74" s="26">
        <f t="shared" si="3"/>
        <v>9400</v>
      </c>
      <c r="Q74" s="26">
        <f t="shared" si="4"/>
        <v>2660</v>
      </c>
      <c r="U74" s="65">
        <v>72</v>
      </c>
      <c r="V74" s="65">
        <v>10</v>
      </c>
      <c r="W74" s="65">
        <v>0</v>
      </c>
    </row>
    <row r="75" spans="1:23">
      <c r="O75" s="64">
        <v>43</v>
      </c>
      <c r="P75" s="26">
        <f t="shared" si="3"/>
        <v>9700</v>
      </c>
      <c r="Q75" s="26">
        <f t="shared" si="4"/>
        <v>2720</v>
      </c>
      <c r="U75" s="65">
        <v>73</v>
      </c>
      <c r="V75" s="65">
        <v>10</v>
      </c>
      <c r="W75" s="65">
        <v>0</v>
      </c>
    </row>
    <row r="76" spans="1:23">
      <c r="O76" s="64">
        <v>43</v>
      </c>
      <c r="P76" s="26">
        <f t="shared" si="3"/>
        <v>9700</v>
      </c>
      <c r="Q76" s="26">
        <f t="shared" si="4"/>
        <v>2720</v>
      </c>
      <c r="U76" s="65">
        <v>74</v>
      </c>
      <c r="V76" s="65">
        <v>10</v>
      </c>
      <c r="W76" s="65">
        <v>0</v>
      </c>
    </row>
    <row r="77" spans="1:23">
      <c r="O77" s="64">
        <v>43</v>
      </c>
      <c r="P77" s="26">
        <f t="shared" si="3"/>
        <v>9700</v>
      </c>
      <c r="Q77" s="26">
        <f t="shared" si="4"/>
        <v>2720</v>
      </c>
      <c r="U77" s="65">
        <v>75</v>
      </c>
      <c r="V77" s="65">
        <v>10</v>
      </c>
      <c r="W77" s="65">
        <v>0</v>
      </c>
    </row>
    <row r="78" spans="1:23">
      <c r="O78" s="64">
        <v>44</v>
      </c>
      <c r="P78" s="26">
        <f t="shared" si="3"/>
        <v>10000</v>
      </c>
      <c r="Q78" s="26">
        <f t="shared" si="4"/>
        <v>2780</v>
      </c>
      <c r="U78" s="65">
        <v>76</v>
      </c>
      <c r="V78" s="65">
        <v>10</v>
      </c>
      <c r="W78" s="65">
        <v>0</v>
      </c>
    </row>
    <row r="79" spans="1:23">
      <c r="O79" s="64">
        <v>45</v>
      </c>
      <c r="P79" s="26">
        <f t="shared" si="3"/>
        <v>10300</v>
      </c>
      <c r="Q79" s="26">
        <f t="shared" si="4"/>
        <v>2840</v>
      </c>
      <c r="U79" s="65">
        <v>77</v>
      </c>
      <c r="V79" s="65">
        <v>10</v>
      </c>
      <c r="W79" s="65">
        <v>0</v>
      </c>
    </row>
    <row r="80" spans="1:23">
      <c r="O80" s="64">
        <v>45</v>
      </c>
      <c r="P80" s="26">
        <f t="shared" si="3"/>
        <v>10300</v>
      </c>
      <c r="Q80" s="26">
        <f t="shared" si="4"/>
        <v>2840</v>
      </c>
      <c r="U80" s="65">
        <v>78</v>
      </c>
      <c r="V80" s="65">
        <v>10</v>
      </c>
      <c r="W80" s="65">
        <v>0</v>
      </c>
    </row>
    <row r="81" spans="15:23">
      <c r="O81" s="64">
        <v>45</v>
      </c>
      <c r="P81" s="26">
        <f t="shared" si="3"/>
        <v>10300</v>
      </c>
      <c r="Q81" s="26">
        <f t="shared" si="4"/>
        <v>2840</v>
      </c>
      <c r="U81" s="65">
        <v>79</v>
      </c>
      <c r="V81" s="65">
        <v>10</v>
      </c>
      <c r="W81" s="65">
        <v>0</v>
      </c>
    </row>
    <row r="82" spans="15:23">
      <c r="O82" s="64">
        <v>45</v>
      </c>
      <c r="P82" s="26">
        <f t="shared" si="3"/>
        <v>10300</v>
      </c>
      <c r="Q82" s="26">
        <f t="shared" si="4"/>
        <v>2840</v>
      </c>
      <c r="U82" s="65">
        <v>80</v>
      </c>
      <c r="V82" s="65">
        <v>10</v>
      </c>
      <c r="W82" s="65">
        <v>0</v>
      </c>
    </row>
    <row r="83" spans="15:23">
      <c r="O83" s="64">
        <v>46</v>
      </c>
      <c r="P83" s="26">
        <f t="shared" si="3"/>
        <v>10600</v>
      </c>
      <c r="Q83" s="26">
        <f t="shared" si="4"/>
        <v>2900</v>
      </c>
      <c r="U83" s="65">
        <v>81</v>
      </c>
      <c r="V83" s="65">
        <v>10</v>
      </c>
      <c r="W83" s="65">
        <v>0</v>
      </c>
    </row>
    <row r="84" spans="15:23">
      <c r="O84" s="64">
        <v>46</v>
      </c>
      <c r="P84" s="26">
        <f t="shared" si="3"/>
        <v>10600</v>
      </c>
      <c r="Q84" s="26">
        <f t="shared" si="4"/>
        <v>2900</v>
      </c>
      <c r="U84" s="65">
        <v>82</v>
      </c>
      <c r="V84" s="65">
        <v>10</v>
      </c>
      <c r="W84" s="65">
        <v>0</v>
      </c>
    </row>
    <row r="85" spans="15:23">
      <c r="O85" s="64">
        <v>46</v>
      </c>
      <c r="P85" s="26">
        <f t="shared" si="3"/>
        <v>10600</v>
      </c>
      <c r="Q85" s="26">
        <f t="shared" si="4"/>
        <v>2900</v>
      </c>
      <c r="U85" s="65">
        <v>83</v>
      </c>
      <c r="V85" s="65">
        <v>10</v>
      </c>
      <c r="W85" s="65">
        <v>0</v>
      </c>
    </row>
    <row r="86" spans="15:23">
      <c r="O86" s="64">
        <v>46</v>
      </c>
      <c r="P86" s="26">
        <f t="shared" si="3"/>
        <v>10600</v>
      </c>
      <c r="Q86" s="26">
        <f t="shared" si="4"/>
        <v>2900</v>
      </c>
      <c r="U86" s="65">
        <v>84</v>
      </c>
      <c r="V86" s="65">
        <v>10</v>
      </c>
      <c r="W86" s="65">
        <v>0</v>
      </c>
    </row>
    <row r="87" spans="15:23">
      <c r="O87" s="64">
        <v>46</v>
      </c>
      <c r="P87" s="26">
        <f t="shared" si="3"/>
        <v>10600</v>
      </c>
      <c r="Q87" s="26">
        <f t="shared" si="4"/>
        <v>2900</v>
      </c>
      <c r="U87" s="65">
        <v>85</v>
      </c>
      <c r="V87" s="65">
        <v>10</v>
      </c>
      <c r="W87" s="65">
        <v>0</v>
      </c>
    </row>
    <row r="88" spans="15:23">
      <c r="O88" s="64">
        <v>46</v>
      </c>
      <c r="P88" s="26">
        <f t="shared" si="3"/>
        <v>10600</v>
      </c>
      <c r="Q88" s="26">
        <f t="shared" si="4"/>
        <v>2900</v>
      </c>
      <c r="U88" s="65">
        <v>86</v>
      </c>
      <c r="V88" s="65">
        <v>10</v>
      </c>
      <c r="W88" s="65">
        <v>0</v>
      </c>
    </row>
    <row r="89" spans="15:23">
      <c r="O89" s="64">
        <v>46</v>
      </c>
      <c r="P89" s="26">
        <f t="shared" si="3"/>
        <v>10600</v>
      </c>
      <c r="Q89" s="26">
        <f t="shared" si="4"/>
        <v>2900</v>
      </c>
      <c r="U89" s="65">
        <v>87</v>
      </c>
      <c r="V89" s="65">
        <v>10</v>
      </c>
      <c r="W89" s="65">
        <v>0</v>
      </c>
    </row>
    <row r="90" spans="15:23">
      <c r="O90" s="64">
        <v>46</v>
      </c>
      <c r="P90" s="26">
        <f t="shared" si="3"/>
        <v>10600</v>
      </c>
      <c r="Q90" s="26">
        <f t="shared" si="4"/>
        <v>2900</v>
      </c>
      <c r="U90" s="65">
        <v>88</v>
      </c>
      <c r="V90" s="65">
        <v>10</v>
      </c>
      <c r="W90" s="65">
        <v>0</v>
      </c>
    </row>
    <row r="91" spans="15:23">
      <c r="O91" s="64">
        <v>47</v>
      </c>
      <c r="P91" s="26">
        <f t="shared" si="3"/>
        <v>10900</v>
      </c>
      <c r="Q91" s="26">
        <f t="shared" si="4"/>
        <v>2960</v>
      </c>
      <c r="U91" s="65">
        <v>89</v>
      </c>
      <c r="V91" s="65">
        <v>10</v>
      </c>
      <c r="W91" s="65">
        <v>0</v>
      </c>
    </row>
    <row r="92" spans="15:23">
      <c r="O92" s="64">
        <v>48</v>
      </c>
      <c r="P92" s="26">
        <f t="shared" si="3"/>
        <v>11200</v>
      </c>
      <c r="Q92" s="26">
        <f t="shared" si="4"/>
        <v>3020</v>
      </c>
      <c r="U92" s="65">
        <v>90</v>
      </c>
      <c r="V92" s="65">
        <v>10</v>
      </c>
      <c r="W92" s="65">
        <v>0</v>
      </c>
    </row>
    <row r="93" spans="15:23">
      <c r="O93" s="64">
        <v>48</v>
      </c>
      <c r="P93" s="26">
        <f t="shared" si="3"/>
        <v>11200</v>
      </c>
      <c r="Q93" s="26">
        <f t="shared" si="4"/>
        <v>3020</v>
      </c>
      <c r="U93" s="65">
        <v>91</v>
      </c>
      <c r="V93" s="65">
        <v>10</v>
      </c>
      <c r="W93" s="65">
        <v>0</v>
      </c>
    </row>
    <row r="94" spans="15:23">
      <c r="O94" s="64">
        <v>48</v>
      </c>
      <c r="P94" s="26">
        <f t="shared" si="3"/>
        <v>11200</v>
      </c>
      <c r="Q94" s="26">
        <f t="shared" si="4"/>
        <v>3020</v>
      </c>
      <c r="U94" s="65">
        <v>92</v>
      </c>
      <c r="V94" s="65">
        <v>10</v>
      </c>
      <c r="W94" s="65">
        <v>0</v>
      </c>
    </row>
    <row r="95" spans="15:23">
      <c r="O95" s="64">
        <v>49</v>
      </c>
      <c r="P95" s="26">
        <f t="shared" si="3"/>
        <v>11500</v>
      </c>
      <c r="Q95" s="26">
        <f t="shared" si="4"/>
        <v>3080</v>
      </c>
      <c r="U95" s="65">
        <v>93</v>
      </c>
      <c r="V95" s="65">
        <v>10</v>
      </c>
      <c r="W95" s="65">
        <v>0</v>
      </c>
    </row>
    <row r="96" spans="15:23">
      <c r="O96" s="64">
        <v>50</v>
      </c>
      <c r="P96" s="26">
        <f t="shared" si="3"/>
        <v>11800</v>
      </c>
      <c r="Q96" s="26">
        <f t="shared" si="4"/>
        <v>3140</v>
      </c>
      <c r="U96" s="65">
        <v>94</v>
      </c>
      <c r="V96" s="65">
        <v>10</v>
      </c>
      <c r="W96" s="65">
        <v>0</v>
      </c>
    </row>
    <row r="97" spans="15:23">
      <c r="O97" s="64">
        <v>50</v>
      </c>
      <c r="P97" s="26">
        <f t="shared" si="3"/>
        <v>11800</v>
      </c>
      <c r="Q97" s="26">
        <f t="shared" si="4"/>
        <v>3140</v>
      </c>
      <c r="U97" s="65">
        <v>95</v>
      </c>
      <c r="V97" s="65">
        <v>10</v>
      </c>
      <c r="W97" s="65">
        <v>0</v>
      </c>
    </row>
    <row r="98" spans="15:23">
      <c r="O98" s="64">
        <v>50</v>
      </c>
      <c r="P98" s="26">
        <f t="shared" si="3"/>
        <v>11800</v>
      </c>
      <c r="Q98" s="26">
        <f t="shared" si="4"/>
        <v>3140</v>
      </c>
      <c r="U98" s="65">
        <v>96</v>
      </c>
      <c r="V98" s="65">
        <v>10</v>
      </c>
      <c r="W98" s="65">
        <v>0</v>
      </c>
    </row>
    <row r="99" spans="15:23">
      <c r="O99" s="64">
        <v>50</v>
      </c>
      <c r="P99" s="26">
        <f t="shared" si="3"/>
        <v>11800</v>
      </c>
      <c r="Q99" s="26">
        <f t="shared" si="4"/>
        <v>3140</v>
      </c>
      <c r="U99" s="65">
        <v>97</v>
      </c>
      <c r="V99" s="65">
        <v>10</v>
      </c>
      <c r="W99" s="65">
        <v>0</v>
      </c>
    </row>
    <row r="100" spans="15:23">
      <c r="O100" s="64">
        <v>50</v>
      </c>
      <c r="P100" s="26">
        <f t="shared" si="3"/>
        <v>11800</v>
      </c>
      <c r="Q100" s="26">
        <f t="shared" si="4"/>
        <v>3140</v>
      </c>
      <c r="U100" s="65">
        <v>98</v>
      </c>
      <c r="V100" s="65">
        <v>10</v>
      </c>
      <c r="W100" s="65">
        <v>0</v>
      </c>
    </row>
    <row r="101" spans="15:23">
      <c r="O101" s="64">
        <v>50</v>
      </c>
      <c r="P101" s="26">
        <f t="shared" si="3"/>
        <v>11800</v>
      </c>
      <c r="Q101" s="26">
        <f t="shared" si="4"/>
        <v>3140</v>
      </c>
      <c r="U101" s="65">
        <v>99</v>
      </c>
      <c r="V101" s="65">
        <v>10</v>
      </c>
      <c r="W101" s="65">
        <v>0</v>
      </c>
    </row>
    <row r="102" spans="15:23">
      <c r="O102" s="64">
        <v>51</v>
      </c>
      <c r="P102" s="26">
        <f t="shared" si="3"/>
        <v>12100</v>
      </c>
      <c r="Q102" s="26">
        <f t="shared" si="4"/>
        <v>3200</v>
      </c>
      <c r="U102" s="65">
        <v>100</v>
      </c>
      <c r="V102" s="65">
        <v>10</v>
      </c>
      <c r="W102" s="65">
        <v>0</v>
      </c>
    </row>
    <row r="103" spans="15:23">
      <c r="O103" s="64">
        <v>52</v>
      </c>
      <c r="P103" s="26">
        <f t="shared" si="3"/>
        <v>12400</v>
      </c>
      <c r="Q103" s="26">
        <f t="shared" si="4"/>
        <v>3260</v>
      </c>
    </row>
    <row r="104" spans="15:23">
      <c r="O104" s="64">
        <v>52</v>
      </c>
      <c r="P104" s="26">
        <f t="shared" si="3"/>
        <v>12400</v>
      </c>
      <c r="Q104" s="26">
        <f t="shared" si="4"/>
        <v>3260</v>
      </c>
    </row>
    <row r="105" spans="15:23">
      <c r="O105" s="64">
        <v>52</v>
      </c>
      <c r="P105" s="26">
        <f t="shared" si="3"/>
        <v>12400</v>
      </c>
      <c r="Q105" s="26">
        <f t="shared" si="4"/>
        <v>3260</v>
      </c>
    </row>
    <row r="106" spans="15:23">
      <c r="O106" s="64">
        <v>52</v>
      </c>
      <c r="P106" s="26">
        <f t="shared" si="3"/>
        <v>12400</v>
      </c>
      <c r="Q106" s="26">
        <f t="shared" si="4"/>
        <v>3260</v>
      </c>
    </row>
    <row r="107" spans="15:23">
      <c r="O107" s="64">
        <v>52</v>
      </c>
      <c r="P107" s="26">
        <f t="shared" si="3"/>
        <v>12400</v>
      </c>
      <c r="Q107" s="26">
        <f t="shared" si="4"/>
        <v>3260</v>
      </c>
    </row>
    <row r="108" spans="15:23">
      <c r="O108" s="64">
        <v>53</v>
      </c>
      <c r="P108" s="26">
        <f t="shared" si="3"/>
        <v>12700</v>
      </c>
      <c r="Q108" s="26">
        <f t="shared" si="4"/>
        <v>3320</v>
      </c>
    </row>
    <row r="109" spans="15:23">
      <c r="O109" s="64">
        <v>54</v>
      </c>
      <c r="P109" s="26">
        <f t="shared" si="3"/>
        <v>13000</v>
      </c>
      <c r="Q109" s="26">
        <f t="shared" si="4"/>
        <v>3380</v>
      </c>
    </row>
    <row r="110" spans="15:23">
      <c r="O110" s="64">
        <v>54</v>
      </c>
      <c r="P110" s="26">
        <f t="shared" si="3"/>
        <v>13000</v>
      </c>
      <c r="Q110" s="26">
        <f t="shared" si="4"/>
        <v>3380</v>
      </c>
    </row>
    <row r="111" spans="15:23">
      <c r="O111" s="64">
        <v>54</v>
      </c>
      <c r="P111" s="26">
        <f t="shared" si="3"/>
        <v>13000</v>
      </c>
      <c r="Q111" s="26">
        <f t="shared" si="4"/>
        <v>3380</v>
      </c>
    </row>
    <row r="112" spans="15:23">
      <c r="O112" s="64">
        <v>54</v>
      </c>
      <c r="P112" s="26">
        <f t="shared" si="3"/>
        <v>13000</v>
      </c>
      <c r="Q112" s="26">
        <f t="shared" si="4"/>
        <v>3380</v>
      </c>
    </row>
    <row r="113" spans="15:17">
      <c r="O113" s="64">
        <v>54</v>
      </c>
      <c r="P113" s="26">
        <f t="shared" si="3"/>
        <v>13000</v>
      </c>
      <c r="Q113" s="26">
        <f t="shared" si="4"/>
        <v>3380</v>
      </c>
    </row>
    <row r="114" spans="15:17">
      <c r="O114" s="64">
        <v>55</v>
      </c>
      <c r="P114" s="26">
        <f t="shared" si="3"/>
        <v>13300</v>
      </c>
      <c r="Q114" s="26">
        <f t="shared" si="4"/>
        <v>3440</v>
      </c>
    </row>
    <row r="115" spans="15:17">
      <c r="O115" s="64">
        <v>56</v>
      </c>
      <c r="P115" s="26">
        <f t="shared" si="3"/>
        <v>13600</v>
      </c>
      <c r="Q115" s="26">
        <f t="shared" si="4"/>
        <v>3500</v>
      </c>
    </row>
    <row r="116" spans="15:17">
      <c r="O116" s="64">
        <v>57</v>
      </c>
      <c r="P116" s="26">
        <f t="shared" si="3"/>
        <v>13900</v>
      </c>
      <c r="Q116" s="26">
        <f t="shared" si="4"/>
        <v>3560</v>
      </c>
    </row>
    <row r="117" spans="15:17">
      <c r="O117" s="64">
        <v>58</v>
      </c>
      <c r="P117" s="26">
        <f t="shared" si="3"/>
        <v>14200</v>
      </c>
      <c r="Q117" s="26">
        <f t="shared" si="4"/>
        <v>3620</v>
      </c>
    </row>
    <row r="118" spans="15:17">
      <c r="O118" s="64">
        <v>60</v>
      </c>
      <c r="P118" s="26">
        <f t="shared" si="3"/>
        <v>14800</v>
      </c>
      <c r="Q118" s="26">
        <f t="shared" si="4"/>
        <v>3740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3"/>
  <dimension ref="A1:BM70"/>
  <sheetViews>
    <sheetView workbookViewId="0">
      <selection activeCell="B11" sqref="B11"/>
    </sheetView>
  </sheetViews>
  <sheetFormatPr defaultRowHeight="13.5"/>
  <cols>
    <col min="1" max="1" width="9" style="6"/>
    <col min="2" max="3" width="11.5" style="6" customWidth="1"/>
    <col min="4" max="33" width="9" style="6"/>
    <col min="34" max="34" width="13.375" style="6" bestFit="1" customWidth="1"/>
    <col min="35" max="35" width="12.25" style="6" bestFit="1" customWidth="1"/>
    <col min="36" max="36" width="14.375" style="6" bestFit="1" customWidth="1"/>
    <col min="37" max="37" width="9" style="6"/>
    <col min="38" max="38" width="9" style="15"/>
    <col min="39" max="41" width="11.5" style="6" customWidth="1"/>
    <col min="42" max="49" width="9" style="6"/>
    <col min="52" max="52" width="9.875" customWidth="1"/>
    <col min="53" max="53" width="9.5" customWidth="1"/>
    <col min="55" max="55" width="9.75" customWidth="1"/>
    <col min="56" max="56" width="10.5" customWidth="1"/>
  </cols>
  <sheetData>
    <row r="1" spans="1:65" s="13" customFormat="1" ht="20.100000000000001" customHeight="1">
      <c r="A1" s="19" t="s">
        <v>37</v>
      </c>
      <c r="B1" s="19" t="s">
        <v>45</v>
      </c>
      <c r="C1" s="19" t="s">
        <v>46</v>
      </c>
      <c r="D1" s="19" t="s">
        <v>39</v>
      </c>
      <c r="E1" s="19" t="s">
        <v>40</v>
      </c>
      <c r="F1" s="19" t="s">
        <v>41</v>
      </c>
      <c r="G1" s="19" t="s">
        <v>42</v>
      </c>
      <c r="H1" s="19" t="s">
        <v>38</v>
      </c>
      <c r="I1" s="19" t="s">
        <v>43</v>
      </c>
      <c r="J1" s="19" t="s">
        <v>23</v>
      </c>
      <c r="K1" s="19" t="s">
        <v>27</v>
      </c>
      <c r="L1" s="19" t="s">
        <v>28</v>
      </c>
      <c r="M1" s="19" t="s">
        <v>30</v>
      </c>
      <c r="N1" s="19" t="s">
        <v>31</v>
      </c>
      <c r="O1" s="19" t="s">
        <v>63</v>
      </c>
      <c r="P1" s="19" t="s">
        <v>62</v>
      </c>
      <c r="Q1" s="19" t="s">
        <v>27</v>
      </c>
      <c r="R1" s="19" t="s">
        <v>28</v>
      </c>
      <c r="S1" s="19" t="s">
        <v>30</v>
      </c>
      <c r="T1" s="19" t="s">
        <v>31</v>
      </c>
      <c r="U1" s="19" t="s">
        <v>65</v>
      </c>
      <c r="V1" s="19" t="s">
        <v>62</v>
      </c>
      <c r="W1" s="19" t="s">
        <v>27</v>
      </c>
      <c r="X1" s="19" t="s">
        <v>28</v>
      </c>
      <c r="Y1" s="19" t="s">
        <v>30</v>
      </c>
      <c r="Z1" s="19" t="s">
        <v>31</v>
      </c>
      <c r="AA1" s="19"/>
      <c r="AB1" s="19" t="s">
        <v>23</v>
      </c>
      <c r="AC1" s="19" t="s">
        <v>27</v>
      </c>
      <c r="AD1" s="19" t="s">
        <v>28</v>
      </c>
      <c r="AE1" s="19" t="s">
        <v>30</v>
      </c>
      <c r="AF1" s="19" t="s">
        <v>31</v>
      </c>
      <c r="AG1" s="19"/>
      <c r="AH1" s="19" t="s">
        <v>57</v>
      </c>
      <c r="AI1" s="19" t="s">
        <v>56</v>
      </c>
      <c r="AJ1" s="19" t="s">
        <v>58</v>
      </c>
      <c r="AK1" s="18"/>
      <c r="AL1" s="19" t="s">
        <v>44</v>
      </c>
      <c r="AM1" s="18"/>
      <c r="AN1" s="19" t="s">
        <v>45</v>
      </c>
      <c r="AO1" s="19" t="s">
        <v>46</v>
      </c>
      <c r="AP1" s="19" t="s">
        <v>23</v>
      </c>
      <c r="AQ1" s="19" t="s">
        <v>40</v>
      </c>
      <c r="AR1" s="19" t="s">
        <v>41</v>
      </c>
      <c r="AS1" s="19" t="s">
        <v>42</v>
      </c>
      <c r="AT1" s="19" t="s">
        <v>31</v>
      </c>
      <c r="AU1" s="12"/>
      <c r="AV1" s="12"/>
      <c r="AW1" s="12"/>
    </row>
    <row r="2" spans="1:65" s="13" customFormat="1" ht="20.100000000000001" customHeight="1">
      <c r="A2" s="11">
        <v>1</v>
      </c>
      <c r="B2" s="14">
        <f>LOOKUP(A2,建筑等级和人物等级匹配关系!$H:$H,建筑等级和人物等级匹配关系!$I:$I)</f>
        <v>0.50750000000000006</v>
      </c>
      <c r="C2" s="14">
        <f>24*B2</f>
        <v>12.180000000000001</v>
      </c>
      <c r="D2" s="11">
        <f>J2*$C2+P2*$B2+V2*$B2</f>
        <v>73080.000000000015</v>
      </c>
      <c r="E2" s="11">
        <f t="shared" ref="E2:H2" si="0">K2*$C2+Q2*$B2+W2*$B2</f>
        <v>36540.000000000007</v>
      </c>
      <c r="F2" s="11">
        <f t="shared" si="0"/>
        <v>36540.000000000007</v>
      </c>
      <c r="G2" s="11">
        <f t="shared" si="0"/>
        <v>36540.000000000007</v>
      </c>
      <c r="H2" s="11">
        <f t="shared" si="0"/>
        <v>36540.000000000007</v>
      </c>
      <c r="I2" s="11">
        <v>1</v>
      </c>
      <c r="J2" s="21">
        <v>3600</v>
      </c>
      <c r="K2" s="21">
        <v>1800</v>
      </c>
      <c r="L2" s="11">
        <f t="shared" ref="L2:L26" si="1">K2</f>
        <v>1800</v>
      </c>
      <c r="M2" s="11">
        <f t="shared" ref="M2:M26" si="2">L2</f>
        <v>1800</v>
      </c>
      <c r="N2" s="11">
        <f t="shared" ref="N2:N26" si="3">M2</f>
        <v>1800</v>
      </c>
      <c r="O2" s="11">
        <v>8</v>
      </c>
      <c r="P2" s="11">
        <f>J2*$O$2</f>
        <v>28800</v>
      </c>
      <c r="Q2" s="11">
        <f t="shared" ref="Q2:T2" si="4">K2*$O$2</f>
        <v>14400</v>
      </c>
      <c r="R2" s="11">
        <f t="shared" si="4"/>
        <v>14400</v>
      </c>
      <c r="S2" s="11">
        <f t="shared" si="4"/>
        <v>14400</v>
      </c>
      <c r="T2" s="11">
        <f t="shared" si="4"/>
        <v>14400</v>
      </c>
      <c r="U2" s="11">
        <v>8</v>
      </c>
      <c r="V2" s="11">
        <f>J$2*$U2</f>
        <v>28800</v>
      </c>
      <c r="W2" s="11">
        <f t="shared" ref="W2:Z2" si="5">K$2*$U2</f>
        <v>14400</v>
      </c>
      <c r="X2" s="11">
        <f t="shared" si="5"/>
        <v>14400</v>
      </c>
      <c r="Y2" s="11">
        <f t="shared" si="5"/>
        <v>14400</v>
      </c>
      <c r="Z2" s="11">
        <f t="shared" si="5"/>
        <v>14400</v>
      </c>
      <c r="AA2" s="11"/>
      <c r="AB2" s="11">
        <f>J2/60</f>
        <v>60</v>
      </c>
      <c r="AC2" s="11">
        <f t="shared" ref="AC2:AF2" si="6">K2/60</f>
        <v>30</v>
      </c>
      <c r="AD2" s="11">
        <f t="shared" si="6"/>
        <v>30</v>
      </c>
      <c r="AE2" s="11">
        <f t="shared" si="6"/>
        <v>30</v>
      </c>
      <c r="AF2" s="11">
        <f t="shared" si="6"/>
        <v>30</v>
      </c>
      <c r="AG2" s="11"/>
      <c r="AH2" s="11">
        <v>2</v>
      </c>
      <c r="AI2" s="11">
        <f>AH2*10</f>
        <v>20</v>
      </c>
      <c r="AJ2" s="11">
        <f>AH2*4</f>
        <v>8</v>
      </c>
      <c r="AK2" s="12"/>
      <c r="AL2" s="14">
        <f t="shared" ref="AL2:AL26" si="7">D2/60/6</f>
        <v>203.00000000000003</v>
      </c>
      <c r="AM2" s="12"/>
      <c r="AN2" s="14">
        <v>0.2</v>
      </c>
      <c r="AO2" s="14">
        <f>24*AN2</f>
        <v>4.8000000000000007</v>
      </c>
      <c r="AP2" s="14">
        <f t="shared" ref="AP2:AP26" si="8">$AO$2*D2</f>
        <v>350784.00000000012</v>
      </c>
      <c r="AQ2" s="14">
        <f t="shared" ref="AQ2:AQ26" si="9">$AO$2*E2</f>
        <v>175392.00000000006</v>
      </c>
      <c r="AR2" s="14">
        <f t="shared" ref="AR2:AR26" si="10">$AO$2*F2</f>
        <v>175392.00000000006</v>
      </c>
      <c r="AS2" s="14">
        <f t="shared" ref="AS2:AS26" si="11">$AO$2*G2</f>
        <v>175392.00000000006</v>
      </c>
      <c r="AT2" s="14">
        <f t="shared" ref="AT2:AT26" si="12">$AO$2*H2</f>
        <v>175392.00000000006</v>
      </c>
      <c r="AU2" s="12"/>
      <c r="AV2" s="12"/>
      <c r="AW2" s="12"/>
      <c r="AY2" s="135" t="s">
        <v>16</v>
      </c>
      <c r="AZ2" s="9" t="s">
        <v>17</v>
      </c>
      <c r="BA2" s="9" t="s">
        <v>18</v>
      </c>
      <c r="BB2" s="9" t="s">
        <v>19</v>
      </c>
      <c r="BC2" s="9" t="s">
        <v>20</v>
      </c>
      <c r="BD2" s="9" t="s">
        <v>21</v>
      </c>
    </row>
    <row r="3" spans="1:65" s="13" customFormat="1" ht="20.100000000000001" customHeight="1">
      <c r="A3" s="11">
        <v>2</v>
      </c>
      <c r="B3" s="14">
        <f>LOOKUP(A3,建筑等级和人物等级匹配关系!$H:$H,建筑等级和人物等级匹配关系!$I:$I)</f>
        <v>0.74999999999999989</v>
      </c>
      <c r="C3" s="14">
        <f t="shared" ref="C3:C26" si="13">24*B3</f>
        <v>17.999999999999996</v>
      </c>
      <c r="D3" s="11">
        <f t="shared" ref="D3:D26" si="14">J3*$C3+P3*$B3+V3*$B3</f>
        <v>142559.99999999997</v>
      </c>
      <c r="E3" s="11">
        <f t="shared" ref="E3:E26" si="15">K3*$C3+Q3*$B3+W3*$B3</f>
        <v>71279.999999999985</v>
      </c>
      <c r="F3" s="11">
        <f t="shared" ref="F3:F26" si="16">L3*$C3+R3*$B3+X3*$B3</f>
        <v>71279.999999999985</v>
      </c>
      <c r="G3" s="11">
        <f t="shared" ref="G3:G26" si="17">M3*$C3+S3*$B3+Y3*$B3</f>
        <v>71279.999999999985</v>
      </c>
      <c r="H3" s="11">
        <f t="shared" ref="H3:H26" si="18">N3*$C3+T3*$B3+Z3*$B3</f>
        <v>71279.999999999985</v>
      </c>
      <c r="I3" s="11">
        <f>I2+0.4</f>
        <v>1.4</v>
      </c>
      <c r="J3" s="11">
        <f>$J$2*$I3</f>
        <v>5040</v>
      </c>
      <c r="K3" s="11">
        <f>$K$2*$I3</f>
        <v>2520</v>
      </c>
      <c r="L3" s="11">
        <f t="shared" si="1"/>
        <v>2520</v>
      </c>
      <c r="M3" s="11">
        <f t="shared" si="2"/>
        <v>2520</v>
      </c>
      <c r="N3" s="11">
        <f t="shared" si="3"/>
        <v>2520</v>
      </c>
      <c r="O3" s="11">
        <v>8</v>
      </c>
      <c r="P3" s="11">
        <f t="shared" ref="P3:P26" si="19">J3*$O$2</f>
        <v>40320</v>
      </c>
      <c r="Q3" s="11">
        <f t="shared" ref="Q3:Q26" si="20">K3*$O$2</f>
        <v>20160</v>
      </c>
      <c r="R3" s="11">
        <f t="shared" ref="R3:R26" si="21">L3*$O$2</f>
        <v>20160</v>
      </c>
      <c r="S3" s="11">
        <f t="shared" ref="S3:S26" si="22">M3*$O$2</f>
        <v>20160</v>
      </c>
      <c r="T3" s="11">
        <f t="shared" ref="T3:T26" si="23">N3*$O$2</f>
        <v>20160</v>
      </c>
      <c r="U3" s="11">
        <v>8</v>
      </c>
      <c r="V3" s="11">
        <f t="shared" ref="V3:V26" si="24">J$2*$U3</f>
        <v>28800</v>
      </c>
      <c r="W3" s="11">
        <f t="shared" ref="W3:W26" si="25">K$2*$U3</f>
        <v>14400</v>
      </c>
      <c r="X3" s="11">
        <f t="shared" ref="X3:X26" si="26">L$2*$U3</f>
        <v>14400</v>
      </c>
      <c r="Y3" s="11">
        <f t="shared" ref="Y3:Y26" si="27">M$2*$U3</f>
        <v>14400</v>
      </c>
      <c r="Z3" s="11">
        <f t="shared" ref="Z3:Z26" si="28">N$2*$U3</f>
        <v>14400</v>
      </c>
      <c r="AA3" s="11"/>
      <c r="AB3" s="11">
        <f t="shared" ref="AB3:AB26" si="29">J3/60</f>
        <v>84</v>
      </c>
      <c r="AC3" s="11">
        <f t="shared" ref="AC3:AC26" si="30">K3/60</f>
        <v>42</v>
      </c>
      <c r="AD3" s="11">
        <f t="shared" ref="AD3:AD26" si="31">L3/60</f>
        <v>42</v>
      </c>
      <c r="AE3" s="11">
        <f t="shared" ref="AE3:AE26" si="32">M3/60</f>
        <v>42</v>
      </c>
      <c r="AF3" s="11">
        <f t="shared" ref="AF3:AF26" si="33">N3/60</f>
        <v>42</v>
      </c>
      <c r="AG3" s="11"/>
      <c r="AH3" s="11">
        <f>AH2+2</f>
        <v>4</v>
      </c>
      <c r="AI3" s="11">
        <f t="shared" ref="AI3:AI26" si="34">AH3*10</f>
        <v>40</v>
      </c>
      <c r="AJ3" s="11">
        <f t="shared" ref="AJ3:AJ26" si="35">AH3*4</f>
        <v>16</v>
      </c>
      <c r="AK3" s="12"/>
      <c r="AL3" s="14">
        <f t="shared" si="7"/>
        <v>395.99999999999994</v>
      </c>
      <c r="AM3" s="12"/>
      <c r="AN3" s="14">
        <v>0.5</v>
      </c>
      <c r="AO3" s="14">
        <f t="shared" ref="AO3:AO26" si="36">24*AN3</f>
        <v>12</v>
      </c>
      <c r="AP3" s="14">
        <f t="shared" si="8"/>
        <v>684288</v>
      </c>
      <c r="AQ3" s="14">
        <f t="shared" si="9"/>
        <v>342144</v>
      </c>
      <c r="AR3" s="14">
        <f t="shared" si="10"/>
        <v>342144</v>
      </c>
      <c r="AS3" s="14">
        <f t="shared" si="11"/>
        <v>342144</v>
      </c>
      <c r="AT3" s="14">
        <f t="shared" si="12"/>
        <v>342144</v>
      </c>
      <c r="AU3" s="12"/>
      <c r="AV3" s="12"/>
      <c r="AW3" s="12"/>
      <c r="AY3" s="135"/>
      <c r="AZ3" s="9" t="s">
        <v>22</v>
      </c>
      <c r="BA3" s="9" t="s">
        <v>55</v>
      </c>
      <c r="BB3" s="9" t="s">
        <v>23</v>
      </c>
      <c r="BC3" s="9" t="s">
        <v>24</v>
      </c>
      <c r="BD3" s="9" t="s">
        <v>25</v>
      </c>
    </row>
    <row r="4" spans="1:65" s="13" customFormat="1" ht="20.100000000000001" customHeight="1">
      <c r="A4" s="11">
        <v>3</v>
      </c>
      <c r="B4" s="14">
        <f>LOOKUP(A4,建筑等级和人物等级匹配关系!$H:$H,建筑等级和人物等级匹配关系!$I:$I)</f>
        <v>0.52500000000000002</v>
      </c>
      <c r="C4" s="14">
        <f t="shared" si="13"/>
        <v>12.600000000000001</v>
      </c>
      <c r="D4" s="11">
        <f t="shared" si="14"/>
        <v>123984</v>
      </c>
      <c r="E4" s="11">
        <f t="shared" si="15"/>
        <v>61992</v>
      </c>
      <c r="F4" s="11">
        <f t="shared" si="16"/>
        <v>61992</v>
      </c>
      <c r="G4" s="11">
        <f t="shared" si="17"/>
        <v>61992</v>
      </c>
      <c r="H4" s="11">
        <f t="shared" si="18"/>
        <v>61992</v>
      </c>
      <c r="I4" s="11">
        <f t="shared" ref="I4:I6" si="37">I3+0.4</f>
        <v>1.7999999999999998</v>
      </c>
      <c r="J4" s="11">
        <f t="shared" ref="J4:J26" si="38">$J$2*$I4</f>
        <v>6479.9999999999991</v>
      </c>
      <c r="K4" s="11">
        <f t="shared" ref="K4:K26" si="39">$K$2*$I4</f>
        <v>3239.9999999999995</v>
      </c>
      <c r="L4" s="11">
        <f t="shared" si="1"/>
        <v>3239.9999999999995</v>
      </c>
      <c r="M4" s="11">
        <f t="shared" si="2"/>
        <v>3239.9999999999995</v>
      </c>
      <c r="N4" s="11">
        <f t="shared" si="3"/>
        <v>3239.9999999999995</v>
      </c>
      <c r="O4" s="11">
        <v>8</v>
      </c>
      <c r="P4" s="11">
        <f t="shared" si="19"/>
        <v>51839.999999999993</v>
      </c>
      <c r="Q4" s="11">
        <f t="shared" si="20"/>
        <v>25919.999999999996</v>
      </c>
      <c r="R4" s="11">
        <f t="shared" si="21"/>
        <v>25919.999999999996</v>
      </c>
      <c r="S4" s="11">
        <f t="shared" si="22"/>
        <v>25919.999999999996</v>
      </c>
      <c r="T4" s="11">
        <f t="shared" si="23"/>
        <v>25919.999999999996</v>
      </c>
      <c r="U4" s="11">
        <v>8</v>
      </c>
      <c r="V4" s="11">
        <f t="shared" si="24"/>
        <v>28800</v>
      </c>
      <c r="W4" s="11">
        <f t="shared" si="25"/>
        <v>14400</v>
      </c>
      <c r="X4" s="11">
        <f t="shared" si="26"/>
        <v>14400</v>
      </c>
      <c r="Y4" s="11">
        <f t="shared" si="27"/>
        <v>14400</v>
      </c>
      <c r="Z4" s="11">
        <f t="shared" si="28"/>
        <v>14400</v>
      </c>
      <c r="AA4" s="11"/>
      <c r="AB4" s="11">
        <f t="shared" si="29"/>
        <v>107.99999999999999</v>
      </c>
      <c r="AC4" s="11">
        <f t="shared" si="30"/>
        <v>53.999999999999993</v>
      </c>
      <c r="AD4" s="11">
        <f t="shared" si="31"/>
        <v>53.999999999999993</v>
      </c>
      <c r="AE4" s="11">
        <f t="shared" si="32"/>
        <v>53.999999999999993</v>
      </c>
      <c r="AF4" s="11">
        <f t="shared" si="33"/>
        <v>53.999999999999993</v>
      </c>
      <c r="AG4" s="11"/>
      <c r="AH4" s="11">
        <f t="shared" ref="AH4:AH26" si="40">AH3+2</f>
        <v>6</v>
      </c>
      <c r="AI4" s="11">
        <f t="shared" si="34"/>
        <v>60</v>
      </c>
      <c r="AJ4" s="11">
        <f t="shared" si="35"/>
        <v>24</v>
      </c>
      <c r="AK4" s="12"/>
      <c r="AL4" s="14">
        <f t="shared" si="7"/>
        <v>344.40000000000003</v>
      </c>
      <c r="AM4" s="12"/>
      <c r="AN4" s="14">
        <v>0.8</v>
      </c>
      <c r="AO4" s="14">
        <f t="shared" si="36"/>
        <v>19.200000000000003</v>
      </c>
      <c r="AP4" s="14">
        <f t="shared" si="8"/>
        <v>595123.20000000007</v>
      </c>
      <c r="AQ4" s="14">
        <f t="shared" si="9"/>
        <v>297561.60000000003</v>
      </c>
      <c r="AR4" s="14">
        <f t="shared" si="10"/>
        <v>297561.60000000003</v>
      </c>
      <c r="AS4" s="14">
        <f t="shared" si="11"/>
        <v>297561.60000000003</v>
      </c>
      <c r="AT4" s="14">
        <f t="shared" si="12"/>
        <v>297561.60000000003</v>
      </c>
      <c r="AU4" s="12"/>
      <c r="AV4" s="12"/>
      <c r="AW4" s="12"/>
      <c r="AY4" s="135"/>
      <c r="AZ4" s="9" t="s">
        <v>26</v>
      </c>
      <c r="BA4" s="9" t="s">
        <v>23</v>
      </c>
      <c r="BB4" s="9" t="s">
        <v>23</v>
      </c>
      <c r="BC4" s="10" t="s">
        <v>27</v>
      </c>
      <c r="BD4" s="10" t="s">
        <v>28</v>
      </c>
    </row>
    <row r="5" spans="1:65" s="13" customFormat="1" ht="20.100000000000001" customHeight="1">
      <c r="A5" s="11">
        <v>4</v>
      </c>
      <c r="B5" s="14">
        <f>LOOKUP(A5,建筑等级和人物等级匹配关系!$H:$H,建筑等级和人物等级匹配关系!$I:$I)</f>
        <v>0.97499999999999998</v>
      </c>
      <c r="C5" s="14">
        <f t="shared" si="13"/>
        <v>23.4</v>
      </c>
      <c r="D5" s="11">
        <f t="shared" si="14"/>
        <v>275184</v>
      </c>
      <c r="E5" s="11">
        <f t="shared" si="15"/>
        <v>137592</v>
      </c>
      <c r="F5" s="11">
        <f t="shared" si="16"/>
        <v>137592</v>
      </c>
      <c r="G5" s="11">
        <f t="shared" si="17"/>
        <v>137592</v>
      </c>
      <c r="H5" s="11">
        <f t="shared" si="18"/>
        <v>137592</v>
      </c>
      <c r="I5" s="11">
        <f t="shared" si="37"/>
        <v>2.1999999999999997</v>
      </c>
      <c r="J5" s="11">
        <f t="shared" si="38"/>
        <v>7919.9999999999991</v>
      </c>
      <c r="K5" s="11">
        <f t="shared" si="39"/>
        <v>3959.9999999999995</v>
      </c>
      <c r="L5" s="11">
        <f t="shared" si="1"/>
        <v>3959.9999999999995</v>
      </c>
      <c r="M5" s="11">
        <f t="shared" si="2"/>
        <v>3959.9999999999995</v>
      </c>
      <c r="N5" s="11">
        <f t="shared" si="3"/>
        <v>3959.9999999999995</v>
      </c>
      <c r="O5" s="11">
        <v>8</v>
      </c>
      <c r="P5" s="11">
        <f t="shared" si="19"/>
        <v>63359.999999999993</v>
      </c>
      <c r="Q5" s="11">
        <f t="shared" si="20"/>
        <v>31679.999999999996</v>
      </c>
      <c r="R5" s="11">
        <f t="shared" si="21"/>
        <v>31679.999999999996</v>
      </c>
      <c r="S5" s="11">
        <f t="shared" si="22"/>
        <v>31679.999999999996</v>
      </c>
      <c r="T5" s="11">
        <f t="shared" si="23"/>
        <v>31679.999999999996</v>
      </c>
      <c r="U5" s="11">
        <v>8</v>
      </c>
      <c r="V5" s="11">
        <f t="shared" si="24"/>
        <v>28800</v>
      </c>
      <c r="W5" s="11">
        <f t="shared" si="25"/>
        <v>14400</v>
      </c>
      <c r="X5" s="11">
        <f t="shared" si="26"/>
        <v>14400</v>
      </c>
      <c r="Y5" s="11">
        <f t="shared" si="27"/>
        <v>14400</v>
      </c>
      <c r="Z5" s="11">
        <f t="shared" si="28"/>
        <v>14400</v>
      </c>
      <c r="AA5" s="11"/>
      <c r="AB5" s="11">
        <f t="shared" si="29"/>
        <v>131.99999999999997</v>
      </c>
      <c r="AC5" s="11">
        <f t="shared" si="30"/>
        <v>65.999999999999986</v>
      </c>
      <c r="AD5" s="11">
        <f t="shared" si="31"/>
        <v>65.999999999999986</v>
      </c>
      <c r="AE5" s="11">
        <f t="shared" si="32"/>
        <v>65.999999999999986</v>
      </c>
      <c r="AF5" s="11">
        <f t="shared" si="33"/>
        <v>65.999999999999986</v>
      </c>
      <c r="AG5" s="11"/>
      <c r="AH5" s="11">
        <f t="shared" si="40"/>
        <v>8</v>
      </c>
      <c r="AI5" s="11">
        <f t="shared" si="34"/>
        <v>80</v>
      </c>
      <c r="AJ5" s="11">
        <f t="shared" si="35"/>
        <v>32</v>
      </c>
      <c r="AK5" s="12"/>
      <c r="AL5" s="14">
        <f t="shared" si="7"/>
        <v>764.4</v>
      </c>
      <c r="AM5" s="12"/>
      <c r="AN5" s="14">
        <v>1.2</v>
      </c>
      <c r="AO5" s="14">
        <f t="shared" si="36"/>
        <v>28.799999999999997</v>
      </c>
      <c r="AP5" s="14">
        <f t="shared" si="8"/>
        <v>1320883.2000000002</v>
      </c>
      <c r="AQ5" s="14">
        <f t="shared" si="9"/>
        <v>660441.60000000009</v>
      </c>
      <c r="AR5" s="14">
        <f t="shared" si="10"/>
        <v>660441.60000000009</v>
      </c>
      <c r="AS5" s="14">
        <f t="shared" si="11"/>
        <v>660441.60000000009</v>
      </c>
      <c r="AT5" s="14">
        <f t="shared" si="12"/>
        <v>660441.60000000009</v>
      </c>
      <c r="AU5" s="12"/>
      <c r="AV5" s="12"/>
      <c r="AW5" s="12"/>
      <c r="AY5" s="135"/>
      <c r="AZ5" s="9" t="s">
        <v>29</v>
      </c>
      <c r="BA5" s="9" t="s">
        <v>27</v>
      </c>
      <c r="BB5" s="9" t="s">
        <v>23</v>
      </c>
      <c r="BC5" s="9" t="s">
        <v>30</v>
      </c>
      <c r="BD5" s="9" t="s">
        <v>31</v>
      </c>
    </row>
    <row r="6" spans="1:65" s="13" customFormat="1" ht="20.100000000000001" customHeight="1">
      <c r="A6" s="11">
        <v>5</v>
      </c>
      <c r="B6" s="14">
        <f>LOOKUP(A6,建筑等级和人物等级匹配关系!$H:$H,建筑等级和人物等级匹配关系!$I:$I)</f>
        <v>0.77500000000000002</v>
      </c>
      <c r="C6" s="14">
        <f t="shared" si="13"/>
        <v>18.600000000000001</v>
      </c>
      <c r="D6" s="11">
        <f t="shared" si="14"/>
        <v>254447.99999999997</v>
      </c>
      <c r="E6" s="11">
        <f t="shared" si="15"/>
        <v>127223.99999999999</v>
      </c>
      <c r="F6" s="11">
        <f t="shared" si="16"/>
        <v>127223.99999999999</v>
      </c>
      <c r="G6" s="11">
        <f t="shared" si="17"/>
        <v>127223.99999999999</v>
      </c>
      <c r="H6" s="11">
        <f t="shared" si="18"/>
        <v>127223.99999999999</v>
      </c>
      <c r="I6" s="11">
        <f t="shared" si="37"/>
        <v>2.5999999999999996</v>
      </c>
      <c r="J6" s="11">
        <f t="shared" si="38"/>
        <v>9359.9999999999982</v>
      </c>
      <c r="K6" s="11">
        <f t="shared" si="39"/>
        <v>4679.9999999999991</v>
      </c>
      <c r="L6" s="11">
        <f t="shared" si="1"/>
        <v>4679.9999999999991</v>
      </c>
      <c r="M6" s="11">
        <f t="shared" si="2"/>
        <v>4679.9999999999991</v>
      </c>
      <c r="N6" s="11">
        <f t="shared" si="3"/>
        <v>4679.9999999999991</v>
      </c>
      <c r="O6" s="11">
        <v>8</v>
      </c>
      <c r="P6" s="11">
        <f t="shared" si="19"/>
        <v>74879.999999999985</v>
      </c>
      <c r="Q6" s="11">
        <f t="shared" si="20"/>
        <v>37439.999999999993</v>
      </c>
      <c r="R6" s="11">
        <f t="shared" si="21"/>
        <v>37439.999999999993</v>
      </c>
      <c r="S6" s="11">
        <f t="shared" si="22"/>
        <v>37439.999999999993</v>
      </c>
      <c r="T6" s="11">
        <f t="shared" si="23"/>
        <v>37439.999999999993</v>
      </c>
      <c r="U6" s="11">
        <v>8</v>
      </c>
      <c r="V6" s="11">
        <f t="shared" si="24"/>
        <v>28800</v>
      </c>
      <c r="W6" s="11">
        <f t="shared" si="25"/>
        <v>14400</v>
      </c>
      <c r="X6" s="11">
        <f t="shared" si="26"/>
        <v>14400</v>
      </c>
      <c r="Y6" s="11">
        <f t="shared" si="27"/>
        <v>14400</v>
      </c>
      <c r="Z6" s="11">
        <f t="shared" si="28"/>
        <v>14400</v>
      </c>
      <c r="AA6" s="11"/>
      <c r="AB6" s="11">
        <f t="shared" si="29"/>
        <v>155.99999999999997</v>
      </c>
      <c r="AC6" s="11">
        <f t="shared" si="30"/>
        <v>77.999999999999986</v>
      </c>
      <c r="AD6" s="11">
        <f t="shared" si="31"/>
        <v>77.999999999999986</v>
      </c>
      <c r="AE6" s="11">
        <f t="shared" si="32"/>
        <v>77.999999999999986</v>
      </c>
      <c r="AF6" s="11">
        <f t="shared" si="33"/>
        <v>77.999999999999986</v>
      </c>
      <c r="AG6" s="11"/>
      <c r="AH6" s="11">
        <f t="shared" si="40"/>
        <v>10</v>
      </c>
      <c r="AI6" s="11">
        <f t="shared" si="34"/>
        <v>100</v>
      </c>
      <c r="AJ6" s="11">
        <f t="shared" si="35"/>
        <v>40</v>
      </c>
      <c r="AK6" s="12"/>
      <c r="AL6" s="14">
        <f t="shared" si="7"/>
        <v>706.79999999999984</v>
      </c>
      <c r="AM6" s="12"/>
      <c r="AN6" s="14">
        <f>AN5+0.5</f>
        <v>1.7</v>
      </c>
      <c r="AO6" s="14">
        <f t="shared" si="36"/>
        <v>40.799999999999997</v>
      </c>
      <c r="AP6" s="14">
        <f t="shared" si="8"/>
        <v>1221350.4000000001</v>
      </c>
      <c r="AQ6" s="14">
        <f t="shared" si="9"/>
        <v>610675.20000000007</v>
      </c>
      <c r="AR6" s="14">
        <f t="shared" si="10"/>
        <v>610675.20000000007</v>
      </c>
      <c r="AS6" s="14">
        <f t="shared" si="11"/>
        <v>610675.20000000007</v>
      </c>
      <c r="AT6" s="14">
        <f t="shared" si="12"/>
        <v>610675.20000000007</v>
      </c>
      <c r="AU6" s="12"/>
      <c r="AV6" s="12"/>
      <c r="AW6" s="12"/>
      <c r="AY6" s="135"/>
      <c r="AZ6" s="9" t="s">
        <v>32</v>
      </c>
      <c r="BA6" s="9" t="s">
        <v>28</v>
      </c>
      <c r="BB6" s="9" t="s">
        <v>23</v>
      </c>
      <c r="BC6" s="10" t="s">
        <v>27</v>
      </c>
      <c r="BD6" s="9" t="s">
        <v>30</v>
      </c>
    </row>
    <row r="7" spans="1:65" s="13" customFormat="1" ht="20.100000000000001" customHeight="1">
      <c r="A7" s="11">
        <v>6</v>
      </c>
      <c r="B7" s="14">
        <f>LOOKUP(A7,建筑等级和人物等级匹配关系!$H:$H,建筑等级和人物等级匹配关系!$I:$I)</f>
        <v>0.875</v>
      </c>
      <c r="C7" s="14">
        <f t="shared" si="13"/>
        <v>21</v>
      </c>
      <c r="D7" s="11">
        <f t="shared" si="14"/>
        <v>347759.99999999994</v>
      </c>
      <c r="E7" s="11">
        <f t="shared" si="15"/>
        <v>173879.99999999997</v>
      </c>
      <c r="F7" s="11">
        <f t="shared" si="16"/>
        <v>173879.99999999997</v>
      </c>
      <c r="G7" s="11">
        <f t="shared" si="17"/>
        <v>173879.99999999997</v>
      </c>
      <c r="H7" s="11">
        <f t="shared" si="18"/>
        <v>173879.99999999997</v>
      </c>
      <c r="I7" s="11">
        <f>I6+0.6</f>
        <v>3.1999999999999997</v>
      </c>
      <c r="J7" s="11">
        <f t="shared" si="38"/>
        <v>11519.999999999998</v>
      </c>
      <c r="K7" s="11">
        <f t="shared" si="39"/>
        <v>5759.9999999999991</v>
      </c>
      <c r="L7" s="11">
        <f t="shared" si="1"/>
        <v>5759.9999999999991</v>
      </c>
      <c r="M7" s="11">
        <f t="shared" si="2"/>
        <v>5759.9999999999991</v>
      </c>
      <c r="N7" s="11">
        <f t="shared" si="3"/>
        <v>5759.9999999999991</v>
      </c>
      <c r="O7" s="11">
        <v>8</v>
      </c>
      <c r="P7" s="11">
        <f t="shared" si="19"/>
        <v>92159.999999999985</v>
      </c>
      <c r="Q7" s="11">
        <f t="shared" si="20"/>
        <v>46079.999999999993</v>
      </c>
      <c r="R7" s="11">
        <f t="shared" si="21"/>
        <v>46079.999999999993</v>
      </c>
      <c r="S7" s="11">
        <f t="shared" si="22"/>
        <v>46079.999999999993</v>
      </c>
      <c r="T7" s="11">
        <f t="shared" si="23"/>
        <v>46079.999999999993</v>
      </c>
      <c r="U7" s="11">
        <v>8</v>
      </c>
      <c r="V7" s="11">
        <f t="shared" si="24"/>
        <v>28800</v>
      </c>
      <c r="W7" s="11">
        <f t="shared" si="25"/>
        <v>14400</v>
      </c>
      <c r="X7" s="11">
        <f t="shared" si="26"/>
        <v>14400</v>
      </c>
      <c r="Y7" s="11">
        <f t="shared" si="27"/>
        <v>14400</v>
      </c>
      <c r="Z7" s="11">
        <f t="shared" si="28"/>
        <v>14400</v>
      </c>
      <c r="AA7" s="11"/>
      <c r="AB7" s="11">
        <f t="shared" si="29"/>
        <v>191.99999999999997</v>
      </c>
      <c r="AC7" s="11">
        <f t="shared" si="30"/>
        <v>95.999999999999986</v>
      </c>
      <c r="AD7" s="11">
        <f t="shared" si="31"/>
        <v>95.999999999999986</v>
      </c>
      <c r="AE7" s="11">
        <f t="shared" si="32"/>
        <v>95.999999999999986</v>
      </c>
      <c r="AF7" s="11">
        <f t="shared" si="33"/>
        <v>95.999999999999986</v>
      </c>
      <c r="AG7" s="11"/>
      <c r="AH7" s="11">
        <f t="shared" si="40"/>
        <v>12</v>
      </c>
      <c r="AI7" s="11">
        <f t="shared" si="34"/>
        <v>120</v>
      </c>
      <c r="AJ7" s="11">
        <f t="shared" si="35"/>
        <v>48</v>
      </c>
      <c r="AK7" s="12"/>
      <c r="AL7" s="14">
        <f t="shared" si="7"/>
        <v>965.99999999999989</v>
      </c>
      <c r="AM7" s="12"/>
      <c r="AN7" s="14">
        <f t="shared" ref="AN7:AN25" si="41">AN6+0.5</f>
        <v>2.2000000000000002</v>
      </c>
      <c r="AO7" s="14">
        <f t="shared" si="36"/>
        <v>52.800000000000004</v>
      </c>
      <c r="AP7" s="14">
        <f t="shared" si="8"/>
        <v>1669248</v>
      </c>
      <c r="AQ7" s="14">
        <f t="shared" si="9"/>
        <v>834624</v>
      </c>
      <c r="AR7" s="14">
        <f t="shared" si="10"/>
        <v>834624</v>
      </c>
      <c r="AS7" s="14">
        <f t="shared" si="11"/>
        <v>834624</v>
      </c>
      <c r="AT7" s="14">
        <f t="shared" si="12"/>
        <v>834624</v>
      </c>
      <c r="AU7" s="12"/>
      <c r="AV7" s="12"/>
      <c r="AW7" s="12"/>
      <c r="AY7" s="135"/>
      <c r="AZ7" s="9" t="s">
        <v>33</v>
      </c>
      <c r="BA7" s="9" t="s">
        <v>30</v>
      </c>
      <c r="BB7" s="9" t="s">
        <v>23</v>
      </c>
      <c r="BC7" s="10" t="s">
        <v>28</v>
      </c>
      <c r="BD7" s="9" t="s">
        <v>31</v>
      </c>
    </row>
    <row r="8" spans="1:65" s="13" customFormat="1" ht="20.100000000000001" customHeight="1">
      <c r="A8" s="11">
        <v>7</v>
      </c>
      <c r="B8" s="14">
        <f>LOOKUP(A8,建筑等级和人物等级匹配关系!$H:$H,建筑等级和人物等级匹配关系!$I:$I)</f>
        <v>0.97499999999999998</v>
      </c>
      <c r="C8" s="14">
        <f t="shared" si="13"/>
        <v>23.4</v>
      </c>
      <c r="D8" s="11">
        <f t="shared" si="14"/>
        <v>454896</v>
      </c>
      <c r="E8" s="11">
        <f t="shared" si="15"/>
        <v>227448</v>
      </c>
      <c r="F8" s="11">
        <f t="shared" si="16"/>
        <v>227448</v>
      </c>
      <c r="G8" s="11">
        <f t="shared" si="17"/>
        <v>227448</v>
      </c>
      <c r="H8" s="11">
        <f t="shared" si="18"/>
        <v>227448</v>
      </c>
      <c r="I8" s="11">
        <f t="shared" ref="I8:I10" si="42">I7+0.6</f>
        <v>3.8</v>
      </c>
      <c r="J8" s="11">
        <f t="shared" si="38"/>
        <v>13680</v>
      </c>
      <c r="K8" s="11">
        <f t="shared" si="39"/>
        <v>6840</v>
      </c>
      <c r="L8" s="11">
        <f t="shared" si="1"/>
        <v>6840</v>
      </c>
      <c r="M8" s="11">
        <f t="shared" si="2"/>
        <v>6840</v>
      </c>
      <c r="N8" s="11">
        <f t="shared" si="3"/>
        <v>6840</v>
      </c>
      <c r="O8" s="11">
        <v>8</v>
      </c>
      <c r="P8" s="11">
        <f t="shared" si="19"/>
        <v>109440</v>
      </c>
      <c r="Q8" s="11">
        <f t="shared" si="20"/>
        <v>54720</v>
      </c>
      <c r="R8" s="11">
        <f t="shared" si="21"/>
        <v>54720</v>
      </c>
      <c r="S8" s="11">
        <f t="shared" si="22"/>
        <v>54720</v>
      </c>
      <c r="T8" s="11">
        <f t="shared" si="23"/>
        <v>54720</v>
      </c>
      <c r="U8" s="11">
        <v>8</v>
      </c>
      <c r="V8" s="11">
        <f t="shared" si="24"/>
        <v>28800</v>
      </c>
      <c r="W8" s="11">
        <f t="shared" si="25"/>
        <v>14400</v>
      </c>
      <c r="X8" s="11">
        <f t="shared" si="26"/>
        <v>14400</v>
      </c>
      <c r="Y8" s="11">
        <f t="shared" si="27"/>
        <v>14400</v>
      </c>
      <c r="Z8" s="11">
        <f t="shared" si="28"/>
        <v>14400</v>
      </c>
      <c r="AA8" s="11"/>
      <c r="AB8" s="11">
        <f t="shared" si="29"/>
        <v>228</v>
      </c>
      <c r="AC8" s="11">
        <f t="shared" si="30"/>
        <v>114</v>
      </c>
      <c r="AD8" s="11">
        <f t="shared" si="31"/>
        <v>114</v>
      </c>
      <c r="AE8" s="11">
        <f t="shared" si="32"/>
        <v>114</v>
      </c>
      <c r="AF8" s="11">
        <f t="shared" si="33"/>
        <v>114</v>
      </c>
      <c r="AG8" s="11"/>
      <c r="AH8" s="11">
        <f t="shared" si="40"/>
        <v>14</v>
      </c>
      <c r="AI8" s="11">
        <f t="shared" si="34"/>
        <v>140</v>
      </c>
      <c r="AJ8" s="11">
        <f t="shared" si="35"/>
        <v>56</v>
      </c>
      <c r="AK8" s="12"/>
      <c r="AL8" s="14">
        <f t="shared" si="7"/>
        <v>1263.6000000000001</v>
      </c>
      <c r="AM8" s="12"/>
      <c r="AN8" s="14">
        <f t="shared" si="41"/>
        <v>2.7</v>
      </c>
      <c r="AO8" s="14">
        <f t="shared" si="36"/>
        <v>64.800000000000011</v>
      </c>
      <c r="AP8" s="14">
        <f t="shared" si="8"/>
        <v>2183500.8000000003</v>
      </c>
      <c r="AQ8" s="14">
        <f t="shared" si="9"/>
        <v>1091750.4000000001</v>
      </c>
      <c r="AR8" s="14">
        <f t="shared" si="10"/>
        <v>1091750.4000000001</v>
      </c>
      <c r="AS8" s="14">
        <f t="shared" si="11"/>
        <v>1091750.4000000001</v>
      </c>
      <c r="AT8" s="14">
        <f t="shared" si="12"/>
        <v>1091750.4000000001</v>
      </c>
      <c r="AU8" s="12"/>
      <c r="AV8" s="12"/>
      <c r="AW8" s="12"/>
      <c r="AY8" s="135"/>
      <c r="AZ8" s="9" t="s">
        <v>34</v>
      </c>
      <c r="BA8" s="9" t="s">
        <v>31</v>
      </c>
      <c r="BB8" s="9" t="s">
        <v>23</v>
      </c>
      <c r="BC8" s="10" t="s">
        <v>27</v>
      </c>
      <c r="BD8" s="9" t="s">
        <v>31</v>
      </c>
    </row>
    <row r="9" spans="1:65" s="13" customFormat="1" ht="20.100000000000001" customHeight="1">
      <c r="A9" s="11">
        <v>8</v>
      </c>
      <c r="B9" s="14">
        <f>LOOKUP(A9,建筑等级和人物等级匹配关系!$H:$H,建筑等级和人物等级匹配关系!$I:$I)</f>
        <v>1.0750000000000002</v>
      </c>
      <c r="C9" s="14">
        <f t="shared" si="13"/>
        <v>25.800000000000004</v>
      </c>
      <c r="D9" s="11">
        <f t="shared" si="14"/>
        <v>575856</v>
      </c>
      <c r="E9" s="11">
        <f t="shared" si="15"/>
        <v>287928</v>
      </c>
      <c r="F9" s="11">
        <f t="shared" si="16"/>
        <v>287928</v>
      </c>
      <c r="G9" s="11">
        <f t="shared" si="17"/>
        <v>287928</v>
      </c>
      <c r="H9" s="11">
        <f t="shared" si="18"/>
        <v>287928</v>
      </c>
      <c r="I9" s="11">
        <f t="shared" si="42"/>
        <v>4.3999999999999995</v>
      </c>
      <c r="J9" s="11">
        <f t="shared" si="38"/>
        <v>15839.999999999998</v>
      </c>
      <c r="K9" s="11">
        <f t="shared" si="39"/>
        <v>7919.9999999999991</v>
      </c>
      <c r="L9" s="11">
        <f t="shared" si="1"/>
        <v>7919.9999999999991</v>
      </c>
      <c r="M9" s="11">
        <f t="shared" si="2"/>
        <v>7919.9999999999991</v>
      </c>
      <c r="N9" s="11">
        <f t="shared" si="3"/>
        <v>7919.9999999999991</v>
      </c>
      <c r="O9" s="11">
        <v>8</v>
      </c>
      <c r="P9" s="11">
        <f t="shared" si="19"/>
        <v>126719.99999999999</v>
      </c>
      <c r="Q9" s="11">
        <f t="shared" si="20"/>
        <v>63359.999999999993</v>
      </c>
      <c r="R9" s="11">
        <f t="shared" si="21"/>
        <v>63359.999999999993</v>
      </c>
      <c r="S9" s="11">
        <f t="shared" si="22"/>
        <v>63359.999999999993</v>
      </c>
      <c r="T9" s="11">
        <f t="shared" si="23"/>
        <v>63359.999999999993</v>
      </c>
      <c r="U9" s="11">
        <v>8</v>
      </c>
      <c r="V9" s="11">
        <f t="shared" si="24"/>
        <v>28800</v>
      </c>
      <c r="W9" s="11">
        <f t="shared" si="25"/>
        <v>14400</v>
      </c>
      <c r="X9" s="11">
        <f t="shared" si="26"/>
        <v>14400</v>
      </c>
      <c r="Y9" s="11">
        <f t="shared" si="27"/>
        <v>14400</v>
      </c>
      <c r="Z9" s="11">
        <f t="shared" si="28"/>
        <v>14400</v>
      </c>
      <c r="AA9" s="11"/>
      <c r="AB9" s="11">
        <f t="shared" si="29"/>
        <v>263.99999999999994</v>
      </c>
      <c r="AC9" s="11">
        <f t="shared" si="30"/>
        <v>131.99999999999997</v>
      </c>
      <c r="AD9" s="11">
        <f t="shared" si="31"/>
        <v>131.99999999999997</v>
      </c>
      <c r="AE9" s="11">
        <f t="shared" si="32"/>
        <v>131.99999999999997</v>
      </c>
      <c r="AF9" s="11">
        <f t="shared" si="33"/>
        <v>131.99999999999997</v>
      </c>
      <c r="AG9" s="11"/>
      <c r="AH9" s="11">
        <f t="shared" si="40"/>
        <v>16</v>
      </c>
      <c r="AI9" s="11">
        <f t="shared" si="34"/>
        <v>160</v>
      </c>
      <c r="AJ9" s="11">
        <f t="shared" si="35"/>
        <v>64</v>
      </c>
      <c r="AK9" s="12"/>
      <c r="AL9" s="14">
        <f t="shared" si="7"/>
        <v>1599.6000000000001</v>
      </c>
      <c r="AM9" s="12"/>
      <c r="AN9" s="14">
        <f t="shared" si="41"/>
        <v>3.2</v>
      </c>
      <c r="AO9" s="14">
        <f t="shared" si="36"/>
        <v>76.800000000000011</v>
      </c>
      <c r="AP9" s="14">
        <f t="shared" si="8"/>
        <v>2764108.8000000003</v>
      </c>
      <c r="AQ9" s="14">
        <f t="shared" si="9"/>
        <v>1382054.4000000001</v>
      </c>
      <c r="AR9" s="14">
        <f t="shared" si="10"/>
        <v>1382054.4000000001</v>
      </c>
      <c r="AS9" s="14">
        <f t="shared" si="11"/>
        <v>1382054.4000000001</v>
      </c>
      <c r="AT9" s="14">
        <f t="shared" si="12"/>
        <v>1382054.4000000001</v>
      </c>
      <c r="AU9" s="12"/>
      <c r="AV9" s="12"/>
      <c r="AW9" s="12"/>
      <c r="AY9" s="135"/>
      <c r="AZ9" s="9" t="s">
        <v>35</v>
      </c>
      <c r="BA9" s="9" t="s">
        <v>36</v>
      </c>
      <c r="BB9" s="9" t="s">
        <v>23</v>
      </c>
      <c r="BC9" s="10" t="s">
        <v>28</v>
      </c>
      <c r="BD9" s="9" t="s">
        <v>30</v>
      </c>
    </row>
    <row r="10" spans="1:65" s="13" customFormat="1" ht="20.100000000000001" customHeight="1">
      <c r="A10" s="11">
        <v>9</v>
      </c>
      <c r="B10" s="14">
        <f>LOOKUP(A10,建筑等级和人物等级匹配关系!$H:$H,建筑等级和人物等级匹配关系!$I:$I)</f>
        <v>1.1749999999999998</v>
      </c>
      <c r="C10" s="14">
        <f t="shared" si="13"/>
        <v>28.199999999999996</v>
      </c>
      <c r="D10" s="11">
        <f t="shared" si="14"/>
        <v>710639.99999999977</v>
      </c>
      <c r="E10" s="11">
        <f t="shared" si="15"/>
        <v>355319.99999999988</v>
      </c>
      <c r="F10" s="11">
        <f t="shared" si="16"/>
        <v>355319.99999999988</v>
      </c>
      <c r="G10" s="11">
        <f t="shared" si="17"/>
        <v>355319.99999999988</v>
      </c>
      <c r="H10" s="11">
        <f t="shared" si="18"/>
        <v>355319.99999999988</v>
      </c>
      <c r="I10" s="11">
        <f t="shared" si="42"/>
        <v>4.9999999999999991</v>
      </c>
      <c r="J10" s="11">
        <f t="shared" si="38"/>
        <v>17999.999999999996</v>
      </c>
      <c r="K10" s="11">
        <f t="shared" si="39"/>
        <v>8999.9999999999982</v>
      </c>
      <c r="L10" s="11">
        <f t="shared" si="1"/>
        <v>8999.9999999999982</v>
      </c>
      <c r="M10" s="11">
        <f t="shared" si="2"/>
        <v>8999.9999999999982</v>
      </c>
      <c r="N10" s="11">
        <f t="shared" si="3"/>
        <v>8999.9999999999982</v>
      </c>
      <c r="O10" s="11">
        <v>8</v>
      </c>
      <c r="P10" s="11">
        <f t="shared" si="19"/>
        <v>143999.99999999997</v>
      </c>
      <c r="Q10" s="11">
        <f t="shared" si="20"/>
        <v>71999.999999999985</v>
      </c>
      <c r="R10" s="11">
        <f t="shared" si="21"/>
        <v>71999.999999999985</v>
      </c>
      <c r="S10" s="11">
        <f t="shared" si="22"/>
        <v>71999.999999999985</v>
      </c>
      <c r="T10" s="11">
        <f t="shared" si="23"/>
        <v>71999.999999999985</v>
      </c>
      <c r="U10" s="11">
        <v>8</v>
      </c>
      <c r="V10" s="11">
        <f t="shared" si="24"/>
        <v>28800</v>
      </c>
      <c r="W10" s="11">
        <f t="shared" si="25"/>
        <v>14400</v>
      </c>
      <c r="X10" s="11">
        <f t="shared" si="26"/>
        <v>14400</v>
      </c>
      <c r="Y10" s="11">
        <f t="shared" si="27"/>
        <v>14400</v>
      </c>
      <c r="Z10" s="11">
        <f t="shared" si="28"/>
        <v>14400</v>
      </c>
      <c r="AA10" s="11"/>
      <c r="AB10" s="11">
        <f t="shared" si="29"/>
        <v>299.99999999999994</v>
      </c>
      <c r="AC10" s="11">
        <f t="shared" si="30"/>
        <v>149.99999999999997</v>
      </c>
      <c r="AD10" s="11">
        <f t="shared" si="31"/>
        <v>149.99999999999997</v>
      </c>
      <c r="AE10" s="11">
        <f t="shared" si="32"/>
        <v>149.99999999999997</v>
      </c>
      <c r="AF10" s="11">
        <f t="shared" si="33"/>
        <v>149.99999999999997</v>
      </c>
      <c r="AG10" s="11"/>
      <c r="AH10" s="11">
        <f t="shared" si="40"/>
        <v>18</v>
      </c>
      <c r="AI10" s="11">
        <f t="shared" si="34"/>
        <v>180</v>
      </c>
      <c r="AJ10" s="11">
        <f t="shared" si="35"/>
        <v>72</v>
      </c>
      <c r="AK10" s="12"/>
      <c r="AL10" s="14">
        <f t="shared" si="7"/>
        <v>1973.9999999999993</v>
      </c>
      <c r="AM10" s="12"/>
      <c r="AN10" s="14">
        <f t="shared" si="41"/>
        <v>3.7</v>
      </c>
      <c r="AO10" s="14">
        <f t="shared" si="36"/>
        <v>88.800000000000011</v>
      </c>
      <c r="AP10" s="14">
        <f t="shared" si="8"/>
        <v>3411071.9999999995</v>
      </c>
      <c r="AQ10" s="14">
        <f t="shared" si="9"/>
        <v>1705535.9999999998</v>
      </c>
      <c r="AR10" s="14">
        <f t="shared" si="10"/>
        <v>1705535.9999999998</v>
      </c>
      <c r="AS10" s="14">
        <f t="shared" si="11"/>
        <v>1705535.9999999998</v>
      </c>
      <c r="AT10" s="14">
        <f t="shared" si="12"/>
        <v>1705535.9999999998</v>
      </c>
      <c r="AU10" s="12"/>
      <c r="AV10" s="12"/>
      <c r="AW10" s="12"/>
    </row>
    <row r="11" spans="1:65" s="13" customFormat="1" ht="20.100000000000001" customHeight="1">
      <c r="A11" s="11">
        <v>10</v>
      </c>
      <c r="B11" s="14">
        <f>LOOKUP(A11,建筑等级和人物等级匹配关系!$H:$H,建筑等级和人物等级匹配关系!$I:$I)</f>
        <v>1.2749999999999999</v>
      </c>
      <c r="C11" s="14">
        <f t="shared" si="13"/>
        <v>30.599999999999998</v>
      </c>
      <c r="D11" s="11">
        <f t="shared" si="14"/>
        <v>888623.99999999977</v>
      </c>
      <c r="E11" s="11">
        <f t="shared" si="15"/>
        <v>444311.99999999988</v>
      </c>
      <c r="F11" s="11">
        <f t="shared" si="16"/>
        <v>444311.99999999988</v>
      </c>
      <c r="G11" s="11">
        <f t="shared" si="17"/>
        <v>444311.99999999988</v>
      </c>
      <c r="H11" s="11">
        <f t="shared" si="18"/>
        <v>444311.99999999988</v>
      </c>
      <c r="I11" s="11">
        <f>I10+0.8</f>
        <v>5.7999999999999989</v>
      </c>
      <c r="J11" s="11">
        <f t="shared" si="38"/>
        <v>20879.999999999996</v>
      </c>
      <c r="K11" s="11">
        <f t="shared" si="39"/>
        <v>10439.999999999998</v>
      </c>
      <c r="L11" s="11">
        <f t="shared" si="1"/>
        <v>10439.999999999998</v>
      </c>
      <c r="M11" s="11">
        <f t="shared" si="2"/>
        <v>10439.999999999998</v>
      </c>
      <c r="N11" s="11">
        <f t="shared" si="3"/>
        <v>10439.999999999998</v>
      </c>
      <c r="O11" s="11">
        <v>8</v>
      </c>
      <c r="P11" s="11">
        <f t="shared" si="19"/>
        <v>167039.99999999997</v>
      </c>
      <c r="Q11" s="11">
        <f t="shared" si="20"/>
        <v>83519.999999999985</v>
      </c>
      <c r="R11" s="11">
        <f t="shared" si="21"/>
        <v>83519.999999999985</v>
      </c>
      <c r="S11" s="11">
        <f t="shared" si="22"/>
        <v>83519.999999999985</v>
      </c>
      <c r="T11" s="11">
        <f t="shared" si="23"/>
        <v>83519.999999999985</v>
      </c>
      <c r="U11" s="11">
        <v>8</v>
      </c>
      <c r="V11" s="11">
        <f t="shared" si="24"/>
        <v>28800</v>
      </c>
      <c r="W11" s="11">
        <f t="shared" si="25"/>
        <v>14400</v>
      </c>
      <c r="X11" s="11">
        <f t="shared" si="26"/>
        <v>14400</v>
      </c>
      <c r="Y11" s="11">
        <f t="shared" si="27"/>
        <v>14400</v>
      </c>
      <c r="Z11" s="11">
        <f t="shared" si="28"/>
        <v>14400</v>
      </c>
      <c r="AA11" s="11"/>
      <c r="AB11" s="11">
        <f t="shared" si="29"/>
        <v>347.99999999999994</v>
      </c>
      <c r="AC11" s="11">
        <f t="shared" si="30"/>
        <v>173.99999999999997</v>
      </c>
      <c r="AD11" s="11">
        <f t="shared" si="31"/>
        <v>173.99999999999997</v>
      </c>
      <c r="AE11" s="11">
        <f t="shared" si="32"/>
        <v>173.99999999999997</v>
      </c>
      <c r="AF11" s="11">
        <f t="shared" si="33"/>
        <v>173.99999999999997</v>
      </c>
      <c r="AG11" s="11"/>
      <c r="AH11" s="11">
        <f t="shared" si="40"/>
        <v>20</v>
      </c>
      <c r="AI11" s="11">
        <f t="shared" si="34"/>
        <v>200</v>
      </c>
      <c r="AJ11" s="11">
        <f t="shared" si="35"/>
        <v>80</v>
      </c>
      <c r="AK11" s="12"/>
      <c r="AL11" s="14">
        <f t="shared" si="7"/>
        <v>2468.3999999999992</v>
      </c>
      <c r="AM11" s="12"/>
      <c r="AN11" s="14">
        <f t="shared" si="41"/>
        <v>4.2</v>
      </c>
      <c r="AO11" s="14">
        <f t="shared" si="36"/>
        <v>100.80000000000001</v>
      </c>
      <c r="AP11" s="14">
        <f t="shared" si="8"/>
        <v>4265395.1999999993</v>
      </c>
      <c r="AQ11" s="14">
        <f t="shared" si="9"/>
        <v>2132697.5999999996</v>
      </c>
      <c r="AR11" s="14">
        <f t="shared" si="10"/>
        <v>2132697.5999999996</v>
      </c>
      <c r="AS11" s="14">
        <f t="shared" si="11"/>
        <v>2132697.5999999996</v>
      </c>
      <c r="AT11" s="14">
        <f t="shared" si="12"/>
        <v>2132697.5999999996</v>
      </c>
      <c r="AU11" s="12"/>
      <c r="AV11" s="12"/>
      <c r="AW11" s="12"/>
      <c r="AY11" s="12" t="s">
        <v>59</v>
      </c>
    </row>
    <row r="12" spans="1:65" s="13" customFormat="1" ht="20.100000000000001" customHeight="1">
      <c r="A12" s="11">
        <v>11</v>
      </c>
      <c r="B12" s="14">
        <f>LOOKUP(A12,建筑等级和人物等级匹配关系!$H:$H,建筑等级和人物等级匹配关系!$I:$I)</f>
        <v>1.375</v>
      </c>
      <c r="C12" s="14">
        <f t="shared" si="13"/>
        <v>33</v>
      </c>
      <c r="D12" s="11">
        <f t="shared" si="14"/>
        <v>1085040</v>
      </c>
      <c r="E12" s="11">
        <f t="shared" si="15"/>
        <v>542520</v>
      </c>
      <c r="F12" s="11">
        <f t="shared" si="16"/>
        <v>542520</v>
      </c>
      <c r="G12" s="11">
        <f t="shared" si="17"/>
        <v>542520</v>
      </c>
      <c r="H12" s="11">
        <f t="shared" si="18"/>
        <v>542520</v>
      </c>
      <c r="I12" s="11">
        <f t="shared" ref="I12:I15" si="43">I11+0.8</f>
        <v>6.5999999999999988</v>
      </c>
      <c r="J12" s="11">
        <f t="shared" si="38"/>
        <v>23759.999999999996</v>
      </c>
      <c r="K12" s="11">
        <f t="shared" si="39"/>
        <v>11879.999999999998</v>
      </c>
      <c r="L12" s="11">
        <f t="shared" si="1"/>
        <v>11879.999999999998</v>
      </c>
      <c r="M12" s="11">
        <f t="shared" si="2"/>
        <v>11879.999999999998</v>
      </c>
      <c r="N12" s="11">
        <f t="shared" si="3"/>
        <v>11879.999999999998</v>
      </c>
      <c r="O12" s="11">
        <v>8</v>
      </c>
      <c r="P12" s="11">
        <f t="shared" si="19"/>
        <v>190079.99999999997</v>
      </c>
      <c r="Q12" s="11">
        <f t="shared" si="20"/>
        <v>95039.999999999985</v>
      </c>
      <c r="R12" s="11">
        <f t="shared" si="21"/>
        <v>95039.999999999985</v>
      </c>
      <c r="S12" s="11">
        <f t="shared" si="22"/>
        <v>95039.999999999985</v>
      </c>
      <c r="T12" s="11">
        <f t="shared" si="23"/>
        <v>95039.999999999985</v>
      </c>
      <c r="U12" s="11">
        <v>8</v>
      </c>
      <c r="V12" s="11">
        <f t="shared" si="24"/>
        <v>28800</v>
      </c>
      <c r="W12" s="11">
        <f t="shared" si="25"/>
        <v>14400</v>
      </c>
      <c r="X12" s="11">
        <f t="shared" si="26"/>
        <v>14400</v>
      </c>
      <c r="Y12" s="11">
        <f t="shared" si="27"/>
        <v>14400</v>
      </c>
      <c r="Z12" s="11">
        <f t="shared" si="28"/>
        <v>14400</v>
      </c>
      <c r="AA12" s="11"/>
      <c r="AB12" s="11">
        <f t="shared" si="29"/>
        <v>395.99999999999994</v>
      </c>
      <c r="AC12" s="11">
        <f t="shared" si="30"/>
        <v>197.99999999999997</v>
      </c>
      <c r="AD12" s="11">
        <f t="shared" si="31"/>
        <v>197.99999999999997</v>
      </c>
      <c r="AE12" s="11">
        <f t="shared" si="32"/>
        <v>197.99999999999997</v>
      </c>
      <c r="AF12" s="11">
        <f t="shared" si="33"/>
        <v>197.99999999999997</v>
      </c>
      <c r="AG12" s="11"/>
      <c r="AH12" s="11">
        <f t="shared" si="40"/>
        <v>22</v>
      </c>
      <c r="AI12" s="11">
        <f t="shared" si="34"/>
        <v>220</v>
      </c>
      <c r="AJ12" s="11">
        <f t="shared" si="35"/>
        <v>88</v>
      </c>
      <c r="AK12" s="12"/>
      <c r="AL12" s="14">
        <f t="shared" si="7"/>
        <v>3014</v>
      </c>
      <c r="AM12" s="12"/>
      <c r="AN12" s="14">
        <f t="shared" si="41"/>
        <v>4.7</v>
      </c>
      <c r="AO12" s="14">
        <f t="shared" si="36"/>
        <v>112.80000000000001</v>
      </c>
      <c r="AP12" s="14">
        <f t="shared" si="8"/>
        <v>5208192.0000000009</v>
      </c>
      <c r="AQ12" s="14">
        <f t="shared" si="9"/>
        <v>2604096.0000000005</v>
      </c>
      <c r="AR12" s="14">
        <f t="shared" si="10"/>
        <v>2604096.0000000005</v>
      </c>
      <c r="AS12" s="14">
        <f t="shared" si="11"/>
        <v>2604096.0000000005</v>
      </c>
      <c r="AT12" s="14">
        <f t="shared" si="12"/>
        <v>2604096.0000000005</v>
      </c>
      <c r="AU12" s="12"/>
      <c r="AV12" s="12"/>
      <c r="AW12" s="12"/>
    </row>
    <row r="13" spans="1:65" s="13" customFormat="1" ht="20.100000000000001" customHeight="1">
      <c r="A13" s="11">
        <v>12</v>
      </c>
      <c r="B13" s="14">
        <f>LOOKUP(A13,建筑等级和人物等级匹配关系!$H:$H,建筑等级和人物等级匹配关系!$I:$I)</f>
        <v>1.4750000000000001</v>
      </c>
      <c r="C13" s="14">
        <f t="shared" si="13"/>
        <v>35.400000000000006</v>
      </c>
      <c r="D13" s="11">
        <f t="shared" si="14"/>
        <v>1299888</v>
      </c>
      <c r="E13" s="11">
        <f t="shared" si="15"/>
        <v>649944</v>
      </c>
      <c r="F13" s="11">
        <f t="shared" si="16"/>
        <v>649944</v>
      </c>
      <c r="G13" s="11">
        <f t="shared" si="17"/>
        <v>649944</v>
      </c>
      <c r="H13" s="11">
        <f t="shared" si="18"/>
        <v>649944</v>
      </c>
      <c r="I13" s="11">
        <f t="shared" si="43"/>
        <v>7.3999999999999986</v>
      </c>
      <c r="J13" s="11">
        <f t="shared" si="38"/>
        <v>26639.999999999996</v>
      </c>
      <c r="K13" s="11">
        <f t="shared" si="39"/>
        <v>13319.999999999998</v>
      </c>
      <c r="L13" s="11">
        <f t="shared" si="1"/>
        <v>13319.999999999998</v>
      </c>
      <c r="M13" s="11">
        <f t="shared" si="2"/>
        <v>13319.999999999998</v>
      </c>
      <c r="N13" s="11">
        <f t="shared" si="3"/>
        <v>13319.999999999998</v>
      </c>
      <c r="O13" s="11">
        <v>8</v>
      </c>
      <c r="P13" s="11">
        <f t="shared" si="19"/>
        <v>213119.99999999997</v>
      </c>
      <c r="Q13" s="11">
        <f t="shared" si="20"/>
        <v>106559.99999999999</v>
      </c>
      <c r="R13" s="11">
        <f t="shared" si="21"/>
        <v>106559.99999999999</v>
      </c>
      <c r="S13" s="11">
        <f t="shared" si="22"/>
        <v>106559.99999999999</v>
      </c>
      <c r="T13" s="11">
        <f t="shared" si="23"/>
        <v>106559.99999999999</v>
      </c>
      <c r="U13" s="11">
        <v>8</v>
      </c>
      <c r="V13" s="11">
        <f t="shared" si="24"/>
        <v>28800</v>
      </c>
      <c r="W13" s="11">
        <f t="shared" si="25"/>
        <v>14400</v>
      </c>
      <c r="X13" s="11">
        <f t="shared" si="26"/>
        <v>14400</v>
      </c>
      <c r="Y13" s="11">
        <f t="shared" si="27"/>
        <v>14400</v>
      </c>
      <c r="Z13" s="11">
        <f t="shared" si="28"/>
        <v>14400</v>
      </c>
      <c r="AA13" s="11"/>
      <c r="AB13" s="11">
        <f t="shared" si="29"/>
        <v>443.99999999999994</v>
      </c>
      <c r="AC13" s="11">
        <f t="shared" si="30"/>
        <v>221.99999999999997</v>
      </c>
      <c r="AD13" s="11">
        <f t="shared" si="31"/>
        <v>221.99999999999997</v>
      </c>
      <c r="AE13" s="11">
        <f t="shared" si="32"/>
        <v>221.99999999999997</v>
      </c>
      <c r="AF13" s="11">
        <f t="shared" si="33"/>
        <v>221.99999999999997</v>
      </c>
      <c r="AG13" s="11"/>
      <c r="AH13" s="11">
        <f t="shared" si="40"/>
        <v>24</v>
      </c>
      <c r="AI13" s="11">
        <f t="shared" si="34"/>
        <v>240</v>
      </c>
      <c r="AJ13" s="11">
        <f t="shared" si="35"/>
        <v>96</v>
      </c>
      <c r="AK13" s="12"/>
      <c r="AL13" s="14">
        <f t="shared" si="7"/>
        <v>3610.7999999999997</v>
      </c>
      <c r="AM13" s="12"/>
      <c r="AN13" s="14">
        <f t="shared" si="41"/>
        <v>5.2</v>
      </c>
      <c r="AO13" s="14">
        <f t="shared" si="36"/>
        <v>124.80000000000001</v>
      </c>
      <c r="AP13" s="14">
        <f t="shared" si="8"/>
        <v>6239462.4000000013</v>
      </c>
      <c r="AQ13" s="14">
        <f t="shared" si="9"/>
        <v>3119731.2000000007</v>
      </c>
      <c r="AR13" s="14">
        <f t="shared" si="10"/>
        <v>3119731.2000000007</v>
      </c>
      <c r="AS13" s="14">
        <f t="shared" si="11"/>
        <v>3119731.2000000007</v>
      </c>
      <c r="AT13" s="14">
        <f t="shared" si="12"/>
        <v>3119731.2000000007</v>
      </c>
      <c r="AU13" s="12"/>
      <c r="AV13" s="12"/>
    </row>
    <row r="14" spans="1:65" s="13" customFormat="1" ht="20.100000000000001" customHeight="1">
      <c r="A14" s="11">
        <v>13</v>
      </c>
      <c r="B14" s="14">
        <f>LOOKUP(A14,建筑等级和人物等级匹配关系!$H:$H,建筑等级和人物等级匹配关系!$I:$I)</f>
        <v>1.5750000000000002</v>
      </c>
      <c r="C14" s="14">
        <f t="shared" si="13"/>
        <v>37.800000000000004</v>
      </c>
      <c r="D14" s="11">
        <f t="shared" si="14"/>
        <v>1533168</v>
      </c>
      <c r="E14" s="11">
        <f t="shared" si="15"/>
        <v>766584</v>
      </c>
      <c r="F14" s="11">
        <f t="shared" si="16"/>
        <v>766584</v>
      </c>
      <c r="G14" s="11">
        <f t="shared" si="17"/>
        <v>766584</v>
      </c>
      <c r="H14" s="11">
        <f t="shared" si="18"/>
        <v>766584</v>
      </c>
      <c r="I14" s="11">
        <f t="shared" si="43"/>
        <v>8.1999999999999993</v>
      </c>
      <c r="J14" s="11">
        <f t="shared" si="38"/>
        <v>29519.999999999996</v>
      </c>
      <c r="K14" s="11">
        <f t="shared" si="39"/>
        <v>14759.999999999998</v>
      </c>
      <c r="L14" s="11">
        <f t="shared" si="1"/>
        <v>14759.999999999998</v>
      </c>
      <c r="M14" s="11">
        <f t="shared" si="2"/>
        <v>14759.999999999998</v>
      </c>
      <c r="N14" s="11">
        <f t="shared" si="3"/>
        <v>14759.999999999998</v>
      </c>
      <c r="O14" s="11">
        <v>8</v>
      </c>
      <c r="P14" s="11">
        <f t="shared" si="19"/>
        <v>236159.99999999997</v>
      </c>
      <c r="Q14" s="11">
        <f t="shared" si="20"/>
        <v>118079.99999999999</v>
      </c>
      <c r="R14" s="11">
        <f t="shared" si="21"/>
        <v>118079.99999999999</v>
      </c>
      <c r="S14" s="11">
        <f t="shared" si="22"/>
        <v>118079.99999999999</v>
      </c>
      <c r="T14" s="11">
        <f t="shared" si="23"/>
        <v>118079.99999999999</v>
      </c>
      <c r="U14" s="11">
        <v>8</v>
      </c>
      <c r="V14" s="11">
        <f t="shared" si="24"/>
        <v>28800</v>
      </c>
      <c r="W14" s="11">
        <f t="shared" si="25"/>
        <v>14400</v>
      </c>
      <c r="X14" s="11">
        <f t="shared" si="26"/>
        <v>14400</v>
      </c>
      <c r="Y14" s="11">
        <f t="shared" si="27"/>
        <v>14400</v>
      </c>
      <c r="Z14" s="11">
        <f t="shared" si="28"/>
        <v>14400</v>
      </c>
      <c r="AA14" s="11"/>
      <c r="AB14" s="11">
        <f t="shared" si="29"/>
        <v>491.99999999999994</v>
      </c>
      <c r="AC14" s="11">
        <f t="shared" si="30"/>
        <v>245.99999999999997</v>
      </c>
      <c r="AD14" s="11">
        <f t="shared" si="31"/>
        <v>245.99999999999997</v>
      </c>
      <c r="AE14" s="11">
        <f t="shared" si="32"/>
        <v>245.99999999999997</v>
      </c>
      <c r="AF14" s="11">
        <f t="shared" si="33"/>
        <v>245.99999999999997</v>
      </c>
      <c r="AG14" s="11"/>
      <c r="AH14" s="11">
        <f t="shared" si="40"/>
        <v>26</v>
      </c>
      <c r="AI14" s="11">
        <f t="shared" si="34"/>
        <v>260</v>
      </c>
      <c r="AJ14" s="11">
        <f t="shared" si="35"/>
        <v>104</v>
      </c>
      <c r="AK14" s="12"/>
      <c r="AL14" s="14">
        <f t="shared" si="7"/>
        <v>4258.8</v>
      </c>
      <c r="AM14" s="12"/>
      <c r="AN14" s="14">
        <f t="shared" si="41"/>
        <v>5.7</v>
      </c>
      <c r="AO14" s="14">
        <f t="shared" si="36"/>
        <v>136.80000000000001</v>
      </c>
      <c r="AP14" s="14">
        <f t="shared" si="8"/>
        <v>7359206.4000000013</v>
      </c>
      <c r="AQ14" s="14">
        <f t="shared" si="9"/>
        <v>3679603.2000000007</v>
      </c>
      <c r="AR14" s="14">
        <f t="shared" si="10"/>
        <v>3679603.2000000007</v>
      </c>
      <c r="AS14" s="14">
        <f t="shared" si="11"/>
        <v>3679603.2000000007</v>
      </c>
      <c r="AT14" s="14">
        <f t="shared" si="12"/>
        <v>3679603.2000000007</v>
      </c>
      <c r="AU14" s="12"/>
      <c r="AV14" s="12"/>
      <c r="AW14" s="18" t="s">
        <v>60</v>
      </c>
      <c r="AX14" s="12"/>
      <c r="AZ14" s="12"/>
      <c r="BA14" s="12"/>
      <c r="BB14" s="12"/>
      <c r="BC14" s="12"/>
      <c r="BD14" s="12"/>
      <c r="BF14" s="18" t="s">
        <v>60</v>
      </c>
      <c r="BG14" s="12"/>
      <c r="BI14" s="12"/>
      <c r="BJ14" s="12"/>
      <c r="BK14" s="12"/>
      <c r="BL14" s="12"/>
      <c r="BM14" s="12"/>
    </row>
    <row r="15" spans="1:65" s="13" customFormat="1" ht="20.100000000000001" customHeight="1">
      <c r="A15" s="11">
        <v>14</v>
      </c>
      <c r="B15" s="14">
        <f>LOOKUP(A15,建筑等级和人物等级匹配关系!$H:$H,建筑等级和人物等级匹配关系!$I:$I)</f>
        <v>1.6749999999999998</v>
      </c>
      <c r="C15" s="14">
        <f t="shared" si="13"/>
        <v>40.199999999999996</v>
      </c>
      <c r="D15" s="11">
        <f t="shared" si="14"/>
        <v>1784879.9999999998</v>
      </c>
      <c r="E15" s="11">
        <f t="shared" si="15"/>
        <v>892439.99999999988</v>
      </c>
      <c r="F15" s="11">
        <f t="shared" si="16"/>
        <v>892439.99999999988</v>
      </c>
      <c r="G15" s="11">
        <f t="shared" si="17"/>
        <v>892439.99999999988</v>
      </c>
      <c r="H15" s="11">
        <f t="shared" si="18"/>
        <v>892439.99999999988</v>
      </c>
      <c r="I15" s="11">
        <f t="shared" si="43"/>
        <v>9</v>
      </c>
      <c r="J15" s="11">
        <f t="shared" si="38"/>
        <v>32400</v>
      </c>
      <c r="K15" s="11">
        <f t="shared" si="39"/>
        <v>16200</v>
      </c>
      <c r="L15" s="11">
        <f t="shared" si="1"/>
        <v>16200</v>
      </c>
      <c r="M15" s="11">
        <f t="shared" si="2"/>
        <v>16200</v>
      </c>
      <c r="N15" s="11">
        <f t="shared" si="3"/>
        <v>16200</v>
      </c>
      <c r="O15" s="11">
        <v>8</v>
      </c>
      <c r="P15" s="11">
        <f t="shared" si="19"/>
        <v>259200</v>
      </c>
      <c r="Q15" s="11">
        <f t="shared" si="20"/>
        <v>129600</v>
      </c>
      <c r="R15" s="11">
        <f t="shared" si="21"/>
        <v>129600</v>
      </c>
      <c r="S15" s="11">
        <f t="shared" si="22"/>
        <v>129600</v>
      </c>
      <c r="T15" s="11">
        <f t="shared" si="23"/>
        <v>129600</v>
      </c>
      <c r="U15" s="11">
        <v>8</v>
      </c>
      <c r="V15" s="11">
        <f t="shared" si="24"/>
        <v>28800</v>
      </c>
      <c r="W15" s="11">
        <f t="shared" si="25"/>
        <v>14400</v>
      </c>
      <c r="X15" s="11">
        <f t="shared" si="26"/>
        <v>14400</v>
      </c>
      <c r="Y15" s="11">
        <f t="shared" si="27"/>
        <v>14400</v>
      </c>
      <c r="Z15" s="11">
        <f t="shared" si="28"/>
        <v>14400</v>
      </c>
      <c r="AA15" s="11"/>
      <c r="AB15" s="11">
        <f t="shared" si="29"/>
        <v>540</v>
      </c>
      <c r="AC15" s="11">
        <f t="shared" si="30"/>
        <v>270</v>
      </c>
      <c r="AD15" s="11">
        <f t="shared" si="31"/>
        <v>270</v>
      </c>
      <c r="AE15" s="11">
        <f t="shared" si="32"/>
        <v>270</v>
      </c>
      <c r="AF15" s="11">
        <f t="shared" si="33"/>
        <v>270</v>
      </c>
      <c r="AG15" s="11"/>
      <c r="AH15" s="11">
        <f t="shared" si="40"/>
        <v>28</v>
      </c>
      <c r="AI15" s="11">
        <f t="shared" si="34"/>
        <v>280</v>
      </c>
      <c r="AJ15" s="11">
        <f t="shared" si="35"/>
        <v>112</v>
      </c>
      <c r="AK15" s="12"/>
      <c r="AL15" s="14">
        <f t="shared" si="7"/>
        <v>4957.9999999999991</v>
      </c>
      <c r="AM15" s="12"/>
      <c r="AN15" s="14">
        <f t="shared" si="41"/>
        <v>6.2</v>
      </c>
      <c r="AO15" s="14">
        <f t="shared" si="36"/>
        <v>148.80000000000001</v>
      </c>
      <c r="AP15" s="14">
        <f t="shared" si="8"/>
        <v>8567424</v>
      </c>
      <c r="AQ15" s="14">
        <f t="shared" si="9"/>
        <v>4283712</v>
      </c>
      <c r="AR15" s="14">
        <f t="shared" si="10"/>
        <v>4283712</v>
      </c>
      <c r="AS15" s="14">
        <f t="shared" si="11"/>
        <v>4283712</v>
      </c>
      <c r="AT15" s="14">
        <f t="shared" si="12"/>
        <v>4283712</v>
      </c>
      <c r="AU15" s="12"/>
      <c r="AV15" s="12"/>
      <c r="AW15" s="9" t="s">
        <v>51</v>
      </c>
      <c r="AX15" s="9" t="s">
        <v>54</v>
      </c>
      <c r="AY15" s="9" t="s">
        <v>52</v>
      </c>
      <c r="AZ15" s="9" t="s">
        <v>23</v>
      </c>
      <c r="BA15" s="9" t="s">
        <v>40</v>
      </c>
      <c r="BB15" s="9" t="s">
        <v>41</v>
      </c>
      <c r="BC15" s="9" t="s">
        <v>42</v>
      </c>
      <c r="BD15" s="9" t="s">
        <v>31</v>
      </c>
      <c r="BF15" s="9" t="s">
        <v>51</v>
      </c>
      <c r="BG15" s="9" t="s">
        <v>54</v>
      </c>
      <c r="BH15" s="9" t="s">
        <v>17</v>
      </c>
      <c r="BI15" s="9" t="s">
        <v>23</v>
      </c>
      <c r="BJ15" s="9" t="s">
        <v>27</v>
      </c>
      <c r="BK15" s="9" t="s">
        <v>28</v>
      </c>
      <c r="BL15" s="9" t="s">
        <v>30</v>
      </c>
      <c r="BM15" s="9" t="s">
        <v>31</v>
      </c>
    </row>
    <row r="16" spans="1:65" s="13" customFormat="1" ht="20.100000000000001" customHeight="1">
      <c r="A16" s="11">
        <v>15</v>
      </c>
      <c r="B16" s="14">
        <f>LOOKUP(A16,建筑等级和人物等级匹配关系!$H:$H,建筑等级和人物等级匹配关系!$I:$I)</f>
        <v>1.7749999999999999</v>
      </c>
      <c r="C16" s="14">
        <f t="shared" si="13"/>
        <v>42.599999999999994</v>
      </c>
      <c r="D16" s="11">
        <f t="shared" si="14"/>
        <v>2095919.9999999998</v>
      </c>
      <c r="E16" s="11">
        <f t="shared" si="15"/>
        <v>1047959.9999999999</v>
      </c>
      <c r="F16" s="11">
        <f t="shared" si="16"/>
        <v>1047959.9999999999</v>
      </c>
      <c r="G16" s="11">
        <f t="shared" si="17"/>
        <v>1047959.9999999999</v>
      </c>
      <c r="H16" s="11">
        <f t="shared" si="18"/>
        <v>1047959.9999999999</v>
      </c>
      <c r="I16" s="11">
        <f>I15+1</f>
        <v>10</v>
      </c>
      <c r="J16" s="11">
        <f t="shared" si="38"/>
        <v>36000</v>
      </c>
      <c r="K16" s="11">
        <f t="shared" si="39"/>
        <v>18000</v>
      </c>
      <c r="L16" s="11">
        <f t="shared" si="1"/>
        <v>18000</v>
      </c>
      <c r="M16" s="11">
        <f t="shared" si="2"/>
        <v>18000</v>
      </c>
      <c r="N16" s="11">
        <f t="shared" si="3"/>
        <v>18000</v>
      </c>
      <c r="O16" s="11">
        <v>8</v>
      </c>
      <c r="P16" s="11">
        <f t="shared" si="19"/>
        <v>288000</v>
      </c>
      <c r="Q16" s="11">
        <f t="shared" si="20"/>
        <v>144000</v>
      </c>
      <c r="R16" s="11">
        <f t="shared" si="21"/>
        <v>144000</v>
      </c>
      <c r="S16" s="11">
        <f t="shared" si="22"/>
        <v>144000</v>
      </c>
      <c r="T16" s="11">
        <f t="shared" si="23"/>
        <v>144000</v>
      </c>
      <c r="U16" s="11">
        <v>8</v>
      </c>
      <c r="V16" s="11">
        <f t="shared" si="24"/>
        <v>28800</v>
      </c>
      <c r="W16" s="11">
        <f t="shared" si="25"/>
        <v>14400</v>
      </c>
      <c r="X16" s="11">
        <f t="shared" si="26"/>
        <v>14400</v>
      </c>
      <c r="Y16" s="11">
        <f t="shared" si="27"/>
        <v>14400</v>
      </c>
      <c r="Z16" s="11">
        <f t="shared" si="28"/>
        <v>14400</v>
      </c>
      <c r="AA16" s="11"/>
      <c r="AB16" s="11">
        <f t="shared" si="29"/>
        <v>600</v>
      </c>
      <c r="AC16" s="11">
        <f t="shared" si="30"/>
        <v>300</v>
      </c>
      <c r="AD16" s="11">
        <f t="shared" si="31"/>
        <v>300</v>
      </c>
      <c r="AE16" s="11">
        <f t="shared" si="32"/>
        <v>300</v>
      </c>
      <c r="AF16" s="11">
        <f t="shared" si="33"/>
        <v>300</v>
      </c>
      <c r="AG16" s="11"/>
      <c r="AH16" s="11">
        <f t="shared" si="40"/>
        <v>30</v>
      </c>
      <c r="AI16" s="11">
        <f t="shared" si="34"/>
        <v>300</v>
      </c>
      <c r="AJ16" s="11">
        <f t="shared" si="35"/>
        <v>120</v>
      </c>
      <c r="AK16" s="12"/>
      <c r="AL16" s="14">
        <f t="shared" si="7"/>
        <v>5821.9999999999991</v>
      </c>
      <c r="AM16" s="12"/>
      <c r="AN16" s="14">
        <f t="shared" si="41"/>
        <v>6.7</v>
      </c>
      <c r="AO16" s="14">
        <f t="shared" si="36"/>
        <v>160.80000000000001</v>
      </c>
      <c r="AP16" s="14">
        <f t="shared" si="8"/>
        <v>10060416</v>
      </c>
      <c r="AQ16" s="14">
        <f t="shared" si="9"/>
        <v>5030208</v>
      </c>
      <c r="AR16" s="14">
        <f t="shared" si="10"/>
        <v>5030208</v>
      </c>
      <c r="AS16" s="14">
        <f t="shared" si="11"/>
        <v>5030208</v>
      </c>
      <c r="AT16" s="14">
        <f t="shared" si="12"/>
        <v>5030208</v>
      </c>
      <c r="AU16" s="12"/>
      <c r="AV16" s="12"/>
      <c r="AW16" s="9">
        <v>1</v>
      </c>
      <c r="AX16" s="9">
        <v>0.1</v>
      </c>
      <c r="AY16" s="9" t="s">
        <v>22</v>
      </c>
      <c r="AZ16" s="9">
        <v>1</v>
      </c>
      <c r="BA16" s="9">
        <v>1</v>
      </c>
      <c r="BB16" s="9">
        <v>1</v>
      </c>
      <c r="BC16" s="9">
        <v>1</v>
      </c>
      <c r="BD16" s="9">
        <v>1</v>
      </c>
      <c r="BF16" s="9">
        <v>1</v>
      </c>
      <c r="BG16" s="9">
        <v>0.1</v>
      </c>
      <c r="BH16" s="9" t="s">
        <v>22</v>
      </c>
      <c r="BI16" s="9">
        <v>0.1</v>
      </c>
      <c r="BJ16" s="9">
        <v>0.1</v>
      </c>
      <c r="BK16" s="9">
        <v>0.1</v>
      </c>
      <c r="BL16" s="9">
        <v>0.1</v>
      </c>
      <c r="BM16" s="9">
        <v>0.1</v>
      </c>
    </row>
    <row r="17" spans="1:65" s="13" customFormat="1" ht="20.100000000000001" customHeight="1">
      <c r="A17" s="11">
        <v>16</v>
      </c>
      <c r="B17" s="14">
        <f>LOOKUP(A17,建筑等级和人物等级匹配关系!$H:$H,建筑等级和人物等级匹配关系!$I:$I)</f>
        <v>1.875</v>
      </c>
      <c r="C17" s="14">
        <f t="shared" si="13"/>
        <v>45</v>
      </c>
      <c r="D17" s="11">
        <f t="shared" si="14"/>
        <v>2430000</v>
      </c>
      <c r="E17" s="11">
        <f t="shared" si="15"/>
        <v>1215000</v>
      </c>
      <c r="F17" s="11">
        <f t="shared" si="16"/>
        <v>1215000</v>
      </c>
      <c r="G17" s="11">
        <f t="shared" si="17"/>
        <v>1215000</v>
      </c>
      <c r="H17" s="11">
        <f t="shared" si="18"/>
        <v>1215000</v>
      </c>
      <c r="I17" s="11">
        <f t="shared" ref="I17:I20" si="44">I16+1</f>
        <v>11</v>
      </c>
      <c r="J17" s="11">
        <f t="shared" si="38"/>
        <v>39600</v>
      </c>
      <c r="K17" s="11">
        <f t="shared" si="39"/>
        <v>19800</v>
      </c>
      <c r="L17" s="11">
        <f t="shared" si="1"/>
        <v>19800</v>
      </c>
      <c r="M17" s="11">
        <f t="shared" si="2"/>
        <v>19800</v>
      </c>
      <c r="N17" s="11">
        <f t="shared" si="3"/>
        <v>19800</v>
      </c>
      <c r="O17" s="11">
        <v>8</v>
      </c>
      <c r="P17" s="11">
        <f t="shared" si="19"/>
        <v>316800</v>
      </c>
      <c r="Q17" s="11">
        <f t="shared" si="20"/>
        <v>158400</v>
      </c>
      <c r="R17" s="11">
        <f t="shared" si="21"/>
        <v>158400</v>
      </c>
      <c r="S17" s="11">
        <f t="shared" si="22"/>
        <v>158400</v>
      </c>
      <c r="T17" s="11">
        <f t="shared" si="23"/>
        <v>158400</v>
      </c>
      <c r="U17" s="11">
        <v>8</v>
      </c>
      <c r="V17" s="11">
        <f t="shared" si="24"/>
        <v>28800</v>
      </c>
      <c r="W17" s="11">
        <f t="shared" si="25"/>
        <v>14400</v>
      </c>
      <c r="X17" s="11">
        <f t="shared" si="26"/>
        <v>14400</v>
      </c>
      <c r="Y17" s="11">
        <f t="shared" si="27"/>
        <v>14400</v>
      </c>
      <c r="Z17" s="11">
        <f t="shared" si="28"/>
        <v>14400</v>
      </c>
      <c r="AA17" s="11"/>
      <c r="AB17" s="11">
        <f t="shared" si="29"/>
        <v>660</v>
      </c>
      <c r="AC17" s="11">
        <f t="shared" si="30"/>
        <v>330</v>
      </c>
      <c r="AD17" s="11">
        <f t="shared" si="31"/>
        <v>330</v>
      </c>
      <c r="AE17" s="11">
        <f t="shared" si="32"/>
        <v>330</v>
      </c>
      <c r="AF17" s="11">
        <f t="shared" si="33"/>
        <v>330</v>
      </c>
      <c r="AG17" s="11"/>
      <c r="AH17" s="11">
        <f t="shared" si="40"/>
        <v>32</v>
      </c>
      <c r="AI17" s="11">
        <f t="shared" si="34"/>
        <v>320</v>
      </c>
      <c r="AJ17" s="11">
        <f t="shared" si="35"/>
        <v>128</v>
      </c>
      <c r="AK17" s="12"/>
      <c r="AL17" s="14">
        <f t="shared" si="7"/>
        <v>6750</v>
      </c>
      <c r="AM17" s="12"/>
      <c r="AN17" s="14">
        <f t="shared" si="41"/>
        <v>7.2</v>
      </c>
      <c r="AO17" s="14">
        <f t="shared" si="36"/>
        <v>172.8</v>
      </c>
      <c r="AP17" s="14">
        <f t="shared" si="8"/>
        <v>11664000.000000002</v>
      </c>
      <c r="AQ17" s="14">
        <f t="shared" si="9"/>
        <v>5832000.0000000009</v>
      </c>
      <c r="AR17" s="14">
        <f t="shared" si="10"/>
        <v>5832000.0000000009</v>
      </c>
      <c r="AS17" s="14">
        <f t="shared" si="11"/>
        <v>5832000.0000000009</v>
      </c>
      <c r="AT17" s="14">
        <f t="shared" si="12"/>
        <v>5832000.0000000009</v>
      </c>
      <c r="AU17" s="12"/>
      <c r="AV17" s="12"/>
      <c r="AW17" s="9">
        <v>2</v>
      </c>
      <c r="AX17" s="9">
        <v>0.05</v>
      </c>
      <c r="AY17" s="9" t="s">
        <v>26</v>
      </c>
      <c r="AZ17" s="9">
        <v>1</v>
      </c>
      <c r="BA17" s="9">
        <v>1</v>
      </c>
      <c r="BB17" s="9">
        <v>1</v>
      </c>
      <c r="BC17" s="9"/>
      <c r="BD17" s="9"/>
      <c r="BF17" s="9">
        <v>2</v>
      </c>
      <c r="BG17" s="9">
        <v>0.05</v>
      </c>
      <c r="BH17" s="9" t="s">
        <v>26</v>
      </c>
      <c r="BI17" s="9">
        <v>0.05</v>
      </c>
      <c r="BJ17" s="9">
        <v>0.2</v>
      </c>
      <c r="BK17" s="9">
        <v>0.2</v>
      </c>
      <c r="BL17" s="9"/>
      <c r="BM17" s="9"/>
    </row>
    <row r="18" spans="1:65" s="13" customFormat="1" ht="20.100000000000001" customHeight="1">
      <c r="A18" s="11">
        <v>17</v>
      </c>
      <c r="B18" s="14">
        <f>LOOKUP(A18,建筑等级和人物等级匹配关系!$H:$H,建筑等级和人物等级匹配关系!$I:$I)</f>
        <v>1.9750000000000001</v>
      </c>
      <c r="C18" s="14">
        <f t="shared" si="13"/>
        <v>47.400000000000006</v>
      </c>
      <c r="D18" s="11">
        <f t="shared" si="14"/>
        <v>2787120</v>
      </c>
      <c r="E18" s="11">
        <f t="shared" si="15"/>
        <v>1393560</v>
      </c>
      <c r="F18" s="11">
        <f t="shared" si="16"/>
        <v>1393560</v>
      </c>
      <c r="G18" s="11">
        <f t="shared" si="17"/>
        <v>1393560</v>
      </c>
      <c r="H18" s="11">
        <f t="shared" si="18"/>
        <v>1393560</v>
      </c>
      <c r="I18" s="11">
        <f t="shared" si="44"/>
        <v>12</v>
      </c>
      <c r="J18" s="11">
        <f t="shared" si="38"/>
        <v>43200</v>
      </c>
      <c r="K18" s="11">
        <f t="shared" si="39"/>
        <v>21600</v>
      </c>
      <c r="L18" s="11">
        <f t="shared" si="1"/>
        <v>21600</v>
      </c>
      <c r="M18" s="11">
        <f t="shared" si="2"/>
        <v>21600</v>
      </c>
      <c r="N18" s="11">
        <f t="shared" si="3"/>
        <v>21600</v>
      </c>
      <c r="O18" s="11">
        <v>8</v>
      </c>
      <c r="P18" s="11">
        <f t="shared" si="19"/>
        <v>345600</v>
      </c>
      <c r="Q18" s="11">
        <f t="shared" si="20"/>
        <v>172800</v>
      </c>
      <c r="R18" s="11">
        <f t="shared" si="21"/>
        <v>172800</v>
      </c>
      <c r="S18" s="11">
        <f t="shared" si="22"/>
        <v>172800</v>
      </c>
      <c r="T18" s="11">
        <f t="shared" si="23"/>
        <v>172800</v>
      </c>
      <c r="U18" s="11">
        <v>8</v>
      </c>
      <c r="V18" s="11">
        <f t="shared" si="24"/>
        <v>28800</v>
      </c>
      <c r="W18" s="11">
        <f t="shared" si="25"/>
        <v>14400</v>
      </c>
      <c r="X18" s="11">
        <f t="shared" si="26"/>
        <v>14400</v>
      </c>
      <c r="Y18" s="11">
        <f t="shared" si="27"/>
        <v>14400</v>
      </c>
      <c r="Z18" s="11">
        <f t="shared" si="28"/>
        <v>14400</v>
      </c>
      <c r="AA18" s="11"/>
      <c r="AB18" s="11">
        <f t="shared" si="29"/>
        <v>720</v>
      </c>
      <c r="AC18" s="11">
        <f t="shared" si="30"/>
        <v>360</v>
      </c>
      <c r="AD18" s="11">
        <f t="shared" si="31"/>
        <v>360</v>
      </c>
      <c r="AE18" s="11">
        <f t="shared" si="32"/>
        <v>360</v>
      </c>
      <c r="AF18" s="11">
        <f t="shared" si="33"/>
        <v>360</v>
      </c>
      <c r="AG18" s="11"/>
      <c r="AH18" s="11">
        <f t="shared" si="40"/>
        <v>34</v>
      </c>
      <c r="AI18" s="11">
        <f t="shared" si="34"/>
        <v>340</v>
      </c>
      <c r="AJ18" s="11">
        <f t="shared" si="35"/>
        <v>136</v>
      </c>
      <c r="AK18" s="12"/>
      <c r="AL18" s="14">
        <f t="shared" si="7"/>
        <v>7742</v>
      </c>
      <c r="AM18" s="12"/>
      <c r="AN18" s="14">
        <f t="shared" si="41"/>
        <v>7.7</v>
      </c>
      <c r="AO18" s="14">
        <f t="shared" si="36"/>
        <v>184.8</v>
      </c>
      <c r="AP18" s="14">
        <f t="shared" si="8"/>
        <v>13378176.000000002</v>
      </c>
      <c r="AQ18" s="14">
        <f t="shared" si="9"/>
        <v>6689088.0000000009</v>
      </c>
      <c r="AR18" s="14">
        <f t="shared" si="10"/>
        <v>6689088.0000000009</v>
      </c>
      <c r="AS18" s="14">
        <f t="shared" si="11"/>
        <v>6689088.0000000009</v>
      </c>
      <c r="AT18" s="14">
        <f t="shared" si="12"/>
        <v>6689088.0000000009</v>
      </c>
      <c r="AU18" s="12"/>
      <c r="AV18" s="12"/>
      <c r="AW18" s="9">
        <v>3</v>
      </c>
      <c r="AX18" s="9">
        <v>0.05</v>
      </c>
      <c r="AY18" s="9" t="s">
        <v>29</v>
      </c>
      <c r="AZ18" s="9">
        <v>1</v>
      </c>
      <c r="BA18" s="9"/>
      <c r="BB18" s="9"/>
      <c r="BC18" s="9">
        <v>1</v>
      </c>
      <c r="BD18" s="9">
        <v>1</v>
      </c>
      <c r="BF18" s="9">
        <v>3</v>
      </c>
      <c r="BG18" s="9">
        <v>0.05</v>
      </c>
      <c r="BH18" s="9" t="s">
        <v>29</v>
      </c>
      <c r="BI18" s="9">
        <v>0.05</v>
      </c>
      <c r="BJ18" s="9"/>
      <c r="BK18" s="9"/>
      <c r="BL18" s="9">
        <v>0.2</v>
      </c>
      <c r="BM18" s="9">
        <v>0.2</v>
      </c>
    </row>
    <row r="19" spans="1:65" s="13" customFormat="1" ht="20.100000000000001" customHeight="1">
      <c r="A19" s="11">
        <v>18</v>
      </c>
      <c r="B19" s="14">
        <f>LOOKUP(A19,建筑等级和人物等级匹配关系!$H:$H,建筑等级和人物等级匹配关系!$I:$I)</f>
        <v>2.0750000000000002</v>
      </c>
      <c r="C19" s="14">
        <f t="shared" si="13"/>
        <v>49.800000000000004</v>
      </c>
      <c r="D19" s="11">
        <f t="shared" si="14"/>
        <v>3167280</v>
      </c>
      <c r="E19" s="11">
        <f t="shared" si="15"/>
        <v>1583640</v>
      </c>
      <c r="F19" s="11">
        <f t="shared" si="16"/>
        <v>1583640</v>
      </c>
      <c r="G19" s="11">
        <f t="shared" si="17"/>
        <v>1583640</v>
      </c>
      <c r="H19" s="11">
        <f t="shared" si="18"/>
        <v>1583640</v>
      </c>
      <c r="I19" s="11">
        <f t="shared" si="44"/>
        <v>13</v>
      </c>
      <c r="J19" s="11">
        <f t="shared" si="38"/>
        <v>46800</v>
      </c>
      <c r="K19" s="11">
        <f t="shared" si="39"/>
        <v>23400</v>
      </c>
      <c r="L19" s="11">
        <f t="shared" si="1"/>
        <v>23400</v>
      </c>
      <c r="M19" s="11">
        <f t="shared" si="2"/>
        <v>23400</v>
      </c>
      <c r="N19" s="11">
        <f t="shared" si="3"/>
        <v>23400</v>
      </c>
      <c r="O19" s="11">
        <v>8</v>
      </c>
      <c r="P19" s="11">
        <f t="shared" si="19"/>
        <v>374400</v>
      </c>
      <c r="Q19" s="11">
        <f t="shared" si="20"/>
        <v>187200</v>
      </c>
      <c r="R19" s="11">
        <f t="shared" si="21"/>
        <v>187200</v>
      </c>
      <c r="S19" s="11">
        <f t="shared" si="22"/>
        <v>187200</v>
      </c>
      <c r="T19" s="11">
        <f t="shared" si="23"/>
        <v>187200</v>
      </c>
      <c r="U19" s="11">
        <v>8</v>
      </c>
      <c r="V19" s="11">
        <f t="shared" si="24"/>
        <v>28800</v>
      </c>
      <c r="W19" s="11">
        <f t="shared" si="25"/>
        <v>14400</v>
      </c>
      <c r="X19" s="11">
        <f t="shared" si="26"/>
        <v>14400</v>
      </c>
      <c r="Y19" s="11">
        <f t="shared" si="27"/>
        <v>14400</v>
      </c>
      <c r="Z19" s="11">
        <f t="shared" si="28"/>
        <v>14400</v>
      </c>
      <c r="AA19" s="11"/>
      <c r="AB19" s="11">
        <f t="shared" si="29"/>
        <v>780</v>
      </c>
      <c r="AC19" s="11">
        <f t="shared" si="30"/>
        <v>390</v>
      </c>
      <c r="AD19" s="11">
        <f t="shared" si="31"/>
        <v>390</v>
      </c>
      <c r="AE19" s="11">
        <f t="shared" si="32"/>
        <v>390</v>
      </c>
      <c r="AF19" s="11">
        <f t="shared" si="33"/>
        <v>390</v>
      </c>
      <c r="AG19" s="11"/>
      <c r="AH19" s="11">
        <f t="shared" si="40"/>
        <v>36</v>
      </c>
      <c r="AI19" s="11">
        <f t="shared" si="34"/>
        <v>360</v>
      </c>
      <c r="AJ19" s="11">
        <f t="shared" si="35"/>
        <v>144</v>
      </c>
      <c r="AK19" s="12"/>
      <c r="AL19" s="14">
        <f t="shared" si="7"/>
        <v>8798</v>
      </c>
      <c r="AM19" s="12"/>
      <c r="AN19" s="14">
        <f t="shared" si="41"/>
        <v>8.1999999999999993</v>
      </c>
      <c r="AO19" s="14">
        <f t="shared" si="36"/>
        <v>196.79999999999998</v>
      </c>
      <c r="AP19" s="14">
        <f t="shared" si="8"/>
        <v>15202944.000000002</v>
      </c>
      <c r="AQ19" s="14">
        <f t="shared" si="9"/>
        <v>7601472.0000000009</v>
      </c>
      <c r="AR19" s="14">
        <f t="shared" si="10"/>
        <v>7601472.0000000009</v>
      </c>
      <c r="AS19" s="14">
        <f t="shared" si="11"/>
        <v>7601472.0000000009</v>
      </c>
      <c r="AT19" s="14">
        <f t="shared" si="12"/>
        <v>7601472.0000000009</v>
      </c>
      <c r="AU19" s="12"/>
      <c r="AV19" s="12"/>
      <c r="AW19" s="9">
        <v>4</v>
      </c>
      <c r="AX19" s="9">
        <v>0.05</v>
      </c>
      <c r="AY19" s="9" t="s">
        <v>32</v>
      </c>
      <c r="AZ19" s="9">
        <v>1</v>
      </c>
      <c r="BA19" s="9">
        <v>1</v>
      </c>
      <c r="BB19" s="9"/>
      <c r="BC19" s="9">
        <v>1</v>
      </c>
      <c r="BD19" s="9"/>
      <c r="BF19" s="9">
        <v>4</v>
      </c>
      <c r="BG19" s="9">
        <v>0.05</v>
      </c>
      <c r="BH19" s="9" t="s">
        <v>32</v>
      </c>
      <c r="BI19" s="9">
        <v>0.05</v>
      </c>
      <c r="BJ19" s="9">
        <v>0.2</v>
      </c>
      <c r="BK19" s="9"/>
      <c r="BL19" s="9">
        <v>0.2</v>
      </c>
      <c r="BM19" s="9"/>
    </row>
    <row r="20" spans="1:65" s="13" customFormat="1" ht="20.100000000000001" customHeight="1">
      <c r="A20" s="11">
        <v>19</v>
      </c>
      <c r="B20" s="14">
        <f>LOOKUP(A20,建筑等级和人物等级匹配关系!$H:$H,建筑等级和人物等级匹配关系!$I:$I)</f>
        <v>2.1749999999999998</v>
      </c>
      <c r="C20" s="14">
        <f t="shared" si="13"/>
        <v>52.199999999999996</v>
      </c>
      <c r="D20" s="11">
        <f t="shared" si="14"/>
        <v>3570480</v>
      </c>
      <c r="E20" s="11">
        <f t="shared" si="15"/>
        <v>1785240</v>
      </c>
      <c r="F20" s="11">
        <f t="shared" si="16"/>
        <v>1785240</v>
      </c>
      <c r="G20" s="11">
        <f t="shared" si="17"/>
        <v>1785240</v>
      </c>
      <c r="H20" s="11">
        <f t="shared" si="18"/>
        <v>1785240</v>
      </c>
      <c r="I20" s="11">
        <f t="shared" si="44"/>
        <v>14</v>
      </c>
      <c r="J20" s="11">
        <f t="shared" si="38"/>
        <v>50400</v>
      </c>
      <c r="K20" s="11">
        <f t="shared" si="39"/>
        <v>25200</v>
      </c>
      <c r="L20" s="11">
        <f t="shared" si="1"/>
        <v>25200</v>
      </c>
      <c r="M20" s="11">
        <f t="shared" si="2"/>
        <v>25200</v>
      </c>
      <c r="N20" s="11">
        <f t="shared" si="3"/>
        <v>25200</v>
      </c>
      <c r="O20" s="11">
        <v>8</v>
      </c>
      <c r="P20" s="11">
        <f t="shared" si="19"/>
        <v>403200</v>
      </c>
      <c r="Q20" s="11">
        <f t="shared" si="20"/>
        <v>201600</v>
      </c>
      <c r="R20" s="11">
        <f t="shared" si="21"/>
        <v>201600</v>
      </c>
      <c r="S20" s="11">
        <f t="shared" si="22"/>
        <v>201600</v>
      </c>
      <c r="T20" s="11">
        <f t="shared" si="23"/>
        <v>201600</v>
      </c>
      <c r="U20" s="11">
        <v>8</v>
      </c>
      <c r="V20" s="11">
        <f t="shared" si="24"/>
        <v>28800</v>
      </c>
      <c r="W20" s="11">
        <f t="shared" si="25"/>
        <v>14400</v>
      </c>
      <c r="X20" s="11">
        <f t="shared" si="26"/>
        <v>14400</v>
      </c>
      <c r="Y20" s="11">
        <f t="shared" si="27"/>
        <v>14400</v>
      </c>
      <c r="Z20" s="11">
        <f t="shared" si="28"/>
        <v>14400</v>
      </c>
      <c r="AA20" s="11"/>
      <c r="AB20" s="11">
        <f t="shared" si="29"/>
        <v>840</v>
      </c>
      <c r="AC20" s="11">
        <f t="shared" si="30"/>
        <v>420</v>
      </c>
      <c r="AD20" s="11">
        <f t="shared" si="31"/>
        <v>420</v>
      </c>
      <c r="AE20" s="11">
        <f t="shared" si="32"/>
        <v>420</v>
      </c>
      <c r="AF20" s="11">
        <f t="shared" si="33"/>
        <v>420</v>
      </c>
      <c r="AG20" s="11"/>
      <c r="AH20" s="11">
        <f t="shared" si="40"/>
        <v>38</v>
      </c>
      <c r="AI20" s="11">
        <f t="shared" si="34"/>
        <v>380</v>
      </c>
      <c r="AJ20" s="11">
        <f t="shared" si="35"/>
        <v>152</v>
      </c>
      <c r="AK20" s="12"/>
      <c r="AL20" s="14">
        <f t="shared" si="7"/>
        <v>9918</v>
      </c>
      <c r="AM20" s="12"/>
      <c r="AN20" s="14">
        <f t="shared" si="41"/>
        <v>8.6999999999999993</v>
      </c>
      <c r="AO20" s="14">
        <f t="shared" si="36"/>
        <v>208.79999999999998</v>
      </c>
      <c r="AP20" s="14">
        <f t="shared" si="8"/>
        <v>17138304.000000004</v>
      </c>
      <c r="AQ20" s="14">
        <f t="shared" si="9"/>
        <v>8569152.0000000019</v>
      </c>
      <c r="AR20" s="14">
        <f t="shared" si="10"/>
        <v>8569152.0000000019</v>
      </c>
      <c r="AS20" s="14">
        <f t="shared" si="11"/>
        <v>8569152.0000000019</v>
      </c>
      <c r="AT20" s="14">
        <f t="shared" si="12"/>
        <v>8569152.0000000019</v>
      </c>
      <c r="AU20" s="12"/>
      <c r="AV20" s="12"/>
      <c r="AW20" s="9">
        <v>5</v>
      </c>
      <c r="AX20" s="9">
        <v>0.05</v>
      </c>
      <c r="AY20" s="9" t="s">
        <v>33</v>
      </c>
      <c r="AZ20" s="9">
        <v>1</v>
      </c>
      <c r="BA20" s="9"/>
      <c r="BB20" s="9">
        <v>1</v>
      </c>
      <c r="BC20" s="9"/>
      <c r="BD20" s="9">
        <v>1</v>
      </c>
      <c r="BF20" s="9">
        <v>5</v>
      </c>
      <c r="BG20" s="9">
        <v>0.05</v>
      </c>
      <c r="BH20" s="9" t="s">
        <v>33</v>
      </c>
      <c r="BI20" s="9">
        <v>0.05</v>
      </c>
      <c r="BJ20" s="9"/>
      <c r="BK20" s="9">
        <v>0.2</v>
      </c>
      <c r="BL20" s="9"/>
      <c r="BM20" s="9">
        <v>0.2</v>
      </c>
    </row>
    <row r="21" spans="1:65" s="13" customFormat="1" ht="20.100000000000001" customHeight="1">
      <c r="A21" s="11">
        <v>20</v>
      </c>
      <c r="B21" s="14">
        <f>LOOKUP(A21,建筑等级和人物等级匹配关系!$H:$H,建筑等级和人物等级匹配关系!$I:$I)</f>
        <v>2.2749999999999999</v>
      </c>
      <c r="C21" s="14">
        <f t="shared" si="13"/>
        <v>54.599999999999994</v>
      </c>
      <c r="D21" s="11">
        <f t="shared" si="14"/>
        <v>4049135.9999999995</v>
      </c>
      <c r="E21" s="11">
        <f t="shared" si="15"/>
        <v>2024567.9999999998</v>
      </c>
      <c r="F21" s="11">
        <f t="shared" si="16"/>
        <v>2024567.9999999998</v>
      </c>
      <c r="G21" s="11">
        <f t="shared" si="17"/>
        <v>2024567.9999999998</v>
      </c>
      <c r="H21" s="11">
        <f t="shared" si="18"/>
        <v>2024567.9999999998</v>
      </c>
      <c r="I21" s="11">
        <f>I20+1.2</f>
        <v>15.2</v>
      </c>
      <c r="J21" s="11">
        <f t="shared" si="38"/>
        <v>54720</v>
      </c>
      <c r="K21" s="11">
        <f t="shared" si="39"/>
        <v>27360</v>
      </c>
      <c r="L21" s="11">
        <f t="shared" si="1"/>
        <v>27360</v>
      </c>
      <c r="M21" s="11">
        <f t="shared" si="2"/>
        <v>27360</v>
      </c>
      <c r="N21" s="11">
        <f t="shared" si="3"/>
        <v>27360</v>
      </c>
      <c r="O21" s="11">
        <v>8</v>
      </c>
      <c r="P21" s="11">
        <f t="shared" si="19"/>
        <v>437760</v>
      </c>
      <c r="Q21" s="11">
        <f t="shared" si="20"/>
        <v>218880</v>
      </c>
      <c r="R21" s="11">
        <f t="shared" si="21"/>
        <v>218880</v>
      </c>
      <c r="S21" s="11">
        <f t="shared" si="22"/>
        <v>218880</v>
      </c>
      <c r="T21" s="11">
        <f t="shared" si="23"/>
        <v>218880</v>
      </c>
      <c r="U21" s="11">
        <v>8</v>
      </c>
      <c r="V21" s="11">
        <f t="shared" si="24"/>
        <v>28800</v>
      </c>
      <c r="W21" s="11">
        <f t="shared" si="25"/>
        <v>14400</v>
      </c>
      <c r="X21" s="11">
        <f t="shared" si="26"/>
        <v>14400</v>
      </c>
      <c r="Y21" s="11">
        <f t="shared" si="27"/>
        <v>14400</v>
      </c>
      <c r="Z21" s="11">
        <f t="shared" si="28"/>
        <v>14400</v>
      </c>
      <c r="AA21" s="11"/>
      <c r="AB21" s="11">
        <f t="shared" si="29"/>
        <v>912</v>
      </c>
      <c r="AC21" s="11">
        <f t="shared" si="30"/>
        <v>456</v>
      </c>
      <c r="AD21" s="11">
        <f t="shared" si="31"/>
        <v>456</v>
      </c>
      <c r="AE21" s="11">
        <f t="shared" si="32"/>
        <v>456</v>
      </c>
      <c r="AF21" s="11">
        <f t="shared" si="33"/>
        <v>456</v>
      </c>
      <c r="AG21" s="11"/>
      <c r="AH21" s="11">
        <f t="shared" si="40"/>
        <v>40</v>
      </c>
      <c r="AI21" s="11">
        <f t="shared" si="34"/>
        <v>400</v>
      </c>
      <c r="AJ21" s="11">
        <f t="shared" si="35"/>
        <v>160</v>
      </c>
      <c r="AK21" s="12"/>
      <c r="AL21" s="14">
        <f t="shared" si="7"/>
        <v>11247.599999999999</v>
      </c>
      <c r="AM21" s="12"/>
      <c r="AN21" s="14">
        <f t="shared" si="41"/>
        <v>9.1999999999999993</v>
      </c>
      <c r="AO21" s="14">
        <f t="shared" si="36"/>
        <v>220.79999999999998</v>
      </c>
      <c r="AP21" s="14">
        <f t="shared" si="8"/>
        <v>19435852.800000001</v>
      </c>
      <c r="AQ21" s="14">
        <f t="shared" si="9"/>
        <v>9717926.4000000004</v>
      </c>
      <c r="AR21" s="14">
        <f t="shared" si="10"/>
        <v>9717926.4000000004</v>
      </c>
      <c r="AS21" s="14">
        <f t="shared" si="11"/>
        <v>9717926.4000000004</v>
      </c>
      <c r="AT21" s="14">
        <f t="shared" si="12"/>
        <v>9717926.4000000004</v>
      </c>
      <c r="AU21" s="12"/>
      <c r="AV21" s="12"/>
      <c r="AW21" s="9">
        <v>6</v>
      </c>
      <c r="AX21" s="9">
        <v>0.05</v>
      </c>
      <c r="AY21" s="9" t="s">
        <v>34</v>
      </c>
      <c r="AZ21" s="9">
        <v>1</v>
      </c>
      <c r="BA21" s="9">
        <v>1</v>
      </c>
      <c r="BB21" s="9"/>
      <c r="BC21" s="9"/>
      <c r="BD21" s="9">
        <v>1</v>
      </c>
      <c r="BF21" s="9">
        <v>6</v>
      </c>
      <c r="BG21" s="9">
        <v>0.05</v>
      </c>
      <c r="BH21" s="9" t="s">
        <v>34</v>
      </c>
      <c r="BI21" s="9">
        <v>0.05</v>
      </c>
      <c r="BJ21" s="9">
        <v>0.2</v>
      </c>
      <c r="BK21" s="9"/>
      <c r="BL21" s="9"/>
      <c r="BM21" s="9">
        <v>0.2</v>
      </c>
    </row>
    <row r="22" spans="1:65" s="13" customFormat="1" ht="20.100000000000001" customHeight="1">
      <c r="A22" s="11">
        <v>21</v>
      </c>
      <c r="B22" s="14">
        <f>LOOKUP(A22,建筑等级和人物等级匹配关系!$H:$H,建筑等级和人物等级匹配关系!$I:$I)</f>
        <v>2.375</v>
      </c>
      <c r="C22" s="14">
        <f t="shared" si="13"/>
        <v>57</v>
      </c>
      <c r="D22" s="11">
        <f t="shared" si="14"/>
        <v>4555439.9999999991</v>
      </c>
      <c r="E22" s="11">
        <f t="shared" si="15"/>
        <v>2277719.9999999995</v>
      </c>
      <c r="F22" s="11">
        <f t="shared" si="16"/>
        <v>2277719.9999999995</v>
      </c>
      <c r="G22" s="11">
        <f t="shared" si="17"/>
        <v>2277719.9999999995</v>
      </c>
      <c r="H22" s="11">
        <f t="shared" si="18"/>
        <v>2277719.9999999995</v>
      </c>
      <c r="I22" s="11">
        <f t="shared" ref="I22:I25" si="45">I21+1.2</f>
        <v>16.399999999999999</v>
      </c>
      <c r="J22" s="11">
        <f t="shared" si="38"/>
        <v>59039.999999999993</v>
      </c>
      <c r="K22" s="11">
        <f t="shared" si="39"/>
        <v>29519.999999999996</v>
      </c>
      <c r="L22" s="11">
        <f t="shared" si="1"/>
        <v>29519.999999999996</v>
      </c>
      <c r="M22" s="11">
        <f t="shared" si="2"/>
        <v>29519.999999999996</v>
      </c>
      <c r="N22" s="11">
        <f t="shared" si="3"/>
        <v>29519.999999999996</v>
      </c>
      <c r="O22" s="11">
        <v>8</v>
      </c>
      <c r="P22" s="11">
        <f t="shared" si="19"/>
        <v>472319.99999999994</v>
      </c>
      <c r="Q22" s="11">
        <f t="shared" si="20"/>
        <v>236159.99999999997</v>
      </c>
      <c r="R22" s="11">
        <f t="shared" si="21"/>
        <v>236159.99999999997</v>
      </c>
      <c r="S22" s="11">
        <f t="shared" si="22"/>
        <v>236159.99999999997</v>
      </c>
      <c r="T22" s="11">
        <f t="shared" si="23"/>
        <v>236159.99999999997</v>
      </c>
      <c r="U22" s="11">
        <v>8</v>
      </c>
      <c r="V22" s="11">
        <f t="shared" si="24"/>
        <v>28800</v>
      </c>
      <c r="W22" s="11">
        <f t="shared" si="25"/>
        <v>14400</v>
      </c>
      <c r="X22" s="11">
        <f t="shared" si="26"/>
        <v>14400</v>
      </c>
      <c r="Y22" s="11">
        <f t="shared" si="27"/>
        <v>14400</v>
      </c>
      <c r="Z22" s="11">
        <f t="shared" si="28"/>
        <v>14400</v>
      </c>
      <c r="AA22" s="11"/>
      <c r="AB22" s="11">
        <f t="shared" si="29"/>
        <v>983.99999999999989</v>
      </c>
      <c r="AC22" s="11">
        <f t="shared" si="30"/>
        <v>491.99999999999994</v>
      </c>
      <c r="AD22" s="11">
        <f t="shared" si="31"/>
        <v>491.99999999999994</v>
      </c>
      <c r="AE22" s="11">
        <f t="shared" si="32"/>
        <v>491.99999999999994</v>
      </c>
      <c r="AF22" s="11">
        <f t="shared" si="33"/>
        <v>491.99999999999994</v>
      </c>
      <c r="AG22" s="11"/>
      <c r="AH22" s="11">
        <f t="shared" si="40"/>
        <v>42</v>
      </c>
      <c r="AI22" s="11">
        <f t="shared" si="34"/>
        <v>420</v>
      </c>
      <c r="AJ22" s="11">
        <f t="shared" si="35"/>
        <v>168</v>
      </c>
      <c r="AK22" s="12"/>
      <c r="AL22" s="14">
        <f t="shared" si="7"/>
        <v>12653.999999999998</v>
      </c>
      <c r="AM22" s="12"/>
      <c r="AN22" s="14">
        <f t="shared" si="41"/>
        <v>9.6999999999999993</v>
      </c>
      <c r="AO22" s="14">
        <f t="shared" si="36"/>
        <v>232.79999999999998</v>
      </c>
      <c r="AP22" s="14">
        <f t="shared" si="8"/>
        <v>21866112</v>
      </c>
      <c r="AQ22" s="14">
        <f t="shared" si="9"/>
        <v>10933056</v>
      </c>
      <c r="AR22" s="14">
        <f t="shared" si="10"/>
        <v>10933056</v>
      </c>
      <c r="AS22" s="14">
        <f t="shared" si="11"/>
        <v>10933056</v>
      </c>
      <c r="AT22" s="14">
        <f t="shared" si="12"/>
        <v>10933056</v>
      </c>
      <c r="AU22" s="12"/>
      <c r="AV22" s="12"/>
      <c r="AW22" s="9">
        <v>7</v>
      </c>
      <c r="AX22" s="9">
        <v>0.15</v>
      </c>
      <c r="AY22" s="9" t="s">
        <v>35</v>
      </c>
      <c r="AZ22" s="9">
        <v>1</v>
      </c>
      <c r="BA22" s="9"/>
      <c r="BB22" s="9">
        <v>1</v>
      </c>
      <c r="BC22" s="9">
        <v>1</v>
      </c>
      <c r="BD22" s="9"/>
      <c r="BF22" s="9">
        <v>7</v>
      </c>
      <c r="BG22" s="9">
        <v>0.15</v>
      </c>
      <c r="BH22" s="9" t="s">
        <v>35</v>
      </c>
      <c r="BI22" s="9">
        <v>0.15</v>
      </c>
      <c r="BJ22" s="9"/>
      <c r="BK22" s="9">
        <v>0.2</v>
      </c>
      <c r="BL22" s="9">
        <v>0.2</v>
      </c>
      <c r="BM22" s="9"/>
    </row>
    <row r="23" spans="1:65" s="13" customFormat="1" ht="20.100000000000001" customHeight="1">
      <c r="A23" s="11">
        <v>22</v>
      </c>
      <c r="B23" s="14">
        <f>LOOKUP(A23,建筑等级和人物等级匹配关系!$H:$H,建筑等级和人物等级匹配关系!$I:$I)</f>
        <v>2.4750000000000001</v>
      </c>
      <c r="C23" s="14">
        <f t="shared" si="13"/>
        <v>59.400000000000006</v>
      </c>
      <c r="D23" s="11">
        <f t="shared" si="14"/>
        <v>5089392</v>
      </c>
      <c r="E23" s="11">
        <f t="shared" si="15"/>
        <v>2544696</v>
      </c>
      <c r="F23" s="11">
        <f t="shared" si="16"/>
        <v>2544696</v>
      </c>
      <c r="G23" s="11">
        <f t="shared" si="17"/>
        <v>2544696</v>
      </c>
      <c r="H23" s="11">
        <f t="shared" si="18"/>
        <v>2544696</v>
      </c>
      <c r="I23" s="11">
        <f t="shared" si="45"/>
        <v>17.599999999999998</v>
      </c>
      <c r="J23" s="11">
        <f t="shared" si="38"/>
        <v>63359.999999999993</v>
      </c>
      <c r="K23" s="11">
        <f t="shared" si="39"/>
        <v>31679.999999999996</v>
      </c>
      <c r="L23" s="11">
        <f t="shared" si="1"/>
        <v>31679.999999999996</v>
      </c>
      <c r="M23" s="11">
        <f t="shared" si="2"/>
        <v>31679.999999999996</v>
      </c>
      <c r="N23" s="11">
        <f t="shared" si="3"/>
        <v>31679.999999999996</v>
      </c>
      <c r="O23" s="11">
        <v>8</v>
      </c>
      <c r="P23" s="11">
        <f t="shared" si="19"/>
        <v>506879.99999999994</v>
      </c>
      <c r="Q23" s="11">
        <f t="shared" si="20"/>
        <v>253439.99999999997</v>
      </c>
      <c r="R23" s="11">
        <f t="shared" si="21"/>
        <v>253439.99999999997</v>
      </c>
      <c r="S23" s="11">
        <f t="shared" si="22"/>
        <v>253439.99999999997</v>
      </c>
      <c r="T23" s="11">
        <f t="shared" si="23"/>
        <v>253439.99999999997</v>
      </c>
      <c r="U23" s="11">
        <v>8</v>
      </c>
      <c r="V23" s="11">
        <f t="shared" si="24"/>
        <v>28800</v>
      </c>
      <c r="W23" s="11">
        <f t="shared" si="25"/>
        <v>14400</v>
      </c>
      <c r="X23" s="11">
        <f t="shared" si="26"/>
        <v>14400</v>
      </c>
      <c r="Y23" s="11">
        <f t="shared" si="27"/>
        <v>14400</v>
      </c>
      <c r="Z23" s="11">
        <f t="shared" si="28"/>
        <v>14400</v>
      </c>
      <c r="AA23" s="11"/>
      <c r="AB23" s="11">
        <f t="shared" si="29"/>
        <v>1055.9999999999998</v>
      </c>
      <c r="AC23" s="11">
        <f t="shared" si="30"/>
        <v>527.99999999999989</v>
      </c>
      <c r="AD23" s="11">
        <f t="shared" si="31"/>
        <v>527.99999999999989</v>
      </c>
      <c r="AE23" s="11">
        <f t="shared" si="32"/>
        <v>527.99999999999989</v>
      </c>
      <c r="AF23" s="11">
        <f t="shared" si="33"/>
        <v>527.99999999999989</v>
      </c>
      <c r="AG23" s="11"/>
      <c r="AH23" s="11">
        <f t="shared" si="40"/>
        <v>44</v>
      </c>
      <c r="AI23" s="11">
        <f t="shared" si="34"/>
        <v>440</v>
      </c>
      <c r="AJ23" s="11">
        <f t="shared" si="35"/>
        <v>176</v>
      </c>
      <c r="AK23" s="12"/>
      <c r="AL23" s="14">
        <f t="shared" si="7"/>
        <v>14137.199999999999</v>
      </c>
      <c r="AM23" s="12"/>
      <c r="AN23" s="14">
        <f t="shared" si="41"/>
        <v>10.199999999999999</v>
      </c>
      <c r="AO23" s="14">
        <f t="shared" si="36"/>
        <v>244.79999999999998</v>
      </c>
      <c r="AP23" s="14">
        <f t="shared" si="8"/>
        <v>24429081.600000005</v>
      </c>
      <c r="AQ23" s="14">
        <f t="shared" si="9"/>
        <v>12214540.800000003</v>
      </c>
      <c r="AR23" s="14">
        <f t="shared" si="10"/>
        <v>12214540.800000003</v>
      </c>
      <c r="AS23" s="14">
        <f t="shared" si="11"/>
        <v>12214540.800000003</v>
      </c>
      <c r="AT23" s="14">
        <f t="shared" si="12"/>
        <v>12214540.800000003</v>
      </c>
      <c r="AU23" s="12"/>
      <c r="AV23" s="12"/>
      <c r="AW23" s="9">
        <v>8</v>
      </c>
      <c r="AX23" s="9">
        <v>0.125</v>
      </c>
      <c r="AY23" s="9" t="s">
        <v>47</v>
      </c>
      <c r="AZ23" s="9">
        <v>1</v>
      </c>
      <c r="BA23" s="9">
        <v>1</v>
      </c>
      <c r="BB23" s="9">
        <v>1</v>
      </c>
      <c r="BC23" s="9"/>
      <c r="BD23" s="9"/>
      <c r="BF23" s="9">
        <v>8</v>
      </c>
      <c r="BG23" s="9">
        <v>0.125</v>
      </c>
      <c r="BH23" s="9" t="s">
        <v>47</v>
      </c>
      <c r="BI23" s="9">
        <v>0.125</v>
      </c>
      <c r="BJ23" s="9">
        <v>0.3</v>
      </c>
      <c r="BK23" s="9">
        <v>0.3</v>
      </c>
      <c r="BL23" s="9"/>
      <c r="BM23" s="9"/>
    </row>
    <row r="24" spans="1:65" s="13" customFormat="1" ht="20.100000000000001" customHeight="1">
      <c r="A24" s="11">
        <v>23</v>
      </c>
      <c r="B24" s="14">
        <f>LOOKUP(A24,建筑等级和人物等级匹配关系!$H:$H,建筑等级和人物等级匹配关系!$I:$I)</f>
        <v>2.5750000000000002</v>
      </c>
      <c r="C24" s="14">
        <f t="shared" si="13"/>
        <v>61.800000000000004</v>
      </c>
      <c r="D24" s="11">
        <f t="shared" si="14"/>
        <v>5650991.9999999991</v>
      </c>
      <c r="E24" s="11">
        <f t="shared" si="15"/>
        <v>2825495.9999999995</v>
      </c>
      <c r="F24" s="11">
        <f t="shared" si="16"/>
        <v>2825495.9999999995</v>
      </c>
      <c r="G24" s="11">
        <f t="shared" si="17"/>
        <v>2825495.9999999995</v>
      </c>
      <c r="H24" s="11">
        <f t="shared" si="18"/>
        <v>2825495.9999999995</v>
      </c>
      <c r="I24" s="11">
        <f t="shared" si="45"/>
        <v>18.799999999999997</v>
      </c>
      <c r="J24" s="11">
        <f t="shared" si="38"/>
        <v>67679.999999999985</v>
      </c>
      <c r="K24" s="11">
        <f t="shared" si="39"/>
        <v>33839.999999999993</v>
      </c>
      <c r="L24" s="11">
        <f t="shared" si="1"/>
        <v>33839.999999999993</v>
      </c>
      <c r="M24" s="11">
        <f t="shared" si="2"/>
        <v>33839.999999999993</v>
      </c>
      <c r="N24" s="11">
        <f t="shared" si="3"/>
        <v>33839.999999999993</v>
      </c>
      <c r="O24" s="11">
        <v>8</v>
      </c>
      <c r="P24" s="11">
        <f t="shared" si="19"/>
        <v>541439.99999999988</v>
      </c>
      <c r="Q24" s="11">
        <f t="shared" si="20"/>
        <v>270719.99999999994</v>
      </c>
      <c r="R24" s="11">
        <f t="shared" si="21"/>
        <v>270719.99999999994</v>
      </c>
      <c r="S24" s="11">
        <f t="shared" si="22"/>
        <v>270719.99999999994</v>
      </c>
      <c r="T24" s="11">
        <f t="shared" si="23"/>
        <v>270719.99999999994</v>
      </c>
      <c r="U24" s="11">
        <v>8</v>
      </c>
      <c r="V24" s="11">
        <f t="shared" si="24"/>
        <v>28800</v>
      </c>
      <c r="W24" s="11">
        <f t="shared" si="25"/>
        <v>14400</v>
      </c>
      <c r="X24" s="11">
        <f t="shared" si="26"/>
        <v>14400</v>
      </c>
      <c r="Y24" s="11">
        <f t="shared" si="27"/>
        <v>14400</v>
      </c>
      <c r="Z24" s="11">
        <f t="shared" si="28"/>
        <v>14400</v>
      </c>
      <c r="AA24" s="11"/>
      <c r="AB24" s="11">
        <f t="shared" si="29"/>
        <v>1127.9999999999998</v>
      </c>
      <c r="AC24" s="11">
        <f t="shared" si="30"/>
        <v>563.99999999999989</v>
      </c>
      <c r="AD24" s="11">
        <f t="shared" si="31"/>
        <v>563.99999999999989</v>
      </c>
      <c r="AE24" s="11">
        <f t="shared" si="32"/>
        <v>563.99999999999989</v>
      </c>
      <c r="AF24" s="11">
        <f t="shared" si="33"/>
        <v>563.99999999999989</v>
      </c>
      <c r="AG24" s="11"/>
      <c r="AH24" s="11">
        <f t="shared" si="40"/>
        <v>46</v>
      </c>
      <c r="AI24" s="11">
        <f t="shared" si="34"/>
        <v>460</v>
      </c>
      <c r="AJ24" s="11">
        <f t="shared" si="35"/>
        <v>184</v>
      </c>
      <c r="AK24" s="12"/>
      <c r="AL24" s="14">
        <f t="shared" si="7"/>
        <v>15697.199999999997</v>
      </c>
      <c r="AM24" s="12"/>
      <c r="AN24" s="14">
        <f t="shared" si="41"/>
        <v>10.7</v>
      </c>
      <c r="AO24" s="14">
        <f t="shared" si="36"/>
        <v>256.79999999999995</v>
      </c>
      <c r="AP24" s="14">
        <f t="shared" si="8"/>
        <v>27124761.599999998</v>
      </c>
      <c r="AQ24" s="14">
        <f t="shared" si="9"/>
        <v>13562380.799999999</v>
      </c>
      <c r="AR24" s="14">
        <f t="shared" si="10"/>
        <v>13562380.799999999</v>
      </c>
      <c r="AS24" s="14">
        <f t="shared" si="11"/>
        <v>13562380.799999999</v>
      </c>
      <c r="AT24" s="14">
        <f t="shared" si="12"/>
        <v>13562380.799999999</v>
      </c>
      <c r="AU24" s="12"/>
      <c r="AV24" s="12"/>
      <c r="AW24" s="9">
        <v>9</v>
      </c>
      <c r="AX24" s="9">
        <v>0.125</v>
      </c>
      <c r="AY24" s="9" t="s">
        <v>48</v>
      </c>
      <c r="AZ24" s="9">
        <v>1</v>
      </c>
      <c r="BA24" s="9"/>
      <c r="BB24" s="9"/>
      <c r="BC24" s="9">
        <v>1</v>
      </c>
      <c r="BD24" s="9">
        <v>1</v>
      </c>
      <c r="BF24" s="9">
        <v>9</v>
      </c>
      <c r="BG24" s="9">
        <v>0.125</v>
      </c>
      <c r="BH24" s="9" t="s">
        <v>48</v>
      </c>
      <c r="BI24" s="9">
        <v>0.125</v>
      </c>
      <c r="BJ24" s="9"/>
      <c r="BK24" s="9"/>
      <c r="BL24" s="9">
        <v>0.3</v>
      </c>
      <c r="BM24" s="9">
        <v>0.3</v>
      </c>
    </row>
    <row r="25" spans="1:65" s="13" customFormat="1" ht="20.100000000000001" customHeight="1">
      <c r="A25" s="11">
        <v>24</v>
      </c>
      <c r="B25" s="14">
        <f>LOOKUP(A25,建筑等级和人物等级匹配关系!$H:$H,建筑等级和人物等级匹配关系!$I:$I)</f>
        <v>2.6749999999999998</v>
      </c>
      <c r="C25" s="14">
        <f t="shared" si="13"/>
        <v>64.199999999999989</v>
      </c>
      <c r="D25" s="11">
        <f t="shared" si="14"/>
        <v>6240239.9999999981</v>
      </c>
      <c r="E25" s="11">
        <f t="shared" si="15"/>
        <v>3120119.9999999991</v>
      </c>
      <c r="F25" s="11">
        <f t="shared" si="16"/>
        <v>3120119.9999999991</v>
      </c>
      <c r="G25" s="11">
        <f t="shared" si="17"/>
        <v>3120119.9999999991</v>
      </c>
      <c r="H25" s="11">
        <f t="shared" si="18"/>
        <v>3120119.9999999991</v>
      </c>
      <c r="I25" s="11">
        <f t="shared" si="45"/>
        <v>19.999999999999996</v>
      </c>
      <c r="J25" s="11">
        <f t="shared" si="38"/>
        <v>71999.999999999985</v>
      </c>
      <c r="K25" s="11">
        <f t="shared" si="39"/>
        <v>35999.999999999993</v>
      </c>
      <c r="L25" s="11">
        <f t="shared" si="1"/>
        <v>35999.999999999993</v>
      </c>
      <c r="M25" s="11">
        <f t="shared" si="2"/>
        <v>35999.999999999993</v>
      </c>
      <c r="N25" s="11">
        <f t="shared" si="3"/>
        <v>35999.999999999993</v>
      </c>
      <c r="O25" s="11">
        <v>8</v>
      </c>
      <c r="P25" s="11">
        <f t="shared" si="19"/>
        <v>575999.99999999988</v>
      </c>
      <c r="Q25" s="11">
        <f t="shared" si="20"/>
        <v>287999.99999999994</v>
      </c>
      <c r="R25" s="11">
        <f t="shared" si="21"/>
        <v>287999.99999999994</v>
      </c>
      <c r="S25" s="11">
        <f t="shared" si="22"/>
        <v>287999.99999999994</v>
      </c>
      <c r="T25" s="11">
        <f t="shared" si="23"/>
        <v>287999.99999999994</v>
      </c>
      <c r="U25" s="11">
        <v>8</v>
      </c>
      <c r="V25" s="11">
        <f t="shared" si="24"/>
        <v>28800</v>
      </c>
      <c r="W25" s="11">
        <f t="shared" si="25"/>
        <v>14400</v>
      </c>
      <c r="X25" s="11">
        <f t="shared" si="26"/>
        <v>14400</v>
      </c>
      <c r="Y25" s="11">
        <f t="shared" si="27"/>
        <v>14400</v>
      </c>
      <c r="Z25" s="11">
        <f t="shared" si="28"/>
        <v>14400</v>
      </c>
      <c r="AA25" s="11"/>
      <c r="AB25" s="11">
        <f t="shared" si="29"/>
        <v>1199.9999999999998</v>
      </c>
      <c r="AC25" s="11">
        <f t="shared" si="30"/>
        <v>599.99999999999989</v>
      </c>
      <c r="AD25" s="11">
        <f t="shared" si="31"/>
        <v>599.99999999999989</v>
      </c>
      <c r="AE25" s="11">
        <f t="shared" si="32"/>
        <v>599.99999999999989</v>
      </c>
      <c r="AF25" s="11">
        <f t="shared" si="33"/>
        <v>599.99999999999989</v>
      </c>
      <c r="AG25" s="11"/>
      <c r="AH25" s="11">
        <f t="shared" si="40"/>
        <v>48</v>
      </c>
      <c r="AI25" s="11">
        <f t="shared" si="34"/>
        <v>480</v>
      </c>
      <c r="AJ25" s="11">
        <f t="shared" si="35"/>
        <v>192</v>
      </c>
      <c r="AK25" s="12"/>
      <c r="AL25" s="14">
        <f t="shared" si="7"/>
        <v>17333.999999999996</v>
      </c>
      <c r="AM25" s="12"/>
      <c r="AN25" s="14">
        <f t="shared" si="41"/>
        <v>11.2</v>
      </c>
      <c r="AO25" s="14">
        <f t="shared" si="36"/>
        <v>268.79999999999995</v>
      </c>
      <c r="AP25" s="14">
        <f t="shared" si="8"/>
        <v>29953151.999999996</v>
      </c>
      <c r="AQ25" s="14">
        <f t="shared" si="9"/>
        <v>14976575.999999998</v>
      </c>
      <c r="AR25" s="14">
        <f t="shared" si="10"/>
        <v>14976575.999999998</v>
      </c>
      <c r="AS25" s="14">
        <f t="shared" si="11"/>
        <v>14976575.999999998</v>
      </c>
      <c r="AT25" s="14">
        <f t="shared" si="12"/>
        <v>14976575.999999998</v>
      </c>
      <c r="AU25" s="12"/>
      <c r="AV25" s="12"/>
      <c r="AW25" s="9">
        <v>10</v>
      </c>
      <c r="AX25" s="9">
        <v>0.125</v>
      </c>
      <c r="AY25" s="9" t="s">
        <v>49</v>
      </c>
      <c r="AZ25" s="9">
        <v>1</v>
      </c>
      <c r="BA25" s="9"/>
      <c r="BB25" s="9"/>
      <c r="BC25" s="9"/>
      <c r="BD25" s="9"/>
      <c r="BF25" s="9">
        <v>10</v>
      </c>
      <c r="BG25" s="9">
        <v>0.125</v>
      </c>
      <c r="BH25" s="9" t="s">
        <v>49</v>
      </c>
      <c r="BI25" s="9">
        <v>0.125</v>
      </c>
      <c r="BJ25" s="9"/>
      <c r="BK25" s="9"/>
      <c r="BL25" s="9"/>
      <c r="BM25" s="9"/>
    </row>
    <row r="26" spans="1:65" s="13" customFormat="1" ht="20.100000000000001" customHeight="1">
      <c r="A26" s="11">
        <v>25</v>
      </c>
      <c r="B26" s="14">
        <f>LOOKUP(A26,建筑等级和人物等级匹配关系!$H:$H,建筑等级和人物等级匹配关系!$I:$I)</f>
        <v>8.625</v>
      </c>
      <c r="C26" s="14">
        <f t="shared" si="13"/>
        <v>207</v>
      </c>
      <c r="D26" s="11">
        <f t="shared" si="14"/>
        <v>22107599.999999996</v>
      </c>
      <c r="E26" s="11">
        <f t="shared" si="15"/>
        <v>11053799.999999998</v>
      </c>
      <c r="F26" s="11">
        <f t="shared" si="16"/>
        <v>11053799.999999998</v>
      </c>
      <c r="G26" s="11">
        <f t="shared" si="17"/>
        <v>11053799.999999998</v>
      </c>
      <c r="H26" s="11">
        <f t="shared" si="18"/>
        <v>11053799.999999998</v>
      </c>
      <c r="I26" s="11">
        <f>I25+2</f>
        <v>21.999999999999996</v>
      </c>
      <c r="J26" s="11">
        <f t="shared" si="38"/>
        <v>79199.999999999985</v>
      </c>
      <c r="K26" s="11">
        <f t="shared" si="39"/>
        <v>39599.999999999993</v>
      </c>
      <c r="L26" s="11">
        <f t="shared" si="1"/>
        <v>39599.999999999993</v>
      </c>
      <c r="M26" s="11">
        <f t="shared" si="2"/>
        <v>39599.999999999993</v>
      </c>
      <c r="N26" s="11">
        <f t="shared" si="3"/>
        <v>39599.999999999993</v>
      </c>
      <c r="O26" s="11">
        <v>8</v>
      </c>
      <c r="P26" s="11">
        <f t="shared" si="19"/>
        <v>633599.99999999988</v>
      </c>
      <c r="Q26" s="11">
        <f t="shared" si="20"/>
        <v>316799.99999999994</v>
      </c>
      <c r="R26" s="11">
        <f t="shared" si="21"/>
        <v>316799.99999999994</v>
      </c>
      <c r="S26" s="11">
        <f t="shared" si="22"/>
        <v>316799.99999999994</v>
      </c>
      <c r="T26" s="11">
        <f t="shared" si="23"/>
        <v>316799.99999999994</v>
      </c>
      <c r="U26" s="11">
        <v>8</v>
      </c>
      <c r="V26" s="11">
        <f t="shared" si="24"/>
        <v>28800</v>
      </c>
      <c r="W26" s="11">
        <f t="shared" si="25"/>
        <v>14400</v>
      </c>
      <c r="X26" s="11">
        <f t="shared" si="26"/>
        <v>14400</v>
      </c>
      <c r="Y26" s="11">
        <f t="shared" si="27"/>
        <v>14400</v>
      </c>
      <c r="Z26" s="11">
        <f t="shared" si="28"/>
        <v>14400</v>
      </c>
      <c r="AA26" s="11"/>
      <c r="AB26" s="11">
        <f t="shared" si="29"/>
        <v>1319.9999999999998</v>
      </c>
      <c r="AC26" s="11">
        <f t="shared" si="30"/>
        <v>659.99999999999989</v>
      </c>
      <c r="AD26" s="11">
        <f t="shared" si="31"/>
        <v>659.99999999999989</v>
      </c>
      <c r="AE26" s="11">
        <f t="shared" si="32"/>
        <v>659.99999999999989</v>
      </c>
      <c r="AF26" s="11">
        <f t="shared" si="33"/>
        <v>659.99999999999989</v>
      </c>
      <c r="AG26" s="11"/>
      <c r="AH26" s="11">
        <f t="shared" si="40"/>
        <v>50</v>
      </c>
      <c r="AI26" s="11">
        <f t="shared" si="34"/>
        <v>500</v>
      </c>
      <c r="AJ26" s="11">
        <f t="shared" si="35"/>
        <v>200</v>
      </c>
      <c r="AK26" s="12"/>
      <c r="AL26" s="14">
        <f t="shared" si="7"/>
        <v>61409.999999999993</v>
      </c>
      <c r="AM26" s="12"/>
      <c r="AN26" s="14">
        <f>AN25+0.5</f>
        <v>11.7</v>
      </c>
      <c r="AO26" s="14">
        <f t="shared" si="36"/>
        <v>280.79999999999995</v>
      </c>
      <c r="AP26" s="14">
        <f t="shared" si="8"/>
        <v>106116480</v>
      </c>
      <c r="AQ26" s="14">
        <f t="shared" si="9"/>
        <v>53058240</v>
      </c>
      <c r="AR26" s="14">
        <f t="shared" si="10"/>
        <v>53058240</v>
      </c>
      <c r="AS26" s="14">
        <f t="shared" si="11"/>
        <v>53058240</v>
      </c>
      <c r="AT26" s="14">
        <f t="shared" si="12"/>
        <v>53058240</v>
      </c>
      <c r="AU26" s="12"/>
      <c r="AV26" s="12"/>
      <c r="AW26" s="9">
        <v>11</v>
      </c>
      <c r="AX26" s="9">
        <v>0.125</v>
      </c>
      <c r="AY26" s="9" t="s">
        <v>53</v>
      </c>
      <c r="AZ26" s="9">
        <v>1</v>
      </c>
      <c r="BA26" s="9"/>
      <c r="BB26" s="9"/>
      <c r="BC26" s="9"/>
      <c r="BD26" s="9"/>
      <c r="BF26" s="9">
        <v>11</v>
      </c>
      <c r="BG26" s="9">
        <v>0.125</v>
      </c>
      <c r="BH26" s="9" t="s">
        <v>53</v>
      </c>
      <c r="BI26" s="9">
        <v>0.125</v>
      </c>
      <c r="BJ26" s="9"/>
      <c r="BK26" s="9"/>
      <c r="BL26" s="9"/>
      <c r="BM26" s="9"/>
    </row>
    <row r="27" spans="1:65" s="13" customFormat="1" ht="20.100000000000001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4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</row>
    <row r="28" spans="1:65" s="13" customFormat="1" ht="20.100000000000001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 t="s">
        <v>64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4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Y28" s="11" t="s">
        <v>61</v>
      </c>
    </row>
    <row r="29" spans="1:65" s="13" customFormat="1" ht="20.100000000000001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4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</row>
    <row r="30" spans="1:65" s="13" customFormat="1" ht="20.100000000000001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4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</row>
    <row r="31" spans="1:65" s="13" customFormat="1" ht="20.100000000000001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4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</row>
    <row r="32" spans="1:65" s="13" customFormat="1" ht="20.100000000000001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4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</row>
    <row r="33" spans="1:49" s="13" customFormat="1" ht="20.100000000000001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4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</row>
    <row r="34" spans="1:49" s="13" customFormat="1" ht="20.100000000000001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4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</row>
    <row r="35" spans="1:49" s="13" customFormat="1" ht="20.100000000000001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4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</row>
    <row r="36" spans="1:49" s="13" customFormat="1" ht="20.100000000000001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4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</row>
    <row r="37" spans="1:49" s="13" customFormat="1" ht="20.100000000000001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4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</row>
    <row r="38" spans="1:49" s="13" customFormat="1" ht="20.100000000000001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4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</row>
    <row r="39" spans="1:49" s="13" customFormat="1" ht="20.100000000000001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4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</row>
    <row r="40" spans="1:49" s="13" customFormat="1" ht="20.100000000000001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4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</row>
    <row r="41" spans="1:49" s="13" customFormat="1" ht="20.100000000000001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4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</row>
    <row r="42" spans="1:49" s="13" customFormat="1" ht="20.100000000000001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4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</row>
    <row r="43" spans="1:49" s="13" customFormat="1" ht="20.100000000000001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4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</row>
    <row r="44" spans="1:49" s="13" customFormat="1" ht="20.100000000000001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4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</row>
    <row r="45" spans="1:49" s="13" customFormat="1" ht="20.100000000000001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4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</row>
    <row r="46" spans="1:49" s="13" customFormat="1" ht="20.100000000000001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4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</row>
    <row r="47" spans="1:49" s="13" customFormat="1" ht="20.100000000000001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4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</row>
    <row r="48" spans="1:49" s="13" customFormat="1" ht="20.100000000000001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4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</row>
    <row r="49" spans="1:49" s="13" customFormat="1" ht="20.100000000000001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4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</row>
    <row r="50" spans="1:49" s="13" customFormat="1" ht="20.100000000000001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4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</row>
    <row r="51" spans="1:49" s="13" customFormat="1" ht="20.100000000000001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4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</row>
    <row r="52" spans="1:49" s="13" customFormat="1" ht="20.100000000000001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4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</row>
    <row r="53" spans="1:49" s="13" customFormat="1" ht="20.100000000000001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4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</row>
    <row r="54" spans="1:49" s="13" customFormat="1" ht="20.100000000000001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4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</row>
    <row r="55" spans="1:49" s="13" customFormat="1" ht="20.100000000000001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4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</row>
    <row r="56" spans="1:49" s="13" customFormat="1" ht="20.100000000000001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4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</row>
    <row r="57" spans="1:49" s="13" customFormat="1" ht="20.100000000000001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4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</row>
    <row r="58" spans="1:49" s="13" customFormat="1" ht="20.100000000000001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4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</row>
    <row r="59" spans="1:49" s="13" customFormat="1" ht="20.100000000000001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4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</row>
    <row r="60" spans="1:49" s="13" customFormat="1" ht="20.100000000000001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4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</row>
    <row r="61" spans="1:49" s="13" customFormat="1" ht="20.100000000000001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4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</row>
    <row r="62" spans="1:49" s="13" customFormat="1" ht="20.100000000000001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4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</row>
    <row r="63" spans="1:49" s="13" customFormat="1" ht="20.100000000000001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4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</row>
    <row r="64" spans="1:49" s="13" customFormat="1" ht="20.100000000000001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4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</row>
    <row r="65" spans="1:57" s="13" customFormat="1" ht="20.100000000000001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4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</row>
    <row r="66" spans="1:57" s="13" customFormat="1" ht="20.100000000000001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4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</row>
    <row r="67" spans="1:57" s="13" customFormat="1" ht="20.100000000000001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4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</row>
    <row r="68" spans="1:57" s="13" customFormat="1" ht="20.100000000000001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4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6"/>
      <c r="AX68"/>
      <c r="AY68"/>
      <c r="AZ68"/>
      <c r="BA68"/>
      <c r="BB68"/>
      <c r="BC68"/>
      <c r="BD68"/>
      <c r="BE68"/>
    </row>
    <row r="69" spans="1:57" s="13" customFormat="1" ht="20.100000000000001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4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6"/>
      <c r="AX69"/>
      <c r="AY69"/>
      <c r="AZ69"/>
      <c r="BA69"/>
      <c r="BB69"/>
      <c r="BC69"/>
      <c r="BD69"/>
      <c r="BE69"/>
    </row>
    <row r="70" spans="1:57" s="13" customFormat="1" ht="20.100000000000001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4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6"/>
      <c r="AX70"/>
      <c r="AY70"/>
      <c r="AZ70"/>
      <c r="BA70"/>
      <c r="BB70"/>
      <c r="BC70"/>
      <c r="BD70"/>
      <c r="BE70"/>
    </row>
  </sheetData>
  <mergeCells count="1">
    <mergeCell ref="AY2:AY9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经济总表</vt:lpstr>
      <vt:lpstr>怪物掉落</vt:lpstr>
      <vt:lpstr>活动大厅</vt:lpstr>
      <vt:lpstr>每日领取金币</vt:lpstr>
      <vt:lpstr>装备制作</vt:lpstr>
      <vt:lpstr>偶遇事件</vt:lpstr>
      <vt:lpstr>国家升级金币</vt:lpstr>
      <vt:lpstr>任务金币</vt:lpstr>
      <vt:lpstr>建筑产出</vt:lpstr>
      <vt:lpstr>建筑等级和人物等级匹配关系</vt:lpstr>
      <vt:lpstr>建筑升级</vt:lpstr>
      <vt:lpstr>农民产出</vt:lpstr>
      <vt:lpstr>详细任务</vt:lpstr>
      <vt:lpstr>道具掉落</vt:lpstr>
      <vt:lpstr>十连抽</vt:lpstr>
      <vt:lpstr>村民的信</vt:lpstr>
      <vt:lpstr>福利相关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2017-06-29T18:55:35Z</dcterms:modified>
</cp:coreProperties>
</file>