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0" windowWidth="19440" windowHeight="7755" firstSheet="4" activeTab="7"/>
  </bookViews>
  <sheets>
    <sheet name="KUISIONER" sheetId="8" r:id="rId1"/>
    <sheet name="Absen Staff-JULI" sheetId="2" r:id="rId2"/>
    <sheet name="Absen Staff - AGST" sheetId="6" r:id="rId3"/>
    <sheet name="Absen Staff - SEPT" sheetId="9" r:id="rId4"/>
    <sheet name="Absen Magang - JULI" sheetId="3" r:id="rId5"/>
    <sheet name="Absen Magang - AGST" sheetId="7" r:id="rId6"/>
    <sheet name="Absen Magang - SEPT" sheetId="10" r:id="rId7"/>
    <sheet name="HASIL AKHIR JULI-SEPT" sheetId="13" r:id="rId8"/>
  </sheets>
  <calcPr calcId="152511" iterateDelta="-3.2363318029872255E+292"/>
</workbook>
</file>

<file path=xl/calcChain.xml><?xml version="1.0" encoding="utf-8"?>
<calcChain xmlns="http://schemas.openxmlformats.org/spreadsheetml/2006/main">
  <c r="AB34" i="13" l="1"/>
  <c r="AB30" i="13"/>
  <c r="AB33" i="13"/>
  <c r="AB35" i="13"/>
  <c r="AB31" i="13"/>
  <c r="AB36" i="13"/>
  <c r="AB29" i="13"/>
  <c r="AB32" i="13"/>
  <c r="AB37" i="13"/>
  <c r="AA34" i="13"/>
  <c r="AA30" i="13"/>
  <c r="AA33" i="13"/>
  <c r="AA35" i="13"/>
  <c r="AA31" i="13"/>
  <c r="AA36" i="13"/>
  <c r="AA29" i="13"/>
  <c r="AA32" i="13"/>
  <c r="AA37" i="13"/>
  <c r="Z34" i="13"/>
  <c r="AC34" i="13" s="1"/>
  <c r="Z30" i="13"/>
  <c r="AC30" i="13" s="1"/>
  <c r="Z33" i="13"/>
  <c r="Z35" i="13"/>
  <c r="Z31" i="13"/>
  <c r="AC31" i="13" s="1"/>
  <c r="Z36" i="13"/>
  <c r="AC36" i="13" s="1"/>
  <c r="Z29" i="13"/>
  <c r="Z32" i="13"/>
  <c r="Z37" i="13"/>
  <c r="AC37" i="13" s="1"/>
  <c r="AC17" i="13"/>
  <c r="AC14" i="13"/>
  <c r="AB11" i="13"/>
  <c r="AB17" i="13"/>
  <c r="AB23" i="13"/>
  <c r="AB19" i="13"/>
  <c r="AB21" i="13"/>
  <c r="AB13" i="13"/>
  <c r="AB22" i="13"/>
  <c r="AB12" i="13"/>
  <c r="AB15" i="13"/>
  <c r="AB20" i="13"/>
  <c r="AB25" i="13"/>
  <c r="AB26" i="13"/>
  <c r="AB27" i="13"/>
  <c r="AB16" i="13"/>
  <c r="AB24" i="13"/>
  <c r="AB18" i="13"/>
  <c r="AB10" i="13"/>
  <c r="AB14" i="13"/>
  <c r="AA11" i="13"/>
  <c r="AA17" i="13"/>
  <c r="AA23" i="13"/>
  <c r="AA19" i="13"/>
  <c r="AA21" i="13"/>
  <c r="AA13" i="13"/>
  <c r="AA22" i="13"/>
  <c r="AA12" i="13"/>
  <c r="AA15" i="13"/>
  <c r="AA20" i="13"/>
  <c r="AA25" i="13"/>
  <c r="AA26" i="13"/>
  <c r="AA27" i="13"/>
  <c r="AA16" i="13"/>
  <c r="AA24" i="13"/>
  <c r="AA18" i="13"/>
  <c r="AA10" i="13"/>
  <c r="AA14" i="13"/>
  <c r="Z11" i="13"/>
  <c r="Z17" i="13"/>
  <c r="Z23" i="13"/>
  <c r="AC23" i="13" s="1"/>
  <c r="Z19" i="13"/>
  <c r="AC19" i="13" s="1"/>
  <c r="Z21" i="13"/>
  <c r="Z13" i="13"/>
  <c r="AC13" i="13" s="1"/>
  <c r="Z22" i="13"/>
  <c r="AC22" i="13" s="1"/>
  <c r="Z12" i="13"/>
  <c r="AC12" i="13" s="1"/>
  <c r="Z15" i="13"/>
  <c r="Z20" i="13"/>
  <c r="AC20" i="13" s="1"/>
  <c r="Z25" i="13"/>
  <c r="AC25" i="13" s="1"/>
  <c r="Z26" i="13"/>
  <c r="AC26" i="13" s="1"/>
  <c r="Z27" i="13"/>
  <c r="Z16" i="13"/>
  <c r="AC16" i="13" s="1"/>
  <c r="Z24" i="13"/>
  <c r="AC24" i="13" s="1"/>
  <c r="Z18" i="13"/>
  <c r="AC18" i="13" s="1"/>
  <c r="Z10" i="13"/>
  <c r="Z14" i="13"/>
  <c r="U34" i="13"/>
  <c r="V34" i="13" s="1"/>
  <c r="S34" i="13"/>
  <c r="T34" i="13" s="1"/>
  <c r="Q34" i="13"/>
  <c r="R34" i="13" s="1"/>
  <c r="N34" i="13"/>
  <c r="O34" i="13" s="1"/>
  <c r="L34" i="13"/>
  <c r="M34" i="13" s="1"/>
  <c r="J34" i="13"/>
  <c r="K34" i="13" s="1"/>
  <c r="H34" i="13"/>
  <c r="I34" i="13" s="1"/>
  <c r="F34" i="13"/>
  <c r="G34" i="13" s="1"/>
  <c r="E34" i="13"/>
  <c r="U30" i="13"/>
  <c r="V30" i="13" s="1"/>
  <c r="S30" i="13"/>
  <c r="T30" i="13" s="1"/>
  <c r="Q30" i="13"/>
  <c r="R30" i="13" s="1"/>
  <c r="N30" i="13"/>
  <c r="O30" i="13" s="1"/>
  <c r="L30" i="13"/>
  <c r="M30" i="13" s="1"/>
  <c r="J30" i="13"/>
  <c r="K30" i="13" s="1"/>
  <c r="H30" i="13"/>
  <c r="I30" i="13" s="1"/>
  <c r="F30" i="13"/>
  <c r="G30" i="13" s="1"/>
  <c r="D30" i="13"/>
  <c r="E30" i="13" s="1"/>
  <c r="U33" i="13"/>
  <c r="V33" i="13" s="1"/>
  <c r="S33" i="13"/>
  <c r="T33" i="13" s="1"/>
  <c r="Q33" i="13"/>
  <c r="R33" i="13" s="1"/>
  <c r="N33" i="13"/>
  <c r="O33" i="13" s="1"/>
  <c r="L33" i="13"/>
  <c r="M33" i="13" s="1"/>
  <c r="J33" i="13"/>
  <c r="K33" i="13" s="1"/>
  <c r="H33" i="13"/>
  <c r="I33" i="13" s="1"/>
  <c r="F33" i="13"/>
  <c r="G33" i="13" s="1"/>
  <c r="D33" i="13"/>
  <c r="E33" i="13" s="1"/>
  <c r="U35" i="13"/>
  <c r="V35" i="13" s="1"/>
  <c r="S35" i="13"/>
  <c r="T35" i="13" s="1"/>
  <c r="Q35" i="13"/>
  <c r="R35" i="13" s="1"/>
  <c r="N35" i="13"/>
  <c r="O35" i="13" s="1"/>
  <c r="L35" i="13"/>
  <c r="M35" i="13" s="1"/>
  <c r="J35" i="13"/>
  <c r="K35" i="13" s="1"/>
  <c r="H35" i="13"/>
  <c r="I35" i="13" s="1"/>
  <c r="F35" i="13"/>
  <c r="G35" i="13" s="1"/>
  <c r="D35" i="13"/>
  <c r="E35" i="13" s="1"/>
  <c r="U31" i="13"/>
  <c r="V31" i="13" s="1"/>
  <c r="S31" i="13"/>
  <c r="T31" i="13" s="1"/>
  <c r="Q31" i="13"/>
  <c r="R31" i="13" s="1"/>
  <c r="N31" i="13"/>
  <c r="O31" i="13" s="1"/>
  <c r="L31" i="13"/>
  <c r="M31" i="13" s="1"/>
  <c r="J31" i="13"/>
  <c r="K31" i="13" s="1"/>
  <c r="H31" i="13"/>
  <c r="I31" i="13" s="1"/>
  <c r="F31" i="13"/>
  <c r="G31" i="13" s="1"/>
  <c r="D31" i="13"/>
  <c r="E31" i="13" s="1"/>
  <c r="U36" i="13"/>
  <c r="V36" i="13" s="1"/>
  <c r="S36" i="13"/>
  <c r="T36" i="13" s="1"/>
  <c r="Q36" i="13"/>
  <c r="R36" i="13" s="1"/>
  <c r="N36" i="13"/>
  <c r="O36" i="13" s="1"/>
  <c r="L36" i="13"/>
  <c r="M36" i="13" s="1"/>
  <c r="J36" i="13"/>
  <c r="K36" i="13" s="1"/>
  <c r="H36" i="13"/>
  <c r="I36" i="13" s="1"/>
  <c r="F36" i="13"/>
  <c r="G36" i="13" s="1"/>
  <c r="D36" i="13"/>
  <c r="E36" i="13" s="1"/>
  <c r="U29" i="13"/>
  <c r="V29" i="13" s="1"/>
  <c r="S29" i="13"/>
  <c r="T29" i="13" s="1"/>
  <c r="Q29" i="13"/>
  <c r="R29" i="13" s="1"/>
  <c r="N29" i="13"/>
  <c r="O29" i="13" s="1"/>
  <c r="L29" i="13"/>
  <c r="M29" i="13" s="1"/>
  <c r="J29" i="13"/>
  <c r="K29" i="13" s="1"/>
  <c r="H29" i="13"/>
  <c r="I29" i="13" s="1"/>
  <c r="F29" i="13"/>
  <c r="G29" i="13" s="1"/>
  <c r="D29" i="13"/>
  <c r="E29" i="13" s="1"/>
  <c r="U32" i="13"/>
  <c r="V32" i="13" s="1"/>
  <c r="S32" i="13"/>
  <c r="T32" i="13" s="1"/>
  <c r="Q32" i="13"/>
  <c r="R32" i="13" s="1"/>
  <c r="N32" i="13"/>
  <c r="O32" i="13" s="1"/>
  <c r="L32" i="13"/>
  <c r="M32" i="13" s="1"/>
  <c r="J32" i="13"/>
  <c r="K32" i="13" s="1"/>
  <c r="H32" i="13"/>
  <c r="I32" i="13" s="1"/>
  <c r="F32" i="13"/>
  <c r="G32" i="13" s="1"/>
  <c r="D32" i="13"/>
  <c r="E32" i="13" s="1"/>
  <c r="U37" i="13"/>
  <c r="V37" i="13" s="1"/>
  <c r="S37" i="13"/>
  <c r="T37" i="13" s="1"/>
  <c r="Q37" i="13"/>
  <c r="R37" i="13" s="1"/>
  <c r="N37" i="13"/>
  <c r="O37" i="13" s="1"/>
  <c r="L37" i="13"/>
  <c r="M37" i="13" s="1"/>
  <c r="J37" i="13"/>
  <c r="K37" i="13" s="1"/>
  <c r="H37" i="13"/>
  <c r="I37" i="13" s="1"/>
  <c r="F37" i="13"/>
  <c r="G37" i="13" s="1"/>
  <c r="D37" i="13"/>
  <c r="E37" i="13" s="1"/>
  <c r="U10" i="13"/>
  <c r="V10" i="13" s="1"/>
  <c r="S10" i="13"/>
  <c r="T10" i="13" s="1"/>
  <c r="Q10" i="13"/>
  <c r="R10" i="13" s="1"/>
  <c r="N10" i="13"/>
  <c r="O10" i="13" s="1"/>
  <c r="L10" i="13"/>
  <c r="M10" i="13" s="1"/>
  <c r="J10" i="13"/>
  <c r="K10" i="13" s="1"/>
  <c r="H10" i="13"/>
  <c r="I10" i="13" s="1"/>
  <c r="F10" i="13"/>
  <c r="G10" i="13" s="1"/>
  <c r="D10" i="13"/>
  <c r="E10" i="13" s="1"/>
  <c r="U18" i="13"/>
  <c r="V18" i="13" s="1"/>
  <c r="S18" i="13"/>
  <c r="T18" i="13" s="1"/>
  <c r="Q18" i="13"/>
  <c r="R18" i="13" s="1"/>
  <c r="N18" i="13"/>
  <c r="O18" i="13" s="1"/>
  <c r="L18" i="13"/>
  <c r="M18" i="13" s="1"/>
  <c r="K18" i="13"/>
  <c r="J18" i="13"/>
  <c r="H18" i="13"/>
  <c r="I18" i="13" s="1"/>
  <c r="F18" i="13"/>
  <c r="G18" i="13" s="1"/>
  <c r="D18" i="13"/>
  <c r="E18" i="13" s="1"/>
  <c r="V24" i="13"/>
  <c r="T24" i="13"/>
  <c r="R24" i="13"/>
  <c r="O24" i="13"/>
  <c r="M24" i="13"/>
  <c r="K24" i="13"/>
  <c r="I24" i="13"/>
  <c r="G24" i="13"/>
  <c r="E24" i="13"/>
  <c r="V16" i="13"/>
  <c r="T16" i="13"/>
  <c r="R16" i="13"/>
  <c r="O16" i="13"/>
  <c r="M16" i="13"/>
  <c r="K16" i="13"/>
  <c r="I16" i="13"/>
  <c r="G16" i="13"/>
  <c r="E16" i="13"/>
  <c r="V27" i="13"/>
  <c r="T27" i="13"/>
  <c r="R27" i="13"/>
  <c r="O27" i="13"/>
  <c r="M27" i="13"/>
  <c r="K27" i="13"/>
  <c r="I27" i="13"/>
  <c r="G27" i="13"/>
  <c r="E27" i="13"/>
  <c r="V26" i="13"/>
  <c r="T26" i="13"/>
  <c r="R26" i="13"/>
  <c r="O26" i="13"/>
  <c r="M26" i="13"/>
  <c r="K26" i="13"/>
  <c r="I26" i="13"/>
  <c r="G26" i="13"/>
  <c r="E26" i="13"/>
  <c r="V25" i="13"/>
  <c r="T25" i="13"/>
  <c r="R25" i="13"/>
  <c r="O25" i="13"/>
  <c r="M25" i="13"/>
  <c r="K25" i="13"/>
  <c r="I25" i="13"/>
  <c r="G25" i="13"/>
  <c r="E25" i="13"/>
  <c r="V20" i="13"/>
  <c r="T20" i="13"/>
  <c r="R20" i="13"/>
  <c r="O20" i="13"/>
  <c r="M20" i="13"/>
  <c r="K20" i="13"/>
  <c r="I20" i="13"/>
  <c r="G20" i="13"/>
  <c r="E20" i="13"/>
  <c r="V15" i="13"/>
  <c r="T15" i="13"/>
  <c r="R15" i="13"/>
  <c r="O15" i="13"/>
  <c r="M15" i="13"/>
  <c r="K15" i="13"/>
  <c r="I15" i="13"/>
  <c r="G15" i="13"/>
  <c r="E15" i="13"/>
  <c r="V12" i="13"/>
  <c r="T12" i="13"/>
  <c r="R12" i="13"/>
  <c r="O12" i="13"/>
  <c r="M12" i="13"/>
  <c r="K12" i="13"/>
  <c r="I12" i="13"/>
  <c r="G12" i="13"/>
  <c r="E12" i="13"/>
  <c r="V22" i="13"/>
  <c r="T22" i="13"/>
  <c r="R22" i="13"/>
  <c r="O22" i="13"/>
  <c r="M22" i="13"/>
  <c r="K22" i="13"/>
  <c r="I22" i="13"/>
  <c r="G22" i="13"/>
  <c r="E22" i="13"/>
  <c r="V13" i="13"/>
  <c r="T13" i="13"/>
  <c r="R13" i="13"/>
  <c r="O13" i="13"/>
  <c r="M13" i="13"/>
  <c r="K13" i="13"/>
  <c r="I13" i="13"/>
  <c r="G13" i="13"/>
  <c r="E13" i="13"/>
  <c r="V21" i="13"/>
  <c r="T21" i="13"/>
  <c r="R21" i="13"/>
  <c r="O21" i="13"/>
  <c r="M21" i="13"/>
  <c r="K21" i="13"/>
  <c r="I21" i="13"/>
  <c r="G21" i="13"/>
  <c r="E21" i="13"/>
  <c r="V19" i="13"/>
  <c r="T19" i="13"/>
  <c r="R19" i="13"/>
  <c r="O19" i="13"/>
  <c r="M19" i="13"/>
  <c r="K19" i="13"/>
  <c r="I19" i="13"/>
  <c r="G19" i="13"/>
  <c r="E19" i="13"/>
  <c r="V23" i="13"/>
  <c r="T23" i="13"/>
  <c r="R23" i="13"/>
  <c r="O23" i="13"/>
  <c r="M23" i="13"/>
  <c r="K23" i="13"/>
  <c r="I23" i="13"/>
  <c r="F23" i="13"/>
  <c r="G23" i="13" s="1"/>
  <c r="D23" i="13"/>
  <c r="E23" i="13" s="1"/>
  <c r="U17" i="13"/>
  <c r="V17" i="13" s="1"/>
  <c r="S17" i="13"/>
  <c r="T17" i="13" s="1"/>
  <c r="Q17" i="13"/>
  <c r="R17" i="13" s="1"/>
  <c r="N17" i="13"/>
  <c r="O17" i="13" s="1"/>
  <c r="L17" i="13"/>
  <c r="M17" i="13" s="1"/>
  <c r="J17" i="13"/>
  <c r="K17" i="13" s="1"/>
  <c r="H17" i="13"/>
  <c r="I17" i="13" s="1"/>
  <c r="F17" i="13"/>
  <c r="G17" i="13" s="1"/>
  <c r="D17" i="13"/>
  <c r="E17" i="13" s="1"/>
  <c r="U11" i="13"/>
  <c r="V11" i="13" s="1"/>
  <c r="S11" i="13"/>
  <c r="T11" i="13" s="1"/>
  <c r="Q11" i="13"/>
  <c r="R11" i="13" s="1"/>
  <c r="N11" i="13"/>
  <c r="O11" i="13" s="1"/>
  <c r="L11" i="13"/>
  <c r="M11" i="13" s="1"/>
  <c r="J11" i="13"/>
  <c r="K11" i="13" s="1"/>
  <c r="H11" i="13"/>
  <c r="I11" i="13" s="1"/>
  <c r="F11" i="13"/>
  <c r="G11" i="13" s="1"/>
  <c r="D11" i="13"/>
  <c r="E11" i="13" s="1"/>
  <c r="U14" i="13"/>
  <c r="V14" i="13" s="1"/>
  <c r="S14" i="13"/>
  <c r="T14" i="13" s="1"/>
  <c r="Q14" i="13"/>
  <c r="R14" i="13" s="1"/>
  <c r="N14" i="13"/>
  <c r="O14" i="13" s="1"/>
  <c r="L14" i="13"/>
  <c r="M14" i="13" s="1"/>
  <c r="J14" i="13"/>
  <c r="K14" i="13" s="1"/>
  <c r="H14" i="13"/>
  <c r="I14" i="13" s="1"/>
  <c r="F14" i="13"/>
  <c r="G14" i="13" s="1"/>
  <c r="D14" i="13"/>
  <c r="E14" i="13" s="1"/>
  <c r="Y37" i="13" l="1"/>
  <c r="Y31" i="13"/>
  <c r="AD31" i="13" s="1"/>
  <c r="AE31" i="13" s="1"/>
  <c r="AC29" i="13"/>
  <c r="AC33" i="13"/>
  <c r="AC32" i="13"/>
  <c r="AC35" i="13"/>
  <c r="Y12" i="13"/>
  <c r="Y26" i="13"/>
  <c r="AD26" i="13" s="1"/>
  <c r="AE26" i="13" s="1"/>
  <c r="Y13" i="13"/>
  <c r="Y20" i="13"/>
  <c r="AD20" i="13" s="1"/>
  <c r="AE20" i="13" s="1"/>
  <c r="AD13" i="13"/>
  <c r="AE13" i="13" s="1"/>
  <c r="AD37" i="13"/>
  <c r="AE37" i="13" s="1"/>
  <c r="AC10" i="13"/>
  <c r="AC27" i="13"/>
  <c r="AC15" i="13"/>
  <c r="AC21" i="13"/>
  <c r="AC11" i="13"/>
  <c r="AD12" i="13"/>
  <c r="AE12" i="13" s="1"/>
  <c r="W22" i="13"/>
  <c r="P23" i="13"/>
  <c r="Y23" i="13" s="1"/>
  <c r="AD23" i="13" s="1"/>
  <c r="AE23" i="13" s="1"/>
  <c r="W23" i="13"/>
  <c r="P26" i="13"/>
  <c r="W26" i="13"/>
  <c r="W16" i="13"/>
  <c r="W24" i="13"/>
  <c r="P13" i="13"/>
  <c r="P15" i="13"/>
  <c r="W15" i="13"/>
  <c r="W25" i="13"/>
  <c r="Y25" i="13" s="1"/>
  <c r="AD25" i="13" s="1"/>
  <c r="AE25" i="13" s="1"/>
  <c r="W27" i="13"/>
  <c r="P11" i="13"/>
  <c r="W10" i="13"/>
  <c r="W36" i="13"/>
  <c r="P30" i="13"/>
  <c r="Y30" i="13" s="1"/>
  <c r="AD30" i="13" s="1"/>
  <c r="AE30" i="13" s="1"/>
  <c r="W13" i="13"/>
  <c r="P27" i="13"/>
  <c r="Y27" i="13" s="1"/>
  <c r="W14" i="13"/>
  <c r="W11" i="13"/>
  <c r="P17" i="13"/>
  <c r="Y17" i="13" s="1"/>
  <c r="AD17" i="13" s="1"/>
  <c r="AE17" i="13" s="1"/>
  <c r="P19" i="13"/>
  <c r="Y19" i="13" s="1"/>
  <c r="AD19" i="13" s="1"/>
  <c r="AE19" i="13" s="1"/>
  <c r="W19" i="13"/>
  <c r="P25" i="13"/>
  <c r="P16" i="13"/>
  <c r="Y16" i="13" s="1"/>
  <c r="AD16" i="13" s="1"/>
  <c r="AE16" i="13" s="1"/>
  <c r="P18" i="13"/>
  <c r="Y18" i="13" s="1"/>
  <c r="AD18" i="13" s="1"/>
  <c r="AE18" i="13" s="1"/>
  <c r="W18" i="13"/>
  <c r="P37" i="13"/>
  <c r="W37" i="13"/>
  <c r="P29" i="13"/>
  <c r="Y29" i="13" s="1"/>
  <c r="AD29" i="13" s="1"/>
  <c r="AE29" i="13" s="1"/>
  <c r="W29" i="13"/>
  <c r="P31" i="13"/>
  <c r="P35" i="13"/>
  <c r="Y35" i="13" s="1"/>
  <c r="AD35" i="13" s="1"/>
  <c r="AE35" i="13" s="1"/>
  <c r="P33" i="13"/>
  <c r="Y33" i="13" s="1"/>
  <c r="AD33" i="13" s="1"/>
  <c r="AE33" i="13" s="1"/>
  <c r="W32" i="13"/>
  <c r="Y32" i="13" s="1"/>
  <c r="AD32" i="13" s="1"/>
  <c r="AE32" i="13" s="1"/>
  <c r="P22" i="13"/>
  <c r="Y22" i="13" s="1"/>
  <c r="AD22" i="13" s="1"/>
  <c r="AE22" i="13" s="1"/>
  <c r="P20" i="13"/>
  <c r="P21" i="13"/>
  <c r="W21" i="13"/>
  <c r="P12" i="13"/>
  <c r="W12" i="13"/>
  <c r="W20" i="13"/>
  <c r="P24" i="13"/>
  <c r="Y24" i="13" s="1"/>
  <c r="AD24" i="13" s="1"/>
  <c r="AE24" i="13" s="1"/>
  <c r="W30" i="13"/>
  <c r="P14" i="13"/>
  <c r="Y14" i="13" s="1"/>
  <c r="AD14" i="13" s="1"/>
  <c r="AE14" i="13" s="1"/>
  <c r="W17" i="13"/>
  <c r="P10" i="13"/>
  <c r="Y10" i="13" s="1"/>
  <c r="P32" i="13"/>
  <c r="P36" i="13"/>
  <c r="Y36" i="13" s="1"/>
  <c r="AD36" i="13" s="1"/>
  <c r="AE36" i="13" s="1"/>
  <c r="W31" i="13"/>
  <c r="W35" i="13"/>
  <c r="P34" i="13"/>
  <c r="Y34" i="13" s="1"/>
  <c r="AD34" i="13" s="1"/>
  <c r="AE34" i="13" s="1"/>
  <c r="W34" i="13"/>
  <c r="W33" i="13"/>
  <c r="AD10" i="13" l="1"/>
  <c r="AE10" i="13" s="1"/>
  <c r="Y11" i="13"/>
  <c r="AD11" i="13" s="1"/>
  <c r="AE11" i="13" s="1"/>
  <c r="Y15" i="13"/>
  <c r="AD15" i="13" s="1"/>
  <c r="AE15" i="13" s="1"/>
  <c r="Y21" i="13"/>
  <c r="AD21" i="13" s="1"/>
  <c r="AE21" i="13" s="1"/>
  <c r="AD27" i="13"/>
  <c r="AE27" i="13" s="1"/>
  <c r="V27" i="8"/>
  <c r="T27" i="8"/>
  <c r="R27" i="8"/>
  <c r="O27" i="8"/>
  <c r="P27" i="8" s="1"/>
  <c r="M27" i="8"/>
  <c r="K27" i="8"/>
  <c r="I27" i="8"/>
  <c r="G27" i="8"/>
  <c r="E27" i="8"/>
  <c r="V30" i="8"/>
  <c r="T30" i="8"/>
  <c r="R30" i="8"/>
  <c r="O30" i="8"/>
  <c r="M30" i="8"/>
  <c r="K30" i="8"/>
  <c r="I30" i="8"/>
  <c r="P30" i="8" s="1"/>
  <c r="G30" i="8"/>
  <c r="E30" i="8"/>
  <c r="V33" i="8"/>
  <c r="T33" i="8"/>
  <c r="W33" i="8" s="1"/>
  <c r="R33" i="8"/>
  <c r="O33" i="8"/>
  <c r="M33" i="8"/>
  <c r="K33" i="8"/>
  <c r="P33" i="8" s="1"/>
  <c r="I33" i="8"/>
  <c r="G33" i="8"/>
  <c r="E33" i="8"/>
  <c r="V36" i="8"/>
  <c r="T36" i="8"/>
  <c r="R36" i="8"/>
  <c r="O36" i="8"/>
  <c r="M36" i="8"/>
  <c r="P36" i="8" s="1"/>
  <c r="K36" i="8"/>
  <c r="I36" i="8"/>
  <c r="G36" i="8"/>
  <c r="E36" i="8"/>
  <c r="V39" i="8"/>
  <c r="T39" i="8"/>
  <c r="R39" i="8"/>
  <c r="O39" i="8"/>
  <c r="P39" i="8" s="1"/>
  <c r="M39" i="8"/>
  <c r="K39" i="8"/>
  <c r="I39" i="8"/>
  <c r="G39" i="8"/>
  <c r="E39" i="8"/>
  <c r="V42" i="8"/>
  <c r="T42" i="8"/>
  <c r="R42" i="8"/>
  <c r="W42" i="8" s="1"/>
  <c r="O42" i="8"/>
  <c r="M42" i="8"/>
  <c r="K42" i="8"/>
  <c r="I42" i="8"/>
  <c r="P42" i="8" s="1"/>
  <c r="G42" i="8"/>
  <c r="E42" i="8"/>
  <c r="T45" i="8"/>
  <c r="R45" i="8"/>
  <c r="O45" i="8"/>
  <c r="M45" i="8"/>
  <c r="K45" i="8"/>
  <c r="I45" i="8"/>
  <c r="G45" i="8"/>
  <c r="E45" i="8"/>
  <c r="V45" i="8"/>
  <c r="V48" i="8"/>
  <c r="T48" i="8"/>
  <c r="R48" i="8"/>
  <c r="O48" i="8"/>
  <c r="P48" i="8" s="1"/>
  <c r="M48" i="8"/>
  <c r="K48" i="8"/>
  <c r="I48" i="8"/>
  <c r="G48" i="8"/>
  <c r="E48" i="8"/>
  <c r="V24" i="8"/>
  <c r="T24" i="8"/>
  <c r="R24" i="8"/>
  <c r="O24" i="8"/>
  <c r="M24" i="8"/>
  <c r="K24" i="8"/>
  <c r="I24" i="8"/>
  <c r="P24" i="8" s="1"/>
  <c r="G24" i="8"/>
  <c r="E24" i="8"/>
  <c r="E21" i="8"/>
  <c r="G21" i="8"/>
  <c r="I21" i="8"/>
  <c r="K21" i="8"/>
  <c r="M21" i="8"/>
  <c r="O21" i="8"/>
  <c r="P21" i="8" s="1"/>
  <c r="R21" i="8"/>
  <c r="T21" i="8"/>
  <c r="V21" i="8"/>
  <c r="V18" i="8"/>
  <c r="W18" i="8" s="1"/>
  <c r="T18" i="8"/>
  <c r="R18" i="8"/>
  <c r="O18" i="8"/>
  <c r="M18" i="8"/>
  <c r="K18" i="8"/>
  <c r="I18" i="8"/>
  <c r="G18" i="8"/>
  <c r="E18" i="8"/>
  <c r="V15" i="8"/>
  <c r="T15" i="8"/>
  <c r="R15" i="8"/>
  <c r="O15" i="8"/>
  <c r="P15" i="8" s="1"/>
  <c r="M15" i="8"/>
  <c r="K15" i="8"/>
  <c r="I15" i="8"/>
  <c r="G15" i="8"/>
  <c r="E15" i="8"/>
  <c r="V12" i="8"/>
  <c r="T12" i="8"/>
  <c r="R12" i="8"/>
  <c r="O12" i="8"/>
  <c r="M12" i="8"/>
  <c r="K12" i="8"/>
  <c r="I12" i="8"/>
  <c r="P12" i="8" s="1"/>
  <c r="F12" i="8"/>
  <c r="G12" i="8" s="1"/>
  <c r="D12" i="8"/>
  <c r="E12" i="8"/>
  <c r="U9" i="8"/>
  <c r="V9" i="8" s="1"/>
  <c r="S9" i="8"/>
  <c r="T9" i="8" s="1"/>
  <c r="W9" i="8" s="1"/>
  <c r="Q9" i="8"/>
  <c r="R9" i="8"/>
  <c r="N9" i="8"/>
  <c r="O9" i="8" s="1"/>
  <c r="L9" i="8"/>
  <c r="M9" i="8" s="1"/>
  <c r="J9" i="8"/>
  <c r="K9" i="8" s="1"/>
  <c r="H9" i="8"/>
  <c r="I9" i="8"/>
  <c r="F9" i="8"/>
  <c r="G9" i="8" s="1"/>
  <c r="D9" i="8"/>
  <c r="E9" i="8" s="1"/>
  <c r="U6" i="8"/>
  <c r="V6" i="8" s="1"/>
  <c r="S6" i="8"/>
  <c r="T6" i="8" s="1"/>
  <c r="Q6" i="8"/>
  <c r="R6" i="8" s="1"/>
  <c r="N6" i="8"/>
  <c r="O6" i="8" s="1"/>
  <c r="L6" i="8"/>
  <c r="M6" i="8" s="1"/>
  <c r="J6" i="8"/>
  <c r="K6" i="8"/>
  <c r="H6" i="8"/>
  <c r="I6" i="8" s="1"/>
  <c r="F6" i="8"/>
  <c r="G6" i="8" s="1"/>
  <c r="D6" i="8"/>
  <c r="E6" i="8" s="1"/>
  <c r="U3" i="8"/>
  <c r="V3" i="8"/>
  <c r="T3" i="8"/>
  <c r="S3" i="8"/>
  <c r="R3" i="8"/>
  <c r="W3" i="8" s="1"/>
  <c r="Q3" i="8"/>
  <c r="O3" i="8"/>
  <c r="N3" i="8"/>
  <c r="M3" i="8"/>
  <c r="L3" i="8"/>
  <c r="K3" i="8"/>
  <c r="P3" i="8" s="1"/>
  <c r="J3" i="8"/>
  <c r="I3" i="8"/>
  <c r="H3" i="8"/>
  <c r="G3" i="8"/>
  <c r="F3" i="8"/>
  <c r="D3" i="8"/>
  <c r="E3" i="8" s="1"/>
  <c r="V51" i="8"/>
  <c r="U51" i="8"/>
  <c r="T51" i="8"/>
  <c r="S51" i="8"/>
  <c r="R51" i="8"/>
  <c r="Q51" i="8"/>
  <c r="O51" i="8"/>
  <c r="N51" i="8"/>
  <c r="L51" i="8"/>
  <c r="M51" i="8" s="1"/>
  <c r="J51" i="8"/>
  <c r="K51" i="8" s="1"/>
  <c r="H51" i="8"/>
  <c r="I51" i="8" s="1"/>
  <c r="G51" i="8"/>
  <c r="F51" i="8"/>
  <c r="E51" i="8"/>
  <c r="D51" i="8"/>
  <c r="V54" i="8"/>
  <c r="U54" i="8"/>
  <c r="T54" i="8"/>
  <c r="W54" i="8" s="1"/>
  <c r="S54" i="8"/>
  <c r="R54" i="8"/>
  <c r="Q54" i="8"/>
  <c r="O54" i="8"/>
  <c r="N54" i="8"/>
  <c r="M54" i="8"/>
  <c r="L54" i="8"/>
  <c r="K54" i="8"/>
  <c r="P54" i="8" s="1"/>
  <c r="J54" i="8"/>
  <c r="I54" i="8"/>
  <c r="H54" i="8"/>
  <c r="G54" i="8"/>
  <c r="F54" i="8"/>
  <c r="D54" i="8"/>
  <c r="E54" i="8" s="1"/>
  <c r="U57" i="8"/>
  <c r="V57" i="8" s="1"/>
  <c r="S57" i="8"/>
  <c r="T57" i="8" s="1"/>
  <c r="Q57" i="8"/>
  <c r="R57" i="8" s="1"/>
  <c r="W57" i="8" s="1"/>
  <c r="N57" i="8"/>
  <c r="O57" i="8" s="1"/>
  <c r="L57" i="8"/>
  <c r="M57" i="8" s="1"/>
  <c r="J57" i="8"/>
  <c r="K57" i="8" s="1"/>
  <c r="H57" i="8"/>
  <c r="I57" i="8" s="1"/>
  <c r="P57" i="8" s="1"/>
  <c r="F57" i="8"/>
  <c r="G57" i="8" s="1"/>
  <c r="D57" i="8"/>
  <c r="E57" i="8" s="1"/>
  <c r="U60" i="8"/>
  <c r="V60" i="8" s="1"/>
  <c r="S60" i="8"/>
  <c r="T60" i="8" s="1"/>
  <c r="Q60" i="8"/>
  <c r="R60" i="8" s="1"/>
  <c r="N60" i="8"/>
  <c r="O60" i="8"/>
  <c r="L60" i="8"/>
  <c r="M60" i="8" s="1"/>
  <c r="J60" i="8"/>
  <c r="K60" i="8" s="1"/>
  <c r="H60" i="8"/>
  <c r="I60" i="8" s="1"/>
  <c r="F60" i="8"/>
  <c r="G60" i="8" s="1"/>
  <c r="D60" i="8"/>
  <c r="E60" i="8" s="1"/>
  <c r="U63" i="8"/>
  <c r="V63" i="8" s="1"/>
  <c r="S63" i="8"/>
  <c r="T63" i="8" s="1"/>
  <c r="Q63" i="8"/>
  <c r="N63" i="8"/>
  <c r="O63" i="8" s="1"/>
  <c r="L63" i="8"/>
  <c r="M63" i="8" s="1"/>
  <c r="J63" i="8"/>
  <c r="K63" i="8" s="1"/>
  <c r="H63" i="8"/>
  <c r="I63" i="8" s="1"/>
  <c r="F63" i="8"/>
  <c r="G63" i="8" s="1"/>
  <c r="D63" i="8"/>
  <c r="E63" i="8" s="1"/>
  <c r="R63" i="8"/>
  <c r="U66" i="8"/>
  <c r="V66" i="8" s="1"/>
  <c r="S66" i="8"/>
  <c r="T66" i="8" s="1"/>
  <c r="Q66" i="8"/>
  <c r="N66" i="8"/>
  <c r="O66" i="8" s="1"/>
  <c r="L66" i="8"/>
  <c r="M66" i="8"/>
  <c r="J66" i="8"/>
  <c r="H66" i="8"/>
  <c r="I66" i="8" s="1"/>
  <c r="F66" i="8"/>
  <c r="G66" i="8" s="1"/>
  <c r="D66" i="8"/>
  <c r="E66" i="8" s="1"/>
  <c r="R66" i="8"/>
  <c r="K66" i="8"/>
  <c r="V81" i="8"/>
  <c r="I81" i="8"/>
  <c r="E81" i="8"/>
  <c r="V75" i="8"/>
  <c r="M75" i="8"/>
  <c r="O72" i="8"/>
  <c r="R69" i="8"/>
  <c r="I69" i="8"/>
  <c r="U69" i="8"/>
  <c r="V69" i="8" s="1"/>
  <c r="S69" i="8"/>
  <c r="T69" i="8"/>
  <c r="Q69" i="8"/>
  <c r="N69" i="8"/>
  <c r="O69" i="8" s="1"/>
  <c r="L69" i="8"/>
  <c r="M69" i="8" s="1"/>
  <c r="J69" i="8"/>
  <c r="K69" i="8"/>
  <c r="H69" i="8"/>
  <c r="F69" i="8"/>
  <c r="G69" i="8" s="1"/>
  <c r="D69" i="8"/>
  <c r="E69" i="8" s="1"/>
  <c r="U72" i="8"/>
  <c r="V72" i="8"/>
  <c r="S72" i="8"/>
  <c r="T72" i="8" s="1"/>
  <c r="Q72" i="8"/>
  <c r="R72" i="8" s="1"/>
  <c r="N72" i="8"/>
  <c r="L72" i="8"/>
  <c r="M72" i="8"/>
  <c r="J72" i="8"/>
  <c r="K72" i="8" s="1"/>
  <c r="H72" i="8"/>
  <c r="I72" i="8" s="1"/>
  <c r="P72" i="8" s="1"/>
  <c r="F72" i="8"/>
  <c r="G72" i="8" s="1"/>
  <c r="D72" i="8"/>
  <c r="E72" i="8"/>
  <c r="U75" i="8"/>
  <c r="S75" i="8"/>
  <c r="T75" i="8" s="1"/>
  <c r="Q75" i="8"/>
  <c r="R75" i="8" s="1"/>
  <c r="N75" i="8"/>
  <c r="O75" i="8"/>
  <c r="L75" i="8"/>
  <c r="J75" i="8"/>
  <c r="K75" i="8" s="1"/>
  <c r="H75" i="8"/>
  <c r="I75" i="8" s="1"/>
  <c r="F75" i="8"/>
  <c r="G75" i="8"/>
  <c r="D75" i="8"/>
  <c r="E75" i="8" s="1"/>
  <c r="U78" i="8"/>
  <c r="V78" i="8" s="1"/>
  <c r="S78" i="8"/>
  <c r="T78" i="8" s="1"/>
  <c r="Q78" i="8"/>
  <c r="R78" i="8"/>
  <c r="N78" i="8"/>
  <c r="O78" i="8" s="1"/>
  <c r="L78" i="8"/>
  <c r="M78" i="8" s="1"/>
  <c r="J78" i="8"/>
  <c r="K78" i="8" s="1"/>
  <c r="P78" i="8" s="1"/>
  <c r="H78" i="8"/>
  <c r="I78" i="8"/>
  <c r="F78" i="8"/>
  <c r="G78" i="8" s="1"/>
  <c r="D78" i="8"/>
  <c r="E78" i="8" s="1"/>
  <c r="U81" i="8"/>
  <c r="S81" i="8"/>
  <c r="T81" i="8"/>
  <c r="Q81" i="8"/>
  <c r="R81" i="8" s="1"/>
  <c r="W81" i="8" s="1"/>
  <c r="N81" i="8"/>
  <c r="O81" i="8" s="1"/>
  <c r="L81" i="8"/>
  <c r="M81" i="8" s="1"/>
  <c r="J81" i="8"/>
  <c r="K81" i="8"/>
  <c r="H81" i="8"/>
  <c r="F81" i="8"/>
  <c r="G81" i="8" s="1"/>
  <c r="U23" i="9"/>
  <c r="R23" i="9"/>
  <c r="O23" i="9"/>
  <c r="L23" i="9"/>
  <c r="I23" i="9"/>
  <c r="F23" i="9"/>
  <c r="V23" i="9"/>
  <c r="W23" i="9" s="1"/>
  <c r="U22" i="9"/>
  <c r="R22" i="9"/>
  <c r="O22" i="9"/>
  <c r="L22" i="9"/>
  <c r="I22" i="9"/>
  <c r="F22" i="9"/>
  <c r="V22" i="9"/>
  <c r="W22" i="9" s="1"/>
  <c r="U21" i="9"/>
  <c r="R21" i="9"/>
  <c r="O21" i="9"/>
  <c r="L21" i="9"/>
  <c r="I21" i="9"/>
  <c r="F21" i="9"/>
  <c r="U20" i="9"/>
  <c r="R20" i="9"/>
  <c r="O20" i="9"/>
  <c r="L20" i="9"/>
  <c r="I20" i="9"/>
  <c r="F20" i="9"/>
  <c r="V20" i="9" s="1"/>
  <c r="W20" i="9" s="1"/>
  <c r="U19" i="9"/>
  <c r="R19" i="9"/>
  <c r="O19" i="9"/>
  <c r="L19" i="9"/>
  <c r="I19" i="9"/>
  <c r="F19" i="9"/>
  <c r="U18" i="9"/>
  <c r="R18" i="9"/>
  <c r="O18" i="9"/>
  <c r="L18" i="9"/>
  <c r="I18" i="9"/>
  <c r="V18" i="9" s="1"/>
  <c r="F18" i="9"/>
  <c r="U17" i="9"/>
  <c r="R17" i="9"/>
  <c r="O17" i="9"/>
  <c r="L17" i="9"/>
  <c r="I17" i="9"/>
  <c r="F17" i="9"/>
  <c r="U16" i="9"/>
  <c r="R16" i="9"/>
  <c r="O16" i="9"/>
  <c r="L16" i="9"/>
  <c r="I16" i="9"/>
  <c r="F16" i="9"/>
  <c r="V16" i="9" s="1"/>
  <c r="W16" i="9" s="1"/>
  <c r="U15" i="9"/>
  <c r="R15" i="9"/>
  <c r="O15" i="9"/>
  <c r="L15" i="9"/>
  <c r="I15" i="9"/>
  <c r="F15" i="9"/>
  <c r="U14" i="9"/>
  <c r="R14" i="9"/>
  <c r="O14" i="9"/>
  <c r="L14" i="9"/>
  <c r="I14" i="9"/>
  <c r="F14" i="9"/>
  <c r="V14" i="9" s="1"/>
  <c r="W14" i="9" s="1"/>
  <c r="U13" i="9"/>
  <c r="R13" i="9"/>
  <c r="O13" i="9"/>
  <c r="L13" i="9"/>
  <c r="I13" i="9"/>
  <c r="F13" i="9"/>
  <c r="U12" i="9"/>
  <c r="R12" i="9"/>
  <c r="O12" i="9"/>
  <c r="L12" i="9"/>
  <c r="I12" i="9"/>
  <c r="F12" i="9"/>
  <c r="V12" i="9" s="1"/>
  <c r="W12" i="9" s="1"/>
  <c r="U11" i="9"/>
  <c r="R11" i="9"/>
  <c r="O11" i="9"/>
  <c r="L11" i="9"/>
  <c r="I11" i="9"/>
  <c r="F11" i="9"/>
  <c r="U10" i="9"/>
  <c r="R10" i="9"/>
  <c r="O10" i="9"/>
  <c r="L10" i="9"/>
  <c r="I10" i="9"/>
  <c r="F10" i="9"/>
  <c r="V10" i="9"/>
  <c r="W10" i="9" s="1"/>
  <c r="U9" i="9"/>
  <c r="R9" i="9"/>
  <c r="O9" i="9"/>
  <c r="L9" i="9"/>
  <c r="I9" i="9"/>
  <c r="F9" i="9"/>
  <c r="V9" i="9"/>
  <c r="W9" i="9" s="1"/>
  <c r="U8" i="9"/>
  <c r="R8" i="9"/>
  <c r="O8" i="9"/>
  <c r="L8" i="9"/>
  <c r="I8" i="9"/>
  <c r="F8" i="9"/>
  <c r="V8" i="9"/>
  <c r="W8" i="9" s="1"/>
  <c r="U7" i="9"/>
  <c r="R7" i="9"/>
  <c r="O7" i="9"/>
  <c r="L7" i="9"/>
  <c r="I7" i="9"/>
  <c r="F7" i="9"/>
  <c r="A7" i="9"/>
  <c r="A8" i="9" s="1"/>
  <c r="A9" i="9" s="1"/>
  <c r="A10" i="9" s="1"/>
  <c r="A11" i="9"/>
  <c r="A12" i="9" s="1"/>
  <c r="A13" i="9" s="1"/>
  <c r="A14" i="9" s="1"/>
  <c r="A15" i="9"/>
  <c r="A16" i="9" s="1"/>
  <c r="A17" i="9" s="1"/>
  <c r="A18" i="9" s="1"/>
  <c r="A19" i="9" s="1"/>
  <c r="A20" i="9" s="1"/>
  <c r="A21" i="9" s="1"/>
  <c r="A22" i="9" s="1"/>
  <c r="A23" i="9" s="1"/>
  <c r="U6" i="9"/>
  <c r="R6" i="9"/>
  <c r="O6" i="9"/>
  <c r="L6" i="9"/>
  <c r="I6" i="9"/>
  <c r="F6" i="9"/>
  <c r="V6" i="9" s="1"/>
  <c r="W6" i="9" s="1"/>
  <c r="P9" i="8"/>
  <c r="W15" i="8"/>
  <c r="P18" i="8"/>
  <c r="W24" i="8"/>
  <c r="W27" i="8"/>
  <c r="W30" i="8"/>
  <c r="W36" i="8"/>
  <c r="W39" i="8"/>
  <c r="P45" i="8"/>
  <c r="W48" i="8"/>
  <c r="W51" i="8"/>
  <c r="F6" i="10"/>
  <c r="I6" i="10"/>
  <c r="L6" i="10"/>
  <c r="O6" i="10"/>
  <c r="R6" i="10"/>
  <c r="U6" i="10"/>
  <c r="F7" i="10"/>
  <c r="I7" i="10"/>
  <c r="L7" i="10"/>
  <c r="O7" i="10"/>
  <c r="R7" i="10"/>
  <c r="U7" i="10"/>
  <c r="F8" i="10"/>
  <c r="I8" i="10"/>
  <c r="L8" i="10"/>
  <c r="O8" i="10"/>
  <c r="R8" i="10"/>
  <c r="U8" i="10"/>
  <c r="F9" i="10"/>
  <c r="I9" i="10"/>
  <c r="L9" i="10"/>
  <c r="O9" i="10"/>
  <c r="R9" i="10"/>
  <c r="U9" i="10"/>
  <c r="F10" i="10"/>
  <c r="I10" i="10"/>
  <c r="L10" i="10"/>
  <c r="O10" i="10"/>
  <c r="R10" i="10"/>
  <c r="U10" i="10"/>
  <c r="F11" i="10"/>
  <c r="I11" i="10"/>
  <c r="L11" i="10"/>
  <c r="O11" i="10"/>
  <c r="R11" i="10"/>
  <c r="U11" i="10"/>
  <c r="F12" i="10"/>
  <c r="I12" i="10"/>
  <c r="L12" i="10"/>
  <c r="O12" i="10"/>
  <c r="R12" i="10"/>
  <c r="U12" i="10"/>
  <c r="F13" i="10"/>
  <c r="I13" i="10"/>
  <c r="L13" i="10"/>
  <c r="O13" i="10"/>
  <c r="R13" i="10"/>
  <c r="U13" i="10"/>
  <c r="F14" i="10"/>
  <c r="I14" i="10"/>
  <c r="L14" i="10"/>
  <c r="O14" i="10"/>
  <c r="R14" i="10"/>
  <c r="U14" i="10"/>
  <c r="F6" i="7"/>
  <c r="I6" i="7"/>
  <c r="L6" i="7"/>
  <c r="O6" i="7"/>
  <c r="R6" i="7"/>
  <c r="U6" i="7"/>
  <c r="F7" i="7"/>
  <c r="I7" i="7"/>
  <c r="L7" i="7"/>
  <c r="O7" i="7"/>
  <c r="V7" i="7" s="1"/>
  <c r="R7" i="7"/>
  <c r="U7" i="7"/>
  <c r="F8" i="7"/>
  <c r="I8" i="7"/>
  <c r="V8" i="7" s="1"/>
  <c r="W8" i="7" s="1"/>
  <c r="L8" i="7"/>
  <c r="O8" i="7"/>
  <c r="R8" i="7"/>
  <c r="U8" i="7"/>
  <c r="F9" i="7"/>
  <c r="I9" i="7"/>
  <c r="L9" i="7"/>
  <c r="O9" i="7"/>
  <c r="R9" i="7"/>
  <c r="U9" i="7"/>
  <c r="F10" i="7"/>
  <c r="I10" i="7"/>
  <c r="L10" i="7"/>
  <c r="O10" i="7"/>
  <c r="R10" i="7"/>
  <c r="U10" i="7"/>
  <c r="F11" i="7"/>
  <c r="I11" i="7"/>
  <c r="L11" i="7"/>
  <c r="O11" i="7"/>
  <c r="V11" i="7" s="1"/>
  <c r="W11" i="7" s="1"/>
  <c r="R11" i="7"/>
  <c r="U11" i="7"/>
  <c r="F12" i="7"/>
  <c r="I12" i="7"/>
  <c r="L12" i="7"/>
  <c r="O12" i="7"/>
  <c r="R12" i="7"/>
  <c r="U12" i="7"/>
  <c r="F13" i="7"/>
  <c r="I13" i="7"/>
  <c r="L13" i="7"/>
  <c r="O13" i="7"/>
  <c r="R13" i="7"/>
  <c r="U13" i="7"/>
  <c r="F14" i="7"/>
  <c r="V14" i="7" s="1"/>
  <c r="W14" i="7" s="1"/>
  <c r="I14" i="7"/>
  <c r="L14" i="7"/>
  <c r="O14" i="7"/>
  <c r="R14" i="7"/>
  <c r="U14" i="7"/>
  <c r="F6" i="6"/>
  <c r="I6" i="6"/>
  <c r="L6" i="6"/>
  <c r="O6" i="6"/>
  <c r="R6" i="6"/>
  <c r="U6" i="6"/>
  <c r="A7" i="6"/>
  <c r="F7" i="6"/>
  <c r="I7" i="6"/>
  <c r="L7" i="6"/>
  <c r="O7" i="6"/>
  <c r="R7" i="6"/>
  <c r="U7" i="6"/>
  <c r="A8" i="6"/>
  <c r="A9" i="6" s="1"/>
  <c r="A10" i="6" s="1"/>
  <c r="A11" i="6" s="1"/>
  <c r="A12" i="6" s="1"/>
  <c r="A13" i="6" s="1"/>
  <c r="A14" i="6" s="1"/>
  <c r="A15" i="6" s="1"/>
  <c r="A16" i="6" s="1"/>
  <c r="A17" i="6" s="1"/>
  <c r="A18" i="6" s="1"/>
  <c r="A19" i="6" s="1"/>
  <c r="A20" i="6" s="1"/>
  <c r="A21" i="6" s="1"/>
  <c r="A22" i="6" s="1"/>
  <c r="A23" i="6" s="1"/>
  <c r="F8" i="6"/>
  <c r="V8" i="6" s="1"/>
  <c r="W8" i="6" s="1"/>
  <c r="I8" i="6"/>
  <c r="L8" i="6"/>
  <c r="O8" i="6"/>
  <c r="R8" i="6"/>
  <c r="U8" i="6"/>
  <c r="F9" i="6"/>
  <c r="I9" i="6"/>
  <c r="L9" i="6"/>
  <c r="O9" i="6"/>
  <c r="R9" i="6"/>
  <c r="U9" i="6"/>
  <c r="F10" i="6"/>
  <c r="I10" i="6"/>
  <c r="L10" i="6"/>
  <c r="O10" i="6"/>
  <c r="R10" i="6"/>
  <c r="U10" i="6"/>
  <c r="F11" i="6"/>
  <c r="I11" i="6"/>
  <c r="L11" i="6"/>
  <c r="O11" i="6"/>
  <c r="R11" i="6"/>
  <c r="U11" i="6"/>
  <c r="F12" i="6"/>
  <c r="V12" i="6" s="1"/>
  <c r="W12" i="6" s="1"/>
  <c r="I12" i="6"/>
  <c r="L12" i="6"/>
  <c r="O12" i="6"/>
  <c r="R12" i="6"/>
  <c r="U12" i="6"/>
  <c r="F13" i="6"/>
  <c r="I13" i="6"/>
  <c r="L13" i="6"/>
  <c r="V13" i="6" s="1"/>
  <c r="W13" i="6" s="1"/>
  <c r="O13" i="6"/>
  <c r="R13" i="6"/>
  <c r="U13" i="6"/>
  <c r="F14" i="6"/>
  <c r="V14" i="6" s="1"/>
  <c r="W14" i="6" s="1"/>
  <c r="I14" i="6"/>
  <c r="L14" i="6"/>
  <c r="O14" i="6"/>
  <c r="R14" i="6"/>
  <c r="U14" i="6"/>
  <c r="F15" i="6"/>
  <c r="I15" i="6"/>
  <c r="L15" i="6"/>
  <c r="V15" i="6" s="1"/>
  <c r="W15" i="6" s="1"/>
  <c r="O15" i="6"/>
  <c r="R15" i="6"/>
  <c r="U15" i="6"/>
  <c r="F16" i="6"/>
  <c r="V16" i="6" s="1"/>
  <c r="W16" i="6" s="1"/>
  <c r="I16" i="6"/>
  <c r="L16" i="6"/>
  <c r="O16" i="6"/>
  <c r="R16" i="6"/>
  <c r="U16" i="6"/>
  <c r="F17" i="6"/>
  <c r="I17" i="6"/>
  <c r="L17" i="6"/>
  <c r="O17" i="6"/>
  <c r="R17" i="6"/>
  <c r="U17" i="6"/>
  <c r="V17" i="6"/>
  <c r="W17" i="6" s="1"/>
  <c r="F18" i="6"/>
  <c r="I18" i="6"/>
  <c r="L18" i="6"/>
  <c r="O18" i="6"/>
  <c r="R18" i="6"/>
  <c r="U18" i="6"/>
  <c r="F19" i="6"/>
  <c r="I19" i="6"/>
  <c r="L19" i="6"/>
  <c r="O19" i="6"/>
  <c r="R19" i="6"/>
  <c r="U19" i="6"/>
  <c r="F20" i="6"/>
  <c r="I20" i="6"/>
  <c r="L20" i="6"/>
  <c r="V20" i="6" s="1"/>
  <c r="O20" i="6"/>
  <c r="R20" i="6"/>
  <c r="U20" i="6"/>
  <c r="F21" i="6"/>
  <c r="I21" i="6"/>
  <c r="L21" i="6"/>
  <c r="O21" i="6"/>
  <c r="R21" i="6"/>
  <c r="U21" i="6"/>
  <c r="F22" i="6"/>
  <c r="I22" i="6"/>
  <c r="L22" i="6"/>
  <c r="O22" i="6"/>
  <c r="R22" i="6"/>
  <c r="U22" i="6"/>
  <c r="F23" i="6"/>
  <c r="I23" i="6"/>
  <c r="L23" i="6"/>
  <c r="O23" i="6"/>
  <c r="R23" i="6"/>
  <c r="U23" i="6"/>
  <c r="F6" i="3"/>
  <c r="I6" i="3"/>
  <c r="L6" i="3"/>
  <c r="O6" i="3"/>
  <c r="R6" i="3"/>
  <c r="U6" i="3"/>
  <c r="F7" i="3"/>
  <c r="V7" i="3" s="1"/>
  <c r="W7" i="3" s="1"/>
  <c r="I7" i="3"/>
  <c r="L7" i="3"/>
  <c r="O7" i="3"/>
  <c r="R7" i="3"/>
  <c r="U7" i="3"/>
  <c r="F8" i="3"/>
  <c r="I8" i="3"/>
  <c r="L8" i="3"/>
  <c r="O8" i="3"/>
  <c r="R8" i="3"/>
  <c r="U8" i="3"/>
  <c r="F9" i="3"/>
  <c r="I9" i="3"/>
  <c r="L9" i="3"/>
  <c r="O9" i="3"/>
  <c r="R9" i="3"/>
  <c r="U9" i="3"/>
  <c r="F10" i="3"/>
  <c r="I10" i="3"/>
  <c r="L10" i="3"/>
  <c r="O10" i="3"/>
  <c r="R10" i="3"/>
  <c r="U10" i="3"/>
  <c r="F11" i="3"/>
  <c r="I11" i="3"/>
  <c r="L11" i="3"/>
  <c r="O11" i="3"/>
  <c r="R11" i="3"/>
  <c r="U11" i="3"/>
  <c r="F12" i="3"/>
  <c r="V12" i="3"/>
  <c r="W12" i="3" s="1"/>
  <c r="I12" i="3"/>
  <c r="L12" i="3"/>
  <c r="O12" i="3"/>
  <c r="R12" i="3"/>
  <c r="U12" i="3"/>
  <c r="F13" i="3"/>
  <c r="I13" i="3"/>
  <c r="L13" i="3"/>
  <c r="O13" i="3"/>
  <c r="R13" i="3"/>
  <c r="U13" i="3"/>
  <c r="F14" i="3"/>
  <c r="I14" i="3"/>
  <c r="V14" i="3" s="1"/>
  <c r="W14" i="3" s="1"/>
  <c r="L14" i="3"/>
  <c r="O14" i="3"/>
  <c r="R14" i="3"/>
  <c r="U14" i="3"/>
  <c r="F6" i="2"/>
  <c r="I6" i="2"/>
  <c r="L6" i="2"/>
  <c r="O6" i="2"/>
  <c r="R6" i="2"/>
  <c r="U6" i="2"/>
  <c r="A7" i="2"/>
  <c r="A8" i="2"/>
  <c r="A9" i="2" s="1"/>
  <c r="A10" i="2" s="1"/>
  <c r="A11" i="2" s="1"/>
  <c r="A12" i="2" s="1"/>
  <c r="A13" i="2" s="1"/>
  <c r="A14" i="2" s="1"/>
  <c r="A15" i="2" s="1"/>
  <c r="A16" i="2" s="1"/>
  <c r="A17" i="2" s="1"/>
  <c r="A18" i="2" s="1"/>
  <c r="A19" i="2" s="1"/>
  <c r="A20" i="2" s="1"/>
  <c r="A21" i="2" s="1"/>
  <c r="A22" i="2" s="1"/>
  <c r="A23" i="2" s="1"/>
  <c r="F7" i="2"/>
  <c r="V7" i="2" s="1"/>
  <c r="W7" i="2" s="1"/>
  <c r="I7" i="2"/>
  <c r="L7" i="2"/>
  <c r="O7" i="2"/>
  <c r="R7" i="2"/>
  <c r="U7" i="2"/>
  <c r="F8" i="2"/>
  <c r="I8" i="2"/>
  <c r="L8" i="2"/>
  <c r="O8" i="2"/>
  <c r="R8" i="2"/>
  <c r="U8" i="2"/>
  <c r="V8" i="2"/>
  <c r="W8" i="2" s="1"/>
  <c r="F9" i="2"/>
  <c r="I9" i="2"/>
  <c r="L9" i="2"/>
  <c r="O9" i="2"/>
  <c r="R9" i="2"/>
  <c r="U9" i="2"/>
  <c r="F10" i="2"/>
  <c r="V10" i="2" s="1"/>
  <c r="W10" i="2" s="1"/>
  <c r="I10" i="2"/>
  <c r="L10" i="2"/>
  <c r="O10" i="2"/>
  <c r="R10" i="2"/>
  <c r="U10" i="2"/>
  <c r="F11" i="2"/>
  <c r="I11" i="2"/>
  <c r="L11" i="2"/>
  <c r="O11" i="2"/>
  <c r="R11" i="2"/>
  <c r="U11" i="2"/>
  <c r="F12" i="2"/>
  <c r="I12" i="2"/>
  <c r="L12" i="2"/>
  <c r="O12" i="2"/>
  <c r="R12" i="2"/>
  <c r="U12" i="2"/>
  <c r="V12" i="2"/>
  <c r="W12" i="2" s="1"/>
  <c r="F13" i="2"/>
  <c r="I13" i="2"/>
  <c r="L13" i="2"/>
  <c r="V13" i="2" s="1"/>
  <c r="W13" i="2" s="1"/>
  <c r="O13" i="2"/>
  <c r="R13" i="2"/>
  <c r="U13" i="2"/>
  <c r="F14" i="2"/>
  <c r="V14" i="2" s="1"/>
  <c r="W14" i="2" s="1"/>
  <c r="I14" i="2"/>
  <c r="L14" i="2"/>
  <c r="O14" i="2"/>
  <c r="R14" i="2"/>
  <c r="U14" i="2"/>
  <c r="F15" i="2"/>
  <c r="I15" i="2"/>
  <c r="L15" i="2"/>
  <c r="O15" i="2"/>
  <c r="R15" i="2"/>
  <c r="U15" i="2"/>
  <c r="F16" i="2"/>
  <c r="I16" i="2"/>
  <c r="L16" i="2"/>
  <c r="O16" i="2"/>
  <c r="R16" i="2"/>
  <c r="U16" i="2"/>
  <c r="V16" i="2"/>
  <c r="W16" i="2" s="1"/>
  <c r="F17" i="2"/>
  <c r="I17" i="2"/>
  <c r="L17" i="2"/>
  <c r="O17" i="2"/>
  <c r="R17" i="2"/>
  <c r="U17" i="2"/>
  <c r="F18" i="2"/>
  <c r="I18" i="2"/>
  <c r="L18" i="2"/>
  <c r="O18" i="2"/>
  <c r="R18" i="2"/>
  <c r="U18" i="2"/>
  <c r="F19" i="2"/>
  <c r="V19" i="2" s="1"/>
  <c r="W19" i="2" s="1"/>
  <c r="I19" i="2"/>
  <c r="L19" i="2"/>
  <c r="O19" i="2"/>
  <c r="R19" i="2"/>
  <c r="U19" i="2"/>
  <c r="F20" i="2"/>
  <c r="I20" i="2"/>
  <c r="L20" i="2"/>
  <c r="O20" i="2"/>
  <c r="R20" i="2"/>
  <c r="U20" i="2"/>
  <c r="V20" i="2"/>
  <c r="W20" i="2" s="1"/>
  <c r="F21" i="2"/>
  <c r="I21" i="2"/>
  <c r="L21" i="2"/>
  <c r="O21" i="2"/>
  <c r="R21" i="2"/>
  <c r="U21" i="2"/>
  <c r="F22" i="2"/>
  <c r="I22" i="2"/>
  <c r="L22" i="2"/>
  <c r="O22" i="2"/>
  <c r="R22" i="2"/>
  <c r="U22" i="2"/>
  <c r="F23" i="2"/>
  <c r="V23" i="2" s="1"/>
  <c r="W23" i="2" s="1"/>
  <c r="I23" i="2"/>
  <c r="L23" i="2"/>
  <c r="O23" i="2"/>
  <c r="R23" i="2"/>
  <c r="U23" i="2"/>
  <c r="W20" i="6"/>
  <c r="P60" i="8"/>
  <c r="P66" i="8"/>
  <c r="P81" i="8"/>
  <c r="P69" i="8"/>
  <c r="W69" i="8"/>
  <c r="P51" i="8"/>
  <c r="V11" i="9"/>
  <c r="W11" i="9" s="1"/>
  <c r="W18" i="9"/>
  <c r="V17" i="9"/>
  <c r="W17" i="9" s="1"/>
  <c r="W21" i="8"/>
  <c r="W12" i="8"/>
  <c r="V6" i="6"/>
  <c r="W6" i="6" s="1"/>
  <c r="W7" i="7"/>
  <c r="V23" i="6"/>
  <c r="W23" i="6" s="1"/>
  <c r="V22" i="6"/>
  <c r="W22" i="6"/>
  <c r="V19" i="6"/>
  <c r="W19" i="6" s="1"/>
  <c r="V18" i="6"/>
  <c r="W18" i="6"/>
  <c r="V9" i="6"/>
  <c r="W9" i="6"/>
  <c r="V7" i="9"/>
  <c r="W7" i="9"/>
  <c r="V21" i="9"/>
  <c r="W21" i="9" s="1"/>
  <c r="V6" i="10"/>
  <c r="W6" i="10"/>
  <c r="V9" i="10"/>
  <c r="W9" i="10" s="1"/>
  <c r="V21" i="2"/>
  <c r="W21" i="2"/>
  <c r="V17" i="2"/>
  <c r="W17" i="2" s="1"/>
  <c r="V9" i="2"/>
  <c r="W9" i="2" s="1"/>
  <c r="V15" i="2"/>
  <c r="W15" i="2"/>
  <c r="V11" i="2"/>
  <c r="W11" i="2" s="1"/>
  <c r="V6" i="7"/>
  <c r="W6" i="7" s="1"/>
  <c r="V13" i="10"/>
  <c r="W13" i="10"/>
  <c r="V11" i="10"/>
  <c r="W11" i="10" s="1"/>
  <c r="V9" i="7"/>
  <c r="W9" i="7"/>
  <c r="V14" i="10"/>
  <c r="W14" i="10" s="1"/>
  <c r="V12" i="10"/>
  <c r="W12" i="10"/>
  <c r="V10" i="10"/>
  <c r="W10" i="10" s="1"/>
  <c r="V8" i="10"/>
  <c r="W8" i="10"/>
  <c r="V10" i="6" l="1"/>
  <c r="W10" i="6" s="1"/>
  <c r="V12" i="7"/>
  <c r="W12" i="7" s="1"/>
  <c r="V10" i="7"/>
  <c r="W10" i="7" s="1"/>
  <c r="W60" i="8"/>
  <c r="V10" i="3"/>
  <c r="W10" i="3" s="1"/>
  <c r="V21" i="6"/>
  <c r="W21" i="6" s="1"/>
  <c r="V7" i="10"/>
  <c r="W7" i="10" s="1"/>
  <c r="W45" i="8"/>
  <c r="V22" i="2"/>
  <c r="W22" i="2" s="1"/>
  <c r="V6" i="2"/>
  <c r="W6" i="2" s="1"/>
  <c r="V13" i="3"/>
  <c r="W13" i="3" s="1"/>
  <c r="V8" i="3"/>
  <c r="W8" i="3" s="1"/>
  <c r="V11" i="6"/>
  <c r="W11" i="6" s="1"/>
  <c r="V7" i="6"/>
  <c r="W7" i="6" s="1"/>
  <c r="V13" i="9"/>
  <c r="W13" i="9" s="1"/>
  <c r="V15" i="9"/>
  <c r="W15" i="9" s="1"/>
  <c r="P75" i="8"/>
  <c r="W72" i="8"/>
  <c r="P63" i="8"/>
  <c r="W6" i="8"/>
  <c r="V18" i="2"/>
  <c r="W18" i="2" s="1"/>
  <c r="V11" i="3"/>
  <c r="W11" i="3" s="1"/>
  <c r="V9" i="3"/>
  <c r="W9" i="3" s="1"/>
  <c r="V6" i="3"/>
  <c r="W6" i="3" s="1"/>
  <c r="V13" i="7"/>
  <c r="W13" i="7" s="1"/>
  <c r="V19" i="9"/>
  <c r="W19" i="9" s="1"/>
  <c r="W78" i="8"/>
  <c r="W75" i="8"/>
  <c r="W66" i="8"/>
  <c r="W63" i="8"/>
  <c r="P6" i="8"/>
</calcChain>
</file>

<file path=xl/sharedStrings.xml><?xml version="1.0" encoding="utf-8"?>
<sst xmlns="http://schemas.openxmlformats.org/spreadsheetml/2006/main" count="893" uniqueCount="135">
  <si>
    <t>NO</t>
  </si>
  <si>
    <t>POSISI</t>
  </si>
  <si>
    <t>Kasir</t>
  </si>
  <si>
    <t>Pramuniaga</t>
  </si>
  <si>
    <t>Iswadi</t>
  </si>
  <si>
    <t>Chief Security</t>
  </si>
  <si>
    <t>Security</t>
  </si>
  <si>
    <t>Part Timer</t>
  </si>
  <si>
    <t>Nugroho</t>
  </si>
  <si>
    <t>Magang</t>
  </si>
  <si>
    <t>Ahmad</t>
  </si>
  <si>
    <t>Grafin</t>
  </si>
  <si>
    <t>NAMA KARYAWAN</t>
  </si>
  <si>
    <t>POIN PRESENSI</t>
  </si>
  <si>
    <t>TOTAL</t>
  </si>
  <si>
    <t>RATA-RATA</t>
  </si>
  <si>
    <t>ON TIME</t>
  </si>
  <si>
    <t>JML</t>
  </si>
  <si>
    <t>TERLAMBAT</t>
  </si>
  <si>
    <t>SAKIT</t>
  </si>
  <si>
    <t>Az'ad Samsul Arifin</t>
  </si>
  <si>
    <t>Nila Putri Utami</t>
  </si>
  <si>
    <t>Yeni Nur A</t>
  </si>
  <si>
    <t>Catur Prasetya Utami</t>
  </si>
  <si>
    <t>Kiki Tito Lena R N</t>
  </si>
  <si>
    <t>Francisca Anitis P</t>
  </si>
  <si>
    <t>Dian Rohadi</t>
  </si>
  <si>
    <t>Prasetyo Wibowo</t>
  </si>
  <si>
    <t>Fitri Yuliani</t>
  </si>
  <si>
    <t>Puri Rahayu</t>
  </si>
  <si>
    <t>Danang W</t>
  </si>
  <si>
    <t>Sendy</t>
  </si>
  <si>
    <t>Alin</t>
  </si>
  <si>
    <t>Assita Nrbaiti</t>
  </si>
  <si>
    <t>Risnanda Elisa Putri</t>
  </si>
  <si>
    <t>Eka Aris Sanjaya</t>
  </si>
  <si>
    <t>B. Wisnujati</t>
  </si>
  <si>
    <t>Staff Gudang</t>
  </si>
  <si>
    <t xml:space="preserve">Hendi </t>
  </si>
  <si>
    <t>Andi</t>
  </si>
  <si>
    <t>Maya</t>
  </si>
  <si>
    <t>Novita Kristiyaningrum</t>
  </si>
  <si>
    <t>Ekstra Poin Hadir*</t>
  </si>
  <si>
    <t>Tidak Hadir*</t>
  </si>
  <si>
    <t>* Ekstra Poin : Kehadiran disetiap kegiatan (misal PDO, Training dll)</t>
  </si>
  <si>
    <t>Kegiatan Ekstra</t>
  </si>
  <si>
    <t>Tukar Shift/Ijin</t>
  </si>
  <si>
    <t xml:space="preserve">NAMA </t>
  </si>
  <si>
    <t>Attitude</t>
  </si>
  <si>
    <t xml:space="preserve">Grooming </t>
  </si>
  <si>
    <t>Kinerja</t>
  </si>
  <si>
    <t>Rata-rata</t>
  </si>
  <si>
    <t>Integritas</t>
  </si>
  <si>
    <t>Catatan</t>
  </si>
  <si>
    <t>Ketelitian</t>
  </si>
  <si>
    <t>Service excellent</t>
  </si>
  <si>
    <t>Personal Selling</t>
  </si>
  <si>
    <t>Kerjasama Tim</t>
  </si>
  <si>
    <t>Kedisiplinan</t>
  </si>
  <si>
    <t>Kejujuran</t>
  </si>
  <si>
    <t>Inisiatif</t>
  </si>
  <si>
    <t>Ari</t>
  </si>
  <si>
    <t>Nila</t>
  </si>
  <si>
    <t>Yeni</t>
  </si>
  <si>
    <t xml:space="preserve">Attitude </t>
  </si>
  <si>
    <t>Tami</t>
  </si>
  <si>
    <t>Kiki</t>
  </si>
  <si>
    <t>Titis</t>
  </si>
  <si>
    <t>Dian</t>
  </si>
  <si>
    <t>Pras</t>
  </si>
  <si>
    <t>Fitri</t>
  </si>
  <si>
    <t>Puri</t>
  </si>
  <si>
    <t>Danang</t>
  </si>
  <si>
    <t>Hendi</t>
  </si>
  <si>
    <t>Boni</t>
  </si>
  <si>
    <t>Staff Logistik &amp; Purchasing</t>
  </si>
  <si>
    <t>Assita</t>
  </si>
  <si>
    <t>Nanda</t>
  </si>
  <si>
    <t>Aris</t>
  </si>
  <si>
    <t>Novita</t>
  </si>
  <si>
    <t>Part Time</t>
  </si>
  <si>
    <t>Note</t>
  </si>
  <si>
    <t>PENILAIAN POIN BERDASARKAN ABSENSI AGUSTUS 2018</t>
  </si>
  <si>
    <t>PENILAIAN POIN BERDASARKAN ABSENSI JULI 2018</t>
  </si>
  <si>
    <t>PENILAIAN POIN BERDASARKAN ABSENSI BULAN JULI 2018</t>
  </si>
  <si>
    <t>PENILAIAN POIN BERDASARKAN ABSENSI BULAN AGUSTUS 2018</t>
  </si>
  <si>
    <t>PENILAIAN POIN BERDASARKAN ABSENSI BULAN SEPTEMBER 2018</t>
  </si>
  <si>
    <t>Ian</t>
  </si>
  <si>
    <t>Ariel</t>
  </si>
  <si>
    <t>GC</t>
  </si>
  <si>
    <t>Kumpul tim JBS</t>
  </si>
  <si>
    <t>Refreshment Training</t>
  </si>
  <si>
    <t>IAN</t>
  </si>
  <si>
    <t>Seluruh kinerja semua karyawan sudah bagus, lebih ditingkatkan lagi.</t>
  </si>
  <si>
    <t>Untuk Manajemen jangan pilih kasih, lebih membaur dengan yg lain, jngan dengan orang-orang tertentu</t>
  </si>
  <si>
    <t>Suka membantu. Disiplin.</t>
  </si>
  <si>
    <t>Sudah bagus. Semangat. Kerja penuh semangat.</t>
  </si>
  <si>
    <t>Kompak selalu &amp; selalu semangat dalam bekerja.</t>
  </si>
  <si>
    <t>Tingkatkan upselling &amp; lebih aktif lagi. Kinerjanya sudah bagus,tingkatkan. Groomingnya ok, pertahankan. Kurang antusias dg pekerjaan/jobdesk.</t>
  </si>
  <si>
    <t>Lebih inisiatif, lebih tegas. Tingkatkan kinerja. Sudah bagus, tingkatkan ! Sabar &amp; selalu memberi contoh yg baik. Kurangi begadangnya pak iswadi.</t>
  </si>
  <si>
    <t>Lebih aktif untuk komunikasi. Lebih rapi lagi, lebih inisiatif, jangan loyo. Lebih rapi lg.Jnagan diam terus, cari kesibukan bantu-bantu tmn. Kurang aktf. Kurang wangi. Semangat kerjanya bagus, pertahankan. Lebih aktif lg, inisiatif ditambah. Lebih peka thd pekerjaan &amp; jobdesknya. Kurang fleksibel saat standby di store. kaku. Lebih rapi lg groomingnya. Klo rambut sdh pjg segera dirapikan tdk perlu tmn menegur. Upselling ditingkatkan,jngan diem aja.</t>
  </si>
  <si>
    <t>Inisiatif &amp; kinerja OK. Lebih fokus ya. Lebih inisiatif lg, tingkatkan. Lebih inisiatif lg klo piket setelah SO &amp; gantian. Semangat jangan ngelokro. Kerjasama bagus &amp; lebih cekatan lg. Inisiatifnya bagus.</t>
  </si>
  <si>
    <t>Lebih fokus jangan GJ dan kurangi usilnya. Dikurangi bercandanya. Sudah bagus,tingkatkan. Jail bgt. Baik, suka membantu. Teliti &amp; inisiatif. Jahil. Moody. Jail. Kinerja baik. Dikurangi bercandanya.</t>
  </si>
  <si>
    <t>Jangan gugupan. Jaga kebersihan saat jaga di titik luar. Fokus saat kerja. Upselling Ok. Kejasama bagus. Tidak pernah ontime saat jaga diluar. Bau mulut. Semangat terus jd leadernya. Tenang ojo panik.</t>
  </si>
  <si>
    <t>Lebih banyak belajar lagi. Kurangi bercanda. Dikurangi nyeleleknya. Jangan ngobrol klo ada pengunjung lewat. Greeting bagus, tingkatkan.Kondisikan jam keberangkatan. Kinerja ditingkatin lg, sdh bagus (aktf). Pemberani. Cekatan dlm bekerja. Keseluruhan sdh bagus, tp kurangi ngobrol saat ada pengunjung. Jangan bnyak bercanda saat ada pengunjung. Kinerja bagus. Inisiatif bagus. Kurangi bercandanya.</t>
  </si>
  <si>
    <t>Lebih ditingkatkan lg dlm hal pekerjaan. Sabar &amp; banyak ide. Lebih ditingkatkan lg dlm bekerja. Lebih semangat. Kreatif &amp; cekatan lagi.</t>
  </si>
  <si>
    <t>Sudah bagus. Semangat. Baik, Rapi. Teliti &amp; disiplin. Suka menolong sesama teman. Lebih antusias lagi.</t>
  </si>
  <si>
    <t>Lebih fokus lg mas.Kurang teliti. Inisiatif bagus. Fokus saat kerja. Kurang rapi. Kerjasama tim bagus dan cekatan dalam bekerja. Kurang fokus &amp; krg teliti dg kerjaan. Tingkatkan ketelitian.</t>
  </si>
  <si>
    <t>Lebih teliti lagi, Lebih fokus ke pekerjaan. Dikurangi lagi kopongnya, lebih semangat. Jujur &amp; disiplin. Lebih dewasa lg.</t>
  </si>
  <si>
    <t>Semoga Jogja Bay Store selalu over target.</t>
  </si>
  <si>
    <t>Semangat. Lebih teliti lagi. Rajin. Lebih profesional. Antusias lg thd pengunjung. Lebih profesional dlm bekerja.</t>
  </si>
  <si>
    <t>Sudah bagus. Semangat. Selalu inisiatif. Cekatan Lebih murah senyum lgi. Lebih membaur dg lainnya.</t>
  </si>
  <si>
    <t>Semangat kerja menurun,tingkatkan mbak. Kerjasama bagus &amp; inisiatif OK. Jika sudah digantikan jaga segera ke store. Jangan malas-malasan.</t>
  </si>
  <si>
    <t>Semangat kerjanya perlu ditambah, sering ngeluh. Ditambah lg senyumnya. Jujur &amp; Teliti, serta upsellingnya bagus. Moody Lebih murah senyum lg. Jangan moodian.</t>
  </si>
  <si>
    <t>Jangan loyo. Ayo semangat, kinerja sudah bagus. Lebih respek lg thd pekerjaan. Kinerja tolong ditingkatin lagi ya. Semangat terus jngan sampe loyo. Kurang antusias dg kerjaan &amp; jobdesk. Jail. Lebih cekatan.</t>
  </si>
  <si>
    <t>Tingkatkan kinerja secara keseluruhan. Tingkatkan senyum &amp; keramahan.Lebih aktif lagi. Kinerja sudah bagus. Lebih ramah lg thd pengunjung. Senyumnya kurang, &amp; terlalu kaku. Kurang disiplin. Banyak tanya yg gak jls. Disiplin waktu. Lebih tegas lg. Lebih aktif &amp; peka thd kerjaan. Senyum hanya ke pengunjung tertentu. Tidak pny inisiatif. Jangan bnyak ngalamun. Lebih peduli lg dg pengunjung. Lebih sopan lg.</t>
  </si>
  <si>
    <t>Semangat. Lebih teliti lagi. Moody Kerjasama timnya bagus. Lebih profesional. Lebih serius lagi dlm bekerja. Semangat!! Jangan bermalas-malasan. Lebih profesional dlm bekerja.</t>
  </si>
  <si>
    <t>Kinerja bagus, Cuma sering menyendiri. Kinerja sudah bagus. Kinerja bagus. Lebih sopan lg dg org yg lbh tua. Cekatan dalam bekerja. Masih tdk enakan jk mnta bantuan. Jangan jadikan masalah mjd beban, tetap semangat.</t>
  </si>
  <si>
    <t>Semangat kerja turun, tingkatkan mas. Kerjasama timnya bagus. Masih sering ijin telat apalagi masuk PW. Lebih antusias lg. Lebih teliti &amp; semangat.</t>
  </si>
  <si>
    <t>Tingkatkan inisiatoofnya Jangan loyo, lebih semangat lagi. Lebih teliti lg. Lebih wangi lg. Semangat udah bagus. Kurang teliti. Inisiatif/bnyak ide yg bagus. Kurang inisiatif sdh jd part time. Inisiatif ditingkatin lagi. Jangan layu. Lebih aktf lg.</t>
  </si>
  <si>
    <t>Inisiatif sudah bagus, lebih teliti lagi.Penampilan lebih dirapikan. Kinerja sudah bagus. Lebih teliti lg. Lebih wangi lg. Rambut lebih dirapikan lg. Jangan senyum terus-terusan. Kurang teliti Disiplin &amp; selalu belajar sama seniornya. Lebih aktif lg. jangan baperan, lebih wangi lg. Semangat.. Kurang murah senyum. Kurangin cemberut.</t>
  </si>
  <si>
    <t>Semangat kerja tdk stabil. {erhatikan lagi jam masuk. Lebih ditingkatkan lagi kedisiplinannya. Jangan telatan!! Jangan mepet-mepet. Kinerja bagus. Jangan banyak ngobrol. Kerjasama tim bagus. Kurangi brgkat mepet. Kondisikan jam keberangkatan. Lebih disiplin lg. Upselling sdh bagus, perthankan. Masih sering telat. Kinerja sangat-sangat kurang. Lebih ditingkatkan lg dlm bekerja. jangan mepet klo brgkat. Lebih inisiatif lg. Lebih sopan lg.</t>
  </si>
  <si>
    <t>Lebih inisiatif lagi. Lebih rajin lg &amp; semangat. Lebih inisiatif lagi.Kinerja sudah bagus. Lebih inisiatif lagi. Lebih respek lg thd pekerjaan. Kinerja menurun. Kurang disiplin. Kinerjanya ditingkatkan lg. Kurang antuias dg pekerjaan. Loyo &amp; ngantukan. klo pas jaga diluar jngan bnyak tidur dan saat ke toilet jangan mampir ke booth-booth. Lebih aktf &amp; sopan lg.</t>
  </si>
  <si>
    <t>Kinerja OK. Tingkatkan upsellingnya. Lebih inisiatif lg dalam pekerjaan. Disiplin. Tingkatkan kerjasama tim.</t>
  </si>
  <si>
    <t>PENILAIAN POIN BERDASARKAN ABSENSI SEPTEMBER 2018</t>
  </si>
  <si>
    <t>Training Bhs Inggris</t>
  </si>
  <si>
    <t>Training Pengembangan Diri Internal</t>
  </si>
  <si>
    <t>Kuesioner</t>
  </si>
  <si>
    <t xml:space="preserve">Presensi </t>
  </si>
  <si>
    <t>Total</t>
  </si>
  <si>
    <t>Hasil</t>
  </si>
  <si>
    <t>Akhir</t>
  </si>
  <si>
    <t>Juli</t>
  </si>
  <si>
    <t>Sept</t>
  </si>
  <si>
    <t>Agt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</si>
</sst>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quot; &quot;* #,##0_);_(&quot; &quot;* \(#,##0\);_(&quot; &quot;* &quot;-&quot;_);_(@_)"/>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sz val="11"/>
      <color theme="1"/>
      <name val="Arial"/>
      <family val="2"/>
    </font>
    <font>
      <i/>
      <sz val="11"/>
      <color theme="1"/>
      <name val="Arial"/>
      <family val="2"/>
    </font>
    <font>
      <sz val="7"/>
      <color theme="1" tint="0.249977111117893"/>
      <name val="Arial"/>
      <family val="2"/>
    </font>
    <font>
      <b/>
      <sz val="7"/>
      <color theme="1" tint="0.249977111117893"/>
      <name val="Arial"/>
      <family val="2"/>
    </font>
    <font>
      <b/>
      <sz val="7"/>
      <color theme="1"/>
      <name val="Arial"/>
      <family val="2"/>
    </font>
    <font>
      <i/>
      <sz val="9"/>
      <color theme="1"/>
      <name val="Arial Narrow"/>
      <family val="2"/>
    </font>
    <font>
      <i/>
      <sz val="11"/>
      <name val="Calibri"/>
      <family val="2"/>
      <scheme val="minor"/>
    </font>
    <font>
      <b/>
      <sz val="22"/>
      <color theme="1"/>
      <name val="Arial"/>
      <family val="2"/>
    </font>
    <font>
      <b/>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9"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16">
    <xf numFmtId="0" fontId="0" fillId="0" borderId="0" xfId="0"/>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3" xfId="0" applyFont="1" applyBorder="1" applyAlignment="1">
      <alignment horizontal="center" vertical="center"/>
    </xf>
    <xf numFmtId="0" fontId="4" fillId="2" borderId="2" xfId="0" applyFont="1" applyFill="1" applyBorder="1" applyAlignment="1">
      <alignment horizontal="center" vertical="center"/>
    </xf>
    <xf numFmtId="0" fontId="4" fillId="0" borderId="4" xfId="0" applyFont="1" applyBorder="1" applyAlignment="1">
      <alignment horizontal="center" vertical="center"/>
    </xf>
    <xf numFmtId="0" fontId="4" fillId="3" borderId="4" xfId="0" applyFont="1" applyFill="1" applyBorder="1" applyAlignment="1">
      <alignment horizontal="center" vertical="center"/>
    </xf>
    <xf numFmtId="10" fontId="4" fillId="0" borderId="1" xfId="1" applyNumberFormat="1" applyFont="1" applyBorder="1" applyAlignment="1">
      <alignment vertical="center"/>
    </xf>
    <xf numFmtId="0" fontId="3" fillId="0" borderId="1" xfId="0" applyFont="1" applyBorder="1" applyAlignment="1">
      <alignment horizontal="center" vertical="center"/>
    </xf>
    <xf numFmtId="0" fontId="4"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2" borderId="1" xfId="0" applyFont="1" applyFill="1" applyBorder="1" applyAlignment="1">
      <alignment horizontal="center" vertical="center"/>
    </xf>
    <xf numFmtId="10" fontId="4" fillId="0" borderId="0" xfId="1" applyNumberFormat="1" applyFont="1" applyAlignment="1">
      <alignment vertical="center"/>
    </xf>
    <xf numFmtId="0" fontId="4" fillId="0" borderId="0" xfId="0" applyFont="1"/>
    <xf numFmtId="0" fontId="4" fillId="0" borderId="0" xfId="0" applyFont="1" applyAlignment="1">
      <alignment horizontal="center" vertical="center"/>
    </xf>
    <xf numFmtId="0" fontId="4" fillId="0" borderId="0" xfId="0" applyFont="1" applyAlignment="1">
      <alignment horizontal="center"/>
    </xf>
    <xf numFmtId="0" fontId="4" fillId="0" borderId="7" xfId="0" applyFont="1" applyFill="1" applyBorder="1" applyAlignment="1">
      <alignment horizontal="left" vertical="center"/>
    </xf>
    <xf numFmtId="0" fontId="3" fillId="0" borderId="2" xfId="0" applyFont="1" applyBorder="1" applyAlignment="1">
      <alignment horizontal="center" vertical="center"/>
    </xf>
    <xf numFmtId="0" fontId="4" fillId="2" borderId="4"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1" xfId="0" applyFont="1" applyFill="1" applyBorder="1" applyAlignment="1">
      <alignment horizontal="center" vertical="center"/>
    </xf>
    <xf numFmtId="0" fontId="0" fillId="0" borderId="1" xfId="0" applyBorder="1" applyAlignment="1">
      <alignment horizontal="center" vertical="center"/>
    </xf>
    <xf numFmtId="0" fontId="4" fillId="0" borderId="0" xfId="0" applyFont="1" applyAlignment="1">
      <alignment horizontal="left" vertical="center"/>
    </xf>
    <xf numFmtId="0" fontId="5" fillId="0" borderId="0" xfId="0" applyFont="1" applyAlignment="1">
      <alignment vertical="center"/>
    </xf>
    <xf numFmtId="0" fontId="4" fillId="0" borderId="8" xfId="0" applyFont="1" applyFill="1" applyBorder="1" applyAlignment="1">
      <alignment horizontal="center" vertical="center"/>
    </xf>
    <xf numFmtId="0" fontId="4" fillId="2" borderId="8" xfId="0" applyFont="1" applyFill="1" applyBorder="1" applyAlignment="1">
      <alignment horizontal="center" vertical="center"/>
    </xf>
    <xf numFmtId="0" fontId="4" fillId="3" borderId="8" xfId="0" applyFont="1" applyFill="1" applyBorder="1" applyAlignment="1">
      <alignment horizontal="center" vertical="center"/>
    </xf>
    <xf numFmtId="0" fontId="0" fillId="2" borderId="1" xfId="0" applyFill="1" applyBorder="1" applyAlignment="1">
      <alignment horizontal="center" vertical="center"/>
    </xf>
    <xf numFmtId="0" fontId="3" fillId="0" borderId="2" xfId="0" applyFont="1" applyBorder="1" applyAlignment="1">
      <alignment horizontal="center" vertical="center"/>
    </xf>
    <xf numFmtId="0" fontId="6" fillId="0" borderId="1" xfId="0" applyFont="1" applyBorder="1" applyAlignment="1">
      <alignment horizontal="center" vertical="center"/>
    </xf>
    <xf numFmtId="0" fontId="6"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6" fillId="3" borderId="1" xfId="0" applyFont="1" applyFill="1" applyBorder="1" applyAlignment="1">
      <alignment horizontal="left" vertical="center" wrapText="1"/>
    </xf>
    <xf numFmtId="164" fontId="6" fillId="3" borderId="1" xfId="0" applyNumberFormat="1" applyFont="1" applyFill="1" applyBorder="1" applyAlignment="1">
      <alignment horizontal="center" vertical="center"/>
    </xf>
    <xf numFmtId="43" fontId="7" fillId="3" borderId="1" xfId="0" applyNumberFormat="1" applyFont="1" applyFill="1" applyBorder="1" applyAlignment="1">
      <alignment horizontal="center" vertical="center"/>
    </xf>
    <xf numFmtId="0" fontId="6" fillId="3" borderId="2" xfId="0" applyFont="1" applyFill="1" applyBorder="1" applyAlignment="1">
      <alignment horizontal="left" vertical="center" wrapText="1"/>
    </xf>
    <xf numFmtId="0" fontId="7" fillId="0" borderId="1" xfId="0" applyFont="1" applyFill="1" applyBorder="1" applyAlignment="1">
      <alignment horizontal="center" vertical="center"/>
    </xf>
    <xf numFmtId="0" fontId="6"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0" fontId="0" fillId="3" borderId="0" xfId="0" applyFill="1"/>
    <xf numFmtId="0" fontId="8" fillId="0" borderId="1" xfId="0" applyFont="1" applyBorder="1" applyAlignment="1">
      <alignment horizontal="center" vertical="center"/>
    </xf>
    <xf numFmtId="0" fontId="7" fillId="5" borderId="2"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6" fillId="3" borderId="1" xfId="0" applyFont="1" applyFill="1" applyBorder="1" applyAlignment="1">
      <alignment vertical="center"/>
    </xf>
    <xf numFmtId="0" fontId="9" fillId="0" borderId="0" xfId="0" applyFont="1"/>
    <xf numFmtId="0" fontId="9" fillId="0" borderId="0" xfId="0" applyFont="1" applyAlignment="1">
      <alignment horizontal="center" vertical="center"/>
    </xf>
    <xf numFmtId="0" fontId="3" fillId="0" borderId="2" xfId="0" applyFont="1" applyBorder="1" applyAlignment="1">
      <alignment horizontal="center" vertical="center"/>
    </xf>
    <xf numFmtId="0" fontId="10" fillId="0" borderId="0" xfId="0" applyFont="1"/>
    <xf numFmtId="0" fontId="0" fillId="0" borderId="0" xfId="0" applyAlignment="1">
      <alignment vertical="center"/>
    </xf>
    <xf numFmtId="10" fontId="0" fillId="0" borderId="0" xfId="1" applyNumberFormat="1" applyFont="1" applyAlignment="1">
      <alignment vertical="center"/>
    </xf>
    <xf numFmtId="10" fontId="0" fillId="0" borderId="0" xfId="1" applyNumberFormat="1" applyFont="1" applyAlignment="1">
      <alignment horizontal="center" vertical="center"/>
    </xf>
    <xf numFmtId="0" fontId="0" fillId="3" borderId="0" xfId="0" applyFill="1" applyAlignment="1">
      <alignment vertical="center"/>
    </xf>
    <xf numFmtId="0" fontId="9" fillId="0" borderId="0" xfId="0" applyFont="1" applyAlignment="1">
      <alignment vertical="center"/>
    </xf>
    <xf numFmtId="0" fontId="12" fillId="7" borderId="0" xfId="0" applyFont="1" applyFill="1" applyAlignment="1">
      <alignment horizontal="center" vertical="center"/>
    </xf>
    <xf numFmtId="10" fontId="12" fillId="9" borderId="0" xfId="1" applyNumberFormat="1" applyFont="1" applyFill="1" applyBorder="1" applyAlignment="1">
      <alignment horizontal="center" vertical="center"/>
    </xf>
    <xf numFmtId="10" fontId="0" fillId="6" borderId="0" xfId="1" applyNumberFormat="1" applyFont="1" applyFill="1" applyAlignment="1">
      <alignment horizontal="center" vertical="center"/>
    </xf>
    <xf numFmtId="10" fontId="0" fillId="8" borderId="0" xfId="0" applyNumberFormat="1" applyFill="1" applyAlignment="1">
      <alignment vertical="center"/>
    </xf>
    <xf numFmtId="10" fontId="2" fillId="9" borderId="0" xfId="1" applyNumberFormat="1" applyFont="1" applyFill="1" applyAlignment="1">
      <alignment horizontal="center" vertical="center"/>
    </xf>
    <xf numFmtId="10" fontId="0" fillId="7" borderId="0" xfId="0" applyNumberFormat="1" applyFill="1" applyAlignment="1">
      <alignment horizontal="center" vertical="center"/>
    </xf>
    <xf numFmtId="0" fontId="0" fillId="0" borderId="0" xfId="0" applyAlignment="1">
      <alignment horizontal="center" vertical="center"/>
    </xf>
    <xf numFmtId="0" fontId="0" fillId="0" borderId="0" xfId="0" applyFill="1" applyBorder="1" applyAlignment="1">
      <alignment vertical="center"/>
    </xf>
    <xf numFmtId="10" fontId="0" fillId="0" borderId="0" xfId="1" applyNumberFormat="1" applyFont="1" applyFill="1" applyBorder="1" applyAlignment="1">
      <alignment horizontal="center" vertical="center"/>
    </xf>
    <xf numFmtId="10" fontId="0" fillId="0" borderId="0" xfId="0" applyNumberFormat="1" applyFill="1" applyBorder="1" applyAlignment="1">
      <alignment horizontal="center" vertical="center"/>
    </xf>
    <xf numFmtId="10" fontId="0" fillId="0" borderId="0" xfId="0" applyNumberFormat="1" applyFill="1" applyBorder="1" applyAlignment="1">
      <alignment vertical="center"/>
    </xf>
    <xf numFmtId="10" fontId="2" fillId="0" borderId="0" xfId="1" applyNumberFormat="1" applyFont="1" applyFill="1" applyBorder="1" applyAlignment="1">
      <alignment horizontal="center" vertical="center"/>
    </xf>
    <xf numFmtId="0" fontId="6" fillId="0" borderId="12" xfId="0" applyFont="1" applyFill="1" applyBorder="1" applyAlignment="1">
      <alignment horizontal="center" vertical="center"/>
    </xf>
    <xf numFmtId="0" fontId="6" fillId="0" borderId="12" xfId="0" applyFont="1" applyFill="1" applyBorder="1" applyAlignment="1">
      <alignment horizontal="center" vertical="center" wrapText="1"/>
    </xf>
    <xf numFmtId="0" fontId="7" fillId="0" borderId="12" xfId="0" applyFont="1" applyFill="1" applyBorder="1" applyAlignment="1">
      <alignment horizontal="center" vertical="center"/>
    </xf>
    <xf numFmtId="0" fontId="6" fillId="0" borderId="12" xfId="0" applyFont="1" applyFill="1" applyBorder="1" applyAlignment="1">
      <alignment vertical="center"/>
    </xf>
    <xf numFmtId="0" fontId="7" fillId="2" borderId="3"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4" xfId="0" applyFont="1" applyFill="1" applyBorder="1" applyAlignment="1">
      <alignment horizontal="center" vertical="center"/>
    </xf>
    <xf numFmtId="0" fontId="7" fillId="5" borderId="2"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0" borderId="2"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wrapText="1"/>
    </xf>
    <xf numFmtId="0" fontId="7" fillId="0" borderId="8" xfId="0" applyFont="1" applyBorder="1" applyAlignment="1">
      <alignment horizontal="center" vertical="center" wrapText="1"/>
    </xf>
    <xf numFmtId="0" fontId="7" fillId="0" borderId="1" xfId="0" applyFont="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6" xfId="0" applyFont="1" applyFill="1" applyBorder="1" applyAlignment="1">
      <alignment horizontal="center" vertical="center"/>
    </xf>
    <xf numFmtId="0" fontId="7" fillId="2" borderId="12" xfId="0" applyFont="1" applyFill="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vertical="center"/>
    </xf>
    <xf numFmtId="0" fontId="7" fillId="2" borderId="8" xfId="0" applyFont="1" applyFill="1" applyBorder="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11" fillId="0" borderId="0" xfId="0" applyFont="1" applyAlignment="1">
      <alignment horizontal="center" vertical="center"/>
    </xf>
    <xf numFmtId="0" fontId="3" fillId="0" borderId="3" xfId="0" applyFont="1" applyBorder="1" applyAlignment="1">
      <alignment horizontal="center" vertical="center"/>
    </xf>
    <xf numFmtId="0" fontId="3" fillId="0" borderId="10" xfId="0" applyFont="1" applyBorder="1" applyAlignment="1">
      <alignment horizontal="center" vertical="center"/>
    </xf>
    <xf numFmtId="0" fontId="3" fillId="0" borderId="4" xfId="0" applyFont="1" applyBorder="1" applyAlignment="1">
      <alignment horizontal="center" vertical="center"/>
    </xf>
    <xf numFmtId="0" fontId="3" fillId="0" borderId="9" xfId="0" applyFont="1" applyBorder="1" applyAlignment="1">
      <alignment horizontal="center" vertical="center"/>
    </xf>
    <xf numFmtId="0" fontId="3" fillId="0" borderId="1"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11" fillId="0" borderId="0" xfId="0" applyFont="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12" fillId="6" borderId="0" xfId="0" applyFont="1" applyFill="1" applyAlignment="1">
      <alignment horizontal="center" vertical="center"/>
    </xf>
    <xf numFmtId="0" fontId="12" fillId="7" borderId="0" xfId="0" applyFont="1" applyFill="1" applyAlignment="1">
      <alignment horizontal="center" vertical="center"/>
    </xf>
    <xf numFmtId="0" fontId="12" fillId="8" borderId="0" xfId="0" applyFont="1" applyFill="1" applyBorder="1" applyAlignment="1">
      <alignment horizontal="center" vertical="center"/>
    </xf>
    <xf numFmtId="10" fontId="12" fillId="2" borderId="0" xfId="1" applyNumberFormat="1" applyFont="1" applyFill="1" applyBorder="1" applyAlignment="1">
      <alignment horizontal="center" vertical="center"/>
    </xf>
    <xf numFmtId="10" fontId="0" fillId="2" borderId="0" xfId="1" applyNumberFormat="1" applyFont="1" applyFill="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87"/>
  <sheetViews>
    <sheetView zoomScale="98" zoomScaleNormal="98" workbookViewId="0">
      <selection activeCell="X9" sqref="X9"/>
    </sheetView>
  </sheetViews>
  <sheetFormatPr defaultRowHeight="15" x14ac:dyDescent="0.25"/>
  <cols>
    <col min="1" max="1" width="3" customWidth="1"/>
    <col min="2" max="3" width="9.140625" customWidth="1"/>
    <col min="4" max="4" width="4.42578125" customWidth="1"/>
    <col min="5" max="5" width="4.85546875" customWidth="1"/>
    <col min="6" max="9" width="4.42578125" customWidth="1"/>
    <col min="10" max="10" width="5.140625" customWidth="1"/>
    <col min="11" max="15" width="4.42578125" customWidth="1"/>
    <col min="16" max="16" width="5" customWidth="1"/>
    <col min="17" max="18" width="5.140625" customWidth="1"/>
    <col min="19" max="19" width="5.5703125" customWidth="1"/>
    <col min="20" max="20" width="6" customWidth="1"/>
    <col min="21" max="23" width="4.42578125" customWidth="1"/>
    <col min="24" max="24" width="61.42578125" customWidth="1"/>
  </cols>
  <sheetData>
    <row r="1" spans="2:24" x14ac:dyDescent="0.25">
      <c r="B1" s="80" t="s">
        <v>47</v>
      </c>
      <c r="C1" s="80" t="s">
        <v>1</v>
      </c>
      <c r="D1" s="85" t="s">
        <v>48</v>
      </c>
      <c r="E1" s="86"/>
      <c r="F1" s="85" t="s">
        <v>49</v>
      </c>
      <c r="G1" s="86"/>
      <c r="H1" s="89" t="s">
        <v>50</v>
      </c>
      <c r="I1" s="90"/>
      <c r="J1" s="90"/>
      <c r="K1" s="90"/>
      <c r="L1" s="90"/>
      <c r="M1" s="90"/>
      <c r="N1" s="90"/>
      <c r="O1" s="90"/>
      <c r="P1" s="78" t="s">
        <v>51</v>
      </c>
      <c r="Q1" s="75" t="s">
        <v>52</v>
      </c>
      <c r="R1" s="76"/>
      <c r="S1" s="76"/>
      <c r="T1" s="76"/>
      <c r="U1" s="76"/>
      <c r="V1" s="77"/>
      <c r="W1" s="78" t="s">
        <v>51</v>
      </c>
      <c r="X1" s="80" t="s">
        <v>53</v>
      </c>
    </row>
    <row r="2" spans="2:24" ht="17.25" customHeight="1" x14ac:dyDescent="0.25">
      <c r="B2" s="81"/>
      <c r="C2" s="81"/>
      <c r="D2" s="87"/>
      <c r="E2" s="88"/>
      <c r="F2" s="87"/>
      <c r="G2" s="88"/>
      <c r="H2" s="82" t="s">
        <v>54</v>
      </c>
      <c r="I2" s="83"/>
      <c r="J2" s="82" t="s">
        <v>55</v>
      </c>
      <c r="K2" s="83"/>
      <c r="L2" s="82" t="s">
        <v>56</v>
      </c>
      <c r="M2" s="83"/>
      <c r="N2" s="82" t="s">
        <v>57</v>
      </c>
      <c r="O2" s="83"/>
      <c r="P2" s="79"/>
      <c r="Q2" s="82" t="s">
        <v>58</v>
      </c>
      <c r="R2" s="83"/>
      <c r="S2" s="82" t="s">
        <v>59</v>
      </c>
      <c r="T2" s="83"/>
      <c r="U2" s="84" t="s">
        <v>60</v>
      </c>
      <c r="V2" s="84"/>
      <c r="W2" s="79"/>
      <c r="X2" s="81"/>
    </row>
    <row r="3" spans="2:24" ht="23.25" customHeight="1" x14ac:dyDescent="0.25">
      <c r="B3" s="34" t="s">
        <v>61</v>
      </c>
      <c r="C3" s="34" t="s">
        <v>2</v>
      </c>
      <c r="D3" s="35">
        <f>90+80+85+80+80+85+85+75+80+80+80+80+80+80+88+85+80+88+90+50+80+80+80+80+90+85+85</f>
        <v>2201</v>
      </c>
      <c r="E3" s="36">
        <f>D3/27</f>
        <v>81.518518518518519</v>
      </c>
      <c r="F3" s="35">
        <f>80+80+90+90+90+90+90+85+60+90+85+80+80+90+90+86+80+80+80+80+80+90+90+85+85+75+90</f>
        <v>2271</v>
      </c>
      <c r="G3" s="36">
        <f>F3/28</f>
        <v>81.107142857142861</v>
      </c>
      <c r="H3" s="35">
        <f>80+80+80+80+80+90+90+70+90+90+90+90+80+80+75+80+88+77+80+80+80+80+80+90+90+90+70</f>
        <v>2230</v>
      </c>
      <c r="I3" s="36">
        <f>H3/27</f>
        <v>82.592592592592595</v>
      </c>
      <c r="J3" s="35">
        <f>80+80+80+80+75+75+70+75+60+85+85+75+90+80+90+85+80+80+95+50+80+80+80+80+85+60+75</f>
        <v>2110</v>
      </c>
      <c r="K3" s="36">
        <f>J3/27</f>
        <v>78.148148148148152</v>
      </c>
      <c r="L3" s="35">
        <f>90+80+75+80+75+75+75+70+70+80+86+75+80+90+80+80+80+70+95+60+80+85+80+80+80+75+60</f>
        <v>2106</v>
      </c>
      <c r="M3" s="36">
        <f>L3/27</f>
        <v>78</v>
      </c>
      <c r="N3" s="35">
        <f>70+80+85+80+80+80+90+85+80+80+80+90+100+90+75+88+80+80+80+80+80+80+95+95+87+75+90</f>
        <v>2255</v>
      </c>
      <c r="O3" s="36">
        <f>N3/27</f>
        <v>83.518518518518519</v>
      </c>
      <c r="P3" s="37">
        <f>(I3+K3+M3+O3)/4</f>
        <v>80.564814814814824</v>
      </c>
      <c r="Q3" s="35">
        <f>90+90+90+90+90+90+80+80+75+80+80+80+80+80+90+90+90+90+90+95+70+80+90+90+85+80+80</f>
        <v>2295</v>
      </c>
      <c r="R3" s="36">
        <f>Q3/28</f>
        <v>81.964285714285708</v>
      </c>
      <c r="S3" s="35">
        <f>80+80+80+80+90+90+90+90+90+90+80+80+90+90+80+80+80+80+80+80+90+90+85+80+70+86</f>
        <v>2181</v>
      </c>
      <c r="T3" s="36">
        <f>S3/27</f>
        <v>80.777777777777771</v>
      </c>
      <c r="U3" s="35">
        <f>80+80+80+80+90+90+80+80+80+80+80+80+80+90+90+90+90+85+80+80+90+86+90+75+86+85+75+90</f>
        <v>2342</v>
      </c>
      <c r="V3" s="36">
        <f>U3/28</f>
        <v>83.642857142857139</v>
      </c>
      <c r="W3" s="37">
        <f>(R3+T3+V3)/3</f>
        <v>82.128306878306873</v>
      </c>
      <c r="X3" s="38" t="s">
        <v>105</v>
      </c>
    </row>
    <row r="4" spans="2:24" ht="15" customHeight="1" x14ac:dyDescent="0.25">
      <c r="B4" s="80" t="s">
        <v>47</v>
      </c>
      <c r="C4" s="80" t="s">
        <v>1</v>
      </c>
      <c r="D4" s="85" t="s">
        <v>48</v>
      </c>
      <c r="E4" s="86"/>
      <c r="F4" s="85" t="s">
        <v>49</v>
      </c>
      <c r="G4" s="86"/>
      <c r="H4" s="89" t="s">
        <v>50</v>
      </c>
      <c r="I4" s="90"/>
      <c r="J4" s="90"/>
      <c r="K4" s="90"/>
      <c r="L4" s="90"/>
      <c r="M4" s="90"/>
      <c r="N4" s="90"/>
      <c r="O4" s="90"/>
      <c r="P4" s="78" t="s">
        <v>51</v>
      </c>
      <c r="Q4" s="75" t="s">
        <v>52</v>
      </c>
      <c r="R4" s="76"/>
      <c r="S4" s="76"/>
      <c r="T4" s="76"/>
      <c r="U4" s="76"/>
      <c r="V4" s="77"/>
      <c r="W4" s="78" t="s">
        <v>51</v>
      </c>
      <c r="X4" s="80" t="s">
        <v>53</v>
      </c>
    </row>
    <row r="5" spans="2:24" ht="21" customHeight="1" x14ac:dyDescent="0.25">
      <c r="B5" s="81"/>
      <c r="C5" s="81"/>
      <c r="D5" s="87"/>
      <c r="E5" s="88"/>
      <c r="F5" s="87"/>
      <c r="G5" s="88"/>
      <c r="H5" s="82" t="s">
        <v>54</v>
      </c>
      <c r="I5" s="83"/>
      <c r="J5" s="82" t="s">
        <v>55</v>
      </c>
      <c r="K5" s="83"/>
      <c r="L5" s="82" t="s">
        <v>56</v>
      </c>
      <c r="M5" s="83"/>
      <c r="N5" s="82" t="s">
        <v>57</v>
      </c>
      <c r="O5" s="83"/>
      <c r="P5" s="79"/>
      <c r="Q5" s="82" t="s">
        <v>58</v>
      </c>
      <c r="R5" s="83"/>
      <c r="S5" s="82" t="s">
        <v>59</v>
      </c>
      <c r="T5" s="83"/>
      <c r="U5" s="84" t="s">
        <v>60</v>
      </c>
      <c r="V5" s="84"/>
      <c r="W5" s="79"/>
      <c r="X5" s="81"/>
    </row>
    <row r="6" spans="2:24" ht="21.75" customHeight="1" x14ac:dyDescent="0.25">
      <c r="B6" s="34" t="s">
        <v>62</v>
      </c>
      <c r="C6" s="34" t="s">
        <v>2</v>
      </c>
      <c r="D6" s="35">
        <f>80+80+80+90+90+85+85+70+85+88+80+80+90+90+87+80+80+95+50+80+80+85+85+85+75+97</f>
        <v>2152</v>
      </c>
      <c r="E6" s="36">
        <f>D6/27</f>
        <v>79.703703703703709</v>
      </c>
      <c r="F6" s="35">
        <f>80+80+80+80+90+90+90+80+65+90+80+90+90+90+75+80+80+80+80+80+80+80+90+90+80+80+97</f>
        <v>2247</v>
      </c>
      <c r="G6" s="36">
        <f>F6/27</f>
        <v>83.222222222222229</v>
      </c>
      <c r="H6" s="35">
        <f>80+80+80+80+90+90+90+85+75+80+90+80+90+100+75+80+88+80+80+95+80+80+80+80+80+90+90</f>
        <v>2268</v>
      </c>
      <c r="I6" s="36">
        <f>H6/28</f>
        <v>81</v>
      </c>
      <c r="J6" s="35">
        <f xml:space="preserve"> 80+80+80+90+90+85+85+85+60+80+88+90+90+75+88+80+80+80+80+80+90+90+90+90+90+75</f>
        <v>2171</v>
      </c>
      <c r="K6" s="36">
        <f>J6/27</f>
        <v>80.407407407407405</v>
      </c>
      <c r="L6" s="35">
        <f>90+90+90+80+80+80+80+80+70+80+80+80+90+85+800+75+60+75</f>
        <v>2165</v>
      </c>
      <c r="M6" s="36">
        <f>L6/27</f>
        <v>80.18518518518519</v>
      </c>
      <c r="N6" s="35">
        <f xml:space="preserve"> 90+90+90+80+80+80+80+80+80+80+80+85+100+90+90+90+80+80+80+80+80+80+80+80+87+90+70</f>
        <v>2252</v>
      </c>
      <c r="O6" s="36">
        <f>N6/27</f>
        <v>83.407407407407405</v>
      </c>
      <c r="P6" s="37">
        <f>(O6+M6+K6+I6)/4</f>
        <v>81.25</v>
      </c>
      <c r="Q6" s="35">
        <f xml:space="preserve">  90+90+90+90+80+80+85+80+80+80+80+80+80+90+90+90+90+90+85+70+90+80+80+85+85+90+80</f>
        <v>2280</v>
      </c>
      <c r="R6" s="36">
        <f>Q6/27</f>
        <v>84.444444444444443</v>
      </c>
      <c r="S6" s="39">
        <f xml:space="preserve">  90+90+90+90+90+80+80+80+80+80+80+75+90+90+90+80+80+80+80+70+90+80+80+85+86+75+100</f>
        <v>2261</v>
      </c>
      <c r="T6" s="40">
        <f>S6/27</f>
        <v>83.740740740740748</v>
      </c>
      <c r="U6" s="35">
        <f xml:space="preserve">  90+90+90+80+80+80+80+80+80+86+90+80+70+80+80+90+70+90+90+90+80+80+86+80+80+80+90</f>
        <v>2242</v>
      </c>
      <c r="V6" s="36">
        <f>U6/27</f>
        <v>83.037037037037038</v>
      </c>
      <c r="W6" s="37">
        <f>(V6+T6+R6)/3</f>
        <v>83.740740740740748</v>
      </c>
      <c r="X6" s="41" t="s">
        <v>106</v>
      </c>
    </row>
    <row r="7" spans="2:24" ht="15" customHeight="1" x14ac:dyDescent="0.25">
      <c r="B7" s="80" t="s">
        <v>47</v>
      </c>
      <c r="C7" s="80" t="s">
        <v>1</v>
      </c>
      <c r="D7" s="85" t="s">
        <v>48</v>
      </c>
      <c r="E7" s="86"/>
      <c r="F7" s="85" t="s">
        <v>49</v>
      </c>
      <c r="G7" s="86"/>
      <c r="H7" s="89" t="s">
        <v>50</v>
      </c>
      <c r="I7" s="90"/>
      <c r="J7" s="90"/>
      <c r="K7" s="90"/>
      <c r="L7" s="90"/>
      <c r="M7" s="90"/>
      <c r="N7" s="90"/>
      <c r="O7" s="90"/>
      <c r="P7" s="78" t="s">
        <v>51</v>
      </c>
      <c r="Q7" s="75" t="s">
        <v>52</v>
      </c>
      <c r="R7" s="76"/>
      <c r="S7" s="76"/>
      <c r="T7" s="76"/>
      <c r="U7" s="76"/>
      <c r="V7" s="77"/>
      <c r="W7" s="78" t="s">
        <v>51</v>
      </c>
      <c r="X7" s="80" t="s">
        <v>53</v>
      </c>
    </row>
    <row r="8" spans="2:24" ht="15" customHeight="1" x14ac:dyDescent="0.25">
      <c r="B8" s="81"/>
      <c r="C8" s="81"/>
      <c r="D8" s="87"/>
      <c r="E8" s="88"/>
      <c r="F8" s="87"/>
      <c r="G8" s="88"/>
      <c r="H8" s="82" t="s">
        <v>54</v>
      </c>
      <c r="I8" s="83"/>
      <c r="J8" s="82" t="s">
        <v>55</v>
      </c>
      <c r="K8" s="83"/>
      <c r="L8" s="82" t="s">
        <v>56</v>
      </c>
      <c r="M8" s="83"/>
      <c r="N8" s="82" t="s">
        <v>57</v>
      </c>
      <c r="O8" s="83"/>
      <c r="P8" s="79"/>
      <c r="Q8" s="82" t="s">
        <v>58</v>
      </c>
      <c r="R8" s="83"/>
      <c r="S8" s="82" t="s">
        <v>59</v>
      </c>
      <c r="T8" s="83"/>
      <c r="U8" s="84" t="s">
        <v>60</v>
      </c>
      <c r="V8" s="84"/>
      <c r="W8" s="79"/>
      <c r="X8" s="81"/>
    </row>
    <row r="9" spans="2:24" ht="33.75" customHeight="1" x14ac:dyDescent="0.25">
      <c r="B9" s="34" t="s">
        <v>63</v>
      </c>
      <c r="C9" s="34" t="s">
        <v>2</v>
      </c>
      <c r="D9" s="35">
        <f>90+90+90+80+80+80+80+80+80+80+88+90+90+80+80+80+80+80+80+60+80+85+85+85+80+80+80</f>
        <v>2213</v>
      </c>
      <c r="E9" s="42">
        <f>D9/27</f>
        <v>81.962962962962962</v>
      </c>
      <c r="F9" s="35">
        <f xml:space="preserve">  80+80+80+80+80+90+90+90+60+90+90+80+80+80+80+80+80+80+80+60+90+80+80+80+80+80+80</f>
        <v>2180</v>
      </c>
      <c r="G9" s="36">
        <f>F9/27</f>
        <v>80.740740740740748</v>
      </c>
      <c r="H9" s="35">
        <f>90+90+90+80+80+80+80+80+70+90+90+90+80+80+80+88+80+80+90+70+80+80+80+80+70+80+90</f>
        <v>2218</v>
      </c>
      <c r="I9" s="36">
        <f>H9/27</f>
        <v>82.148148148148152</v>
      </c>
      <c r="J9" s="35">
        <f>90+90+90+80+80+80+85+80+60+85+90+90+80+80+75+80+80+80+80+80+80+90+90+90+88+75+75</f>
        <v>2223</v>
      </c>
      <c r="K9" s="36">
        <f>J9/27</f>
        <v>82.333333333333329</v>
      </c>
      <c r="L9" s="35">
        <f xml:space="preserve">  90+90+90+80+80+80+80+80+70+90+80+80+80+85+90+90+90+80+80+80+80+80+75+80+80+75+65</f>
        <v>2200</v>
      </c>
      <c r="M9" s="36">
        <f>L9/27</f>
        <v>81.481481481481481</v>
      </c>
      <c r="N9" s="35">
        <f xml:space="preserve"> 90+90+90+90+90+80+80+80+80+80+80+80+100+90+80+86+90+90+90+90+80+80+80+80+80+80+60</f>
        <v>2266</v>
      </c>
      <c r="O9" s="36">
        <f>N9/27</f>
        <v>83.925925925925924</v>
      </c>
      <c r="P9" s="37">
        <f>(I9+K9+M9+O9)/4</f>
        <v>82.472222222222214</v>
      </c>
      <c r="Q9" s="35">
        <f>90+90+90+80+80+80+85+85+90+90+90+90+90+90+80+75+80+80+87+70+80+90+90+85+85+90+65</f>
        <v>2277</v>
      </c>
      <c r="R9" s="36">
        <f>Q9/27</f>
        <v>84.333333333333329</v>
      </c>
      <c r="S9" s="35">
        <f xml:space="preserve">  90+90+90+90+80+80+80+80+80+80+85+70+90+90+90+80+80+80+80+70+90+80+80+85+85+65+100</f>
        <v>2240</v>
      </c>
      <c r="T9" s="36">
        <f>S9/27</f>
        <v>82.962962962962962</v>
      </c>
      <c r="U9" s="35">
        <f>90+90+90+90+90+90+90+80+80+80+80+80+80+80+80+80+85+90+90+80+80+80+85+80+85+65+90</f>
        <v>2260</v>
      </c>
      <c r="V9" s="36">
        <f>U9/27</f>
        <v>83.703703703703709</v>
      </c>
      <c r="W9" s="37">
        <f>(R9+T9+V9)/3</f>
        <v>83.666666666666671</v>
      </c>
      <c r="X9" s="38" t="s">
        <v>95</v>
      </c>
    </row>
    <row r="10" spans="2:24" x14ac:dyDescent="0.25">
      <c r="B10" s="80" t="s">
        <v>47</v>
      </c>
      <c r="C10" s="80" t="s">
        <v>1</v>
      </c>
      <c r="D10" s="85" t="s">
        <v>64</v>
      </c>
      <c r="E10" s="86"/>
      <c r="F10" s="85" t="s">
        <v>49</v>
      </c>
      <c r="G10" s="86"/>
      <c r="H10" s="89" t="s">
        <v>50</v>
      </c>
      <c r="I10" s="90"/>
      <c r="J10" s="90"/>
      <c r="K10" s="90"/>
      <c r="L10" s="90"/>
      <c r="M10" s="90"/>
      <c r="N10" s="90"/>
      <c r="O10" s="90"/>
      <c r="P10" s="78" t="s">
        <v>51</v>
      </c>
      <c r="Q10" s="89" t="s">
        <v>52</v>
      </c>
      <c r="R10" s="90"/>
      <c r="S10" s="90"/>
      <c r="T10" s="90"/>
      <c r="U10" s="90"/>
      <c r="V10" s="93"/>
      <c r="W10" s="78" t="s">
        <v>51</v>
      </c>
      <c r="X10" s="80" t="s">
        <v>53</v>
      </c>
    </row>
    <row r="11" spans="2:24" ht="15" customHeight="1" x14ac:dyDescent="0.25">
      <c r="B11" s="81"/>
      <c r="C11" s="81"/>
      <c r="D11" s="87"/>
      <c r="E11" s="88"/>
      <c r="F11" s="87"/>
      <c r="G11" s="88"/>
      <c r="H11" s="82" t="s">
        <v>54</v>
      </c>
      <c r="I11" s="83"/>
      <c r="J11" s="82" t="s">
        <v>55</v>
      </c>
      <c r="K11" s="83"/>
      <c r="L11" s="82" t="s">
        <v>56</v>
      </c>
      <c r="M11" s="83"/>
      <c r="N11" s="82" t="s">
        <v>57</v>
      </c>
      <c r="O11" s="83"/>
      <c r="P11" s="79"/>
      <c r="Q11" s="82" t="s">
        <v>58</v>
      </c>
      <c r="R11" s="83"/>
      <c r="S11" s="82" t="s">
        <v>59</v>
      </c>
      <c r="T11" s="83"/>
      <c r="U11" s="91" t="s">
        <v>60</v>
      </c>
      <c r="V11" s="92"/>
      <c r="W11" s="79"/>
      <c r="X11" s="81"/>
    </row>
    <row r="12" spans="2:24" ht="33" customHeight="1" x14ac:dyDescent="0.25">
      <c r="B12" s="34" t="s">
        <v>65</v>
      </c>
      <c r="C12" s="34" t="s">
        <v>2</v>
      </c>
      <c r="D12" s="35">
        <f>90+90+90+80+80+80+80+80+70+80+80+80+90+90+88+87+0+80+90+60+80+80+85+85+85+85+90</f>
        <v>2155</v>
      </c>
      <c r="E12" s="42">
        <f>D12/27</f>
        <v>79.81481481481481</v>
      </c>
      <c r="F12" s="35">
        <f>90+90+90+90+80+80+80+85+60+90+90+80+80+70+75+90+90+90+80+80+80+80+80+80+80+70+90</f>
        <v>2220</v>
      </c>
      <c r="G12" s="36">
        <f>F12/27</f>
        <v>82.222222222222229</v>
      </c>
      <c r="H12" s="35">
        <v>2239</v>
      </c>
      <c r="I12" s="36">
        <f>H12/27</f>
        <v>82.925925925925924</v>
      </c>
      <c r="J12" s="35">
        <v>2176</v>
      </c>
      <c r="K12" s="36">
        <f>J12/27</f>
        <v>80.592592592592595</v>
      </c>
      <c r="L12" s="35">
        <v>2208</v>
      </c>
      <c r="M12" s="36">
        <f>L12/27</f>
        <v>81.777777777777771</v>
      </c>
      <c r="N12" s="35">
        <v>2180</v>
      </c>
      <c r="O12" s="36">
        <f>N12/27</f>
        <v>80.740740740740748</v>
      </c>
      <c r="P12" s="37">
        <f>(I12+K12+M12+O12)/4</f>
        <v>81.509259259259267</v>
      </c>
      <c r="Q12" s="35">
        <v>2165</v>
      </c>
      <c r="R12" s="36">
        <f>Q12/27</f>
        <v>80.18518518518519</v>
      </c>
      <c r="S12" s="35">
        <v>2148</v>
      </c>
      <c r="T12" s="36">
        <f>S12/27</f>
        <v>79.555555555555557</v>
      </c>
      <c r="U12" s="35">
        <v>2139</v>
      </c>
      <c r="V12" s="36">
        <f>U12/27</f>
        <v>79.222222222222229</v>
      </c>
      <c r="W12" s="37">
        <f>(R12+T12+V12)/3</f>
        <v>79.65432098765433</v>
      </c>
      <c r="X12" s="38" t="s">
        <v>110</v>
      </c>
    </row>
    <row r="13" spans="2:24" ht="15" customHeight="1" x14ac:dyDescent="0.25">
      <c r="B13" s="80" t="s">
        <v>47</v>
      </c>
      <c r="C13" s="80" t="s">
        <v>1</v>
      </c>
      <c r="D13" s="85" t="s">
        <v>48</v>
      </c>
      <c r="E13" s="86"/>
      <c r="F13" s="85" t="s">
        <v>49</v>
      </c>
      <c r="G13" s="86"/>
      <c r="H13" s="89" t="s">
        <v>50</v>
      </c>
      <c r="I13" s="90"/>
      <c r="J13" s="90"/>
      <c r="K13" s="90"/>
      <c r="L13" s="90"/>
      <c r="M13" s="90"/>
      <c r="N13" s="90"/>
      <c r="O13" s="90"/>
      <c r="P13" s="78" t="s">
        <v>51</v>
      </c>
      <c r="Q13" s="75" t="s">
        <v>52</v>
      </c>
      <c r="R13" s="76"/>
      <c r="S13" s="76"/>
      <c r="T13" s="76"/>
      <c r="U13" s="76"/>
      <c r="V13" s="77"/>
      <c r="W13" s="78" t="s">
        <v>51</v>
      </c>
      <c r="X13" s="80" t="s">
        <v>53</v>
      </c>
    </row>
    <row r="14" spans="2:24" ht="15" customHeight="1" x14ac:dyDescent="0.25">
      <c r="B14" s="81"/>
      <c r="C14" s="81"/>
      <c r="D14" s="87"/>
      <c r="E14" s="88"/>
      <c r="F14" s="87"/>
      <c r="G14" s="88"/>
      <c r="H14" s="82" t="s">
        <v>54</v>
      </c>
      <c r="I14" s="83"/>
      <c r="J14" s="82" t="s">
        <v>55</v>
      </c>
      <c r="K14" s="83"/>
      <c r="L14" s="82" t="s">
        <v>56</v>
      </c>
      <c r="M14" s="83"/>
      <c r="N14" s="82" t="s">
        <v>57</v>
      </c>
      <c r="O14" s="83"/>
      <c r="P14" s="79"/>
      <c r="Q14" s="82" t="s">
        <v>58</v>
      </c>
      <c r="R14" s="83"/>
      <c r="S14" s="82" t="s">
        <v>59</v>
      </c>
      <c r="T14" s="83"/>
      <c r="U14" s="84" t="s">
        <v>60</v>
      </c>
      <c r="V14" s="84"/>
      <c r="W14" s="79"/>
      <c r="X14" s="81"/>
    </row>
    <row r="15" spans="2:24" ht="21.75" customHeight="1" x14ac:dyDescent="0.25">
      <c r="B15" s="34" t="s">
        <v>66</v>
      </c>
      <c r="C15" s="34" t="s">
        <v>3</v>
      </c>
      <c r="D15" s="35">
        <v>2119</v>
      </c>
      <c r="E15" s="42">
        <f>D15/26</f>
        <v>81.5</v>
      </c>
      <c r="F15" s="35">
        <v>2153</v>
      </c>
      <c r="G15" s="36">
        <f>F15/26</f>
        <v>82.807692307692307</v>
      </c>
      <c r="H15" s="35">
        <v>2174</v>
      </c>
      <c r="I15" s="36">
        <f>H15/26</f>
        <v>83.615384615384613</v>
      </c>
      <c r="J15" s="35">
        <v>2189</v>
      </c>
      <c r="K15" s="36">
        <f>J15/26</f>
        <v>84.192307692307693</v>
      </c>
      <c r="L15" s="35">
        <v>2162</v>
      </c>
      <c r="M15" s="36">
        <f>L15/26</f>
        <v>83.15384615384616</v>
      </c>
      <c r="N15" s="35">
        <v>2198</v>
      </c>
      <c r="O15" s="36">
        <f>N15/26</f>
        <v>84.538461538461533</v>
      </c>
      <c r="P15" s="37">
        <f>(I15+K15+M15+O15)/4</f>
        <v>83.875</v>
      </c>
      <c r="Q15" s="35">
        <v>2183</v>
      </c>
      <c r="R15" s="36">
        <f>Q15/26</f>
        <v>83.961538461538467</v>
      </c>
      <c r="S15" s="35">
        <v>2126</v>
      </c>
      <c r="T15" s="36">
        <f>S15/26</f>
        <v>81.769230769230774</v>
      </c>
      <c r="U15" s="35">
        <v>2184</v>
      </c>
      <c r="V15" s="36">
        <f>U15/26</f>
        <v>84</v>
      </c>
      <c r="W15" s="37">
        <f>(R15+T15+V15)/3</f>
        <v>83.243589743589737</v>
      </c>
      <c r="X15" s="38" t="s">
        <v>111</v>
      </c>
    </row>
    <row r="16" spans="2:24" ht="15" customHeight="1" x14ac:dyDescent="0.25">
      <c r="B16" s="80" t="s">
        <v>47</v>
      </c>
      <c r="C16" s="80" t="s">
        <v>1</v>
      </c>
      <c r="D16" s="85" t="s">
        <v>48</v>
      </c>
      <c r="E16" s="86"/>
      <c r="F16" s="85" t="s">
        <v>49</v>
      </c>
      <c r="G16" s="86"/>
      <c r="H16" s="89" t="s">
        <v>50</v>
      </c>
      <c r="I16" s="90"/>
      <c r="J16" s="90"/>
      <c r="K16" s="90"/>
      <c r="L16" s="90"/>
      <c r="M16" s="90"/>
      <c r="N16" s="90"/>
      <c r="O16" s="90"/>
      <c r="P16" s="78" t="s">
        <v>51</v>
      </c>
      <c r="Q16" s="75" t="s">
        <v>52</v>
      </c>
      <c r="R16" s="76"/>
      <c r="S16" s="76"/>
      <c r="T16" s="76"/>
      <c r="U16" s="76"/>
      <c r="V16" s="77"/>
      <c r="W16" s="78" t="s">
        <v>51</v>
      </c>
      <c r="X16" s="80" t="s">
        <v>53</v>
      </c>
    </row>
    <row r="17" spans="2:24" ht="15" customHeight="1" x14ac:dyDescent="0.25">
      <c r="B17" s="81"/>
      <c r="C17" s="81"/>
      <c r="D17" s="87"/>
      <c r="E17" s="88"/>
      <c r="F17" s="87"/>
      <c r="G17" s="88"/>
      <c r="H17" s="82" t="s">
        <v>54</v>
      </c>
      <c r="I17" s="83"/>
      <c r="J17" s="82" t="s">
        <v>55</v>
      </c>
      <c r="K17" s="83"/>
      <c r="L17" s="82" t="s">
        <v>56</v>
      </c>
      <c r="M17" s="83"/>
      <c r="N17" s="82" t="s">
        <v>57</v>
      </c>
      <c r="O17" s="83"/>
      <c r="P17" s="79"/>
      <c r="Q17" s="82" t="s">
        <v>58</v>
      </c>
      <c r="R17" s="83"/>
      <c r="S17" s="82" t="s">
        <v>59</v>
      </c>
      <c r="T17" s="83"/>
      <c r="U17" s="84" t="s">
        <v>60</v>
      </c>
      <c r="V17" s="84"/>
      <c r="W17" s="79"/>
      <c r="X17" s="81"/>
    </row>
    <row r="18" spans="2:24" ht="27.75" customHeight="1" x14ac:dyDescent="0.25">
      <c r="B18" s="34" t="s">
        <v>67</v>
      </c>
      <c r="C18" s="43" t="s">
        <v>3</v>
      </c>
      <c r="D18" s="35">
        <v>2189</v>
      </c>
      <c r="E18" s="42">
        <f>D18/27</f>
        <v>81.074074074074076</v>
      </c>
      <c r="F18" s="35">
        <v>2231</v>
      </c>
      <c r="G18" s="36">
        <f>F18/27</f>
        <v>82.629629629629633</v>
      </c>
      <c r="H18" s="35">
        <v>2183</v>
      </c>
      <c r="I18" s="36">
        <f>H18/27</f>
        <v>80.851851851851848</v>
      </c>
      <c r="J18" s="35">
        <v>2193</v>
      </c>
      <c r="K18" s="36">
        <f>J18/27</f>
        <v>81.222222222222229</v>
      </c>
      <c r="L18" s="35">
        <v>2224</v>
      </c>
      <c r="M18" s="36">
        <f>L18/27</f>
        <v>82.370370370370367</v>
      </c>
      <c r="N18" s="35">
        <v>2256</v>
      </c>
      <c r="O18" s="36">
        <f>N18/27</f>
        <v>83.555555555555557</v>
      </c>
      <c r="P18" s="37">
        <f>(I18+K18+M18+O18)/4</f>
        <v>82</v>
      </c>
      <c r="Q18" s="35">
        <v>2208</v>
      </c>
      <c r="R18" s="36">
        <f>Q18/27</f>
        <v>81.777777777777771</v>
      </c>
      <c r="S18" s="35">
        <v>2155</v>
      </c>
      <c r="T18" s="36">
        <f>S18/27</f>
        <v>79.81481481481481</v>
      </c>
      <c r="U18" s="35">
        <v>2183</v>
      </c>
      <c r="V18" s="36">
        <f>U18/27</f>
        <v>80.851851851851848</v>
      </c>
      <c r="W18" s="37">
        <f>(R18+T18+V18)/3</f>
        <v>80.81481481481481</v>
      </c>
      <c r="X18" s="38" t="s">
        <v>112</v>
      </c>
    </row>
    <row r="19" spans="2:24" ht="15" customHeight="1" x14ac:dyDescent="0.25">
      <c r="B19" s="80" t="s">
        <v>47</v>
      </c>
      <c r="C19" s="80" t="s">
        <v>1</v>
      </c>
      <c r="D19" s="85" t="s">
        <v>48</v>
      </c>
      <c r="E19" s="86"/>
      <c r="F19" s="85" t="s">
        <v>49</v>
      </c>
      <c r="G19" s="86"/>
      <c r="H19" s="89" t="s">
        <v>50</v>
      </c>
      <c r="I19" s="90"/>
      <c r="J19" s="90"/>
      <c r="K19" s="90"/>
      <c r="L19" s="90"/>
      <c r="M19" s="90"/>
      <c r="N19" s="90"/>
      <c r="O19" s="90"/>
      <c r="P19" s="78" t="s">
        <v>51</v>
      </c>
      <c r="Q19" s="75" t="s">
        <v>52</v>
      </c>
      <c r="R19" s="76"/>
      <c r="S19" s="76"/>
      <c r="T19" s="76"/>
      <c r="U19" s="76"/>
      <c r="V19" s="77"/>
      <c r="W19" s="78" t="s">
        <v>51</v>
      </c>
      <c r="X19" s="80" t="s">
        <v>53</v>
      </c>
    </row>
    <row r="20" spans="2:24" ht="15" customHeight="1" x14ac:dyDescent="0.25">
      <c r="B20" s="81"/>
      <c r="C20" s="81"/>
      <c r="D20" s="87"/>
      <c r="E20" s="88"/>
      <c r="F20" s="87"/>
      <c r="G20" s="88"/>
      <c r="H20" s="82" t="s">
        <v>54</v>
      </c>
      <c r="I20" s="83"/>
      <c r="J20" s="82" t="s">
        <v>55</v>
      </c>
      <c r="K20" s="83"/>
      <c r="L20" s="82" t="s">
        <v>56</v>
      </c>
      <c r="M20" s="83"/>
      <c r="N20" s="82" t="s">
        <v>57</v>
      </c>
      <c r="O20" s="83"/>
      <c r="P20" s="79"/>
      <c r="Q20" s="82" t="s">
        <v>58</v>
      </c>
      <c r="R20" s="83"/>
      <c r="S20" s="82" t="s">
        <v>59</v>
      </c>
      <c r="T20" s="83"/>
      <c r="U20" s="84" t="s">
        <v>60</v>
      </c>
      <c r="V20" s="84"/>
      <c r="W20" s="79"/>
      <c r="X20" s="81"/>
    </row>
    <row r="21" spans="2:24" ht="38.25" customHeight="1" x14ac:dyDescent="0.25">
      <c r="B21" s="34" t="s">
        <v>68</v>
      </c>
      <c r="C21" s="43" t="s">
        <v>3</v>
      </c>
      <c r="D21" s="35">
        <v>2274</v>
      </c>
      <c r="E21" s="42">
        <f>D21/27</f>
        <v>84.222222222222229</v>
      </c>
      <c r="F21" s="35">
        <v>2231</v>
      </c>
      <c r="G21" s="36">
        <f>F21/27</f>
        <v>82.629629629629633</v>
      </c>
      <c r="H21" s="35">
        <v>2213</v>
      </c>
      <c r="I21" s="36">
        <f>H21/27</f>
        <v>81.962962962962962</v>
      </c>
      <c r="J21" s="35">
        <v>2289</v>
      </c>
      <c r="K21" s="36">
        <f>J21/27</f>
        <v>84.777777777777771</v>
      </c>
      <c r="L21" s="35">
        <v>2287</v>
      </c>
      <c r="M21" s="36">
        <f>L21/27</f>
        <v>84.703703703703709</v>
      </c>
      <c r="N21" s="35">
        <v>2261</v>
      </c>
      <c r="O21" s="36">
        <f>N21/27</f>
        <v>83.740740740740748</v>
      </c>
      <c r="P21" s="37">
        <f>(I21+K21+M21+O21)/4</f>
        <v>83.796296296296305</v>
      </c>
      <c r="Q21" s="35">
        <v>2259</v>
      </c>
      <c r="R21" s="36">
        <f>Q21/27</f>
        <v>83.666666666666671</v>
      </c>
      <c r="S21" s="35">
        <v>2237</v>
      </c>
      <c r="T21" s="36">
        <f>S21/27</f>
        <v>82.851851851851848</v>
      </c>
      <c r="U21" s="35">
        <v>2274</v>
      </c>
      <c r="V21" s="36">
        <f>U21/27</f>
        <v>84.222222222222229</v>
      </c>
      <c r="W21" s="37">
        <f>(R21+T21+V21)/3</f>
        <v>83.580246913580254</v>
      </c>
      <c r="X21" s="38" t="s">
        <v>102</v>
      </c>
    </row>
    <row r="22" spans="2:24" ht="15" customHeight="1" x14ac:dyDescent="0.25">
      <c r="B22" s="80" t="s">
        <v>47</v>
      </c>
      <c r="C22" s="80" t="s">
        <v>1</v>
      </c>
      <c r="D22" s="85" t="s">
        <v>48</v>
      </c>
      <c r="E22" s="86"/>
      <c r="F22" s="85" t="s">
        <v>49</v>
      </c>
      <c r="G22" s="86"/>
      <c r="H22" s="89" t="s">
        <v>50</v>
      </c>
      <c r="I22" s="90"/>
      <c r="J22" s="90"/>
      <c r="K22" s="90"/>
      <c r="L22" s="90"/>
      <c r="M22" s="90"/>
      <c r="N22" s="90"/>
      <c r="O22" s="90"/>
      <c r="P22" s="78" t="s">
        <v>51</v>
      </c>
      <c r="Q22" s="75" t="s">
        <v>52</v>
      </c>
      <c r="R22" s="76"/>
      <c r="S22" s="76"/>
      <c r="T22" s="76"/>
      <c r="U22" s="76"/>
      <c r="V22" s="77"/>
      <c r="W22" s="78" t="s">
        <v>51</v>
      </c>
      <c r="X22" s="80" t="s">
        <v>53</v>
      </c>
    </row>
    <row r="23" spans="2:24" ht="15" customHeight="1" x14ac:dyDescent="0.25">
      <c r="B23" s="81"/>
      <c r="C23" s="81"/>
      <c r="D23" s="87"/>
      <c r="E23" s="88"/>
      <c r="F23" s="87"/>
      <c r="G23" s="88"/>
      <c r="H23" s="82" t="s">
        <v>54</v>
      </c>
      <c r="I23" s="83"/>
      <c r="J23" s="82" t="s">
        <v>55</v>
      </c>
      <c r="K23" s="83"/>
      <c r="L23" s="82" t="s">
        <v>56</v>
      </c>
      <c r="M23" s="83"/>
      <c r="N23" s="82" t="s">
        <v>57</v>
      </c>
      <c r="O23" s="83"/>
      <c r="P23" s="79"/>
      <c r="Q23" s="82" t="s">
        <v>58</v>
      </c>
      <c r="R23" s="83"/>
      <c r="S23" s="82" t="s">
        <v>59</v>
      </c>
      <c r="T23" s="83"/>
      <c r="U23" s="84" t="s">
        <v>60</v>
      </c>
      <c r="V23" s="84"/>
      <c r="W23" s="79"/>
      <c r="X23" s="81"/>
    </row>
    <row r="24" spans="2:24" ht="32.25" customHeight="1" x14ac:dyDescent="0.25">
      <c r="B24" s="35" t="s">
        <v>69</v>
      </c>
      <c r="C24" s="44" t="s">
        <v>3</v>
      </c>
      <c r="D24" s="35">
        <v>2224</v>
      </c>
      <c r="E24" s="42">
        <f>D24/27</f>
        <v>82.370370370370367</v>
      </c>
      <c r="F24" s="35">
        <v>2208</v>
      </c>
      <c r="G24" s="36">
        <f>F24/27</f>
        <v>81.777777777777771</v>
      </c>
      <c r="H24" s="35">
        <v>2145</v>
      </c>
      <c r="I24" s="36">
        <f>H24/27</f>
        <v>79.444444444444443</v>
      </c>
      <c r="J24" s="35">
        <v>2195</v>
      </c>
      <c r="K24" s="36">
        <f>J24/27</f>
        <v>81.296296296296291</v>
      </c>
      <c r="L24" s="35">
        <v>2171</v>
      </c>
      <c r="M24" s="36">
        <f>L24/27</f>
        <v>80.407407407407405</v>
      </c>
      <c r="N24" s="35">
        <v>2236</v>
      </c>
      <c r="O24" s="36">
        <f>N24/27</f>
        <v>82.81481481481481</v>
      </c>
      <c r="P24" s="37">
        <f>(I24+K24+M24+O24)/4</f>
        <v>80.990740740740733</v>
      </c>
      <c r="Q24" s="35">
        <v>2224</v>
      </c>
      <c r="R24" s="36">
        <f>Q24/27</f>
        <v>82.370370370370367</v>
      </c>
      <c r="S24" s="35">
        <v>2209</v>
      </c>
      <c r="T24" s="36">
        <f>S24/27</f>
        <v>81.81481481481481</v>
      </c>
      <c r="U24" s="35">
        <v>2215</v>
      </c>
      <c r="V24" s="36">
        <f>U24/27</f>
        <v>82.037037037037038</v>
      </c>
      <c r="W24" s="37">
        <f>(R24+T24+V24)/3</f>
        <v>82.074074074074062</v>
      </c>
      <c r="X24" s="38" t="s">
        <v>107</v>
      </c>
    </row>
    <row r="25" spans="2:24" ht="15" customHeight="1" x14ac:dyDescent="0.25">
      <c r="B25" s="80" t="s">
        <v>47</v>
      </c>
      <c r="C25" s="80" t="s">
        <v>1</v>
      </c>
      <c r="D25" s="85" t="s">
        <v>48</v>
      </c>
      <c r="E25" s="86"/>
      <c r="F25" s="85" t="s">
        <v>49</v>
      </c>
      <c r="G25" s="86"/>
      <c r="H25" s="89" t="s">
        <v>50</v>
      </c>
      <c r="I25" s="90"/>
      <c r="J25" s="90"/>
      <c r="K25" s="90"/>
      <c r="L25" s="90"/>
      <c r="M25" s="90"/>
      <c r="N25" s="90"/>
      <c r="O25" s="90"/>
      <c r="P25" s="78" t="s">
        <v>51</v>
      </c>
      <c r="Q25" s="75" t="s">
        <v>52</v>
      </c>
      <c r="R25" s="76"/>
      <c r="S25" s="76"/>
      <c r="T25" s="76"/>
      <c r="U25" s="76"/>
      <c r="V25" s="77"/>
      <c r="W25" s="78" t="s">
        <v>51</v>
      </c>
      <c r="X25" s="80" t="s">
        <v>53</v>
      </c>
    </row>
    <row r="26" spans="2:24" ht="15" customHeight="1" x14ac:dyDescent="0.25">
      <c r="B26" s="81"/>
      <c r="C26" s="81"/>
      <c r="D26" s="87"/>
      <c r="E26" s="88"/>
      <c r="F26" s="87"/>
      <c r="G26" s="88"/>
      <c r="H26" s="82" t="s">
        <v>54</v>
      </c>
      <c r="I26" s="83"/>
      <c r="J26" s="82" t="s">
        <v>55</v>
      </c>
      <c r="K26" s="83"/>
      <c r="L26" s="82" t="s">
        <v>56</v>
      </c>
      <c r="M26" s="83"/>
      <c r="N26" s="82" t="s">
        <v>57</v>
      </c>
      <c r="O26" s="83"/>
      <c r="P26" s="79"/>
      <c r="Q26" s="82" t="s">
        <v>58</v>
      </c>
      <c r="R26" s="83"/>
      <c r="S26" s="82" t="s">
        <v>59</v>
      </c>
      <c r="T26" s="83"/>
      <c r="U26" s="84" t="s">
        <v>60</v>
      </c>
      <c r="V26" s="84"/>
      <c r="W26" s="79"/>
      <c r="X26" s="81"/>
    </row>
    <row r="27" spans="2:24" s="45" customFormat="1" ht="20.25" customHeight="1" x14ac:dyDescent="0.25">
      <c r="B27" s="35" t="s">
        <v>70</v>
      </c>
      <c r="C27" s="35" t="s">
        <v>3</v>
      </c>
      <c r="D27" s="35">
        <v>2226</v>
      </c>
      <c r="E27" s="36">
        <f>D27/27</f>
        <v>82.444444444444443</v>
      </c>
      <c r="F27" s="35">
        <v>2157</v>
      </c>
      <c r="G27" s="36">
        <f>F27/27</f>
        <v>79.888888888888886</v>
      </c>
      <c r="H27" s="35">
        <v>2170</v>
      </c>
      <c r="I27" s="36">
        <f>H27/27</f>
        <v>80.370370370370367</v>
      </c>
      <c r="J27" s="35">
        <v>2205</v>
      </c>
      <c r="K27" s="36">
        <f>J27/27</f>
        <v>81.666666666666671</v>
      </c>
      <c r="L27" s="35">
        <v>2209</v>
      </c>
      <c r="M27" s="36">
        <f>L27/27</f>
        <v>81.81481481481481</v>
      </c>
      <c r="N27" s="35">
        <v>2233</v>
      </c>
      <c r="O27" s="36">
        <f>N27/27</f>
        <v>82.703703703703709</v>
      </c>
      <c r="P27" s="37">
        <f>(I27+K27+M27+O27)/4</f>
        <v>81.638888888888886</v>
      </c>
      <c r="Q27" s="35">
        <v>2246</v>
      </c>
      <c r="R27" s="36">
        <f>Q27/27</f>
        <v>83.18518518518519</v>
      </c>
      <c r="S27" s="35">
        <v>2205</v>
      </c>
      <c r="T27" s="36">
        <f>S27/27</f>
        <v>81.666666666666671</v>
      </c>
      <c r="U27" s="35">
        <v>2224</v>
      </c>
      <c r="V27" s="36">
        <f>U27/27</f>
        <v>82.370370370370367</v>
      </c>
      <c r="W27" s="37">
        <f>(R27+T27+V27)/3</f>
        <v>82.407407407407405</v>
      </c>
      <c r="X27" s="38" t="s">
        <v>103</v>
      </c>
    </row>
    <row r="28" spans="2:24" ht="15" customHeight="1" x14ac:dyDescent="0.25">
      <c r="B28" s="80" t="s">
        <v>47</v>
      </c>
      <c r="C28" s="80" t="s">
        <v>1</v>
      </c>
      <c r="D28" s="85" t="s">
        <v>48</v>
      </c>
      <c r="E28" s="86"/>
      <c r="F28" s="85" t="s">
        <v>49</v>
      </c>
      <c r="G28" s="86"/>
      <c r="H28" s="89" t="s">
        <v>50</v>
      </c>
      <c r="I28" s="90"/>
      <c r="J28" s="90"/>
      <c r="K28" s="90"/>
      <c r="L28" s="90"/>
      <c r="M28" s="90"/>
      <c r="N28" s="90"/>
      <c r="O28" s="90"/>
      <c r="P28" s="78" t="s">
        <v>51</v>
      </c>
      <c r="Q28" s="75" t="s">
        <v>52</v>
      </c>
      <c r="R28" s="76"/>
      <c r="S28" s="76"/>
      <c r="T28" s="76"/>
      <c r="U28" s="76"/>
      <c r="V28" s="77"/>
      <c r="W28" s="78" t="s">
        <v>51</v>
      </c>
      <c r="X28" s="80" t="s">
        <v>53</v>
      </c>
    </row>
    <row r="29" spans="2:24" ht="15" customHeight="1" x14ac:dyDescent="0.25">
      <c r="B29" s="81"/>
      <c r="C29" s="81"/>
      <c r="D29" s="87"/>
      <c r="E29" s="88"/>
      <c r="F29" s="87"/>
      <c r="G29" s="88"/>
      <c r="H29" s="82" t="s">
        <v>54</v>
      </c>
      <c r="I29" s="83"/>
      <c r="J29" s="82" t="s">
        <v>55</v>
      </c>
      <c r="K29" s="83"/>
      <c r="L29" s="82" t="s">
        <v>56</v>
      </c>
      <c r="M29" s="83"/>
      <c r="N29" s="82" t="s">
        <v>57</v>
      </c>
      <c r="O29" s="83"/>
      <c r="P29" s="79"/>
      <c r="Q29" s="82" t="s">
        <v>58</v>
      </c>
      <c r="R29" s="83"/>
      <c r="S29" s="82" t="s">
        <v>59</v>
      </c>
      <c r="T29" s="83"/>
      <c r="U29" s="84" t="s">
        <v>60</v>
      </c>
      <c r="V29" s="84"/>
      <c r="W29" s="79"/>
      <c r="X29" s="81"/>
    </row>
    <row r="30" spans="2:24" s="45" customFormat="1" ht="37.5" customHeight="1" x14ac:dyDescent="0.25">
      <c r="B30" s="35" t="s">
        <v>71</v>
      </c>
      <c r="C30" s="35" t="s">
        <v>3</v>
      </c>
      <c r="D30" s="35">
        <v>2168</v>
      </c>
      <c r="E30" s="36">
        <f>D30/27</f>
        <v>80.296296296296291</v>
      </c>
      <c r="F30" s="35">
        <v>2170</v>
      </c>
      <c r="G30" s="36">
        <f>F30/27</f>
        <v>80.370370370370367</v>
      </c>
      <c r="H30" s="35">
        <v>2168</v>
      </c>
      <c r="I30" s="36">
        <f>H30/27</f>
        <v>80.296296296296291</v>
      </c>
      <c r="J30" s="35">
        <v>2146</v>
      </c>
      <c r="K30" s="36">
        <f>J30/27</f>
        <v>79.481481481481481</v>
      </c>
      <c r="L30" s="35">
        <v>2167</v>
      </c>
      <c r="M30" s="36">
        <f>L30/27</f>
        <v>80.259259259259252</v>
      </c>
      <c r="N30" s="35">
        <v>2150</v>
      </c>
      <c r="O30" s="36">
        <f>N30/27</f>
        <v>79.629629629629633</v>
      </c>
      <c r="P30" s="37">
        <f>(I30+K30+M30+O30)/4</f>
        <v>79.916666666666657</v>
      </c>
      <c r="Q30" s="35">
        <v>2208</v>
      </c>
      <c r="R30" s="36">
        <f>Q30/27</f>
        <v>81.777777777777771</v>
      </c>
      <c r="S30" s="35">
        <v>2150</v>
      </c>
      <c r="T30" s="36">
        <f>S30/27</f>
        <v>79.629629629629633</v>
      </c>
      <c r="U30" s="35">
        <v>2134</v>
      </c>
      <c r="V30" s="36">
        <f>U30/27</f>
        <v>79.037037037037038</v>
      </c>
      <c r="W30" s="37">
        <f>(R30+T30+V30)/3</f>
        <v>80.148148148148138</v>
      </c>
      <c r="X30" s="38" t="s">
        <v>113</v>
      </c>
    </row>
    <row r="31" spans="2:24" ht="15" customHeight="1" x14ac:dyDescent="0.25">
      <c r="B31" s="80" t="s">
        <v>47</v>
      </c>
      <c r="C31" s="80" t="s">
        <v>1</v>
      </c>
      <c r="D31" s="85" t="s">
        <v>48</v>
      </c>
      <c r="E31" s="86"/>
      <c r="F31" s="85" t="s">
        <v>49</v>
      </c>
      <c r="G31" s="86"/>
      <c r="H31" s="89" t="s">
        <v>50</v>
      </c>
      <c r="I31" s="90"/>
      <c r="J31" s="90"/>
      <c r="K31" s="90"/>
      <c r="L31" s="90"/>
      <c r="M31" s="90"/>
      <c r="N31" s="90"/>
      <c r="O31" s="90"/>
      <c r="P31" s="78" t="s">
        <v>51</v>
      </c>
      <c r="Q31" s="75" t="s">
        <v>52</v>
      </c>
      <c r="R31" s="76"/>
      <c r="S31" s="76"/>
      <c r="T31" s="76"/>
      <c r="U31" s="76"/>
      <c r="V31" s="77"/>
      <c r="W31" s="78" t="s">
        <v>51</v>
      </c>
      <c r="X31" s="80" t="s">
        <v>53</v>
      </c>
    </row>
    <row r="32" spans="2:24" ht="15" customHeight="1" x14ac:dyDescent="0.25">
      <c r="B32" s="81"/>
      <c r="C32" s="81"/>
      <c r="D32" s="87"/>
      <c r="E32" s="88"/>
      <c r="F32" s="87"/>
      <c r="G32" s="88"/>
      <c r="H32" s="82" t="s">
        <v>54</v>
      </c>
      <c r="I32" s="83"/>
      <c r="J32" s="82" t="s">
        <v>55</v>
      </c>
      <c r="K32" s="83"/>
      <c r="L32" s="82" t="s">
        <v>56</v>
      </c>
      <c r="M32" s="83"/>
      <c r="N32" s="82" t="s">
        <v>57</v>
      </c>
      <c r="O32" s="83"/>
      <c r="P32" s="79"/>
      <c r="Q32" s="82" t="s">
        <v>58</v>
      </c>
      <c r="R32" s="83"/>
      <c r="S32" s="82" t="s">
        <v>59</v>
      </c>
      <c r="T32" s="83"/>
      <c r="U32" s="84" t="s">
        <v>60</v>
      </c>
      <c r="V32" s="84"/>
      <c r="W32" s="79"/>
      <c r="X32" s="81"/>
    </row>
    <row r="33" spans="2:24" s="45" customFormat="1" ht="21.75" customHeight="1" x14ac:dyDescent="0.25">
      <c r="B33" s="34" t="s">
        <v>76</v>
      </c>
      <c r="C33" s="34" t="s">
        <v>3</v>
      </c>
      <c r="D33" s="35">
        <v>2180</v>
      </c>
      <c r="E33" s="36">
        <f>D33/27</f>
        <v>80.740740740740748</v>
      </c>
      <c r="F33" s="35">
        <v>2230</v>
      </c>
      <c r="G33" s="36">
        <f>F33/27</f>
        <v>82.592592592592595</v>
      </c>
      <c r="H33" s="35">
        <v>2154</v>
      </c>
      <c r="I33" s="36">
        <f>H33/27</f>
        <v>79.777777777777771</v>
      </c>
      <c r="J33" s="35">
        <v>2163</v>
      </c>
      <c r="K33" s="36">
        <f>J33/27</f>
        <v>80.111111111111114</v>
      </c>
      <c r="L33" s="35">
        <v>2153</v>
      </c>
      <c r="M33" s="36">
        <f>L33/27</f>
        <v>79.740740740740748</v>
      </c>
      <c r="N33" s="35">
        <v>2181</v>
      </c>
      <c r="O33" s="36">
        <f>N33/27</f>
        <v>80.777777777777771</v>
      </c>
      <c r="P33" s="37">
        <f>(I33+K33+M33+O33)/4</f>
        <v>80.101851851851848</v>
      </c>
      <c r="Q33" s="35">
        <v>2196</v>
      </c>
      <c r="R33" s="36">
        <f>Q33/27</f>
        <v>81.333333333333329</v>
      </c>
      <c r="S33" s="35">
        <v>2140</v>
      </c>
      <c r="T33" s="36">
        <f>S33/27</f>
        <v>79.259259259259252</v>
      </c>
      <c r="U33" s="35">
        <v>2158</v>
      </c>
      <c r="V33" s="36">
        <f>U33/27</f>
        <v>79.925925925925924</v>
      </c>
      <c r="W33" s="37">
        <f>(R33+T33+V33)/3</f>
        <v>80.172839506172835</v>
      </c>
      <c r="X33" s="38" t="s">
        <v>108</v>
      </c>
    </row>
    <row r="34" spans="2:24" ht="15" customHeight="1" x14ac:dyDescent="0.25">
      <c r="B34" s="80" t="s">
        <v>47</v>
      </c>
      <c r="C34" s="80" t="s">
        <v>1</v>
      </c>
      <c r="D34" s="85" t="s">
        <v>48</v>
      </c>
      <c r="E34" s="86"/>
      <c r="F34" s="85" t="s">
        <v>49</v>
      </c>
      <c r="G34" s="86"/>
      <c r="H34" s="89" t="s">
        <v>50</v>
      </c>
      <c r="I34" s="90"/>
      <c r="J34" s="90"/>
      <c r="K34" s="90"/>
      <c r="L34" s="90"/>
      <c r="M34" s="90"/>
      <c r="N34" s="90"/>
      <c r="O34" s="93"/>
      <c r="P34" s="78" t="s">
        <v>51</v>
      </c>
      <c r="Q34" s="89" t="s">
        <v>52</v>
      </c>
      <c r="R34" s="90"/>
      <c r="S34" s="90"/>
      <c r="T34" s="90"/>
      <c r="U34" s="90"/>
      <c r="V34" s="93"/>
      <c r="W34" s="78" t="s">
        <v>51</v>
      </c>
      <c r="X34" s="80" t="s">
        <v>53</v>
      </c>
    </row>
    <row r="35" spans="2:24" ht="15" customHeight="1" x14ac:dyDescent="0.25">
      <c r="B35" s="81"/>
      <c r="C35" s="81"/>
      <c r="D35" s="87"/>
      <c r="E35" s="88"/>
      <c r="F35" s="87"/>
      <c r="G35" s="88"/>
      <c r="H35" s="82" t="s">
        <v>54</v>
      </c>
      <c r="I35" s="83"/>
      <c r="J35" s="82" t="s">
        <v>55</v>
      </c>
      <c r="K35" s="83"/>
      <c r="L35" s="82" t="s">
        <v>56</v>
      </c>
      <c r="M35" s="83"/>
      <c r="N35" s="82" t="s">
        <v>57</v>
      </c>
      <c r="O35" s="83"/>
      <c r="P35" s="79"/>
      <c r="Q35" s="82" t="s">
        <v>58</v>
      </c>
      <c r="R35" s="83"/>
      <c r="S35" s="82" t="s">
        <v>59</v>
      </c>
      <c r="T35" s="83"/>
      <c r="U35" s="91" t="s">
        <v>60</v>
      </c>
      <c r="V35" s="92"/>
      <c r="W35" s="79"/>
      <c r="X35" s="81"/>
    </row>
    <row r="36" spans="2:24" s="45" customFormat="1" ht="27" customHeight="1" x14ac:dyDescent="0.25">
      <c r="B36" s="34" t="s">
        <v>77</v>
      </c>
      <c r="C36" s="34" t="s">
        <v>3</v>
      </c>
      <c r="D36" s="35">
        <v>2152</v>
      </c>
      <c r="E36" s="36">
        <f>D36/27</f>
        <v>79.703703703703709</v>
      </c>
      <c r="F36" s="35">
        <v>2176</v>
      </c>
      <c r="G36" s="36">
        <f>F36/27</f>
        <v>80.592592592592595</v>
      </c>
      <c r="H36" s="35">
        <v>2141</v>
      </c>
      <c r="I36" s="36">
        <f>H36/27</f>
        <v>79.296296296296291</v>
      </c>
      <c r="J36" s="35">
        <v>2129</v>
      </c>
      <c r="K36" s="36">
        <f>J36/27</f>
        <v>78.851851851851848</v>
      </c>
      <c r="L36" s="35">
        <v>2148</v>
      </c>
      <c r="M36" s="36">
        <f>L36/27</f>
        <v>79.555555555555557</v>
      </c>
      <c r="N36" s="35">
        <v>2156</v>
      </c>
      <c r="O36" s="36">
        <f>N36/27</f>
        <v>79.851851851851848</v>
      </c>
      <c r="P36" s="37">
        <f>(I36+K36+M36+O36)/4</f>
        <v>79.388888888888886</v>
      </c>
      <c r="Q36" s="35">
        <v>2165</v>
      </c>
      <c r="R36" s="36">
        <f>Q36/27</f>
        <v>80.18518518518519</v>
      </c>
      <c r="S36" s="35">
        <v>2118</v>
      </c>
      <c r="T36" s="36">
        <f>S36/27</f>
        <v>78.444444444444443</v>
      </c>
      <c r="U36" s="35">
        <v>2123</v>
      </c>
      <c r="V36" s="36">
        <f>U36/27</f>
        <v>78.629629629629633</v>
      </c>
      <c r="W36" s="37">
        <f>(R36+T36+V36)/3</f>
        <v>79.086419753086417</v>
      </c>
      <c r="X36" s="38" t="s">
        <v>98</v>
      </c>
    </row>
    <row r="37" spans="2:24" ht="15" customHeight="1" x14ac:dyDescent="0.25">
      <c r="B37" s="80" t="s">
        <v>47</v>
      </c>
      <c r="C37" s="80" t="s">
        <v>1</v>
      </c>
      <c r="D37" s="85" t="s">
        <v>48</v>
      </c>
      <c r="E37" s="86"/>
      <c r="F37" s="85" t="s">
        <v>49</v>
      </c>
      <c r="G37" s="86"/>
      <c r="H37" s="89" t="s">
        <v>50</v>
      </c>
      <c r="I37" s="90"/>
      <c r="J37" s="90"/>
      <c r="K37" s="90"/>
      <c r="L37" s="90"/>
      <c r="M37" s="90"/>
      <c r="N37" s="90"/>
      <c r="O37" s="90"/>
      <c r="P37" s="78" t="s">
        <v>51</v>
      </c>
      <c r="Q37" s="75" t="s">
        <v>52</v>
      </c>
      <c r="R37" s="76"/>
      <c r="S37" s="76"/>
      <c r="T37" s="76"/>
      <c r="U37" s="76"/>
      <c r="V37" s="77"/>
      <c r="W37" s="78" t="s">
        <v>51</v>
      </c>
      <c r="X37" s="80" t="s">
        <v>53</v>
      </c>
    </row>
    <row r="38" spans="2:24" ht="15" customHeight="1" x14ac:dyDescent="0.25">
      <c r="B38" s="81"/>
      <c r="C38" s="81"/>
      <c r="D38" s="87"/>
      <c r="E38" s="88"/>
      <c r="F38" s="87"/>
      <c r="G38" s="88"/>
      <c r="H38" s="82" t="s">
        <v>54</v>
      </c>
      <c r="I38" s="83"/>
      <c r="J38" s="82" t="s">
        <v>55</v>
      </c>
      <c r="K38" s="83"/>
      <c r="L38" s="82" t="s">
        <v>56</v>
      </c>
      <c r="M38" s="83"/>
      <c r="N38" s="82" t="s">
        <v>57</v>
      </c>
      <c r="O38" s="83"/>
      <c r="P38" s="79"/>
      <c r="Q38" s="82" t="s">
        <v>58</v>
      </c>
      <c r="R38" s="83"/>
      <c r="S38" s="82" t="s">
        <v>59</v>
      </c>
      <c r="T38" s="83"/>
      <c r="U38" s="84" t="s">
        <v>60</v>
      </c>
      <c r="V38" s="84"/>
      <c r="W38" s="79"/>
      <c r="X38" s="81"/>
    </row>
    <row r="39" spans="2:24" s="45" customFormat="1" ht="31.5" customHeight="1" x14ac:dyDescent="0.25">
      <c r="B39" s="34" t="s">
        <v>78</v>
      </c>
      <c r="C39" s="34" t="s">
        <v>3</v>
      </c>
      <c r="D39" s="35">
        <v>2166</v>
      </c>
      <c r="E39" s="36">
        <f>D39/27</f>
        <v>80.222222222222229</v>
      </c>
      <c r="F39" s="35">
        <v>2148</v>
      </c>
      <c r="G39" s="36">
        <f>F39/27</f>
        <v>79.555555555555557</v>
      </c>
      <c r="H39" s="35">
        <v>2142</v>
      </c>
      <c r="I39" s="36">
        <f>H39/27</f>
        <v>79.333333333333329</v>
      </c>
      <c r="J39" s="35">
        <v>2145</v>
      </c>
      <c r="K39" s="36">
        <f>J39/27</f>
        <v>79.444444444444443</v>
      </c>
      <c r="L39" s="35">
        <v>2166</v>
      </c>
      <c r="M39" s="36">
        <f>L39/27</f>
        <v>80.222222222222229</v>
      </c>
      <c r="N39" s="35">
        <v>2178</v>
      </c>
      <c r="O39" s="36">
        <f>N39/27</f>
        <v>80.666666666666671</v>
      </c>
      <c r="P39" s="37">
        <f>(I39+K39+M39+O39)/4</f>
        <v>79.916666666666671</v>
      </c>
      <c r="Q39" s="35">
        <v>2125</v>
      </c>
      <c r="R39" s="36">
        <f>Q39/27</f>
        <v>78.703703703703709</v>
      </c>
      <c r="S39" s="35">
        <v>2154</v>
      </c>
      <c r="T39" s="36">
        <f>S39/27</f>
        <v>79.777777777777771</v>
      </c>
      <c r="U39" s="35">
        <v>2125</v>
      </c>
      <c r="V39" s="36">
        <f>U39/27</f>
        <v>78.703703703703709</v>
      </c>
      <c r="W39" s="37">
        <f>(R39+T39+V39)/3</f>
        <v>79.061728395061721</v>
      </c>
      <c r="X39" s="38" t="s">
        <v>114</v>
      </c>
    </row>
    <row r="40" spans="2:24" x14ac:dyDescent="0.25">
      <c r="B40" s="80" t="s">
        <v>47</v>
      </c>
      <c r="C40" s="80" t="s">
        <v>1</v>
      </c>
      <c r="D40" s="85" t="s">
        <v>48</v>
      </c>
      <c r="E40" s="86"/>
      <c r="F40" s="85" t="s">
        <v>49</v>
      </c>
      <c r="G40" s="86"/>
      <c r="H40" s="89" t="s">
        <v>50</v>
      </c>
      <c r="I40" s="90"/>
      <c r="J40" s="90"/>
      <c r="K40" s="90"/>
      <c r="L40" s="90"/>
      <c r="M40" s="90"/>
      <c r="N40" s="90"/>
      <c r="O40" s="90"/>
      <c r="P40" s="78" t="s">
        <v>51</v>
      </c>
      <c r="Q40" s="75" t="s">
        <v>52</v>
      </c>
      <c r="R40" s="76"/>
      <c r="S40" s="76"/>
      <c r="T40" s="76"/>
      <c r="U40" s="76"/>
      <c r="V40" s="77"/>
      <c r="W40" s="78" t="s">
        <v>51</v>
      </c>
      <c r="X40" s="80" t="s">
        <v>53</v>
      </c>
    </row>
    <row r="41" spans="2:24" x14ac:dyDescent="0.25">
      <c r="B41" s="81"/>
      <c r="C41" s="81"/>
      <c r="D41" s="87"/>
      <c r="E41" s="88"/>
      <c r="F41" s="87"/>
      <c r="G41" s="88"/>
      <c r="H41" s="82" t="s">
        <v>54</v>
      </c>
      <c r="I41" s="83"/>
      <c r="J41" s="82" t="s">
        <v>55</v>
      </c>
      <c r="K41" s="83"/>
      <c r="L41" s="82" t="s">
        <v>56</v>
      </c>
      <c r="M41" s="83"/>
      <c r="N41" s="82" t="s">
        <v>57</v>
      </c>
      <c r="O41" s="83"/>
      <c r="P41" s="79"/>
      <c r="Q41" s="82" t="s">
        <v>58</v>
      </c>
      <c r="R41" s="83"/>
      <c r="S41" s="82" t="s">
        <v>59</v>
      </c>
      <c r="T41" s="83"/>
      <c r="U41" s="84" t="s">
        <v>60</v>
      </c>
      <c r="V41" s="84"/>
      <c r="W41" s="79"/>
      <c r="X41" s="81"/>
    </row>
    <row r="42" spans="2:24" ht="27" customHeight="1" x14ac:dyDescent="0.25">
      <c r="B42" s="35" t="s">
        <v>4</v>
      </c>
      <c r="C42" s="44" t="s">
        <v>5</v>
      </c>
      <c r="D42" s="35">
        <v>2287</v>
      </c>
      <c r="E42" s="42">
        <f>D42/27</f>
        <v>84.703703703703709</v>
      </c>
      <c r="F42" s="35">
        <v>2231</v>
      </c>
      <c r="G42" s="36">
        <f>F42/27</f>
        <v>82.629629629629633</v>
      </c>
      <c r="H42" s="35">
        <v>2197</v>
      </c>
      <c r="I42" s="36">
        <f>H42/27</f>
        <v>81.370370370370367</v>
      </c>
      <c r="J42" s="35">
        <v>2096</v>
      </c>
      <c r="K42" s="36">
        <f>J42/25</f>
        <v>83.84</v>
      </c>
      <c r="L42" s="35">
        <v>2079</v>
      </c>
      <c r="M42" s="36">
        <f>L42/25</f>
        <v>83.16</v>
      </c>
      <c r="N42" s="35">
        <v>2254</v>
      </c>
      <c r="O42" s="36">
        <f>N42/27</f>
        <v>83.481481481481481</v>
      </c>
      <c r="P42" s="37">
        <f>(I42+K42+M42+O42)/4</f>
        <v>82.962962962962962</v>
      </c>
      <c r="Q42" s="35">
        <v>2142</v>
      </c>
      <c r="R42" s="36">
        <f>Q42/27</f>
        <v>79.333333333333329</v>
      </c>
      <c r="S42" s="35">
        <v>2232</v>
      </c>
      <c r="T42" s="36">
        <f>S42/27</f>
        <v>82.666666666666671</v>
      </c>
      <c r="U42" s="35">
        <v>2260</v>
      </c>
      <c r="V42" s="36">
        <f>U42/27</f>
        <v>83.703703703703709</v>
      </c>
      <c r="W42" s="37">
        <f>(R42+T42+V42)/3</f>
        <v>81.901234567901227</v>
      </c>
      <c r="X42" s="41" t="s">
        <v>99</v>
      </c>
    </row>
    <row r="43" spans="2:24" ht="15" customHeight="1" x14ac:dyDescent="0.25">
      <c r="B43" s="80" t="s">
        <v>47</v>
      </c>
      <c r="C43" s="80" t="s">
        <v>1</v>
      </c>
      <c r="D43" s="85" t="s">
        <v>48</v>
      </c>
      <c r="E43" s="86"/>
      <c r="F43" s="85" t="s">
        <v>49</v>
      </c>
      <c r="G43" s="86"/>
      <c r="H43" s="89" t="s">
        <v>50</v>
      </c>
      <c r="I43" s="90"/>
      <c r="J43" s="90"/>
      <c r="K43" s="90"/>
      <c r="L43" s="90"/>
      <c r="M43" s="90"/>
      <c r="N43" s="90"/>
      <c r="O43" s="90"/>
      <c r="P43" s="78" t="s">
        <v>51</v>
      </c>
      <c r="Q43" s="75" t="s">
        <v>52</v>
      </c>
      <c r="R43" s="76"/>
      <c r="S43" s="76"/>
      <c r="T43" s="76"/>
      <c r="U43" s="76"/>
      <c r="V43" s="77"/>
      <c r="W43" s="78" t="s">
        <v>51</v>
      </c>
      <c r="X43" s="80" t="s">
        <v>53</v>
      </c>
    </row>
    <row r="44" spans="2:24" ht="21" customHeight="1" x14ac:dyDescent="0.25">
      <c r="B44" s="81"/>
      <c r="C44" s="81"/>
      <c r="D44" s="87"/>
      <c r="E44" s="88"/>
      <c r="F44" s="87"/>
      <c r="G44" s="88"/>
      <c r="H44" s="82" t="s">
        <v>54</v>
      </c>
      <c r="I44" s="83"/>
      <c r="J44" s="82" t="s">
        <v>55</v>
      </c>
      <c r="K44" s="83"/>
      <c r="L44" s="82" t="s">
        <v>56</v>
      </c>
      <c r="M44" s="83"/>
      <c r="N44" s="82" t="s">
        <v>57</v>
      </c>
      <c r="O44" s="83"/>
      <c r="P44" s="79"/>
      <c r="Q44" s="82" t="s">
        <v>58</v>
      </c>
      <c r="R44" s="83"/>
      <c r="S44" s="82" t="s">
        <v>59</v>
      </c>
      <c r="T44" s="83"/>
      <c r="U44" s="84" t="s">
        <v>60</v>
      </c>
      <c r="V44" s="84"/>
      <c r="W44" s="79"/>
      <c r="X44" s="81"/>
    </row>
    <row r="45" spans="2:24" s="45" customFormat="1" ht="27" customHeight="1" x14ac:dyDescent="0.25">
      <c r="B45" s="35" t="s">
        <v>72</v>
      </c>
      <c r="C45" s="35" t="s">
        <v>6</v>
      </c>
      <c r="D45" s="35">
        <v>2210</v>
      </c>
      <c r="E45" s="36">
        <f>D45/27</f>
        <v>81.851851851851848</v>
      </c>
      <c r="F45" s="35">
        <v>2228</v>
      </c>
      <c r="G45" s="36">
        <f>F45/27</f>
        <v>82.518518518518519</v>
      </c>
      <c r="H45" s="35">
        <v>2175</v>
      </c>
      <c r="I45" s="36">
        <f>H45/27</f>
        <v>80.555555555555557</v>
      </c>
      <c r="J45" s="35">
        <v>2046</v>
      </c>
      <c r="K45" s="36">
        <f>J45/25</f>
        <v>81.84</v>
      </c>
      <c r="L45" s="35">
        <v>2049</v>
      </c>
      <c r="M45" s="36">
        <f>L45/25</f>
        <v>81.96</v>
      </c>
      <c r="N45" s="35">
        <v>2238</v>
      </c>
      <c r="O45" s="36">
        <f>N45/27</f>
        <v>82.888888888888886</v>
      </c>
      <c r="P45" s="37">
        <f>(I45+K45+M45+O45)/4</f>
        <v>81.811111111111103</v>
      </c>
      <c r="Q45" s="35">
        <v>2267</v>
      </c>
      <c r="R45" s="36">
        <f>Q45/27</f>
        <v>83.962962962962962</v>
      </c>
      <c r="S45" s="35">
        <v>2189</v>
      </c>
      <c r="T45" s="36">
        <f>S45/27</f>
        <v>81.074074074074076</v>
      </c>
      <c r="U45" s="35">
        <v>2232</v>
      </c>
      <c r="V45" s="36">
        <f>U45/27</f>
        <v>82.666666666666671</v>
      </c>
      <c r="W45" s="37">
        <f>(R45+T45+V45)/3</f>
        <v>82.567901234567898</v>
      </c>
      <c r="X45" s="38" t="s">
        <v>96</v>
      </c>
    </row>
    <row r="46" spans="2:24" ht="15" customHeight="1" x14ac:dyDescent="0.25">
      <c r="B46" s="80" t="s">
        <v>47</v>
      </c>
      <c r="C46" s="80" t="s">
        <v>1</v>
      </c>
      <c r="D46" s="85" t="s">
        <v>48</v>
      </c>
      <c r="E46" s="86"/>
      <c r="F46" s="85" t="s">
        <v>49</v>
      </c>
      <c r="G46" s="86"/>
      <c r="H46" s="89" t="s">
        <v>50</v>
      </c>
      <c r="I46" s="90"/>
      <c r="J46" s="90"/>
      <c r="K46" s="90"/>
      <c r="L46" s="90"/>
      <c r="M46" s="90"/>
      <c r="N46" s="90"/>
      <c r="O46" s="90"/>
      <c r="P46" s="78" t="s">
        <v>51</v>
      </c>
      <c r="Q46" s="75" t="s">
        <v>52</v>
      </c>
      <c r="R46" s="76"/>
      <c r="S46" s="76"/>
      <c r="T46" s="76"/>
      <c r="U46" s="76"/>
      <c r="V46" s="77"/>
      <c r="W46" s="78" t="s">
        <v>51</v>
      </c>
      <c r="X46" s="80" t="s">
        <v>53</v>
      </c>
    </row>
    <row r="47" spans="2:24" ht="15" customHeight="1" x14ac:dyDescent="0.25">
      <c r="B47" s="81"/>
      <c r="C47" s="81"/>
      <c r="D47" s="87"/>
      <c r="E47" s="88"/>
      <c r="F47" s="87"/>
      <c r="G47" s="88"/>
      <c r="H47" s="82" t="s">
        <v>54</v>
      </c>
      <c r="I47" s="83"/>
      <c r="J47" s="82" t="s">
        <v>55</v>
      </c>
      <c r="K47" s="83"/>
      <c r="L47" s="82" t="s">
        <v>56</v>
      </c>
      <c r="M47" s="83"/>
      <c r="N47" s="82" t="s">
        <v>57</v>
      </c>
      <c r="O47" s="83"/>
      <c r="P47" s="79"/>
      <c r="Q47" s="82" t="s">
        <v>58</v>
      </c>
      <c r="R47" s="83"/>
      <c r="S47" s="82" t="s">
        <v>59</v>
      </c>
      <c r="T47" s="83"/>
      <c r="U47" s="84" t="s">
        <v>60</v>
      </c>
      <c r="V47" s="84"/>
      <c r="W47" s="79"/>
      <c r="X47" s="81"/>
    </row>
    <row r="48" spans="2:24" ht="44.25" customHeight="1" x14ac:dyDescent="0.25">
      <c r="B48" s="34" t="s">
        <v>73</v>
      </c>
      <c r="C48" s="34" t="s">
        <v>6</v>
      </c>
      <c r="D48" s="35">
        <v>2170</v>
      </c>
      <c r="E48" s="42">
        <f>D48/27</f>
        <v>80.370370370370367</v>
      </c>
      <c r="F48" s="35">
        <v>2114</v>
      </c>
      <c r="G48" s="36">
        <f>F48/27</f>
        <v>78.296296296296291</v>
      </c>
      <c r="H48" s="35">
        <v>2139</v>
      </c>
      <c r="I48" s="36">
        <f>H48/27</f>
        <v>79.222222222222229</v>
      </c>
      <c r="J48" s="35">
        <v>1955</v>
      </c>
      <c r="K48" s="36">
        <f>J48/25</f>
        <v>78.2</v>
      </c>
      <c r="L48" s="35">
        <v>1954</v>
      </c>
      <c r="M48" s="36">
        <f>L48/25</f>
        <v>78.16</v>
      </c>
      <c r="N48" s="35">
        <v>2147</v>
      </c>
      <c r="O48" s="36">
        <f>N48/27</f>
        <v>79.518518518518519</v>
      </c>
      <c r="P48" s="37">
        <f>(I48+K48+M48+O48)/4</f>
        <v>78.77518518518518</v>
      </c>
      <c r="Q48" s="35">
        <v>2217</v>
      </c>
      <c r="R48" s="36">
        <f>Q48/27</f>
        <v>82.111111111111114</v>
      </c>
      <c r="S48" s="35">
        <v>2163</v>
      </c>
      <c r="T48" s="36">
        <f>S48/27</f>
        <v>80.111111111111114</v>
      </c>
      <c r="U48" s="35">
        <v>2114</v>
      </c>
      <c r="V48" s="36">
        <f>U48/27</f>
        <v>78.296296296296291</v>
      </c>
      <c r="W48" s="37">
        <f>(R48+T48+V48)/3</f>
        <v>80.172839506172849</v>
      </c>
      <c r="X48" s="38" t="s">
        <v>115</v>
      </c>
    </row>
    <row r="49" spans="2:24" ht="15" customHeight="1" x14ac:dyDescent="0.25">
      <c r="B49" s="80" t="s">
        <v>47</v>
      </c>
      <c r="C49" s="80" t="s">
        <v>1</v>
      </c>
      <c r="D49" s="85" t="s">
        <v>48</v>
      </c>
      <c r="E49" s="86"/>
      <c r="F49" s="85" t="s">
        <v>49</v>
      </c>
      <c r="G49" s="86"/>
      <c r="H49" s="89" t="s">
        <v>50</v>
      </c>
      <c r="I49" s="90"/>
      <c r="J49" s="90"/>
      <c r="K49" s="90"/>
      <c r="L49" s="90"/>
      <c r="M49" s="90"/>
      <c r="N49" s="90"/>
      <c r="O49" s="90"/>
      <c r="P49" s="78" t="s">
        <v>51</v>
      </c>
      <c r="Q49" s="75" t="s">
        <v>52</v>
      </c>
      <c r="R49" s="76"/>
      <c r="S49" s="76"/>
      <c r="T49" s="76"/>
      <c r="U49" s="76"/>
      <c r="V49" s="77"/>
      <c r="W49" s="78" t="s">
        <v>51</v>
      </c>
      <c r="X49" s="80" t="s">
        <v>53</v>
      </c>
    </row>
    <row r="50" spans="2:24" ht="15" customHeight="1" x14ac:dyDescent="0.25">
      <c r="B50" s="81"/>
      <c r="C50" s="81"/>
      <c r="D50" s="87"/>
      <c r="E50" s="88"/>
      <c r="F50" s="87"/>
      <c r="G50" s="88"/>
      <c r="H50" s="82" t="s">
        <v>54</v>
      </c>
      <c r="I50" s="83"/>
      <c r="J50" s="82" t="s">
        <v>55</v>
      </c>
      <c r="K50" s="83"/>
      <c r="L50" s="82" t="s">
        <v>56</v>
      </c>
      <c r="M50" s="83"/>
      <c r="N50" s="82" t="s">
        <v>57</v>
      </c>
      <c r="O50" s="83"/>
      <c r="P50" s="79"/>
      <c r="Q50" s="82" t="s">
        <v>58</v>
      </c>
      <c r="R50" s="83"/>
      <c r="S50" s="82" t="s">
        <v>59</v>
      </c>
      <c r="T50" s="83"/>
      <c r="U50" s="84" t="s">
        <v>60</v>
      </c>
      <c r="V50" s="84"/>
      <c r="W50" s="79"/>
      <c r="X50" s="81"/>
    </row>
    <row r="51" spans="2:24" ht="31.5" customHeight="1" x14ac:dyDescent="0.25">
      <c r="B51" s="35" t="s">
        <v>74</v>
      </c>
      <c r="C51" s="44" t="s">
        <v>75</v>
      </c>
      <c r="D51" s="35">
        <f>80+80+80+80+90+90+75+80+80+80+60+86+80+90+75+75+80+80+80+80+80+80+80+80+90+90+60+90</f>
        <v>2251</v>
      </c>
      <c r="E51" s="42">
        <f>D51/28</f>
        <v>80.392857142857139</v>
      </c>
      <c r="F51" s="35">
        <f>80+80+80+90+90+90+90+85+85+80+80+70+70+90+80+80+80+80+90+90+85+80+80+80+80+90+65+80</f>
        <v>2300</v>
      </c>
      <c r="G51" s="36">
        <f>F51/28</f>
        <v>82.142857142857139</v>
      </c>
      <c r="H51" s="35">
        <f>80+80+90+90+90+90+90+90+60+80+80+80+90+90+75+80+80+90+75+90+80+80+90+75+85+60+85+80</f>
        <v>2305</v>
      </c>
      <c r="I51" s="46">
        <f>H51/28</f>
        <v>82.321428571428569</v>
      </c>
      <c r="J51" s="35">
        <f>80+80+90+75+80+75+70+80+86+70+80+90+75+80+80+80+80+85+85+70+80+80+75+50</f>
        <v>1876</v>
      </c>
      <c r="K51" s="36">
        <f>J51/25</f>
        <v>75.040000000000006</v>
      </c>
      <c r="L51" s="35">
        <f>80+80+90+75+80+85+70+80+86+70+60+90+75+80+80+80+80+85+85+50+80+80+75+80</f>
        <v>1876</v>
      </c>
      <c r="M51" s="36">
        <f>L51/25</f>
        <v>75.040000000000006</v>
      </c>
      <c r="N51" s="35">
        <f>80+80+80+80+80+90+90+90+75+80+80+80+90+60+90+75+88+80+80+80+80+80+90+75+80+80+80+60</f>
        <v>2253</v>
      </c>
      <c r="O51" s="36">
        <f>N51/28</f>
        <v>80.464285714285708</v>
      </c>
      <c r="P51" s="37">
        <f>(I51+K51+M51+O51)/4</f>
        <v>78.21642857142858</v>
      </c>
      <c r="Q51" s="35">
        <f>80+80+80+80+80+80+80+90+90+60+80+80+90+90+75+75+80+80+80+90+70+85+80+90+85+85+60+80</f>
        <v>2255</v>
      </c>
      <c r="R51" s="36">
        <f>Q51/28</f>
        <v>80.535714285714292</v>
      </c>
      <c r="S51" s="35">
        <f>80+80+80+80+80+80+90+90+90+60+880+90+90+80+80+85+85+50</f>
        <v>2250</v>
      </c>
      <c r="T51" s="36">
        <f>S51/28</f>
        <v>80.357142857142861</v>
      </c>
      <c r="U51" s="35">
        <f>80+80+90+90+85+85+80+80+80+80+80+80+90+90+70+70+77+75+88+80+90+90+90+85+85+85+60+60</f>
        <v>2275</v>
      </c>
      <c r="V51" s="36">
        <f>U51/28</f>
        <v>81.25</v>
      </c>
      <c r="W51" s="37">
        <f>(R51+T51+V51)/3</f>
        <v>80.714285714285722</v>
      </c>
      <c r="X51" s="38" t="s">
        <v>116</v>
      </c>
    </row>
    <row r="52" spans="2:24" ht="18" x14ac:dyDescent="0.25">
      <c r="B52" s="80" t="s">
        <v>47</v>
      </c>
      <c r="C52" s="80" t="s">
        <v>1</v>
      </c>
      <c r="D52" s="85" t="s">
        <v>48</v>
      </c>
      <c r="E52" s="86"/>
      <c r="F52" s="85" t="s">
        <v>49</v>
      </c>
      <c r="G52" s="86"/>
      <c r="H52" s="89" t="s">
        <v>50</v>
      </c>
      <c r="I52" s="90"/>
      <c r="J52" s="90"/>
      <c r="K52" s="90"/>
      <c r="L52" s="90"/>
      <c r="M52" s="90"/>
      <c r="N52" s="90"/>
      <c r="O52" s="93"/>
      <c r="P52" s="47" t="s">
        <v>51</v>
      </c>
      <c r="Q52" s="89" t="s">
        <v>52</v>
      </c>
      <c r="R52" s="90"/>
      <c r="S52" s="90"/>
      <c r="T52" s="90"/>
      <c r="U52" s="90"/>
      <c r="V52" s="93"/>
      <c r="W52" s="78" t="s">
        <v>51</v>
      </c>
      <c r="X52" s="80" t="s">
        <v>53</v>
      </c>
    </row>
    <row r="53" spans="2:24" x14ac:dyDescent="0.25">
      <c r="B53" s="81"/>
      <c r="C53" s="81"/>
      <c r="D53" s="87"/>
      <c r="E53" s="88"/>
      <c r="F53" s="87"/>
      <c r="G53" s="88"/>
      <c r="H53" s="82" t="s">
        <v>54</v>
      </c>
      <c r="I53" s="83"/>
      <c r="J53" s="82" t="s">
        <v>55</v>
      </c>
      <c r="K53" s="83"/>
      <c r="L53" s="82" t="s">
        <v>56</v>
      </c>
      <c r="M53" s="83"/>
      <c r="N53" s="82" t="s">
        <v>57</v>
      </c>
      <c r="O53" s="83"/>
      <c r="P53" s="48"/>
      <c r="Q53" s="82" t="s">
        <v>58</v>
      </c>
      <c r="R53" s="83"/>
      <c r="S53" s="82" t="s">
        <v>59</v>
      </c>
      <c r="T53" s="83"/>
      <c r="U53" s="91" t="s">
        <v>60</v>
      </c>
      <c r="V53" s="92"/>
      <c r="W53" s="79"/>
      <c r="X53" s="81"/>
    </row>
    <row r="54" spans="2:24" ht="39" customHeight="1" x14ac:dyDescent="0.25">
      <c r="B54" s="34" t="s">
        <v>79</v>
      </c>
      <c r="C54" s="43" t="s">
        <v>75</v>
      </c>
      <c r="D54" s="35">
        <f>80+80+85+90+80+80+95+85+70+70+80+88+70+80+80+90+85+80+75+75+90+70+80+85+85+70+80+90</f>
        <v>2268</v>
      </c>
      <c r="E54" s="42">
        <f>D54/28</f>
        <v>81</v>
      </c>
      <c r="F54" s="35">
        <f>90+90+80+85+80+80+80+90+90+85+80+80+80+80+90+90+85+80+80+90+90+80+80+85+90+70+80+85</f>
        <v>2345</v>
      </c>
      <c r="G54" s="36">
        <f>F54/28</f>
        <v>83.75</v>
      </c>
      <c r="H54" s="49">
        <f>90+90+90+90+90+90+80+80+85+60+90+80+90+90+75+80+80+88+95+80+80+90+90+85+85+80+80</f>
        <v>2283</v>
      </c>
      <c r="I54" s="36">
        <f>H54/28</f>
        <v>81.535714285714292</v>
      </c>
      <c r="J54" s="49">
        <f>80+80+80+90+80+80+70+70+85+70+80+50+90+75+80+80+80+80+80+80+80+80+60+80</f>
        <v>1860</v>
      </c>
      <c r="K54" s="36">
        <f>J54/25</f>
        <v>74.400000000000006</v>
      </c>
      <c r="L54" s="49">
        <f>70+70+80+90+75+80+70+80+80+80+70+50+80+80+80+80+80+80+80+80+85+85+85+60+80</f>
        <v>1930</v>
      </c>
      <c r="M54" s="36">
        <f>L54/28</f>
        <v>68.928571428571431</v>
      </c>
      <c r="N54" s="35">
        <f>90+90+80+85+80+80+80+80+90+60+90+90+90+90+80+75+80+80+80+80+80+80+80+90+90+90+85</f>
        <v>2245</v>
      </c>
      <c r="O54" s="36">
        <f>N54/28</f>
        <v>80.178571428571431</v>
      </c>
      <c r="P54" s="37">
        <f>(I54+K54+M54+O54)/4</f>
        <v>76.2607142857143</v>
      </c>
      <c r="Q54" s="35">
        <f>80+80+80+80+90+90+90+85+80+80+80+80+80+90+90+90+86+80+80+80+90+90+90+90+80+86+80+87</f>
        <v>2364</v>
      </c>
      <c r="R54" s="36">
        <f>Q54/28</f>
        <v>84.428571428571431</v>
      </c>
      <c r="S54" s="35">
        <f>80+80+80+80+85+90+90+90+90+90+90+80+80+80+80+80+80+90+90+90+70+80+80+80+90+90+90+85</f>
        <v>2360</v>
      </c>
      <c r="T54" s="36">
        <f>S54/28</f>
        <v>84.285714285714292</v>
      </c>
      <c r="U54" s="35">
        <f>80+80+80+90+90+90+85+85+70+80+90+80+80+90+90+85+70+80+80+90+85+80+80+80+80+80+90+90</f>
        <v>2330</v>
      </c>
      <c r="V54" s="36">
        <f>U54/28</f>
        <v>83.214285714285708</v>
      </c>
      <c r="W54" s="37">
        <f>(R54+T54+V54)/3</f>
        <v>83.976190476190482</v>
      </c>
      <c r="X54" s="38" t="s">
        <v>117</v>
      </c>
    </row>
    <row r="55" spans="2:24" ht="15" customHeight="1" x14ac:dyDescent="0.25">
      <c r="B55" s="80" t="s">
        <v>47</v>
      </c>
      <c r="C55" s="80" t="s">
        <v>1</v>
      </c>
      <c r="D55" s="85" t="s">
        <v>48</v>
      </c>
      <c r="E55" s="86"/>
      <c r="F55" s="85" t="s">
        <v>49</v>
      </c>
      <c r="G55" s="86"/>
      <c r="H55" s="89" t="s">
        <v>50</v>
      </c>
      <c r="I55" s="90"/>
      <c r="J55" s="90"/>
      <c r="K55" s="90"/>
      <c r="L55" s="90"/>
      <c r="M55" s="90"/>
      <c r="N55" s="90"/>
      <c r="O55" s="93"/>
      <c r="P55" s="78" t="s">
        <v>51</v>
      </c>
      <c r="Q55" s="75" t="s">
        <v>52</v>
      </c>
      <c r="R55" s="76"/>
      <c r="S55" s="76"/>
      <c r="T55" s="76"/>
      <c r="U55" s="76"/>
      <c r="V55" s="77"/>
      <c r="W55" s="78" t="s">
        <v>51</v>
      </c>
      <c r="X55" s="80" t="s">
        <v>53</v>
      </c>
    </row>
    <row r="56" spans="2:24" ht="18.75" customHeight="1" x14ac:dyDescent="0.25">
      <c r="B56" s="81"/>
      <c r="C56" s="81"/>
      <c r="D56" s="87"/>
      <c r="E56" s="88"/>
      <c r="F56" s="87"/>
      <c r="G56" s="88"/>
      <c r="H56" s="82" t="s">
        <v>54</v>
      </c>
      <c r="I56" s="83"/>
      <c r="J56" s="82" t="s">
        <v>55</v>
      </c>
      <c r="K56" s="83"/>
      <c r="L56" s="82" t="s">
        <v>56</v>
      </c>
      <c r="M56" s="83"/>
      <c r="N56" s="82" t="s">
        <v>57</v>
      </c>
      <c r="O56" s="83"/>
      <c r="P56" s="79"/>
      <c r="Q56" s="82" t="s">
        <v>58</v>
      </c>
      <c r="R56" s="83"/>
      <c r="S56" s="82" t="s">
        <v>59</v>
      </c>
      <c r="T56" s="83"/>
      <c r="U56" s="91" t="s">
        <v>60</v>
      </c>
      <c r="V56" s="92"/>
      <c r="W56" s="79"/>
      <c r="X56" s="81"/>
    </row>
    <row r="57" spans="2:24" ht="24" customHeight="1" x14ac:dyDescent="0.25">
      <c r="B57" s="34" t="s">
        <v>8</v>
      </c>
      <c r="C57" s="34" t="s">
        <v>7</v>
      </c>
      <c r="D57" s="35">
        <f>80+80+80+80+80+80+80+80+75+70+85+88+80+90+80+75+85+80+80+85+70+80+90+80+85+81+70+90</f>
        <v>2259</v>
      </c>
      <c r="E57" s="42">
        <f>D57/28</f>
        <v>80.678571428571431</v>
      </c>
      <c r="F57" s="35">
        <f>80+80+80+75+85+80+80+80+57+60+80+82+75+90+80+75+85+80+76+90+70+80+89+80+80+81+75+90</f>
        <v>2215</v>
      </c>
      <c r="G57" s="36">
        <f>F57/28</f>
        <v>79.107142857142861</v>
      </c>
      <c r="H57" s="35">
        <f>80+80+80+75+85+80+80+85+75+70+85+90+80+90+80+75+87+80+80+90+80+80+89+80+80+83+85+83</f>
        <v>2287</v>
      </c>
      <c r="I57" s="36">
        <f>H57/28</f>
        <v>81.678571428571431</v>
      </c>
      <c r="J57" s="35">
        <f>80+80+75+80+85+80+80+85+75+80+90+88+80+82+80+75+85+75+80+95+85+80+90+80+80+84+80+80</f>
        <v>2289</v>
      </c>
      <c r="K57" s="36">
        <f>J57/28</f>
        <v>81.75</v>
      </c>
      <c r="L57" s="35">
        <f>80+80+75+70+85+80+80+80+75+70+90+87+80+95+80+75+85+75+80+90+80+80+90+80+80+87+80+80</f>
        <v>2269</v>
      </c>
      <c r="M57" s="36">
        <f>L57/28</f>
        <v>81.035714285714292</v>
      </c>
      <c r="N57" s="35">
        <f>80+80+80+80+85+80+80+80+75+60+90+90+80+80+80+75+86+80+80+95+80+80+90+80+80+85+85+83</f>
        <v>2279</v>
      </c>
      <c r="O57" s="36">
        <f>N57/28</f>
        <v>81.392857142857139</v>
      </c>
      <c r="P57" s="37">
        <f>(I57+K57+M57+O57)/4</f>
        <v>81.464285714285722</v>
      </c>
      <c r="Q57" s="35">
        <f>80+80+75+80+80+80+75+80+75+70+80+89+70+81+80+75+85+80+79+85+70+80+90+80+85+86+75+80</f>
        <v>2225</v>
      </c>
      <c r="R57" s="36">
        <f>Q57/28</f>
        <v>79.464285714285708</v>
      </c>
      <c r="S57" s="35">
        <f>80+90+75+80+80+80+75+90+75+80+85+80+75+80+80+75+85+75+77+90+75+80+93+85+80+87+80+87</f>
        <v>2274</v>
      </c>
      <c r="T57" s="36">
        <f>S57/28</f>
        <v>81.214285714285708</v>
      </c>
      <c r="U57" s="35">
        <f>80+90+75+80+80+90+75+85+75+60+85+80+80+80+80+75+85+76+80+95+70+80+93+80+85+86+85+85</f>
        <v>2270</v>
      </c>
      <c r="V57" s="36">
        <f>U57/22</f>
        <v>103.18181818181819</v>
      </c>
      <c r="W57" s="37">
        <f>(R57+T57+V57)/3</f>
        <v>87.953463203463187</v>
      </c>
      <c r="X57" s="38" t="s">
        <v>118</v>
      </c>
    </row>
    <row r="58" spans="2:24" ht="15" customHeight="1" x14ac:dyDescent="0.25">
      <c r="B58" s="80" t="s">
        <v>47</v>
      </c>
      <c r="C58" s="80" t="s">
        <v>1</v>
      </c>
      <c r="D58" s="85" t="s">
        <v>48</v>
      </c>
      <c r="E58" s="86"/>
      <c r="F58" s="85" t="s">
        <v>49</v>
      </c>
      <c r="G58" s="86"/>
      <c r="H58" s="89" t="s">
        <v>50</v>
      </c>
      <c r="I58" s="90"/>
      <c r="J58" s="90"/>
      <c r="K58" s="90"/>
      <c r="L58" s="90"/>
      <c r="M58" s="90"/>
      <c r="N58" s="90"/>
      <c r="O58" s="90"/>
      <c r="P58" s="78" t="s">
        <v>51</v>
      </c>
      <c r="Q58" s="75" t="s">
        <v>52</v>
      </c>
      <c r="R58" s="76"/>
      <c r="S58" s="76"/>
      <c r="T58" s="76"/>
      <c r="U58" s="76"/>
      <c r="V58" s="77"/>
      <c r="W58" s="78" t="s">
        <v>51</v>
      </c>
      <c r="X58" s="80" t="s">
        <v>53</v>
      </c>
    </row>
    <row r="59" spans="2:24" ht="15" customHeight="1" x14ac:dyDescent="0.25">
      <c r="B59" s="81"/>
      <c r="C59" s="81"/>
      <c r="D59" s="87"/>
      <c r="E59" s="88"/>
      <c r="F59" s="87"/>
      <c r="G59" s="88"/>
      <c r="H59" s="82" t="s">
        <v>54</v>
      </c>
      <c r="I59" s="83"/>
      <c r="J59" s="82" t="s">
        <v>55</v>
      </c>
      <c r="K59" s="83"/>
      <c r="L59" s="82" t="s">
        <v>56</v>
      </c>
      <c r="M59" s="83"/>
      <c r="N59" s="82" t="s">
        <v>57</v>
      </c>
      <c r="O59" s="83"/>
      <c r="P59" s="79"/>
      <c r="Q59" s="82" t="s">
        <v>58</v>
      </c>
      <c r="R59" s="83"/>
      <c r="S59" s="82" t="s">
        <v>59</v>
      </c>
      <c r="T59" s="83"/>
      <c r="U59" s="84" t="s">
        <v>60</v>
      </c>
      <c r="V59" s="84"/>
      <c r="W59" s="79"/>
      <c r="X59" s="81"/>
    </row>
    <row r="60" spans="2:24" ht="36" customHeight="1" x14ac:dyDescent="0.25">
      <c r="B60" s="34" t="s">
        <v>10</v>
      </c>
      <c r="C60" s="34" t="s">
        <v>80</v>
      </c>
      <c r="D60" s="35">
        <f>80+80+78+80+80+80+80+80+75+80+80+88+80+85+80+75+85+80+79+90+60+80+85+80+85+81+75+91</f>
        <v>2252</v>
      </c>
      <c r="E60" s="42">
        <f>D60/28</f>
        <v>80.428571428571431</v>
      </c>
      <c r="F60" s="49">
        <f>80+80+78+80+85+80+75+80+70+80+85+85+80+85+80+75+85+80+78+90+70+80+85+75+80+83+75+90</f>
        <v>2249</v>
      </c>
      <c r="G60" s="36">
        <f>F60/28</f>
        <v>80.321428571428569</v>
      </c>
      <c r="H60" s="49">
        <f>80+80+75+75+85+75+75+80+70+80+80+90+65+85+80+75+85+80+80+85+60+80+88+75+79+83+65+81</f>
        <v>2191</v>
      </c>
      <c r="I60" s="36">
        <f>H60/28</f>
        <v>78.25</v>
      </c>
      <c r="J60" s="49">
        <f>80+80+75+75+80+80+80+85+75+70+85+88+75+85+80+75+85+75+79+90+75+80+90+75+80+84+75+80</f>
        <v>2236</v>
      </c>
      <c r="K60" s="36">
        <f>J60/28</f>
        <v>79.857142857142861</v>
      </c>
      <c r="L60" s="49">
        <f>80+80+75+70+80+75+80+80+75+80+80+87+75+85+80+75+85+70+79+90+75+80+90+75+80+84+75+80</f>
        <v>2220</v>
      </c>
      <c r="M60" s="36">
        <f>L60/28</f>
        <v>79.285714285714292</v>
      </c>
      <c r="N60" s="35">
        <f>80+80+78+75+85+80+80+80+75+80+85+90+75+85+80+75+85+80+81+95+70+80+93+80+80+87+70+81</f>
        <v>2265</v>
      </c>
      <c r="O60" s="36">
        <f>N60/28</f>
        <v>80.892857142857139</v>
      </c>
      <c r="P60" s="37">
        <f>(I60+K60+M60+O60)/4</f>
        <v>79.571428571428584</v>
      </c>
      <c r="Q60" s="35">
        <f>80+80+74+80+80+80+80+85+75+80+80+90+80+85+80+75+85+80+80+95+60+80+91+80+89+85+85+80</f>
        <v>2274</v>
      </c>
      <c r="R60" s="36">
        <f>Q60/28</f>
        <v>81.214285714285708</v>
      </c>
      <c r="S60" s="35">
        <f>80+90+75+80+80+80+75+90+75+80+80+80+75+85+80+75+85+75+79+90+60+80+95+80+80+86+80+85</f>
        <v>2255</v>
      </c>
      <c r="T60" s="36">
        <f>S60/28</f>
        <v>80.535714285714292</v>
      </c>
      <c r="U60" s="35">
        <f>80+90+75+80+80+80+80+80+75+80+80+80+75+85+80+75+86+65+80+85+70+80+93+80+80+87+75+83</f>
        <v>2239</v>
      </c>
      <c r="V60" s="36">
        <f>U60/28</f>
        <v>79.964285714285708</v>
      </c>
      <c r="W60" s="37">
        <f>(R60+T60+V60)/3</f>
        <v>80.571428571428569</v>
      </c>
      <c r="X60" s="38" t="s">
        <v>119</v>
      </c>
    </row>
    <row r="61" spans="2:24" ht="15" customHeight="1" x14ac:dyDescent="0.25">
      <c r="B61" s="80" t="s">
        <v>47</v>
      </c>
      <c r="C61" s="80" t="s">
        <v>1</v>
      </c>
      <c r="D61" s="85" t="s">
        <v>48</v>
      </c>
      <c r="E61" s="86"/>
      <c r="F61" s="85" t="s">
        <v>49</v>
      </c>
      <c r="G61" s="86"/>
      <c r="H61" s="89" t="s">
        <v>50</v>
      </c>
      <c r="I61" s="90"/>
      <c r="J61" s="90"/>
      <c r="K61" s="90"/>
      <c r="L61" s="90"/>
      <c r="M61" s="90"/>
      <c r="N61" s="90"/>
      <c r="O61" s="90"/>
      <c r="P61" s="78" t="s">
        <v>51</v>
      </c>
      <c r="Q61" s="75" t="s">
        <v>52</v>
      </c>
      <c r="R61" s="76"/>
      <c r="S61" s="76"/>
      <c r="T61" s="76"/>
      <c r="U61" s="76"/>
      <c r="V61" s="77"/>
      <c r="W61" s="78" t="s">
        <v>51</v>
      </c>
      <c r="X61" s="80" t="s">
        <v>53</v>
      </c>
    </row>
    <row r="62" spans="2:24" ht="15" customHeight="1" x14ac:dyDescent="0.25">
      <c r="B62" s="81"/>
      <c r="C62" s="81"/>
      <c r="D62" s="87"/>
      <c r="E62" s="88"/>
      <c r="F62" s="87"/>
      <c r="G62" s="88"/>
      <c r="H62" s="82" t="s">
        <v>54</v>
      </c>
      <c r="I62" s="83"/>
      <c r="J62" s="82" t="s">
        <v>55</v>
      </c>
      <c r="K62" s="83"/>
      <c r="L62" s="82" t="s">
        <v>56</v>
      </c>
      <c r="M62" s="83"/>
      <c r="N62" s="82" t="s">
        <v>57</v>
      </c>
      <c r="O62" s="83"/>
      <c r="P62" s="79"/>
      <c r="Q62" s="82" t="s">
        <v>58</v>
      </c>
      <c r="R62" s="83"/>
      <c r="S62" s="82" t="s">
        <v>59</v>
      </c>
      <c r="T62" s="83"/>
      <c r="U62" s="84" t="s">
        <v>60</v>
      </c>
      <c r="V62" s="84"/>
      <c r="W62" s="79"/>
      <c r="X62" s="81"/>
    </row>
    <row r="63" spans="2:24" ht="38.25" customHeight="1" x14ac:dyDescent="0.25">
      <c r="B63" s="34" t="s">
        <v>31</v>
      </c>
      <c r="C63" s="34" t="s">
        <v>7</v>
      </c>
      <c r="D63" s="35">
        <f>80+80+78+80+80+80+75+85+75+70+80+88+75+90+80+75+85+80+76+90+60+80+80+80+85+80+75+70</f>
        <v>2212</v>
      </c>
      <c r="E63" s="42">
        <f>D63/28</f>
        <v>79</v>
      </c>
      <c r="F63" s="49">
        <f>80+80+78+75+80+80+75+80+70+60+85+82+75+80+80+75+85+80+77+90+75+80+85+75+80+81+75+70</f>
        <v>2188</v>
      </c>
      <c r="G63" s="36">
        <f>F63/28</f>
        <v>78.142857142857139</v>
      </c>
      <c r="H63" s="49">
        <f>80+80+80+80+85+80+80+80+70+70+85+90+70+80+80+75+85+80+78+90+75+80+89+80+79+83+70+80</f>
        <v>2234</v>
      </c>
      <c r="I63" s="36">
        <f>H63/28</f>
        <v>79.785714285714292</v>
      </c>
      <c r="J63" s="49">
        <f>85+80+76+80+85+80+80+85+75+60+85+90+75+85+80+75+85+80+79+90+80+80+90+80+80+84+75+79</f>
        <v>2258</v>
      </c>
      <c r="K63" s="36">
        <f>J63/28</f>
        <v>80.642857142857139</v>
      </c>
      <c r="L63" s="49">
        <f>80+80+77+75+85+80+75+80+75+70+85+88+75+95+80+75+85+70+79+90+70+80+90+80+80+84+75+79</f>
        <v>2237</v>
      </c>
      <c r="M63" s="36">
        <f>L63/28</f>
        <v>79.892857142857139</v>
      </c>
      <c r="N63" s="35">
        <f>85+80+75+80+85+80+80+80+75+60+90+88+75+90+80+75+85+75+80+95+70+80+94+80+80+86+80+75</f>
        <v>2258</v>
      </c>
      <c r="O63" s="36">
        <f>N63/28</f>
        <v>80.642857142857139</v>
      </c>
      <c r="P63" s="37">
        <f>(I63+K63+M63+O63)/4</f>
        <v>80.241071428571431</v>
      </c>
      <c r="Q63" s="35">
        <f>80+80+78+80+80+80+80+85+75+70+90+90+75+80+80+75+85+80+75+95+70+80+93+80+85+86+80+85</f>
        <v>2272</v>
      </c>
      <c r="R63" s="36">
        <f>Q63/28</f>
        <v>81.142857142857139</v>
      </c>
      <c r="S63" s="35">
        <f>80+90+75+80+80+80+80+90+70+70+80+80+75+90+80+75+85+80+79+90+70+80+91+88+80+86+80+83</f>
        <v>2267</v>
      </c>
      <c r="T63" s="36">
        <f>S63/28</f>
        <v>80.964285714285708</v>
      </c>
      <c r="U63" s="35">
        <f>80+90+80+80+85+75+80+85+70+70+80+80+80+80+80+75+85+75+79+90+75+80+90+85+80+87+75+81</f>
        <v>2252</v>
      </c>
      <c r="V63" s="36">
        <f>U63/28</f>
        <v>80.428571428571431</v>
      </c>
      <c r="W63" s="37">
        <f>(R63+T63+V63)/3</f>
        <v>80.845238095238088</v>
      </c>
      <c r="X63" s="38" t="s">
        <v>120</v>
      </c>
    </row>
    <row r="64" spans="2:24" ht="15" customHeight="1" x14ac:dyDescent="0.25">
      <c r="B64" s="80" t="s">
        <v>47</v>
      </c>
      <c r="C64" s="80" t="s">
        <v>1</v>
      </c>
      <c r="D64" s="85" t="s">
        <v>48</v>
      </c>
      <c r="E64" s="86"/>
      <c r="F64" s="85" t="s">
        <v>49</v>
      </c>
      <c r="G64" s="86"/>
      <c r="H64" s="89" t="s">
        <v>50</v>
      </c>
      <c r="I64" s="90"/>
      <c r="J64" s="90"/>
      <c r="K64" s="90"/>
      <c r="L64" s="90"/>
      <c r="M64" s="90"/>
      <c r="N64" s="90"/>
      <c r="O64" s="90"/>
      <c r="P64" s="78" t="s">
        <v>51</v>
      </c>
      <c r="Q64" s="75" t="s">
        <v>52</v>
      </c>
      <c r="R64" s="76"/>
      <c r="S64" s="76"/>
      <c r="T64" s="76"/>
      <c r="U64" s="76"/>
      <c r="V64" s="77"/>
      <c r="W64" s="78" t="s">
        <v>51</v>
      </c>
      <c r="X64" s="80" t="s">
        <v>53</v>
      </c>
    </row>
    <row r="65" spans="2:24" ht="15" customHeight="1" x14ac:dyDescent="0.25">
      <c r="B65" s="81"/>
      <c r="C65" s="81"/>
      <c r="D65" s="87"/>
      <c r="E65" s="88"/>
      <c r="F65" s="87"/>
      <c r="G65" s="88"/>
      <c r="H65" s="82" t="s">
        <v>54</v>
      </c>
      <c r="I65" s="83"/>
      <c r="J65" s="82" t="s">
        <v>55</v>
      </c>
      <c r="K65" s="83"/>
      <c r="L65" s="82" t="s">
        <v>56</v>
      </c>
      <c r="M65" s="83"/>
      <c r="N65" s="82" t="s">
        <v>57</v>
      </c>
      <c r="O65" s="83"/>
      <c r="P65" s="79"/>
      <c r="Q65" s="82" t="s">
        <v>58</v>
      </c>
      <c r="R65" s="83"/>
      <c r="S65" s="82" t="s">
        <v>59</v>
      </c>
      <c r="T65" s="83"/>
      <c r="U65" s="84" t="s">
        <v>60</v>
      </c>
      <c r="V65" s="84"/>
      <c r="W65" s="79"/>
      <c r="X65" s="81"/>
    </row>
    <row r="66" spans="2:24" ht="43.5" customHeight="1" x14ac:dyDescent="0.25">
      <c r="B66" s="34" t="s">
        <v>11</v>
      </c>
      <c r="C66" s="34" t="s">
        <v>9</v>
      </c>
      <c r="D66" s="35">
        <f>80+80+80+80+80+90+80+80+85+60+80+88+75+80+70+75+88+80+73+90+50+80+85+85+85+81+70+89</f>
        <v>2219</v>
      </c>
      <c r="E66" s="42">
        <f>D66/28</f>
        <v>79.25</v>
      </c>
      <c r="F66" s="49">
        <f>80+80+78+75+80+80+75+80+85+60+80+82+80+80+70+75+85+75+75+90+60+80+90+80+80+82+70+83</f>
        <v>2190</v>
      </c>
      <c r="G66" s="36">
        <f>F66/28</f>
        <v>78.214285714285708</v>
      </c>
      <c r="H66" s="35">
        <f>80+80+78+80+85+80+75+80+80+65+80+90+70+80+70+75+86+75+77+85+50+80+89+85+80+83+70+87</f>
        <v>2195</v>
      </c>
      <c r="I66" s="36">
        <f>H66/28</f>
        <v>78.392857142857139</v>
      </c>
      <c r="J66" s="49">
        <f>80+80+78+80+80+80+80+80+80+70+85+88+80+80+70+75+85+75+80+90+75+80+90+80+80+84+75+83</f>
        <v>2243</v>
      </c>
      <c r="K66" s="36">
        <f>J66/28</f>
        <v>80.107142857142861</v>
      </c>
      <c r="L66" s="49">
        <f>80+80+75+80+80+80+80+80+80+60+80+88+75+80+70+75+85+65+80+90+75+80+90+85+80+84+80+75</f>
        <v>2212</v>
      </c>
      <c r="M66" s="36">
        <f>L66/28</f>
        <v>79</v>
      </c>
      <c r="N66" s="35">
        <f>80+80+78+80+80+80+80+80+85+60+80+90+75+80+70+75+85+70+78+90+70+80+95+80+80+87+70+79</f>
        <v>2217</v>
      </c>
      <c r="O66" s="36">
        <f>N66/28</f>
        <v>79.178571428571431</v>
      </c>
      <c r="P66" s="37">
        <f>(I66+K66+M66+O66)/4</f>
        <v>79.169642857142861</v>
      </c>
      <c r="Q66" s="35">
        <f>75+80+74+70+80+70+75+75+70+70+80+88+60+80+70+70+84+50+79+75+50+80+95+80+80+85+60+73</f>
        <v>2078</v>
      </c>
      <c r="R66" s="36">
        <f>Q66/28</f>
        <v>74.214285714285708</v>
      </c>
      <c r="S66" s="35">
        <f>75+90+75+80+80+75+80+90+80+60+80+80+75+80+70+75+85+65+79+90+60+80+90+80+80+86+65+80</f>
        <v>2185</v>
      </c>
      <c r="T66" s="36">
        <f>S66/28</f>
        <v>78.035714285714292</v>
      </c>
      <c r="U66" s="35">
        <f>80+90+75+80+80+75+80+75+70+70+80+80+75+80+70+75+85+65+78+90+60+80+91+85+85+87+70+80</f>
        <v>2191</v>
      </c>
      <c r="V66" s="36">
        <f>U66/28</f>
        <v>78.25</v>
      </c>
      <c r="W66" s="37">
        <f>(R66+T66+V66)/3</f>
        <v>76.833333333333329</v>
      </c>
      <c r="X66" s="38" t="s">
        <v>121</v>
      </c>
    </row>
    <row r="67" spans="2:24" ht="15" customHeight="1" x14ac:dyDescent="0.25">
      <c r="B67" s="80" t="s">
        <v>47</v>
      </c>
      <c r="C67" s="80" t="s">
        <v>1</v>
      </c>
      <c r="D67" s="85" t="s">
        <v>48</v>
      </c>
      <c r="E67" s="86"/>
      <c r="F67" s="85" t="s">
        <v>49</v>
      </c>
      <c r="G67" s="86"/>
      <c r="H67" s="89" t="s">
        <v>50</v>
      </c>
      <c r="I67" s="90"/>
      <c r="J67" s="90"/>
      <c r="K67" s="90"/>
      <c r="L67" s="90"/>
      <c r="M67" s="90"/>
      <c r="N67" s="90"/>
      <c r="O67" s="93"/>
      <c r="P67" s="78" t="s">
        <v>51</v>
      </c>
      <c r="Q67" s="75" t="s">
        <v>52</v>
      </c>
      <c r="R67" s="76"/>
      <c r="S67" s="76"/>
      <c r="T67" s="76"/>
      <c r="U67" s="76"/>
      <c r="V67" s="77"/>
      <c r="W67" s="78" t="s">
        <v>51</v>
      </c>
      <c r="X67" s="80" t="s">
        <v>53</v>
      </c>
    </row>
    <row r="68" spans="2:24" ht="18.75" customHeight="1" x14ac:dyDescent="0.25">
      <c r="B68" s="81"/>
      <c r="C68" s="81"/>
      <c r="D68" s="87"/>
      <c r="E68" s="88"/>
      <c r="F68" s="87"/>
      <c r="G68" s="88"/>
      <c r="H68" s="82" t="s">
        <v>54</v>
      </c>
      <c r="I68" s="83"/>
      <c r="J68" s="82" t="s">
        <v>55</v>
      </c>
      <c r="K68" s="83"/>
      <c r="L68" s="82" t="s">
        <v>56</v>
      </c>
      <c r="M68" s="83"/>
      <c r="N68" s="82" t="s">
        <v>57</v>
      </c>
      <c r="O68" s="83"/>
      <c r="P68" s="79"/>
      <c r="Q68" s="82" t="s">
        <v>58</v>
      </c>
      <c r="R68" s="83"/>
      <c r="S68" s="82" t="s">
        <v>59</v>
      </c>
      <c r="T68" s="83"/>
      <c r="U68" s="91" t="s">
        <v>60</v>
      </c>
      <c r="V68" s="92"/>
      <c r="W68" s="79"/>
      <c r="X68" s="81"/>
    </row>
    <row r="69" spans="2:24" ht="28.5" customHeight="1" x14ac:dyDescent="0.25">
      <c r="B69" s="34" t="s">
        <v>40</v>
      </c>
      <c r="C69" s="34" t="s">
        <v>9</v>
      </c>
      <c r="D69" s="35">
        <f>80+80+80+80+80+80+80+80+80+70+85+88+80+80+70+80+88+80+79+90+75+80+89+85+85+82+75+87</f>
        <v>2268</v>
      </c>
      <c r="E69" s="42">
        <f>D69/28</f>
        <v>81</v>
      </c>
      <c r="F69" s="49">
        <f>80+80+80+80+85+80+80+85+85+80+85+85+80+90+70+75+85+80+81+95+80+80+90+80+80+83+80+89</f>
        <v>2303</v>
      </c>
      <c r="G69" s="36">
        <f>F69/28</f>
        <v>82.25</v>
      </c>
      <c r="H69" s="49">
        <f>80+80+80+80+85+80+75+85+80+60+85+90+70+90+70+80+87+80+80+90+75+80+90+85+80+83+80+83</f>
        <v>2263</v>
      </c>
      <c r="I69" s="36">
        <f>H69/28</f>
        <v>80.821428571428569</v>
      </c>
      <c r="J69" s="49">
        <f>80+80+78+80+80+80+80+80+80+70+90+88+80+80+70+75+85+80+80+90+75+80+92+80+80+84+80+80</f>
        <v>2257</v>
      </c>
      <c r="K69" s="36">
        <f>J69/28</f>
        <v>80.607142857142861</v>
      </c>
      <c r="L69" s="49">
        <f>80+80+78+80+80+75+75+80+80+80+90+88+80+80+70+75+85+80+80+90+70+80+95+85+80+84+80+80</f>
        <v>2260</v>
      </c>
      <c r="M69" s="36">
        <f>L69/28</f>
        <v>80.714285714285708</v>
      </c>
      <c r="N69" s="35">
        <f>85+80+78+80+80+80+80+80+80+70+85+90+80+90+70+75+85+80+80+90+70+80+95+80+80+87+80+81</f>
        <v>2271</v>
      </c>
      <c r="O69" s="36">
        <f>N69/28</f>
        <v>81.107142857142861</v>
      </c>
      <c r="P69" s="37">
        <f>(I69+K69+M69+O69)/4</f>
        <v>80.8125</v>
      </c>
      <c r="Q69" s="35">
        <f>80+80+75+80+85+80+80+85+80+60+90+90+75+75+70+80+85+80+80+90+70+80+95+80+85+86+80+87</f>
        <v>2263</v>
      </c>
      <c r="R69" s="36">
        <f>Q69/28</f>
        <v>80.821428571428569</v>
      </c>
      <c r="S69" s="35">
        <f>80+85+75+80+80+80+80+90+80+70+85+80+75+80+70+75+85+80+80+90+70+80+90+88+80+86+70+85</f>
        <v>2249</v>
      </c>
      <c r="T69" s="36">
        <f>S69/28</f>
        <v>80.321428571428569</v>
      </c>
      <c r="U69" s="35">
        <f>80+85+80+80+80+75+75+75+80+60+80+80+75+70+70+75+85+75+79+90+70+80+90+85+85+87+70+81</f>
        <v>2197</v>
      </c>
      <c r="V69" s="36">
        <f>U69/28</f>
        <v>78.464285714285708</v>
      </c>
      <c r="W69" s="37">
        <f>(R69+T69+V69)/3</f>
        <v>79.869047619047606</v>
      </c>
      <c r="X69" s="38" t="s">
        <v>101</v>
      </c>
    </row>
    <row r="70" spans="2:24" x14ac:dyDescent="0.25">
      <c r="B70" s="80" t="s">
        <v>47</v>
      </c>
      <c r="C70" s="80" t="s">
        <v>1</v>
      </c>
      <c r="D70" s="85" t="s">
        <v>48</v>
      </c>
      <c r="E70" s="86"/>
      <c r="F70" s="85" t="s">
        <v>49</v>
      </c>
      <c r="G70" s="86"/>
      <c r="H70" s="89" t="s">
        <v>50</v>
      </c>
      <c r="I70" s="90"/>
      <c r="J70" s="90"/>
      <c r="K70" s="90"/>
      <c r="L70" s="90"/>
      <c r="M70" s="90"/>
      <c r="N70" s="90"/>
      <c r="O70" s="90"/>
      <c r="P70" s="78" t="s">
        <v>51</v>
      </c>
      <c r="Q70" s="75" t="s">
        <v>52</v>
      </c>
      <c r="R70" s="76"/>
      <c r="S70" s="76"/>
      <c r="T70" s="76"/>
      <c r="U70" s="76"/>
      <c r="V70" s="77"/>
      <c r="W70" s="78" t="s">
        <v>51</v>
      </c>
      <c r="X70" s="80" t="s">
        <v>53</v>
      </c>
    </row>
    <row r="71" spans="2:24" ht="18.75" customHeight="1" x14ac:dyDescent="0.25">
      <c r="B71" s="81"/>
      <c r="C71" s="81"/>
      <c r="D71" s="87"/>
      <c r="E71" s="88"/>
      <c r="F71" s="87"/>
      <c r="G71" s="88"/>
      <c r="H71" s="82" t="s">
        <v>54</v>
      </c>
      <c r="I71" s="83"/>
      <c r="J71" s="82" t="s">
        <v>55</v>
      </c>
      <c r="K71" s="83"/>
      <c r="L71" s="82" t="s">
        <v>56</v>
      </c>
      <c r="M71" s="83"/>
      <c r="N71" s="82" t="s">
        <v>57</v>
      </c>
      <c r="O71" s="83"/>
      <c r="P71" s="79"/>
      <c r="Q71" s="82" t="s">
        <v>58</v>
      </c>
      <c r="R71" s="83"/>
      <c r="S71" s="82" t="s">
        <v>59</v>
      </c>
      <c r="T71" s="83"/>
      <c r="U71" s="84" t="s">
        <v>60</v>
      </c>
      <c r="V71" s="84"/>
      <c r="W71" s="79"/>
      <c r="X71" s="81"/>
    </row>
    <row r="72" spans="2:24" ht="43.5" customHeight="1" x14ac:dyDescent="0.25">
      <c r="B72" s="34" t="s">
        <v>39</v>
      </c>
      <c r="C72" s="34" t="s">
        <v>9</v>
      </c>
      <c r="D72" s="35">
        <f>75+80+78+80+80+80+80+80+70+60+80+88+65+80+70+75+85+80+70+90+60+80+89+85+85+81+70+70</f>
        <v>2166</v>
      </c>
      <c r="E72" s="42">
        <f>D72/28</f>
        <v>77.357142857142861</v>
      </c>
      <c r="F72" s="49">
        <f>80+80+78+80+80+80+75+85+75+70+80+85+80+80+70+75+84+80+73+95+70+80+90+80+80+80+70+70</f>
        <v>2205</v>
      </c>
      <c r="G72" s="36">
        <f>F72/28</f>
        <v>78.75</v>
      </c>
      <c r="H72" s="49">
        <f>75+80+78+80+85+80+75+80+70+60+80+90+70+70+70+75+86+80+71+90+65+80+90+85+79+83+70+79</f>
        <v>2176</v>
      </c>
      <c r="I72" s="36">
        <f>H72/28</f>
        <v>77.714285714285708</v>
      </c>
      <c r="J72" s="49">
        <f>75+80+75+75+80+80+80+80+70+80+85+88+75+80+70+75+85+75+75+90+75+80+93+80+80+83+75+79</f>
        <v>2218</v>
      </c>
      <c r="K72" s="36">
        <f>J72/28</f>
        <v>79.214285714285708</v>
      </c>
      <c r="L72" s="49">
        <f>75+80+75+75+80+80+80+75+70+60+85+87+75+80+70+75+85+65+76+85+70+80+90+80+80+84+75+79</f>
        <v>2171</v>
      </c>
      <c r="M72" s="36">
        <f>L72/28</f>
        <v>77.535714285714292</v>
      </c>
      <c r="N72" s="35">
        <f>80+80+75+80+80+80+80+80+75+80+85+90+75+90+70+75+85+75+77+90+70+80+95+80+80+86+70+80</f>
        <v>2243</v>
      </c>
      <c r="O72" s="36">
        <f>N72/28</f>
        <v>80.107142857142861</v>
      </c>
      <c r="P72" s="37">
        <f>(I72+K72+M72+O72)/4</f>
        <v>78.642857142857139</v>
      </c>
      <c r="Q72" s="35">
        <f>75+80+74+70+80+75+80+75+70+80+80+89+70+70+70+70+84+50+75+90+70+80+91+80+80+85+70+80</f>
        <v>2143</v>
      </c>
      <c r="R72" s="36">
        <f>Q72/28</f>
        <v>76.535714285714292</v>
      </c>
      <c r="S72" s="35">
        <f>75+90+75+80+80+80+80+90+70+70+80+80+70+70+70+75+85+65+70+90+70+80+90+85+80+86+65+80</f>
        <v>2181</v>
      </c>
      <c r="T72" s="36">
        <f>S72/28</f>
        <v>77.892857142857139</v>
      </c>
      <c r="U72" s="35">
        <f>75+90+75+80+80+80+75+75+70+60+80+80+70+75+70+75+85+65+71+90+70+80+91+85+85+86+70+80</f>
        <v>2168</v>
      </c>
      <c r="V72" s="36">
        <f>U72/28</f>
        <v>77.428571428571431</v>
      </c>
      <c r="W72" s="37">
        <f>(R72+T72+V72)/3</f>
        <v>77.285714285714292</v>
      </c>
      <c r="X72" s="38" t="s">
        <v>122</v>
      </c>
    </row>
    <row r="73" spans="2:24" x14ac:dyDescent="0.25">
      <c r="B73" s="80" t="s">
        <v>47</v>
      </c>
      <c r="C73" s="80" t="s">
        <v>1</v>
      </c>
      <c r="D73" s="85" t="s">
        <v>48</v>
      </c>
      <c r="E73" s="86"/>
      <c r="F73" s="85" t="s">
        <v>49</v>
      </c>
      <c r="G73" s="86"/>
      <c r="H73" s="89" t="s">
        <v>50</v>
      </c>
      <c r="I73" s="90"/>
      <c r="J73" s="90"/>
      <c r="K73" s="90"/>
      <c r="L73" s="90"/>
      <c r="M73" s="90"/>
      <c r="N73" s="90"/>
      <c r="O73" s="90"/>
      <c r="P73" s="78" t="s">
        <v>51</v>
      </c>
      <c r="Q73" s="75" t="s">
        <v>52</v>
      </c>
      <c r="R73" s="76"/>
      <c r="S73" s="76"/>
      <c r="T73" s="76"/>
      <c r="U73" s="76"/>
      <c r="V73" s="77"/>
      <c r="W73" s="78" t="s">
        <v>51</v>
      </c>
      <c r="X73" s="80" t="s">
        <v>53</v>
      </c>
    </row>
    <row r="74" spans="2:24" ht="18.75" customHeight="1" x14ac:dyDescent="0.25">
      <c r="B74" s="81"/>
      <c r="C74" s="81"/>
      <c r="D74" s="87"/>
      <c r="E74" s="88"/>
      <c r="F74" s="87"/>
      <c r="G74" s="88"/>
      <c r="H74" s="82" t="s">
        <v>54</v>
      </c>
      <c r="I74" s="83"/>
      <c r="J74" s="82" t="s">
        <v>55</v>
      </c>
      <c r="K74" s="83"/>
      <c r="L74" s="82" t="s">
        <v>56</v>
      </c>
      <c r="M74" s="83"/>
      <c r="N74" s="82" t="s">
        <v>57</v>
      </c>
      <c r="O74" s="83"/>
      <c r="P74" s="79"/>
      <c r="Q74" s="82" t="s">
        <v>58</v>
      </c>
      <c r="R74" s="83"/>
      <c r="S74" s="82" t="s">
        <v>59</v>
      </c>
      <c r="T74" s="83"/>
      <c r="U74" s="84" t="s">
        <v>60</v>
      </c>
      <c r="V74" s="84"/>
      <c r="W74" s="79"/>
      <c r="X74" s="81"/>
    </row>
    <row r="75" spans="2:24" ht="48.75" customHeight="1" x14ac:dyDescent="0.25">
      <c r="B75" s="34" t="s">
        <v>32</v>
      </c>
      <c r="C75" s="34" t="s">
        <v>9</v>
      </c>
      <c r="D75" s="35">
        <f>80+80+75+80+80+80+75+80+70+70+80+80+70+70+70+75+85+80+70+85+50+80+75+80+85+80+65+70</f>
        <v>2120</v>
      </c>
      <c r="E75" s="42">
        <f>D75/28</f>
        <v>75.714285714285708</v>
      </c>
      <c r="F75" s="49">
        <f>80+80+78+70+70+80+75+80+70+60+80+80+70+80+70+75+83+70+76+85+70+80+70+75+80+81+75+70</f>
        <v>2113</v>
      </c>
      <c r="G75" s="36">
        <f>F75/28</f>
        <v>75.464285714285708</v>
      </c>
      <c r="H75" s="49">
        <f>75+80+75+70+80+75+75+75+70+50+80+88+70+80+70+75+85+80+71+90+60+80+70+75+79+83+65+80</f>
        <v>2106</v>
      </c>
      <c r="I75" s="36">
        <f>H75/28</f>
        <v>75.214285714285708</v>
      </c>
      <c r="J75" s="49">
        <f>75+80+70+70+70+75+75+80+70+40+80+80+70+85+70+75+84+60+75+85+70+80+85+75+80+83+70+80</f>
        <v>2092</v>
      </c>
      <c r="K75" s="36">
        <f>J75/28</f>
        <v>74.714285714285708</v>
      </c>
      <c r="L75" s="49">
        <f>75+80+70+70+70+75+80+75+70+60+80+80+70+85+70+75+85+60+76+85+70+80+88+75+80+84+70+80</f>
        <v>2118</v>
      </c>
      <c r="M75" s="36">
        <f>L75/28</f>
        <v>75.642857142857139</v>
      </c>
      <c r="N75" s="35">
        <f>75+80+70+70+70+80+75+80+70+70+80+88+70+90+70+75+81+75+77+85+70+80+70+80+80+86+60+80</f>
        <v>2137</v>
      </c>
      <c r="O75" s="36">
        <f>N75/28</f>
        <v>76.321428571428569</v>
      </c>
      <c r="P75" s="37">
        <f>(I75+K75+M75+O75)/4</f>
        <v>75.473214285714278</v>
      </c>
      <c r="Q75" s="35">
        <f>80+80+70+70+70+75+80+75+70+60+80+85+70+90+70+70+84+60+75+90+60+80+80+80+80+81+70+80</f>
        <v>2115</v>
      </c>
      <c r="R75" s="36">
        <f>Q75/28</f>
        <v>75.535714285714292</v>
      </c>
      <c r="S75" s="35">
        <f>80+90+75+80+80+80+75+75+70+70+80+80+75+85+70+75+85+70+70+90+70+80+88+85+80+80+70+80</f>
        <v>2188</v>
      </c>
      <c r="T75" s="36">
        <f>S75/28</f>
        <v>78.142857142857139</v>
      </c>
      <c r="U75" s="35">
        <f>75+90+70+70+70+75+75+75+70+50+80+70+75+89+70+75+81+50+71+90+60+80+70+88+80+85+60+60</f>
        <v>2054</v>
      </c>
      <c r="V75" s="36">
        <f>U75/28</f>
        <v>73.357142857142861</v>
      </c>
      <c r="W75" s="37">
        <f>(R75+T75+V75)/3</f>
        <v>75.678571428571431</v>
      </c>
      <c r="X75" s="38" t="s">
        <v>100</v>
      </c>
    </row>
    <row r="76" spans="2:24" x14ac:dyDescent="0.25">
      <c r="B76" s="80" t="s">
        <v>47</v>
      </c>
      <c r="C76" s="80" t="s">
        <v>1</v>
      </c>
      <c r="D76" s="85" t="s">
        <v>48</v>
      </c>
      <c r="E76" s="86"/>
      <c r="F76" s="85" t="s">
        <v>49</v>
      </c>
      <c r="G76" s="86"/>
      <c r="H76" s="89" t="s">
        <v>50</v>
      </c>
      <c r="I76" s="90"/>
      <c r="J76" s="90"/>
      <c r="K76" s="90"/>
      <c r="L76" s="90"/>
      <c r="M76" s="90"/>
      <c r="N76" s="90"/>
      <c r="O76" s="90"/>
      <c r="P76" s="78" t="s">
        <v>51</v>
      </c>
      <c r="Q76" s="75" t="s">
        <v>52</v>
      </c>
      <c r="R76" s="76"/>
      <c r="S76" s="76"/>
      <c r="T76" s="76"/>
      <c r="U76" s="76"/>
      <c r="V76" s="77"/>
      <c r="W76" s="78" t="s">
        <v>51</v>
      </c>
      <c r="X76" s="80" t="s">
        <v>53</v>
      </c>
    </row>
    <row r="77" spans="2:24" ht="18.75" customHeight="1" x14ac:dyDescent="0.25">
      <c r="B77" s="81"/>
      <c r="C77" s="81"/>
      <c r="D77" s="87"/>
      <c r="E77" s="88"/>
      <c r="F77" s="87"/>
      <c r="G77" s="88"/>
      <c r="H77" s="82" t="s">
        <v>54</v>
      </c>
      <c r="I77" s="83"/>
      <c r="J77" s="82" t="s">
        <v>55</v>
      </c>
      <c r="K77" s="83"/>
      <c r="L77" s="82" t="s">
        <v>56</v>
      </c>
      <c r="M77" s="83"/>
      <c r="N77" s="82" t="s">
        <v>57</v>
      </c>
      <c r="O77" s="83"/>
      <c r="P77" s="79"/>
      <c r="Q77" s="82" t="s">
        <v>58</v>
      </c>
      <c r="R77" s="83"/>
      <c r="S77" s="82" t="s">
        <v>59</v>
      </c>
      <c r="T77" s="83"/>
      <c r="U77" s="84" t="s">
        <v>60</v>
      </c>
      <c r="V77" s="84"/>
      <c r="W77" s="79"/>
      <c r="X77" s="81"/>
    </row>
    <row r="78" spans="2:24" ht="27.75" customHeight="1" x14ac:dyDescent="0.25">
      <c r="B78" s="34" t="s">
        <v>92</v>
      </c>
      <c r="C78" s="34" t="s">
        <v>9</v>
      </c>
      <c r="D78" s="35">
        <f>80+90+80+80+80+80+75+80+80+70+85+88+80+90+70+75+85+80+80+90+60+80+85+80+85+81+70+70</f>
        <v>2229</v>
      </c>
      <c r="E78" s="42">
        <f>D78/28</f>
        <v>79.607142857142861</v>
      </c>
      <c r="F78" s="35">
        <f>80+90+80+80+80+80+75+80+80+80+85+85+75+95+70+75+84+80+81+95+70+80+80+75+80+82+75+70</f>
        <v>2242</v>
      </c>
      <c r="G78" s="36">
        <f>F78/28</f>
        <v>80.071428571428569</v>
      </c>
      <c r="H78" s="49">
        <f>80+80+78+75+85+80+75+80+80+70+85+90+75+80+70+75+85+80+79+90+70+80+85+80+79+83+70+80</f>
        <v>2219</v>
      </c>
      <c r="I78" s="36">
        <f>H78/28</f>
        <v>79.25</v>
      </c>
      <c r="J78" s="49">
        <f>80+80+78+75+80+80+80+85+80+50+90+87+80+70+70+75+85+85+80+90+70+80+85+75+80+83+70+80</f>
        <v>2203</v>
      </c>
      <c r="K78" s="36">
        <f>J78/28</f>
        <v>78.678571428571431</v>
      </c>
      <c r="L78" s="49">
        <f>80+80+78+75+80+80+80+80+80+70+90+87+75+70+70+75+85+85+80+90+60+80+85+75+80+84+75+80</f>
        <v>2209</v>
      </c>
      <c r="M78" s="36">
        <f>L78/28</f>
        <v>78.892857142857139</v>
      </c>
      <c r="N78" s="35">
        <f>80+90+78+80+80+80+75+80+80+80+90+90+80+80+70+75+85+80+80+90+70+80+90+80+80+87+65+80</f>
        <v>2255</v>
      </c>
      <c r="O78" s="36">
        <f>N78/28</f>
        <v>80.535714285714292</v>
      </c>
      <c r="P78" s="37">
        <f>(I78+K78+M78+O78)/4</f>
        <v>79.339285714285722</v>
      </c>
      <c r="Q78" s="35">
        <f>80+90+78+80+85+80+80+80+80+80+85+90+75+85+70+75+85+80+80+90+70+80+85+80+80+81+70+80</f>
        <v>2254</v>
      </c>
      <c r="R78" s="36">
        <f>Q78/28</f>
        <v>80.5</v>
      </c>
      <c r="S78" s="35">
        <f>80+90+75+80+80+80+80+90+80+70+85+80+90+90+70+75+85+80+80+90+60+80+90+85+80+85+65+80</f>
        <v>2255</v>
      </c>
      <c r="T78" s="36">
        <f>S78/28</f>
        <v>80.535714285714292</v>
      </c>
      <c r="U78" s="35">
        <f>80+90+78+80+80+80+75+75+80+60+85+80+70+70+70+75+85+70+79+90+60+80+91+80+80+86+65+70</f>
        <v>2164</v>
      </c>
      <c r="V78" s="36">
        <f>U78/28</f>
        <v>77.285714285714292</v>
      </c>
      <c r="W78" s="37">
        <f>(R78+T78+V78)/3</f>
        <v>79.44047619047619</v>
      </c>
      <c r="X78" s="38" t="s">
        <v>123</v>
      </c>
    </row>
    <row r="79" spans="2:24" x14ac:dyDescent="0.25">
      <c r="B79" s="80" t="s">
        <v>47</v>
      </c>
      <c r="C79" s="80" t="s">
        <v>1</v>
      </c>
      <c r="D79" s="85" t="s">
        <v>48</v>
      </c>
      <c r="E79" s="86"/>
      <c r="F79" s="85" t="s">
        <v>49</v>
      </c>
      <c r="G79" s="86"/>
      <c r="H79" s="89" t="s">
        <v>50</v>
      </c>
      <c r="I79" s="90"/>
      <c r="J79" s="90"/>
      <c r="K79" s="90"/>
      <c r="L79" s="90"/>
      <c r="M79" s="90"/>
      <c r="N79" s="90"/>
      <c r="O79" s="90"/>
      <c r="P79" s="78" t="s">
        <v>51</v>
      </c>
      <c r="Q79" s="75" t="s">
        <v>52</v>
      </c>
      <c r="R79" s="76"/>
      <c r="S79" s="76"/>
      <c r="T79" s="76"/>
      <c r="U79" s="76"/>
      <c r="V79" s="77"/>
      <c r="W79" s="78" t="s">
        <v>51</v>
      </c>
      <c r="X79" s="80" t="s">
        <v>53</v>
      </c>
    </row>
    <row r="80" spans="2:24" ht="18.75" customHeight="1" x14ac:dyDescent="0.25">
      <c r="B80" s="81"/>
      <c r="C80" s="81"/>
      <c r="D80" s="87"/>
      <c r="E80" s="88"/>
      <c r="F80" s="87"/>
      <c r="G80" s="88"/>
      <c r="H80" s="82" t="s">
        <v>54</v>
      </c>
      <c r="I80" s="83"/>
      <c r="J80" s="82" t="s">
        <v>55</v>
      </c>
      <c r="K80" s="83"/>
      <c r="L80" s="82" t="s">
        <v>56</v>
      </c>
      <c r="M80" s="83"/>
      <c r="N80" s="82" t="s">
        <v>57</v>
      </c>
      <c r="O80" s="83"/>
      <c r="P80" s="79"/>
      <c r="Q80" s="82" t="s">
        <v>58</v>
      </c>
      <c r="R80" s="83"/>
      <c r="S80" s="82" t="s">
        <v>59</v>
      </c>
      <c r="T80" s="83"/>
      <c r="U80" s="84" t="s">
        <v>60</v>
      </c>
      <c r="V80" s="84"/>
      <c r="W80" s="79"/>
      <c r="X80" s="81"/>
    </row>
    <row r="81" spans="2:24" ht="44.25" customHeight="1" x14ac:dyDescent="0.25">
      <c r="B81" s="34" t="s">
        <v>88</v>
      </c>
      <c r="C81" s="34" t="s">
        <v>9</v>
      </c>
      <c r="D81" s="35">
        <v>2130</v>
      </c>
      <c r="E81" s="42">
        <f>D81/28</f>
        <v>76.071428571428569</v>
      </c>
      <c r="F81" s="49">
        <f>80+80+80+80+80+80+75+80+75+70+85+88+75+70+70+75+85+80+79+90+80+80+85+80+80+83+70+85</f>
        <v>2220</v>
      </c>
      <c r="G81" s="36">
        <f>F81/28</f>
        <v>79.285714285714292</v>
      </c>
      <c r="H81" s="49">
        <f>80+80+77+80+85+80+80+85+80+70+85+90+80+80+70+75+86+80+80+85+80+80+85+85+79+83+70+80</f>
        <v>2250</v>
      </c>
      <c r="I81" s="36">
        <f>H81/28</f>
        <v>80.357142857142861</v>
      </c>
      <c r="J81" s="49">
        <f>75+80+78+80+85+80+80+85+85+75+90+88+80+90+70+80+88+85+81+90+85+80+8+85+80+83+80+90</f>
        <v>2236</v>
      </c>
      <c r="K81" s="36">
        <f>J81/28</f>
        <v>79.857142857142861</v>
      </c>
      <c r="L81" s="49">
        <f>80+80+78+80+85+80+80+90+85+75+90+88+80+95+70+75+87+85+80+90+85+80+85+85+80+84+85+90</f>
        <v>2327</v>
      </c>
      <c r="M81" s="36">
        <f>L81/28</f>
        <v>83.107142857142861</v>
      </c>
      <c r="N81" s="35">
        <f>80+80+78+80+85+80+80+80+85+80+90+88+80+95+70+75+85+80+79+90+80+80+85+80+80+87+80+85</f>
        <v>2297</v>
      </c>
      <c r="O81" s="36">
        <f>N81/28</f>
        <v>82.035714285714292</v>
      </c>
      <c r="P81" s="37">
        <f>(I81+K81+M81+O81)/4</f>
        <v>81.339285714285722</v>
      </c>
      <c r="Q81" s="35">
        <f>75+90+75+80+85+80+75+75+75+50+85+88+70+80+70+70+84+65+80+90+80+80+85+80+80+86+70+80</f>
        <v>2183</v>
      </c>
      <c r="R81" s="36">
        <f>Q81/28</f>
        <v>77.964285714285708</v>
      </c>
      <c r="S81" s="35">
        <f>75+90+75+80+80+80+80+90+80+70+85+80+75+70+70+75+85+75+78+90+70+80+85+85+80+86+70+80</f>
        <v>2219</v>
      </c>
      <c r="T81" s="36">
        <f>S81/28</f>
        <v>79.25</v>
      </c>
      <c r="U81" s="35">
        <f>80+90+80+80+80+90+75+75+80+80+90+80+80+90+70+75+86+75+80+90+85+80+85+80+80+87+75+80</f>
        <v>2278</v>
      </c>
      <c r="V81" s="36">
        <f>U81/28</f>
        <v>81.357142857142861</v>
      </c>
      <c r="W81" s="37">
        <f>(R81+T81+V81)/3</f>
        <v>79.523809523809533</v>
      </c>
      <c r="X81" s="38" t="s">
        <v>104</v>
      </c>
    </row>
    <row r="82" spans="2:24" x14ac:dyDescent="0.25">
      <c r="B82" s="50"/>
    </row>
    <row r="83" spans="2:24" x14ac:dyDescent="0.25">
      <c r="B83" s="50" t="s">
        <v>81</v>
      </c>
    </row>
    <row r="84" spans="2:24" x14ac:dyDescent="0.25">
      <c r="B84" s="51">
        <v>1</v>
      </c>
      <c r="C84" s="53" t="s">
        <v>94</v>
      </c>
    </row>
    <row r="85" spans="2:24" x14ac:dyDescent="0.25">
      <c r="B85" s="51">
        <v>2</v>
      </c>
      <c r="C85" t="s">
        <v>93</v>
      </c>
    </row>
    <row r="86" spans="2:24" x14ac:dyDescent="0.25">
      <c r="B86" s="51">
        <v>3</v>
      </c>
      <c r="C86" t="s">
        <v>97</v>
      </c>
    </row>
    <row r="87" spans="2:24" x14ac:dyDescent="0.25">
      <c r="B87" s="51">
        <v>4</v>
      </c>
      <c r="C87" t="s">
        <v>109</v>
      </c>
    </row>
  </sheetData>
  <mergeCells count="431">
    <mergeCell ref="X55:X56"/>
    <mergeCell ref="B1:B2"/>
    <mergeCell ref="C1:C2"/>
    <mergeCell ref="D1:E2"/>
    <mergeCell ref="F1:G2"/>
    <mergeCell ref="H1:O1"/>
    <mergeCell ref="P1:P2"/>
    <mergeCell ref="Q1:V1"/>
    <mergeCell ref="W1:W2"/>
    <mergeCell ref="X1:X2"/>
    <mergeCell ref="H2:I2"/>
    <mergeCell ref="J2:K2"/>
    <mergeCell ref="L2:M2"/>
    <mergeCell ref="N2:O2"/>
    <mergeCell ref="Q2:R2"/>
    <mergeCell ref="S2:T2"/>
    <mergeCell ref="U2:V2"/>
    <mergeCell ref="X34:X35"/>
    <mergeCell ref="B7:B8"/>
    <mergeCell ref="C7:C8"/>
    <mergeCell ref="D7:E8"/>
    <mergeCell ref="F7:G8"/>
    <mergeCell ref="H7:O7"/>
    <mergeCell ref="P7:P8"/>
    <mergeCell ref="Q4:V4"/>
    <mergeCell ref="W4:W5"/>
    <mergeCell ref="X4:X5"/>
    <mergeCell ref="H5:I5"/>
    <mergeCell ref="J5:K5"/>
    <mergeCell ref="L5:M5"/>
    <mergeCell ref="N5:O5"/>
    <mergeCell ref="Q5:R5"/>
    <mergeCell ref="S5:T5"/>
    <mergeCell ref="U5:V5"/>
    <mergeCell ref="B4:B5"/>
    <mergeCell ref="C4:C5"/>
    <mergeCell ref="D4:E5"/>
    <mergeCell ref="F4:G5"/>
    <mergeCell ref="H4:O4"/>
    <mergeCell ref="P4:P5"/>
    <mergeCell ref="Q7:V7"/>
    <mergeCell ref="W7:W8"/>
    <mergeCell ref="X7:X8"/>
    <mergeCell ref="H8:I8"/>
    <mergeCell ref="J8:K8"/>
    <mergeCell ref="L8:M8"/>
    <mergeCell ref="N8:O8"/>
    <mergeCell ref="Q8:R8"/>
    <mergeCell ref="S8:T8"/>
    <mergeCell ref="U8:V8"/>
    <mergeCell ref="B13:B14"/>
    <mergeCell ref="C13:C14"/>
    <mergeCell ref="D13:E14"/>
    <mergeCell ref="F13:G14"/>
    <mergeCell ref="H13:O13"/>
    <mergeCell ref="P13:P14"/>
    <mergeCell ref="Q10:V10"/>
    <mergeCell ref="W10:W11"/>
    <mergeCell ref="X10:X11"/>
    <mergeCell ref="H11:I11"/>
    <mergeCell ref="J11:K11"/>
    <mergeCell ref="L11:M11"/>
    <mergeCell ref="N11:O11"/>
    <mergeCell ref="Q11:R11"/>
    <mergeCell ref="S11:T11"/>
    <mergeCell ref="U11:V11"/>
    <mergeCell ref="B10:B11"/>
    <mergeCell ref="C10:C11"/>
    <mergeCell ref="D10:E11"/>
    <mergeCell ref="F10:G11"/>
    <mergeCell ref="H10:O10"/>
    <mergeCell ref="P10:P11"/>
    <mergeCell ref="Q13:V13"/>
    <mergeCell ref="W13:W14"/>
    <mergeCell ref="X13:X14"/>
    <mergeCell ref="H14:I14"/>
    <mergeCell ref="J14:K14"/>
    <mergeCell ref="L14:M14"/>
    <mergeCell ref="N14:O14"/>
    <mergeCell ref="Q14:R14"/>
    <mergeCell ref="S14:T14"/>
    <mergeCell ref="U14:V14"/>
    <mergeCell ref="B19:B20"/>
    <mergeCell ref="C19:C20"/>
    <mergeCell ref="D19:E20"/>
    <mergeCell ref="F19:G20"/>
    <mergeCell ref="H19:O19"/>
    <mergeCell ref="P19:P20"/>
    <mergeCell ref="Q16:V16"/>
    <mergeCell ref="W16:W17"/>
    <mergeCell ref="X16:X17"/>
    <mergeCell ref="H17:I17"/>
    <mergeCell ref="J17:K17"/>
    <mergeCell ref="L17:M17"/>
    <mergeCell ref="N17:O17"/>
    <mergeCell ref="Q17:R17"/>
    <mergeCell ref="S17:T17"/>
    <mergeCell ref="U17:V17"/>
    <mergeCell ref="B16:B17"/>
    <mergeCell ref="C16:C17"/>
    <mergeCell ref="D16:E17"/>
    <mergeCell ref="F16:G17"/>
    <mergeCell ref="H16:O16"/>
    <mergeCell ref="P16:P17"/>
    <mergeCell ref="Q19:V19"/>
    <mergeCell ref="W19:W20"/>
    <mergeCell ref="X19:X20"/>
    <mergeCell ref="H20:I20"/>
    <mergeCell ref="J20:K20"/>
    <mergeCell ref="L20:M20"/>
    <mergeCell ref="N20:O20"/>
    <mergeCell ref="Q20:R20"/>
    <mergeCell ref="S20:T20"/>
    <mergeCell ref="U20:V20"/>
    <mergeCell ref="B25:B26"/>
    <mergeCell ref="C25:C26"/>
    <mergeCell ref="D25:E26"/>
    <mergeCell ref="F25:G26"/>
    <mergeCell ref="H25:O25"/>
    <mergeCell ref="P25:P26"/>
    <mergeCell ref="Q22:V22"/>
    <mergeCell ref="W22:W23"/>
    <mergeCell ref="X22:X23"/>
    <mergeCell ref="H23:I23"/>
    <mergeCell ref="J23:K23"/>
    <mergeCell ref="L23:M23"/>
    <mergeCell ref="N23:O23"/>
    <mergeCell ref="Q23:R23"/>
    <mergeCell ref="S23:T23"/>
    <mergeCell ref="U23:V23"/>
    <mergeCell ref="B22:B23"/>
    <mergeCell ref="C22:C23"/>
    <mergeCell ref="D22:E23"/>
    <mergeCell ref="F22:G23"/>
    <mergeCell ref="H22:O22"/>
    <mergeCell ref="P22:P23"/>
    <mergeCell ref="Q25:V25"/>
    <mergeCell ref="W25:W26"/>
    <mergeCell ref="X25:X26"/>
    <mergeCell ref="H26:I26"/>
    <mergeCell ref="J26:K26"/>
    <mergeCell ref="L26:M26"/>
    <mergeCell ref="N26:O26"/>
    <mergeCell ref="Q26:R26"/>
    <mergeCell ref="S26:T26"/>
    <mergeCell ref="U26:V26"/>
    <mergeCell ref="B31:B32"/>
    <mergeCell ref="C31:C32"/>
    <mergeCell ref="D31:E32"/>
    <mergeCell ref="F31:G32"/>
    <mergeCell ref="H31:O31"/>
    <mergeCell ref="P31:P32"/>
    <mergeCell ref="Q28:V28"/>
    <mergeCell ref="W28:W29"/>
    <mergeCell ref="X28:X29"/>
    <mergeCell ref="H29:I29"/>
    <mergeCell ref="J29:K29"/>
    <mergeCell ref="L29:M29"/>
    <mergeCell ref="N29:O29"/>
    <mergeCell ref="Q29:R29"/>
    <mergeCell ref="S29:T29"/>
    <mergeCell ref="U29:V29"/>
    <mergeCell ref="B28:B29"/>
    <mergeCell ref="C28:C29"/>
    <mergeCell ref="D28:E29"/>
    <mergeCell ref="F28:G29"/>
    <mergeCell ref="H28:O28"/>
    <mergeCell ref="P28:P29"/>
    <mergeCell ref="Q31:V31"/>
    <mergeCell ref="W31:W32"/>
    <mergeCell ref="X31:X32"/>
    <mergeCell ref="H32:I32"/>
    <mergeCell ref="J32:K32"/>
    <mergeCell ref="L32:M32"/>
    <mergeCell ref="N32:O32"/>
    <mergeCell ref="Q32:R32"/>
    <mergeCell ref="S32:T32"/>
    <mergeCell ref="U32:V32"/>
    <mergeCell ref="B37:B38"/>
    <mergeCell ref="C37:C38"/>
    <mergeCell ref="D37:E38"/>
    <mergeCell ref="F37:G38"/>
    <mergeCell ref="H37:O37"/>
    <mergeCell ref="P37:P38"/>
    <mergeCell ref="Q34:V34"/>
    <mergeCell ref="W34:W35"/>
    <mergeCell ref="H35:I35"/>
    <mergeCell ref="J35:K35"/>
    <mergeCell ref="L35:M35"/>
    <mergeCell ref="N35:O35"/>
    <mergeCell ref="Q35:R35"/>
    <mergeCell ref="S35:T35"/>
    <mergeCell ref="U35:V35"/>
    <mergeCell ref="B34:B35"/>
    <mergeCell ref="C34:C35"/>
    <mergeCell ref="D34:E35"/>
    <mergeCell ref="F34:G35"/>
    <mergeCell ref="H34:O34"/>
    <mergeCell ref="P34:P35"/>
    <mergeCell ref="Q37:V37"/>
    <mergeCell ref="W37:W38"/>
    <mergeCell ref="X37:X38"/>
    <mergeCell ref="H38:I38"/>
    <mergeCell ref="J38:K38"/>
    <mergeCell ref="L38:M38"/>
    <mergeCell ref="N38:O38"/>
    <mergeCell ref="Q38:R38"/>
    <mergeCell ref="S38:T38"/>
    <mergeCell ref="U38:V38"/>
    <mergeCell ref="B43:B44"/>
    <mergeCell ref="C43:C44"/>
    <mergeCell ref="D43:E44"/>
    <mergeCell ref="F43:G44"/>
    <mergeCell ref="H43:O43"/>
    <mergeCell ref="P43:P44"/>
    <mergeCell ref="Q40:V40"/>
    <mergeCell ref="W40:W41"/>
    <mergeCell ref="X40:X41"/>
    <mergeCell ref="H41:I41"/>
    <mergeCell ref="J41:K41"/>
    <mergeCell ref="L41:M41"/>
    <mergeCell ref="N41:O41"/>
    <mergeCell ref="Q41:R41"/>
    <mergeCell ref="S41:T41"/>
    <mergeCell ref="U41:V41"/>
    <mergeCell ref="B40:B41"/>
    <mergeCell ref="C40:C41"/>
    <mergeCell ref="D40:E41"/>
    <mergeCell ref="F40:G41"/>
    <mergeCell ref="H40:O40"/>
    <mergeCell ref="P40:P41"/>
    <mergeCell ref="Q43:V43"/>
    <mergeCell ref="W43:W44"/>
    <mergeCell ref="X43:X44"/>
    <mergeCell ref="H44:I44"/>
    <mergeCell ref="J44:K44"/>
    <mergeCell ref="L44:M44"/>
    <mergeCell ref="N44:O44"/>
    <mergeCell ref="Q44:R44"/>
    <mergeCell ref="S44:T44"/>
    <mergeCell ref="U44:V44"/>
    <mergeCell ref="B49:B50"/>
    <mergeCell ref="C49:C50"/>
    <mergeCell ref="D49:E50"/>
    <mergeCell ref="F49:G50"/>
    <mergeCell ref="H49:O49"/>
    <mergeCell ref="P49:P50"/>
    <mergeCell ref="Q46:V46"/>
    <mergeCell ref="W46:W47"/>
    <mergeCell ref="X46:X47"/>
    <mergeCell ref="H47:I47"/>
    <mergeCell ref="J47:K47"/>
    <mergeCell ref="L47:M47"/>
    <mergeCell ref="N47:O47"/>
    <mergeCell ref="Q47:R47"/>
    <mergeCell ref="S47:T47"/>
    <mergeCell ref="U47:V47"/>
    <mergeCell ref="B46:B47"/>
    <mergeCell ref="C46:C47"/>
    <mergeCell ref="D46:E47"/>
    <mergeCell ref="F46:G47"/>
    <mergeCell ref="H46:O46"/>
    <mergeCell ref="P46:P47"/>
    <mergeCell ref="Q49:V49"/>
    <mergeCell ref="W49:W50"/>
    <mergeCell ref="X49:X50"/>
    <mergeCell ref="H50:I50"/>
    <mergeCell ref="J50:K50"/>
    <mergeCell ref="L50:M50"/>
    <mergeCell ref="N50:O50"/>
    <mergeCell ref="Q50:R50"/>
    <mergeCell ref="S50:T50"/>
    <mergeCell ref="U50:V50"/>
    <mergeCell ref="X52:X53"/>
    <mergeCell ref="B52:B53"/>
    <mergeCell ref="C52:C53"/>
    <mergeCell ref="D52:E53"/>
    <mergeCell ref="F52:G53"/>
    <mergeCell ref="H52:O52"/>
    <mergeCell ref="Q52:V52"/>
    <mergeCell ref="W52:W53"/>
    <mergeCell ref="H53:I53"/>
    <mergeCell ref="J53:K53"/>
    <mergeCell ref="L53:M53"/>
    <mergeCell ref="N53:O53"/>
    <mergeCell ref="Q53:R53"/>
    <mergeCell ref="S53:T53"/>
    <mergeCell ref="U53:V53"/>
    <mergeCell ref="B55:B56"/>
    <mergeCell ref="C55:C56"/>
    <mergeCell ref="D55:E56"/>
    <mergeCell ref="F55:G56"/>
    <mergeCell ref="H55:O55"/>
    <mergeCell ref="P55:P56"/>
    <mergeCell ref="Q55:V55"/>
    <mergeCell ref="W55:W56"/>
    <mergeCell ref="H56:I56"/>
    <mergeCell ref="J56:K56"/>
    <mergeCell ref="L56:M56"/>
    <mergeCell ref="N56:O56"/>
    <mergeCell ref="Q56:R56"/>
    <mergeCell ref="S56:T56"/>
    <mergeCell ref="U56:V56"/>
    <mergeCell ref="B61:B62"/>
    <mergeCell ref="C61:C62"/>
    <mergeCell ref="D61:E62"/>
    <mergeCell ref="F61:G62"/>
    <mergeCell ref="H61:O61"/>
    <mergeCell ref="P61:P62"/>
    <mergeCell ref="Q58:V58"/>
    <mergeCell ref="W58:W59"/>
    <mergeCell ref="X58:X59"/>
    <mergeCell ref="H59:I59"/>
    <mergeCell ref="J59:K59"/>
    <mergeCell ref="L59:M59"/>
    <mergeCell ref="N59:O59"/>
    <mergeCell ref="Q59:R59"/>
    <mergeCell ref="S59:T59"/>
    <mergeCell ref="U59:V59"/>
    <mergeCell ref="B58:B59"/>
    <mergeCell ref="C58:C59"/>
    <mergeCell ref="D58:E59"/>
    <mergeCell ref="F58:G59"/>
    <mergeCell ref="H58:O58"/>
    <mergeCell ref="P58:P59"/>
    <mergeCell ref="Q61:V61"/>
    <mergeCell ref="W61:W62"/>
    <mergeCell ref="X61:X62"/>
    <mergeCell ref="H62:I62"/>
    <mergeCell ref="J62:K62"/>
    <mergeCell ref="L62:M62"/>
    <mergeCell ref="N62:O62"/>
    <mergeCell ref="Q62:R62"/>
    <mergeCell ref="S62:T62"/>
    <mergeCell ref="U62:V62"/>
    <mergeCell ref="B67:B68"/>
    <mergeCell ref="C67:C68"/>
    <mergeCell ref="D67:E68"/>
    <mergeCell ref="F67:G68"/>
    <mergeCell ref="H67:O67"/>
    <mergeCell ref="P67:P68"/>
    <mergeCell ref="Q64:V64"/>
    <mergeCell ref="W64:W65"/>
    <mergeCell ref="X64:X65"/>
    <mergeCell ref="H65:I65"/>
    <mergeCell ref="J65:K65"/>
    <mergeCell ref="L65:M65"/>
    <mergeCell ref="N65:O65"/>
    <mergeCell ref="Q65:R65"/>
    <mergeCell ref="S65:T65"/>
    <mergeCell ref="U65:V65"/>
    <mergeCell ref="B64:B65"/>
    <mergeCell ref="C64:C65"/>
    <mergeCell ref="D64:E65"/>
    <mergeCell ref="F64:G65"/>
    <mergeCell ref="H64:O64"/>
    <mergeCell ref="P64:P65"/>
    <mergeCell ref="Q67:V67"/>
    <mergeCell ref="W67:W68"/>
    <mergeCell ref="X67:X68"/>
    <mergeCell ref="H68:I68"/>
    <mergeCell ref="J68:K68"/>
    <mergeCell ref="L68:M68"/>
    <mergeCell ref="N68:O68"/>
    <mergeCell ref="Q68:R68"/>
    <mergeCell ref="S68:T68"/>
    <mergeCell ref="U68:V68"/>
    <mergeCell ref="B73:B74"/>
    <mergeCell ref="C73:C74"/>
    <mergeCell ref="D73:E74"/>
    <mergeCell ref="F73:G74"/>
    <mergeCell ref="H73:O73"/>
    <mergeCell ref="P73:P74"/>
    <mergeCell ref="Q70:V70"/>
    <mergeCell ref="W70:W71"/>
    <mergeCell ref="X70:X71"/>
    <mergeCell ref="H71:I71"/>
    <mergeCell ref="J71:K71"/>
    <mergeCell ref="L71:M71"/>
    <mergeCell ref="N71:O71"/>
    <mergeCell ref="Q71:R71"/>
    <mergeCell ref="S71:T71"/>
    <mergeCell ref="U71:V71"/>
    <mergeCell ref="B70:B71"/>
    <mergeCell ref="C70:C71"/>
    <mergeCell ref="D70:E71"/>
    <mergeCell ref="F70:G71"/>
    <mergeCell ref="H70:O70"/>
    <mergeCell ref="P70:P71"/>
    <mergeCell ref="Q73:V73"/>
    <mergeCell ref="W73:W74"/>
    <mergeCell ref="X73:X74"/>
    <mergeCell ref="H74:I74"/>
    <mergeCell ref="J74:K74"/>
    <mergeCell ref="L74:M74"/>
    <mergeCell ref="N74:O74"/>
    <mergeCell ref="Q74:R74"/>
    <mergeCell ref="S74:T74"/>
    <mergeCell ref="U74:V74"/>
    <mergeCell ref="B79:B80"/>
    <mergeCell ref="C79:C80"/>
    <mergeCell ref="D79:E80"/>
    <mergeCell ref="F79:G80"/>
    <mergeCell ref="H79:O79"/>
    <mergeCell ref="P79:P80"/>
    <mergeCell ref="Q76:V76"/>
    <mergeCell ref="W76:W77"/>
    <mergeCell ref="X76:X77"/>
    <mergeCell ref="H77:I77"/>
    <mergeCell ref="J77:K77"/>
    <mergeCell ref="L77:M77"/>
    <mergeCell ref="N77:O77"/>
    <mergeCell ref="Q77:R77"/>
    <mergeCell ref="S77:T77"/>
    <mergeCell ref="U77:V77"/>
    <mergeCell ref="B76:B77"/>
    <mergeCell ref="C76:C77"/>
    <mergeCell ref="D76:E77"/>
    <mergeCell ref="F76:G77"/>
    <mergeCell ref="H76:O76"/>
    <mergeCell ref="P76:P77"/>
    <mergeCell ref="Q79:V79"/>
    <mergeCell ref="W79:W80"/>
    <mergeCell ref="X79:X80"/>
    <mergeCell ref="H80:I80"/>
    <mergeCell ref="J80:K80"/>
    <mergeCell ref="L80:M80"/>
    <mergeCell ref="N80:O80"/>
    <mergeCell ref="Q80:R80"/>
    <mergeCell ref="S80:T80"/>
    <mergeCell ref="U80:V80"/>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pane xSplit="2" ySplit="5" topLeftCell="W15" activePane="bottomRight" state="frozen"/>
      <selection pane="topRight" activeCell="C1" sqref="C1"/>
      <selection pane="bottomLeft" activeCell="A6" sqref="A6"/>
      <selection pane="bottomRight" activeCell="AD17" sqref="AD17"/>
    </sheetView>
  </sheetViews>
  <sheetFormatPr defaultRowHeight="14.25" x14ac:dyDescent="0.2"/>
  <cols>
    <col min="1" max="1" width="6.28515625" style="17" customWidth="1"/>
    <col min="2" max="2" width="22.5703125" style="17" customWidth="1"/>
    <col min="3" max="3" width="18.7109375" style="17" customWidth="1"/>
    <col min="4" max="19" width="5.42578125" style="17" customWidth="1"/>
    <col min="20" max="21" width="5.42578125" style="18" customWidth="1"/>
    <col min="22" max="22" width="10.42578125" style="17" customWidth="1"/>
    <col min="23" max="23" width="12.85546875" style="17" customWidth="1"/>
    <col min="24" max="16384" width="9.140625" style="17"/>
  </cols>
  <sheetData>
    <row r="1" spans="1:23" x14ac:dyDescent="0.2">
      <c r="A1" s="100" t="s">
        <v>83</v>
      </c>
      <c r="B1" s="100"/>
      <c r="C1" s="100"/>
      <c r="D1" s="100"/>
      <c r="E1" s="100"/>
      <c r="F1" s="100"/>
      <c r="G1" s="100"/>
      <c r="H1" s="100"/>
      <c r="I1" s="100"/>
      <c r="J1" s="100"/>
      <c r="K1" s="100"/>
      <c r="L1" s="100"/>
      <c r="M1" s="100"/>
      <c r="N1" s="100"/>
      <c r="O1" s="100"/>
      <c r="P1" s="100"/>
      <c r="Q1" s="100"/>
      <c r="R1" s="100"/>
      <c r="S1" s="100"/>
      <c r="T1" s="100"/>
      <c r="U1" s="100"/>
      <c r="V1" s="100"/>
    </row>
    <row r="2" spans="1:23" x14ac:dyDescent="0.2">
      <c r="A2" s="100"/>
      <c r="B2" s="100"/>
      <c r="C2" s="100"/>
      <c r="D2" s="100"/>
      <c r="E2" s="100"/>
      <c r="F2" s="100"/>
      <c r="G2" s="100"/>
      <c r="H2" s="100"/>
      <c r="I2" s="100"/>
      <c r="J2" s="100"/>
      <c r="K2" s="100"/>
      <c r="L2" s="100"/>
      <c r="M2" s="100"/>
      <c r="N2" s="100"/>
      <c r="O2" s="100"/>
      <c r="P2" s="100"/>
      <c r="Q2" s="100"/>
      <c r="R2" s="100"/>
      <c r="S2" s="100"/>
      <c r="T2" s="100"/>
      <c r="U2" s="100"/>
      <c r="V2" s="100"/>
    </row>
    <row r="4" spans="1:23" ht="15" x14ac:dyDescent="0.2">
      <c r="A4" s="94" t="s">
        <v>0</v>
      </c>
      <c r="B4" s="94" t="s">
        <v>12</v>
      </c>
      <c r="C4" s="94" t="s">
        <v>1</v>
      </c>
      <c r="D4" s="101" t="s">
        <v>13</v>
      </c>
      <c r="E4" s="102"/>
      <c r="F4" s="102"/>
      <c r="G4" s="102"/>
      <c r="H4" s="102"/>
      <c r="I4" s="102"/>
      <c r="J4" s="102"/>
      <c r="K4" s="102"/>
      <c r="L4" s="102"/>
      <c r="M4" s="102"/>
      <c r="N4" s="102"/>
      <c r="O4" s="102"/>
      <c r="P4" s="102"/>
      <c r="Q4" s="102"/>
      <c r="R4" s="102"/>
      <c r="S4" s="102"/>
      <c r="T4" s="102"/>
      <c r="U4" s="103"/>
      <c r="V4" s="94" t="s">
        <v>14</v>
      </c>
      <c r="W4" s="94" t="s">
        <v>15</v>
      </c>
    </row>
    <row r="5" spans="1:23" ht="44.25" customHeight="1" x14ac:dyDescent="0.2">
      <c r="A5" s="95"/>
      <c r="B5" s="95"/>
      <c r="C5" s="95"/>
      <c r="D5" s="96" t="s">
        <v>16</v>
      </c>
      <c r="E5" s="97"/>
      <c r="F5" s="1" t="s">
        <v>17</v>
      </c>
      <c r="G5" s="96" t="s">
        <v>18</v>
      </c>
      <c r="H5" s="97"/>
      <c r="I5" s="2" t="s">
        <v>17</v>
      </c>
      <c r="J5" s="96" t="s">
        <v>46</v>
      </c>
      <c r="K5" s="97"/>
      <c r="L5" s="2" t="s">
        <v>17</v>
      </c>
      <c r="M5" s="98" t="s">
        <v>19</v>
      </c>
      <c r="N5" s="99"/>
      <c r="O5" s="1" t="s">
        <v>17</v>
      </c>
      <c r="P5" s="105" t="s">
        <v>42</v>
      </c>
      <c r="Q5" s="105"/>
      <c r="R5" s="1" t="s">
        <v>17</v>
      </c>
      <c r="S5" s="106" t="s">
        <v>43</v>
      </c>
      <c r="T5" s="107"/>
      <c r="U5" s="1" t="s">
        <v>17</v>
      </c>
      <c r="V5" s="104"/>
      <c r="W5" s="95"/>
    </row>
    <row r="6" spans="1:23" ht="18" customHeight="1" x14ac:dyDescent="0.2">
      <c r="A6" s="3">
        <v>1</v>
      </c>
      <c r="B6" s="4" t="s">
        <v>20</v>
      </c>
      <c r="C6" s="3" t="s">
        <v>2</v>
      </c>
      <c r="D6" s="5">
        <v>23</v>
      </c>
      <c r="E6" s="21">
        <v>1</v>
      </c>
      <c r="F6" s="6">
        <f>D6*E6</f>
        <v>23</v>
      </c>
      <c r="G6" s="7"/>
      <c r="H6" s="5">
        <v>-1</v>
      </c>
      <c r="I6" s="6">
        <f>G6*H6</f>
        <v>0</v>
      </c>
      <c r="J6" s="7">
        <v>1</v>
      </c>
      <c r="K6" s="5">
        <v>-1</v>
      </c>
      <c r="L6" s="6">
        <f>J6*K6</f>
        <v>-1</v>
      </c>
      <c r="M6" s="23"/>
      <c r="N6" s="5">
        <v>-3</v>
      </c>
      <c r="O6" s="6">
        <f>M6*N6</f>
        <v>0</v>
      </c>
      <c r="P6" s="23"/>
      <c r="Q6" s="23">
        <v>1</v>
      </c>
      <c r="R6" s="22">
        <f>P6*Q6</f>
        <v>0</v>
      </c>
      <c r="S6" s="3"/>
      <c r="T6" s="3">
        <v>-1</v>
      </c>
      <c r="U6" s="15">
        <f>S6*T6</f>
        <v>0</v>
      </c>
      <c r="V6" s="8">
        <f>F6+I6+L6+O6+R6+U6</f>
        <v>22</v>
      </c>
      <c r="W6" s="9">
        <f>V6/(D6+G6+J6+S6+P6+S6)</f>
        <v>0.91666666666666663</v>
      </c>
    </row>
    <row r="7" spans="1:23" ht="18" customHeight="1" x14ac:dyDescent="0.2">
      <c r="A7" s="3">
        <f>A6+1</f>
        <v>2</v>
      </c>
      <c r="B7" s="4" t="s">
        <v>21</v>
      </c>
      <c r="C7" s="3" t="s">
        <v>2</v>
      </c>
      <c r="D7" s="3">
        <v>20</v>
      </c>
      <c r="E7" s="10">
        <v>1</v>
      </c>
      <c r="F7" s="6">
        <f t="shared" ref="F7:F15" si="0">D7*E7</f>
        <v>20</v>
      </c>
      <c r="G7" s="3"/>
      <c r="H7" s="3">
        <v>-1</v>
      </c>
      <c r="I7" s="6">
        <f t="shared" ref="I7:I15" si="1">G7*H7</f>
        <v>0</v>
      </c>
      <c r="J7" s="3"/>
      <c r="K7" s="3">
        <v>-1</v>
      </c>
      <c r="L7" s="6">
        <f t="shared" ref="L7:L15" si="2">J7*K7</f>
        <v>0</v>
      </c>
      <c r="M7" s="24"/>
      <c r="N7" s="3">
        <v>-3</v>
      </c>
      <c r="O7" s="6">
        <f t="shared" ref="O7:O16" si="3">M7*N7</f>
        <v>0</v>
      </c>
      <c r="P7" s="24"/>
      <c r="Q7" s="23">
        <v>1</v>
      </c>
      <c r="R7" s="22">
        <f t="shared" ref="R7:R16" si="4">P7*Q7</f>
        <v>0</v>
      </c>
      <c r="S7" s="3"/>
      <c r="T7" s="3">
        <v>-1</v>
      </c>
      <c r="U7" s="15">
        <f t="shared" ref="U7:U16" si="5">S7*T7</f>
        <v>0</v>
      </c>
      <c r="V7" s="8">
        <f t="shared" ref="V7:V16" si="6">F7+I7+L7+O7+R7+U7</f>
        <v>20</v>
      </c>
      <c r="W7" s="9">
        <f t="shared" ref="W7:W16" si="7">V7/(D7+G7+J7+S7+P7+S7)</f>
        <v>1</v>
      </c>
    </row>
    <row r="8" spans="1:23" ht="18" customHeight="1" x14ac:dyDescent="0.2">
      <c r="A8" s="3">
        <f t="shared" ref="A8:A13" si="8">A7+1</f>
        <v>3</v>
      </c>
      <c r="B8" s="4" t="s">
        <v>22</v>
      </c>
      <c r="C8" s="3" t="s">
        <v>2</v>
      </c>
      <c r="D8" s="3">
        <v>22</v>
      </c>
      <c r="E8" s="10">
        <v>1</v>
      </c>
      <c r="F8" s="6">
        <f t="shared" si="0"/>
        <v>22</v>
      </c>
      <c r="G8" s="3">
        <v>1</v>
      </c>
      <c r="H8" s="3">
        <v>-1</v>
      </c>
      <c r="I8" s="6">
        <f t="shared" si="1"/>
        <v>-1</v>
      </c>
      <c r="J8" s="3">
        <v>2</v>
      </c>
      <c r="K8" s="3">
        <v>-1</v>
      </c>
      <c r="L8" s="6">
        <f t="shared" si="2"/>
        <v>-2</v>
      </c>
      <c r="M8" s="24"/>
      <c r="N8" s="3">
        <v>-3</v>
      </c>
      <c r="O8" s="6">
        <f t="shared" si="3"/>
        <v>0</v>
      </c>
      <c r="P8" s="24"/>
      <c r="Q8" s="23">
        <v>1</v>
      </c>
      <c r="R8" s="22">
        <f t="shared" si="4"/>
        <v>0</v>
      </c>
      <c r="S8" s="3"/>
      <c r="T8" s="3">
        <v>-1</v>
      </c>
      <c r="U8" s="15">
        <f t="shared" si="5"/>
        <v>0</v>
      </c>
      <c r="V8" s="8">
        <f t="shared" si="6"/>
        <v>19</v>
      </c>
      <c r="W8" s="9">
        <f t="shared" si="7"/>
        <v>0.76</v>
      </c>
    </row>
    <row r="9" spans="1:23" ht="18" customHeight="1" x14ac:dyDescent="0.2">
      <c r="A9" s="3">
        <f t="shared" si="8"/>
        <v>4</v>
      </c>
      <c r="B9" s="4" t="s">
        <v>23</v>
      </c>
      <c r="C9" s="3" t="s">
        <v>2</v>
      </c>
      <c r="D9" s="3">
        <v>22</v>
      </c>
      <c r="E9" s="10">
        <v>1</v>
      </c>
      <c r="F9" s="6">
        <f t="shared" si="0"/>
        <v>22</v>
      </c>
      <c r="G9" s="3">
        <v>1</v>
      </c>
      <c r="H9" s="3">
        <v>-1</v>
      </c>
      <c r="I9" s="6">
        <f t="shared" si="1"/>
        <v>-1</v>
      </c>
      <c r="J9" s="3"/>
      <c r="K9" s="3">
        <v>-1</v>
      </c>
      <c r="L9" s="6">
        <f t="shared" si="2"/>
        <v>0</v>
      </c>
      <c r="M9" s="24">
        <v>1</v>
      </c>
      <c r="N9" s="3">
        <v>-3</v>
      </c>
      <c r="O9" s="6">
        <f t="shared" si="3"/>
        <v>-3</v>
      </c>
      <c r="P9" s="24"/>
      <c r="Q9" s="23">
        <v>1</v>
      </c>
      <c r="R9" s="22">
        <f t="shared" si="4"/>
        <v>0</v>
      </c>
      <c r="S9" s="3"/>
      <c r="T9" s="3">
        <v>-1</v>
      </c>
      <c r="U9" s="15">
        <f t="shared" si="5"/>
        <v>0</v>
      </c>
      <c r="V9" s="8">
        <f t="shared" si="6"/>
        <v>18</v>
      </c>
      <c r="W9" s="9">
        <f t="shared" si="7"/>
        <v>0.78260869565217395</v>
      </c>
    </row>
    <row r="10" spans="1:23" ht="18" customHeight="1" x14ac:dyDescent="0.2">
      <c r="A10" s="3">
        <f t="shared" si="8"/>
        <v>5</v>
      </c>
      <c r="B10" s="4" t="s">
        <v>24</v>
      </c>
      <c r="C10" s="3" t="s">
        <v>3</v>
      </c>
      <c r="D10" s="3">
        <v>19</v>
      </c>
      <c r="E10" s="10">
        <v>1</v>
      </c>
      <c r="F10" s="6">
        <f t="shared" si="0"/>
        <v>19</v>
      </c>
      <c r="G10" s="3">
        <v>1</v>
      </c>
      <c r="H10" s="3">
        <v>-1</v>
      </c>
      <c r="I10" s="6">
        <f t="shared" si="1"/>
        <v>-1</v>
      </c>
      <c r="J10" s="3"/>
      <c r="K10" s="3">
        <v>-1</v>
      </c>
      <c r="L10" s="6">
        <f t="shared" si="2"/>
        <v>0</v>
      </c>
      <c r="M10" s="24">
        <v>1</v>
      </c>
      <c r="N10" s="3">
        <v>-3</v>
      </c>
      <c r="O10" s="6">
        <f t="shared" si="3"/>
        <v>-3</v>
      </c>
      <c r="P10" s="24"/>
      <c r="Q10" s="23">
        <v>1</v>
      </c>
      <c r="R10" s="22">
        <f t="shared" si="4"/>
        <v>0</v>
      </c>
      <c r="S10" s="3"/>
      <c r="T10" s="3">
        <v>-1</v>
      </c>
      <c r="U10" s="15">
        <f t="shared" si="5"/>
        <v>0</v>
      </c>
      <c r="V10" s="8">
        <f t="shared" si="6"/>
        <v>15</v>
      </c>
      <c r="W10" s="9">
        <f t="shared" si="7"/>
        <v>0.75</v>
      </c>
    </row>
    <row r="11" spans="1:23" ht="18" customHeight="1" x14ac:dyDescent="0.2">
      <c r="A11" s="3">
        <f t="shared" si="8"/>
        <v>6</v>
      </c>
      <c r="B11" s="4" t="s">
        <v>25</v>
      </c>
      <c r="C11" s="3" t="s">
        <v>3</v>
      </c>
      <c r="D11" s="3">
        <v>22</v>
      </c>
      <c r="E11" s="10">
        <v>1</v>
      </c>
      <c r="F11" s="6">
        <f t="shared" si="0"/>
        <v>22</v>
      </c>
      <c r="G11" s="3">
        <v>1</v>
      </c>
      <c r="H11" s="3">
        <v>-1</v>
      </c>
      <c r="I11" s="6">
        <f t="shared" si="1"/>
        <v>-1</v>
      </c>
      <c r="J11" s="3"/>
      <c r="K11" s="3">
        <v>-1</v>
      </c>
      <c r="L11" s="6">
        <f t="shared" si="2"/>
        <v>0</v>
      </c>
      <c r="M11" s="24"/>
      <c r="N11" s="3">
        <v>-3</v>
      </c>
      <c r="O11" s="6">
        <f t="shared" si="3"/>
        <v>0</v>
      </c>
      <c r="P11" s="24"/>
      <c r="Q11" s="23">
        <v>1</v>
      </c>
      <c r="R11" s="22">
        <f t="shared" si="4"/>
        <v>0</v>
      </c>
      <c r="S11" s="3"/>
      <c r="T11" s="3">
        <v>-1</v>
      </c>
      <c r="U11" s="15">
        <f t="shared" si="5"/>
        <v>0</v>
      </c>
      <c r="V11" s="8">
        <f t="shared" si="6"/>
        <v>21</v>
      </c>
      <c r="W11" s="9">
        <f t="shared" si="7"/>
        <v>0.91304347826086951</v>
      </c>
    </row>
    <row r="12" spans="1:23" ht="18" customHeight="1" x14ac:dyDescent="0.2">
      <c r="A12" s="3">
        <f t="shared" si="8"/>
        <v>7</v>
      </c>
      <c r="B12" s="4" t="s">
        <v>26</v>
      </c>
      <c r="C12" s="3" t="s">
        <v>3</v>
      </c>
      <c r="D12" s="11">
        <v>24</v>
      </c>
      <c r="E12" s="12">
        <v>1</v>
      </c>
      <c r="F12" s="6">
        <f t="shared" si="0"/>
        <v>24</v>
      </c>
      <c r="G12" s="11"/>
      <c r="H12" s="11">
        <v>-1</v>
      </c>
      <c r="I12" s="6">
        <f t="shared" si="1"/>
        <v>0</v>
      </c>
      <c r="J12" s="11"/>
      <c r="K12" s="11">
        <v>-1</v>
      </c>
      <c r="L12" s="6">
        <f t="shared" si="2"/>
        <v>0</v>
      </c>
      <c r="M12" s="24"/>
      <c r="N12" s="11">
        <v>-3</v>
      </c>
      <c r="O12" s="6">
        <f t="shared" si="3"/>
        <v>0</v>
      </c>
      <c r="P12" s="25"/>
      <c r="Q12" s="23">
        <v>1</v>
      </c>
      <c r="R12" s="22">
        <f t="shared" si="4"/>
        <v>0</v>
      </c>
      <c r="S12" s="11"/>
      <c r="T12" s="3">
        <v>-1</v>
      </c>
      <c r="U12" s="15">
        <f t="shared" si="5"/>
        <v>0</v>
      </c>
      <c r="V12" s="8">
        <f t="shared" si="6"/>
        <v>24</v>
      </c>
      <c r="W12" s="9">
        <f t="shared" si="7"/>
        <v>1</v>
      </c>
    </row>
    <row r="13" spans="1:23" ht="18" customHeight="1" x14ac:dyDescent="0.2">
      <c r="A13" s="3">
        <f t="shared" si="8"/>
        <v>8</v>
      </c>
      <c r="B13" s="4" t="s">
        <v>27</v>
      </c>
      <c r="C13" s="3" t="s">
        <v>3</v>
      </c>
      <c r="D13" s="3">
        <v>21</v>
      </c>
      <c r="E13" s="10">
        <v>1</v>
      </c>
      <c r="F13" s="6">
        <f t="shared" si="0"/>
        <v>21</v>
      </c>
      <c r="G13" s="3">
        <v>1</v>
      </c>
      <c r="H13" s="3">
        <v>-1</v>
      </c>
      <c r="I13" s="6">
        <f t="shared" si="1"/>
        <v>-1</v>
      </c>
      <c r="J13" s="3"/>
      <c r="K13" s="3">
        <v>-1</v>
      </c>
      <c r="L13" s="6">
        <f t="shared" si="2"/>
        <v>0</v>
      </c>
      <c r="M13" s="25"/>
      <c r="N13" s="3">
        <v>-3</v>
      </c>
      <c r="O13" s="6">
        <f t="shared" si="3"/>
        <v>0</v>
      </c>
      <c r="P13" s="25"/>
      <c r="Q13" s="23">
        <v>1</v>
      </c>
      <c r="R13" s="22">
        <f t="shared" si="4"/>
        <v>0</v>
      </c>
      <c r="S13" s="3"/>
      <c r="T13" s="3">
        <v>-1</v>
      </c>
      <c r="U13" s="15">
        <f t="shared" si="5"/>
        <v>0</v>
      </c>
      <c r="V13" s="8">
        <f t="shared" si="6"/>
        <v>20</v>
      </c>
      <c r="W13" s="9">
        <f t="shared" si="7"/>
        <v>0.90909090909090906</v>
      </c>
    </row>
    <row r="14" spans="1:23" ht="18" customHeight="1" x14ac:dyDescent="0.2">
      <c r="A14" s="3">
        <f>A13+1</f>
        <v>9</v>
      </c>
      <c r="B14" s="4" t="s">
        <v>28</v>
      </c>
      <c r="C14" s="3" t="s">
        <v>3</v>
      </c>
      <c r="D14" s="13">
        <v>23</v>
      </c>
      <c r="E14" s="10">
        <v>1</v>
      </c>
      <c r="F14" s="6">
        <f t="shared" si="0"/>
        <v>23</v>
      </c>
      <c r="G14" s="13"/>
      <c r="H14" s="3">
        <v>-1</v>
      </c>
      <c r="I14" s="6">
        <f t="shared" si="1"/>
        <v>0</v>
      </c>
      <c r="J14" s="13"/>
      <c r="K14" s="3">
        <v>-1</v>
      </c>
      <c r="L14" s="6">
        <f t="shared" si="2"/>
        <v>0</v>
      </c>
      <c r="M14" s="25"/>
      <c r="N14" s="3">
        <v>-3</v>
      </c>
      <c r="O14" s="6">
        <f t="shared" si="3"/>
        <v>0</v>
      </c>
      <c r="P14" s="25"/>
      <c r="Q14" s="23">
        <v>1</v>
      </c>
      <c r="R14" s="22">
        <f t="shared" si="4"/>
        <v>0</v>
      </c>
      <c r="S14" s="3"/>
      <c r="T14" s="3">
        <v>-1</v>
      </c>
      <c r="U14" s="15">
        <f t="shared" si="5"/>
        <v>0</v>
      </c>
      <c r="V14" s="8">
        <f t="shared" si="6"/>
        <v>23</v>
      </c>
      <c r="W14" s="9">
        <f t="shared" si="7"/>
        <v>1</v>
      </c>
    </row>
    <row r="15" spans="1:23" ht="18" customHeight="1" x14ac:dyDescent="0.2">
      <c r="A15" s="3">
        <f>A14+1</f>
        <v>10</v>
      </c>
      <c r="B15" s="4" t="s">
        <v>29</v>
      </c>
      <c r="C15" s="3" t="s">
        <v>3</v>
      </c>
      <c r="D15" s="13">
        <v>24</v>
      </c>
      <c r="E15" s="10">
        <v>1</v>
      </c>
      <c r="F15" s="6">
        <f t="shared" si="0"/>
        <v>24</v>
      </c>
      <c r="G15" s="13">
        <v>1</v>
      </c>
      <c r="H15" s="14">
        <v>-1</v>
      </c>
      <c r="I15" s="6">
        <f t="shared" si="1"/>
        <v>-1</v>
      </c>
      <c r="J15" s="13"/>
      <c r="K15" s="14">
        <v>-1</v>
      </c>
      <c r="L15" s="6">
        <f t="shared" si="2"/>
        <v>0</v>
      </c>
      <c r="M15" s="25"/>
      <c r="N15" s="14">
        <v>-3</v>
      </c>
      <c r="O15" s="6">
        <f t="shared" si="3"/>
        <v>0</v>
      </c>
      <c r="P15" s="25"/>
      <c r="Q15" s="23">
        <v>1</v>
      </c>
      <c r="R15" s="22">
        <f t="shared" si="4"/>
        <v>0</v>
      </c>
      <c r="S15" s="3"/>
      <c r="T15" s="3">
        <v>-1</v>
      </c>
      <c r="U15" s="15">
        <f t="shared" si="5"/>
        <v>0</v>
      </c>
      <c r="V15" s="8">
        <f t="shared" si="6"/>
        <v>23</v>
      </c>
      <c r="W15" s="9">
        <f t="shared" si="7"/>
        <v>0.92</v>
      </c>
    </row>
    <row r="16" spans="1:23" ht="18" customHeight="1" x14ac:dyDescent="0.2">
      <c r="A16" s="3">
        <f>A15+1</f>
        <v>11</v>
      </c>
      <c r="B16" s="4" t="s">
        <v>33</v>
      </c>
      <c r="C16" s="3" t="s">
        <v>3</v>
      </c>
      <c r="D16" s="3">
        <v>23</v>
      </c>
      <c r="E16" s="3">
        <v>1</v>
      </c>
      <c r="F16" s="6">
        <f t="shared" ref="F16:F23" si="9">D16*E16</f>
        <v>23</v>
      </c>
      <c r="G16" s="3"/>
      <c r="H16" s="14">
        <v>-1</v>
      </c>
      <c r="I16" s="6">
        <f t="shared" ref="I16:I23" si="10">G16*H16</f>
        <v>0</v>
      </c>
      <c r="J16" s="3"/>
      <c r="K16" s="3">
        <v>-1</v>
      </c>
      <c r="L16" s="6">
        <f t="shared" ref="L16:L23" si="11">J16*K16</f>
        <v>0</v>
      </c>
      <c r="M16" s="24">
        <v>1</v>
      </c>
      <c r="N16" s="3">
        <v>-3</v>
      </c>
      <c r="O16" s="6">
        <f t="shared" si="3"/>
        <v>-3</v>
      </c>
      <c r="P16" s="25"/>
      <c r="Q16" s="23">
        <v>1</v>
      </c>
      <c r="R16" s="22">
        <f t="shared" si="4"/>
        <v>0</v>
      </c>
      <c r="S16" s="3"/>
      <c r="T16" s="3">
        <v>-1</v>
      </c>
      <c r="U16" s="15">
        <f t="shared" si="5"/>
        <v>0</v>
      </c>
      <c r="V16" s="8">
        <f t="shared" si="6"/>
        <v>20</v>
      </c>
      <c r="W16" s="9">
        <f t="shared" si="7"/>
        <v>0.86956521739130432</v>
      </c>
    </row>
    <row r="17" spans="1:23" ht="18" customHeight="1" x14ac:dyDescent="0.2">
      <c r="A17" s="3">
        <f t="shared" ref="A17:A22" si="12">A16+1</f>
        <v>12</v>
      </c>
      <c r="B17" s="4" t="s">
        <v>34</v>
      </c>
      <c r="C17" s="3" t="s">
        <v>3</v>
      </c>
      <c r="D17" s="3">
        <v>22</v>
      </c>
      <c r="E17" s="10">
        <v>1</v>
      </c>
      <c r="F17" s="6">
        <f t="shared" si="9"/>
        <v>22</v>
      </c>
      <c r="G17" s="3">
        <v>1</v>
      </c>
      <c r="H17" s="14">
        <v>-1</v>
      </c>
      <c r="I17" s="6">
        <f t="shared" si="10"/>
        <v>-1</v>
      </c>
      <c r="J17" s="3"/>
      <c r="K17" s="3">
        <v>-1</v>
      </c>
      <c r="L17" s="6">
        <f t="shared" si="11"/>
        <v>0</v>
      </c>
      <c r="M17" s="24"/>
      <c r="N17" s="3">
        <v>-3</v>
      </c>
      <c r="O17" s="6">
        <f t="shared" ref="O17:O23" si="13">M17*N17</f>
        <v>0</v>
      </c>
      <c r="P17" s="24"/>
      <c r="Q17" s="23">
        <v>1</v>
      </c>
      <c r="R17" s="22">
        <f t="shared" ref="R17:R23" si="14">P17*Q17</f>
        <v>0</v>
      </c>
      <c r="S17" s="3"/>
      <c r="T17" s="3">
        <v>-1</v>
      </c>
      <c r="U17" s="15">
        <f t="shared" ref="U17:U23" si="15">S17*T17</f>
        <v>0</v>
      </c>
      <c r="V17" s="8">
        <f t="shared" ref="V17:V23" si="16">F17+I17+L17+O17+R17+U17</f>
        <v>21</v>
      </c>
      <c r="W17" s="9">
        <f t="shared" ref="W17:W23" si="17">V17/(D17+G17+J17+S17+P17+S17)</f>
        <v>0.91304347826086951</v>
      </c>
    </row>
    <row r="18" spans="1:23" ht="18" customHeight="1" x14ac:dyDescent="0.2">
      <c r="A18" s="3">
        <f t="shared" si="12"/>
        <v>13</v>
      </c>
      <c r="B18" s="4" t="s">
        <v>35</v>
      </c>
      <c r="C18" s="3" t="s">
        <v>3</v>
      </c>
      <c r="D18" s="3">
        <v>19</v>
      </c>
      <c r="E18" s="3">
        <v>1</v>
      </c>
      <c r="F18" s="15">
        <f t="shared" si="9"/>
        <v>19</v>
      </c>
      <c r="G18" s="3">
        <v>3</v>
      </c>
      <c r="H18" s="14">
        <v>-1</v>
      </c>
      <c r="I18" s="15">
        <f t="shared" si="10"/>
        <v>-3</v>
      </c>
      <c r="J18" s="3">
        <v>1</v>
      </c>
      <c r="K18" s="3">
        <v>-1</v>
      </c>
      <c r="L18" s="15">
        <f t="shared" si="11"/>
        <v>-1</v>
      </c>
      <c r="M18" s="25"/>
      <c r="N18" s="3">
        <v>-3</v>
      </c>
      <c r="O18" s="6">
        <f t="shared" si="13"/>
        <v>0</v>
      </c>
      <c r="P18" s="25"/>
      <c r="Q18" s="29">
        <v>1</v>
      </c>
      <c r="R18" s="30">
        <f t="shared" si="14"/>
        <v>0</v>
      </c>
      <c r="S18" s="3"/>
      <c r="T18" s="3">
        <v>-1</v>
      </c>
      <c r="U18" s="15">
        <f t="shared" si="15"/>
        <v>0</v>
      </c>
      <c r="V18" s="31">
        <f t="shared" si="16"/>
        <v>15</v>
      </c>
      <c r="W18" s="9">
        <f t="shared" si="17"/>
        <v>0.65217391304347827</v>
      </c>
    </row>
    <row r="19" spans="1:23" ht="18" customHeight="1" x14ac:dyDescent="0.2">
      <c r="A19" s="3">
        <f t="shared" si="12"/>
        <v>14</v>
      </c>
      <c r="B19" s="4" t="s">
        <v>4</v>
      </c>
      <c r="C19" s="3" t="s">
        <v>5</v>
      </c>
      <c r="D19" s="3">
        <v>20</v>
      </c>
      <c r="E19" s="3">
        <v>1</v>
      </c>
      <c r="F19" s="6">
        <f t="shared" si="9"/>
        <v>20</v>
      </c>
      <c r="G19" s="3">
        <v>1</v>
      </c>
      <c r="H19" s="14">
        <v>-1</v>
      </c>
      <c r="I19" s="6">
        <f t="shared" si="10"/>
        <v>-1</v>
      </c>
      <c r="J19" s="3">
        <v>3</v>
      </c>
      <c r="K19" s="3">
        <v>-1</v>
      </c>
      <c r="L19" s="6">
        <f t="shared" si="11"/>
        <v>-3</v>
      </c>
      <c r="M19" s="24"/>
      <c r="N19" s="3">
        <v>-3</v>
      </c>
      <c r="O19" s="6">
        <f t="shared" si="13"/>
        <v>0</v>
      </c>
      <c r="P19" s="24"/>
      <c r="Q19" s="23">
        <v>1</v>
      </c>
      <c r="R19" s="22">
        <f t="shared" si="14"/>
        <v>0</v>
      </c>
      <c r="S19" s="3"/>
      <c r="T19" s="3">
        <v>-1</v>
      </c>
      <c r="U19" s="15">
        <f t="shared" si="15"/>
        <v>0</v>
      </c>
      <c r="V19" s="8">
        <f t="shared" si="16"/>
        <v>16</v>
      </c>
      <c r="W19" s="9">
        <f t="shared" si="17"/>
        <v>0.66666666666666663</v>
      </c>
    </row>
    <row r="20" spans="1:23" ht="18" customHeight="1" x14ac:dyDescent="0.2">
      <c r="A20" s="3">
        <f t="shared" si="12"/>
        <v>15</v>
      </c>
      <c r="B20" s="4" t="s">
        <v>30</v>
      </c>
      <c r="C20" s="3" t="s">
        <v>6</v>
      </c>
      <c r="D20" s="3">
        <v>19</v>
      </c>
      <c r="E20" s="3">
        <v>1</v>
      </c>
      <c r="F20" s="6">
        <f t="shared" si="9"/>
        <v>19</v>
      </c>
      <c r="G20" s="3">
        <v>1</v>
      </c>
      <c r="H20" s="14">
        <v>-1</v>
      </c>
      <c r="I20" s="6">
        <f t="shared" si="10"/>
        <v>-1</v>
      </c>
      <c r="J20" s="3">
        <v>1</v>
      </c>
      <c r="K20" s="3">
        <v>-1</v>
      </c>
      <c r="L20" s="6">
        <f t="shared" si="11"/>
        <v>-1</v>
      </c>
      <c r="M20" s="24"/>
      <c r="N20" s="3">
        <v>-3</v>
      </c>
      <c r="O20" s="6">
        <f t="shared" si="13"/>
        <v>0</v>
      </c>
      <c r="P20" s="24"/>
      <c r="Q20" s="23">
        <v>1</v>
      </c>
      <c r="R20" s="22">
        <f t="shared" si="14"/>
        <v>0</v>
      </c>
      <c r="S20" s="3"/>
      <c r="T20" s="3">
        <v>-1</v>
      </c>
      <c r="U20" s="15">
        <f t="shared" si="15"/>
        <v>0</v>
      </c>
      <c r="V20" s="8">
        <f t="shared" si="16"/>
        <v>17</v>
      </c>
      <c r="W20" s="9">
        <f t="shared" si="17"/>
        <v>0.80952380952380953</v>
      </c>
    </row>
    <row r="21" spans="1:23" ht="18" customHeight="1" x14ac:dyDescent="0.2">
      <c r="A21" s="3">
        <f t="shared" si="12"/>
        <v>16</v>
      </c>
      <c r="B21" s="4" t="s">
        <v>38</v>
      </c>
      <c r="C21" s="3" t="s">
        <v>6</v>
      </c>
      <c r="D21" s="3">
        <v>22</v>
      </c>
      <c r="E21" s="3">
        <v>1</v>
      </c>
      <c r="F21" s="6">
        <f t="shared" si="9"/>
        <v>22</v>
      </c>
      <c r="G21" s="3">
        <v>2</v>
      </c>
      <c r="H21" s="14">
        <v>-1</v>
      </c>
      <c r="I21" s="6">
        <f t="shared" si="10"/>
        <v>-2</v>
      </c>
      <c r="J21" s="3"/>
      <c r="K21" s="3">
        <v>-1</v>
      </c>
      <c r="L21" s="6">
        <f t="shared" si="11"/>
        <v>0</v>
      </c>
      <c r="M21" s="24"/>
      <c r="N21" s="3">
        <v>-3</v>
      </c>
      <c r="O21" s="6">
        <f t="shared" si="13"/>
        <v>0</v>
      </c>
      <c r="P21" s="24"/>
      <c r="Q21" s="23">
        <v>1</v>
      </c>
      <c r="R21" s="22">
        <f t="shared" si="14"/>
        <v>0</v>
      </c>
      <c r="S21" s="3"/>
      <c r="T21" s="3">
        <v>-1</v>
      </c>
      <c r="U21" s="15">
        <f t="shared" si="15"/>
        <v>0</v>
      </c>
      <c r="V21" s="8">
        <f t="shared" si="16"/>
        <v>20</v>
      </c>
      <c r="W21" s="9">
        <f t="shared" si="17"/>
        <v>0.83333333333333337</v>
      </c>
    </row>
    <row r="22" spans="1:23" ht="18" customHeight="1" x14ac:dyDescent="0.2">
      <c r="A22" s="3">
        <f t="shared" si="12"/>
        <v>17</v>
      </c>
      <c r="B22" s="4" t="s">
        <v>36</v>
      </c>
      <c r="C22" s="3" t="s">
        <v>37</v>
      </c>
      <c r="D22" s="3">
        <v>22</v>
      </c>
      <c r="E22" s="3">
        <v>1</v>
      </c>
      <c r="F22" s="6">
        <f t="shared" si="9"/>
        <v>22</v>
      </c>
      <c r="G22" s="3"/>
      <c r="H22" s="14">
        <v>-1</v>
      </c>
      <c r="I22" s="6">
        <f t="shared" si="10"/>
        <v>0</v>
      </c>
      <c r="J22" s="3"/>
      <c r="K22" s="3">
        <v>-1</v>
      </c>
      <c r="L22" s="6">
        <f t="shared" si="11"/>
        <v>0</v>
      </c>
      <c r="M22" s="24">
        <v>1</v>
      </c>
      <c r="N22" s="3">
        <v>-3</v>
      </c>
      <c r="O22" s="6">
        <f t="shared" si="13"/>
        <v>-3</v>
      </c>
      <c r="P22" s="24"/>
      <c r="Q22" s="23">
        <v>1</v>
      </c>
      <c r="R22" s="22">
        <f t="shared" si="14"/>
        <v>0</v>
      </c>
      <c r="S22" s="3"/>
      <c r="T22" s="3">
        <v>-1</v>
      </c>
      <c r="U22" s="15">
        <f t="shared" si="15"/>
        <v>0</v>
      </c>
      <c r="V22" s="8">
        <f t="shared" si="16"/>
        <v>19</v>
      </c>
      <c r="W22" s="9">
        <f t="shared" si="17"/>
        <v>0.86363636363636365</v>
      </c>
    </row>
    <row r="23" spans="1:23" ht="18" customHeight="1" x14ac:dyDescent="0.2">
      <c r="A23" s="3">
        <f>A22+1</f>
        <v>18</v>
      </c>
      <c r="B23" s="4" t="s">
        <v>41</v>
      </c>
      <c r="C23" s="3" t="s">
        <v>37</v>
      </c>
      <c r="D23" s="3">
        <v>24</v>
      </c>
      <c r="E23" s="3">
        <v>1</v>
      </c>
      <c r="F23" s="15">
        <f t="shared" si="9"/>
        <v>24</v>
      </c>
      <c r="G23" s="3"/>
      <c r="H23" s="14">
        <v>-1</v>
      </c>
      <c r="I23" s="15">
        <f t="shared" si="10"/>
        <v>0</v>
      </c>
      <c r="J23" s="3"/>
      <c r="K23" s="3">
        <v>-1</v>
      </c>
      <c r="L23" s="15">
        <f t="shared" si="11"/>
        <v>0</v>
      </c>
      <c r="M23" s="25"/>
      <c r="N23" s="3">
        <v>-3</v>
      </c>
      <c r="O23" s="6">
        <f t="shared" si="13"/>
        <v>0</v>
      </c>
      <c r="P23" s="25"/>
      <c r="Q23" s="29">
        <v>1</v>
      </c>
      <c r="R23" s="30">
        <f t="shared" si="14"/>
        <v>0</v>
      </c>
      <c r="S23" s="3"/>
      <c r="T23" s="3">
        <v>-1</v>
      </c>
      <c r="U23" s="15">
        <f t="shared" si="15"/>
        <v>0</v>
      </c>
      <c r="V23" s="31">
        <f t="shared" si="16"/>
        <v>24</v>
      </c>
      <c r="W23" s="9">
        <f t="shared" si="17"/>
        <v>1</v>
      </c>
    </row>
    <row r="25" spans="1:23" x14ac:dyDescent="0.2">
      <c r="A25" s="17" t="s">
        <v>44</v>
      </c>
    </row>
    <row r="27" spans="1:23" ht="25.5" customHeight="1" x14ac:dyDescent="0.2">
      <c r="A27" s="28" t="s">
        <v>45</v>
      </c>
    </row>
    <row r="28" spans="1:23" x14ac:dyDescent="0.2">
      <c r="A28" s="18">
        <v>1</v>
      </c>
      <c r="B28" s="27"/>
    </row>
    <row r="29" spans="1:23" x14ac:dyDescent="0.2">
      <c r="A29" s="19">
        <v>2</v>
      </c>
    </row>
  </sheetData>
  <mergeCells count="13">
    <mergeCell ref="A1:V2"/>
    <mergeCell ref="A4:A5"/>
    <mergeCell ref="B4:B5"/>
    <mergeCell ref="C4:C5"/>
    <mergeCell ref="D4:U4"/>
    <mergeCell ref="V4:V5"/>
    <mergeCell ref="P5:Q5"/>
    <mergeCell ref="S5:T5"/>
    <mergeCell ref="W4:W5"/>
    <mergeCell ref="D5:E5"/>
    <mergeCell ref="G5:H5"/>
    <mergeCell ref="J5:K5"/>
    <mergeCell ref="M5:N5"/>
  </mergeCell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workbookViewId="0">
      <pane xSplit="2" ySplit="5" topLeftCell="W12" activePane="bottomRight" state="frozen"/>
      <selection pane="topRight" activeCell="C1" sqref="C1"/>
      <selection pane="bottomLeft" activeCell="A6" sqref="A6"/>
      <selection pane="bottomRight" activeCell="C6" sqref="C6"/>
    </sheetView>
  </sheetViews>
  <sheetFormatPr defaultRowHeight="14.25" x14ac:dyDescent="0.2"/>
  <cols>
    <col min="1" max="1" width="6.28515625" style="17" customWidth="1"/>
    <col min="2" max="2" width="22.5703125" style="17" customWidth="1"/>
    <col min="3" max="3" width="18.7109375" style="17" customWidth="1"/>
    <col min="4" max="19" width="5.42578125" style="17" customWidth="1"/>
    <col min="20" max="21" width="5.42578125" style="18" customWidth="1"/>
    <col min="22" max="22" width="10.42578125" style="17" customWidth="1"/>
    <col min="23" max="23" width="12.85546875" style="17" customWidth="1"/>
    <col min="24" max="16384" width="9.140625" style="17"/>
  </cols>
  <sheetData>
    <row r="1" spans="1:23" x14ac:dyDescent="0.2">
      <c r="A1" s="100" t="s">
        <v>82</v>
      </c>
      <c r="B1" s="100"/>
      <c r="C1" s="100"/>
      <c r="D1" s="100"/>
      <c r="E1" s="100"/>
      <c r="F1" s="100"/>
      <c r="G1" s="100"/>
      <c r="H1" s="100"/>
      <c r="I1" s="100"/>
      <c r="J1" s="100"/>
      <c r="K1" s="100"/>
      <c r="L1" s="100"/>
      <c r="M1" s="100"/>
      <c r="N1" s="100"/>
      <c r="O1" s="100"/>
      <c r="P1" s="100"/>
      <c r="Q1" s="100"/>
      <c r="R1" s="100"/>
      <c r="S1" s="100"/>
      <c r="T1" s="100"/>
      <c r="U1" s="100"/>
      <c r="V1" s="100"/>
    </row>
    <row r="2" spans="1:23" x14ac:dyDescent="0.2">
      <c r="A2" s="100"/>
      <c r="B2" s="100"/>
      <c r="C2" s="100"/>
      <c r="D2" s="100"/>
      <c r="E2" s="100"/>
      <c r="F2" s="100"/>
      <c r="G2" s="100"/>
      <c r="H2" s="100"/>
      <c r="I2" s="100"/>
      <c r="J2" s="100"/>
      <c r="K2" s="100"/>
      <c r="L2" s="100"/>
      <c r="M2" s="100"/>
      <c r="N2" s="100"/>
      <c r="O2" s="100"/>
      <c r="P2" s="100"/>
      <c r="Q2" s="100"/>
      <c r="R2" s="100"/>
      <c r="S2" s="100"/>
      <c r="T2" s="100"/>
      <c r="U2" s="100"/>
      <c r="V2" s="100"/>
    </row>
    <row r="4" spans="1:23" ht="15" x14ac:dyDescent="0.2">
      <c r="A4" s="94" t="s">
        <v>0</v>
      </c>
      <c r="B4" s="94" t="s">
        <v>12</v>
      </c>
      <c r="C4" s="94" t="s">
        <v>1</v>
      </c>
      <c r="D4" s="101" t="s">
        <v>13</v>
      </c>
      <c r="E4" s="102"/>
      <c r="F4" s="102"/>
      <c r="G4" s="102"/>
      <c r="H4" s="102"/>
      <c r="I4" s="102"/>
      <c r="J4" s="102"/>
      <c r="K4" s="102"/>
      <c r="L4" s="102"/>
      <c r="M4" s="102"/>
      <c r="N4" s="102"/>
      <c r="O4" s="102"/>
      <c r="P4" s="102"/>
      <c r="Q4" s="102"/>
      <c r="R4" s="102"/>
      <c r="S4" s="102"/>
      <c r="T4" s="102"/>
      <c r="U4" s="103"/>
      <c r="V4" s="94" t="s">
        <v>14</v>
      </c>
      <c r="W4" s="94" t="s">
        <v>15</v>
      </c>
    </row>
    <row r="5" spans="1:23" ht="44.25" customHeight="1" x14ac:dyDescent="0.2">
      <c r="A5" s="95"/>
      <c r="B5" s="95"/>
      <c r="C5" s="95"/>
      <c r="D5" s="96" t="s">
        <v>16</v>
      </c>
      <c r="E5" s="97"/>
      <c r="F5" s="1" t="s">
        <v>17</v>
      </c>
      <c r="G5" s="96" t="s">
        <v>18</v>
      </c>
      <c r="H5" s="97"/>
      <c r="I5" s="2" t="s">
        <v>17</v>
      </c>
      <c r="J5" s="96" t="s">
        <v>46</v>
      </c>
      <c r="K5" s="97"/>
      <c r="L5" s="2" t="s">
        <v>17</v>
      </c>
      <c r="M5" s="98" t="s">
        <v>19</v>
      </c>
      <c r="N5" s="99"/>
      <c r="O5" s="1" t="s">
        <v>17</v>
      </c>
      <c r="P5" s="105" t="s">
        <v>42</v>
      </c>
      <c r="Q5" s="105"/>
      <c r="R5" s="1" t="s">
        <v>17</v>
      </c>
      <c r="S5" s="106" t="s">
        <v>43</v>
      </c>
      <c r="T5" s="107"/>
      <c r="U5" s="1" t="s">
        <v>17</v>
      </c>
      <c r="V5" s="104"/>
      <c r="W5" s="95"/>
    </row>
    <row r="6" spans="1:23" ht="18" customHeight="1" x14ac:dyDescent="0.2">
      <c r="A6" s="3">
        <v>1</v>
      </c>
      <c r="B6" s="4" t="s">
        <v>20</v>
      </c>
      <c r="C6" s="3" t="s">
        <v>2</v>
      </c>
      <c r="D6" s="5">
        <v>22</v>
      </c>
      <c r="E6" s="33">
        <v>1</v>
      </c>
      <c r="F6" s="6">
        <f>D6*E6</f>
        <v>22</v>
      </c>
      <c r="G6" s="7"/>
      <c r="H6" s="5">
        <v>-1</v>
      </c>
      <c r="I6" s="6">
        <f>G6*H6</f>
        <v>0</v>
      </c>
      <c r="J6" s="7"/>
      <c r="K6" s="5">
        <v>-1</v>
      </c>
      <c r="L6" s="6">
        <f>J6*K6</f>
        <v>0</v>
      </c>
      <c r="M6" s="23"/>
      <c r="N6" s="5">
        <v>-3</v>
      </c>
      <c r="O6" s="6">
        <f>M6*N6</f>
        <v>0</v>
      </c>
      <c r="P6" s="23">
        <v>2</v>
      </c>
      <c r="Q6" s="23">
        <v>1</v>
      </c>
      <c r="R6" s="22">
        <f>P6*Q6</f>
        <v>2</v>
      </c>
      <c r="S6" s="3"/>
      <c r="T6" s="3">
        <v>-1</v>
      </c>
      <c r="U6" s="15">
        <f>S6*T6</f>
        <v>0</v>
      </c>
      <c r="V6" s="8">
        <f>F6+I6+L6+O6+R6+U6</f>
        <v>24</v>
      </c>
      <c r="W6" s="9">
        <f>V6/(D6+G6+J6+S6+P6+S6)</f>
        <v>1</v>
      </c>
    </row>
    <row r="7" spans="1:23" ht="18" customHeight="1" x14ac:dyDescent="0.2">
      <c r="A7" s="3">
        <f>A6+1</f>
        <v>2</v>
      </c>
      <c r="B7" s="4" t="s">
        <v>21</v>
      </c>
      <c r="C7" s="3" t="s">
        <v>2</v>
      </c>
      <c r="D7" s="3">
        <v>25</v>
      </c>
      <c r="E7" s="10">
        <v>1</v>
      </c>
      <c r="F7" s="6">
        <f t="shared" ref="F7:F23" si="0">D7*E7</f>
        <v>25</v>
      </c>
      <c r="G7" s="3"/>
      <c r="H7" s="3">
        <v>-1</v>
      </c>
      <c r="I7" s="6">
        <f t="shared" ref="I7:I23" si="1">G7*H7</f>
        <v>0</v>
      </c>
      <c r="J7" s="3"/>
      <c r="K7" s="3">
        <v>-1</v>
      </c>
      <c r="L7" s="6">
        <f t="shared" ref="L7:L23" si="2">J7*K7</f>
        <v>0</v>
      </c>
      <c r="M7" s="24"/>
      <c r="N7" s="3">
        <v>-3</v>
      </c>
      <c r="O7" s="6">
        <f t="shared" ref="O7:O23" si="3">M7*N7</f>
        <v>0</v>
      </c>
      <c r="P7" s="24">
        <v>2</v>
      </c>
      <c r="Q7" s="23">
        <v>1</v>
      </c>
      <c r="R7" s="22">
        <f t="shared" ref="R7:R23" si="4">P7*Q7</f>
        <v>2</v>
      </c>
      <c r="S7" s="3"/>
      <c r="T7" s="3">
        <v>-1</v>
      </c>
      <c r="U7" s="15">
        <f t="shared" ref="U7:U23" si="5">S7*T7</f>
        <v>0</v>
      </c>
      <c r="V7" s="8">
        <f t="shared" ref="V7:V23" si="6">F7+I7+L7+O7+R7+U7</f>
        <v>27</v>
      </c>
      <c r="W7" s="9">
        <f t="shared" ref="W7:W23" si="7">V7/(D7+G7+J7+S7+P7+S7)</f>
        <v>1</v>
      </c>
    </row>
    <row r="8" spans="1:23" ht="18" customHeight="1" x14ac:dyDescent="0.2">
      <c r="A8" s="3">
        <f t="shared" ref="A8:A13" si="8">A7+1</f>
        <v>3</v>
      </c>
      <c r="B8" s="4" t="s">
        <v>22</v>
      </c>
      <c r="C8" s="3" t="s">
        <v>2</v>
      </c>
      <c r="D8" s="3">
        <v>22</v>
      </c>
      <c r="E8" s="10">
        <v>1</v>
      </c>
      <c r="F8" s="6">
        <f t="shared" si="0"/>
        <v>22</v>
      </c>
      <c r="G8" s="3"/>
      <c r="H8" s="3">
        <v>-1</v>
      </c>
      <c r="I8" s="6">
        <f t="shared" si="1"/>
        <v>0</v>
      </c>
      <c r="J8" s="3"/>
      <c r="K8" s="3">
        <v>-1</v>
      </c>
      <c r="L8" s="6">
        <f t="shared" si="2"/>
        <v>0</v>
      </c>
      <c r="M8" s="24"/>
      <c r="N8" s="3">
        <v>-3</v>
      </c>
      <c r="O8" s="6">
        <f t="shared" si="3"/>
        <v>0</v>
      </c>
      <c r="P8" s="24">
        <v>2</v>
      </c>
      <c r="Q8" s="23">
        <v>1</v>
      </c>
      <c r="R8" s="22">
        <f t="shared" si="4"/>
        <v>2</v>
      </c>
      <c r="S8" s="3"/>
      <c r="T8" s="3">
        <v>-1</v>
      </c>
      <c r="U8" s="15">
        <f t="shared" si="5"/>
        <v>0</v>
      </c>
      <c r="V8" s="8">
        <f t="shared" si="6"/>
        <v>24</v>
      </c>
      <c r="W8" s="9">
        <f t="shared" si="7"/>
        <v>1</v>
      </c>
    </row>
    <row r="9" spans="1:23" ht="18" customHeight="1" x14ac:dyDescent="0.2">
      <c r="A9" s="3">
        <f t="shared" si="8"/>
        <v>4</v>
      </c>
      <c r="B9" s="4" t="s">
        <v>23</v>
      </c>
      <c r="C9" s="3" t="s">
        <v>2</v>
      </c>
      <c r="D9" s="3">
        <v>25</v>
      </c>
      <c r="E9" s="10">
        <v>1</v>
      </c>
      <c r="F9" s="6">
        <f t="shared" si="0"/>
        <v>25</v>
      </c>
      <c r="G9" s="3"/>
      <c r="H9" s="3">
        <v>-1</v>
      </c>
      <c r="I9" s="6">
        <f t="shared" si="1"/>
        <v>0</v>
      </c>
      <c r="J9" s="3"/>
      <c r="K9" s="3">
        <v>-1</v>
      </c>
      <c r="L9" s="6">
        <f t="shared" si="2"/>
        <v>0</v>
      </c>
      <c r="M9" s="24"/>
      <c r="N9" s="3">
        <v>-3</v>
      </c>
      <c r="O9" s="6">
        <f t="shared" si="3"/>
        <v>0</v>
      </c>
      <c r="P9" s="24">
        <v>2</v>
      </c>
      <c r="Q9" s="23">
        <v>1</v>
      </c>
      <c r="R9" s="22">
        <f t="shared" si="4"/>
        <v>2</v>
      </c>
      <c r="S9" s="3"/>
      <c r="T9" s="3">
        <v>-1</v>
      </c>
      <c r="U9" s="15">
        <f t="shared" si="5"/>
        <v>0</v>
      </c>
      <c r="V9" s="8">
        <f t="shared" si="6"/>
        <v>27</v>
      </c>
      <c r="W9" s="9">
        <f t="shared" si="7"/>
        <v>1</v>
      </c>
    </row>
    <row r="10" spans="1:23" ht="18" customHeight="1" x14ac:dyDescent="0.2">
      <c r="A10" s="3">
        <f t="shared" si="8"/>
        <v>5</v>
      </c>
      <c r="B10" s="4" t="s">
        <v>24</v>
      </c>
      <c r="C10" s="3" t="s">
        <v>3</v>
      </c>
      <c r="D10" s="3">
        <v>24</v>
      </c>
      <c r="E10" s="10">
        <v>1</v>
      </c>
      <c r="F10" s="6">
        <f t="shared" si="0"/>
        <v>24</v>
      </c>
      <c r="G10" s="3"/>
      <c r="H10" s="3">
        <v>-1</v>
      </c>
      <c r="I10" s="6">
        <f t="shared" si="1"/>
        <v>0</v>
      </c>
      <c r="J10" s="3">
        <v>1</v>
      </c>
      <c r="K10" s="3">
        <v>-1</v>
      </c>
      <c r="L10" s="6">
        <f t="shared" si="2"/>
        <v>-1</v>
      </c>
      <c r="M10" s="24"/>
      <c r="N10" s="3">
        <v>-3</v>
      </c>
      <c r="O10" s="6">
        <f t="shared" si="3"/>
        <v>0</v>
      </c>
      <c r="P10" s="24">
        <v>2</v>
      </c>
      <c r="Q10" s="23">
        <v>1</v>
      </c>
      <c r="R10" s="22">
        <f t="shared" si="4"/>
        <v>2</v>
      </c>
      <c r="S10" s="3"/>
      <c r="T10" s="3">
        <v>-1</v>
      </c>
      <c r="U10" s="15">
        <f t="shared" si="5"/>
        <v>0</v>
      </c>
      <c r="V10" s="8">
        <f t="shared" si="6"/>
        <v>25</v>
      </c>
      <c r="W10" s="9">
        <f t="shared" si="7"/>
        <v>0.92592592592592593</v>
      </c>
    </row>
    <row r="11" spans="1:23" ht="18" customHeight="1" x14ac:dyDescent="0.2">
      <c r="A11" s="3">
        <f t="shared" si="8"/>
        <v>6</v>
      </c>
      <c r="B11" s="4" t="s">
        <v>25</v>
      </c>
      <c r="C11" s="3" t="s">
        <v>3</v>
      </c>
      <c r="D11" s="3">
        <v>21</v>
      </c>
      <c r="E11" s="10">
        <v>1</v>
      </c>
      <c r="F11" s="6">
        <f t="shared" si="0"/>
        <v>21</v>
      </c>
      <c r="G11" s="3">
        <v>1</v>
      </c>
      <c r="H11" s="3">
        <v>-1</v>
      </c>
      <c r="I11" s="6">
        <f t="shared" si="1"/>
        <v>-1</v>
      </c>
      <c r="J11" s="3">
        <v>1</v>
      </c>
      <c r="K11" s="3">
        <v>-1</v>
      </c>
      <c r="L11" s="6">
        <f t="shared" si="2"/>
        <v>-1</v>
      </c>
      <c r="M11" s="24"/>
      <c r="N11" s="3">
        <v>-3</v>
      </c>
      <c r="O11" s="6">
        <f t="shared" si="3"/>
        <v>0</v>
      </c>
      <c r="P11" s="24">
        <v>2</v>
      </c>
      <c r="Q11" s="23">
        <v>1</v>
      </c>
      <c r="R11" s="22">
        <f t="shared" si="4"/>
        <v>2</v>
      </c>
      <c r="S11" s="3"/>
      <c r="T11" s="3">
        <v>-1</v>
      </c>
      <c r="U11" s="15">
        <f t="shared" si="5"/>
        <v>0</v>
      </c>
      <c r="V11" s="8">
        <f t="shared" si="6"/>
        <v>21</v>
      </c>
      <c r="W11" s="9">
        <f t="shared" si="7"/>
        <v>0.84</v>
      </c>
    </row>
    <row r="12" spans="1:23" ht="18" customHeight="1" x14ac:dyDescent="0.2">
      <c r="A12" s="3">
        <f t="shared" si="8"/>
        <v>7</v>
      </c>
      <c r="B12" s="4" t="s">
        <v>26</v>
      </c>
      <c r="C12" s="3" t="s">
        <v>3</v>
      </c>
      <c r="D12" s="11">
        <v>23</v>
      </c>
      <c r="E12" s="12">
        <v>1</v>
      </c>
      <c r="F12" s="6">
        <f t="shared" si="0"/>
        <v>23</v>
      </c>
      <c r="G12" s="11">
        <v>2</v>
      </c>
      <c r="H12" s="11">
        <v>-1</v>
      </c>
      <c r="I12" s="6">
        <f t="shared" si="1"/>
        <v>-2</v>
      </c>
      <c r="J12" s="11"/>
      <c r="K12" s="11">
        <v>-1</v>
      </c>
      <c r="L12" s="6">
        <f t="shared" si="2"/>
        <v>0</v>
      </c>
      <c r="M12" s="24"/>
      <c r="N12" s="11">
        <v>-3</v>
      </c>
      <c r="O12" s="6">
        <f t="shared" si="3"/>
        <v>0</v>
      </c>
      <c r="P12" s="25">
        <v>3</v>
      </c>
      <c r="Q12" s="23">
        <v>1</v>
      </c>
      <c r="R12" s="22">
        <f t="shared" si="4"/>
        <v>3</v>
      </c>
      <c r="S12" s="11"/>
      <c r="T12" s="3">
        <v>-1</v>
      </c>
      <c r="U12" s="15">
        <f t="shared" si="5"/>
        <v>0</v>
      </c>
      <c r="V12" s="8">
        <f t="shared" si="6"/>
        <v>24</v>
      </c>
      <c r="W12" s="9">
        <f t="shared" si="7"/>
        <v>0.8571428571428571</v>
      </c>
    </row>
    <row r="13" spans="1:23" ht="18" customHeight="1" x14ac:dyDescent="0.2">
      <c r="A13" s="3">
        <f t="shared" si="8"/>
        <v>8</v>
      </c>
      <c r="B13" s="4" t="s">
        <v>27</v>
      </c>
      <c r="C13" s="3" t="s">
        <v>3</v>
      </c>
      <c r="D13" s="3">
        <v>22</v>
      </c>
      <c r="E13" s="10">
        <v>1</v>
      </c>
      <c r="F13" s="6">
        <f t="shared" si="0"/>
        <v>22</v>
      </c>
      <c r="G13" s="3">
        <v>1</v>
      </c>
      <c r="H13" s="3">
        <v>-1</v>
      </c>
      <c r="I13" s="6">
        <f t="shared" si="1"/>
        <v>-1</v>
      </c>
      <c r="J13" s="3"/>
      <c r="K13" s="3">
        <v>-1</v>
      </c>
      <c r="L13" s="6">
        <f t="shared" si="2"/>
        <v>0</v>
      </c>
      <c r="M13" s="25"/>
      <c r="N13" s="3">
        <v>-3</v>
      </c>
      <c r="O13" s="6">
        <f t="shared" si="3"/>
        <v>0</v>
      </c>
      <c r="P13" s="25">
        <v>1</v>
      </c>
      <c r="Q13" s="23">
        <v>1</v>
      </c>
      <c r="R13" s="22">
        <f t="shared" si="4"/>
        <v>1</v>
      </c>
      <c r="S13" s="3"/>
      <c r="T13" s="3">
        <v>-1</v>
      </c>
      <c r="U13" s="15">
        <f t="shared" si="5"/>
        <v>0</v>
      </c>
      <c r="V13" s="8">
        <f t="shared" si="6"/>
        <v>22</v>
      </c>
      <c r="W13" s="9">
        <f t="shared" si="7"/>
        <v>0.91666666666666663</v>
      </c>
    </row>
    <row r="14" spans="1:23" ht="18" customHeight="1" x14ac:dyDescent="0.2">
      <c r="A14" s="3">
        <f>A13+1</f>
        <v>9</v>
      </c>
      <c r="B14" s="4" t="s">
        <v>28</v>
      </c>
      <c r="C14" s="3" t="s">
        <v>3</v>
      </c>
      <c r="D14" s="13">
        <v>24</v>
      </c>
      <c r="E14" s="10">
        <v>1</v>
      </c>
      <c r="F14" s="6">
        <f t="shared" si="0"/>
        <v>24</v>
      </c>
      <c r="G14" s="13"/>
      <c r="H14" s="3">
        <v>-1</v>
      </c>
      <c r="I14" s="6">
        <f t="shared" si="1"/>
        <v>0</v>
      </c>
      <c r="J14" s="13"/>
      <c r="K14" s="3">
        <v>-1</v>
      </c>
      <c r="L14" s="6">
        <f t="shared" si="2"/>
        <v>0</v>
      </c>
      <c r="M14" s="25"/>
      <c r="N14" s="3">
        <v>-3</v>
      </c>
      <c r="O14" s="6">
        <f t="shared" si="3"/>
        <v>0</v>
      </c>
      <c r="P14" s="25">
        <v>2</v>
      </c>
      <c r="Q14" s="23">
        <v>1</v>
      </c>
      <c r="R14" s="22">
        <f t="shared" si="4"/>
        <v>2</v>
      </c>
      <c r="S14" s="3"/>
      <c r="T14" s="3">
        <v>-1</v>
      </c>
      <c r="U14" s="15">
        <f t="shared" si="5"/>
        <v>0</v>
      </c>
      <c r="V14" s="8">
        <f t="shared" si="6"/>
        <v>26</v>
      </c>
      <c r="W14" s="9">
        <f t="shared" si="7"/>
        <v>1</v>
      </c>
    </row>
    <row r="15" spans="1:23" ht="18" customHeight="1" x14ac:dyDescent="0.2">
      <c r="A15" s="3">
        <f>A14+1</f>
        <v>10</v>
      </c>
      <c r="B15" s="4" t="s">
        <v>29</v>
      </c>
      <c r="C15" s="3" t="s">
        <v>3</v>
      </c>
      <c r="D15" s="13">
        <v>25</v>
      </c>
      <c r="E15" s="10">
        <v>1</v>
      </c>
      <c r="F15" s="6">
        <f t="shared" si="0"/>
        <v>25</v>
      </c>
      <c r="G15" s="13"/>
      <c r="H15" s="14">
        <v>-1</v>
      </c>
      <c r="I15" s="6">
        <f t="shared" si="1"/>
        <v>0</v>
      </c>
      <c r="J15" s="13"/>
      <c r="K15" s="14">
        <v>-1</v>
      </c>
      <c r="L15" s="6">
        <f t="shared" si="2"/>
        <v>0</v>
      </c>
      <c r="M15" s="25"/>
      <c r="N15" s="14">
        <v>-3</v>
      </c>
      <c r="O15" s="6">
        <f t="shared" si="3"/>
        <v>0</v>
      </c>
      <c r="P15" s="25">
        <v>2</v>
      </c>
      <c r="Q15" s="23">
        <v>1</v>
      </c>
      <c r="R15" s="22">
        <f t="shared" si="4"/>
        <v>2</v>
      </c>
      <c r="S15" s="3"/>
      <c r="T15" s="3">
        <v>-1</v>
      </c>
      <c r="U15" s="15">
        <f t="shared" si="5"/>
        <v>0</v>
      </c>
      <c r="V15" s="8">
        <f t="shared" si="6"/>
        <v>27</v>
      </c>
      <c r="W15" s="9">
        <f t="shared" si="7"/>
        <v>1</v>
      </c>
    </row>
    <row r="16" spans="1:23" ht="18" customHeight="1" x14ac:dyDescent="0.2">
      <c r="A16" s="3">
        <f>A15+1</f>
        <v>11</v>
      </c>
      <c r="B16" s="4" t="s">
        <v>33</v>
      </c>
      <c r="C16" s="3" t="s">
        <v>3</v>
      </c>
      <c r="D16" s="3">
        <v>22</v>
      </c>
      <c r="E16" s="3">
        <v>1</v>
      </c>
      <c r="F16" s="6">
        <f t="shared" si="0"/>
        <v>22</v>
      </c>
      <c r="G16" s="3">
        <v>2</v>
      </c>
      <c r="H16" s="14">
        <v>-1</v>
      </c>
      <c r="I16" s="6">
        <f t="shared" si="1"/>
        <v>-2</v>
      </c>
      <c r="J16" s="3"/>
      <c r="K16" s="3">
        <v>-1</v>
      </c>
      <c r="L16" s="6">
        <f t="shared" si="2"/>
        <v>0</v>
      </c>
      <c r="M16" s="24"/>
      <c r="N16" s="3">
        <v>-3</v>
      </c>
      <c r="O16" s="6">
        <f t="shared" si="3"/>
        <v>0</v>
      </c>
      <c r="P16" s="25">
        <v>3</v>
      </c>
      <c r="Q16" s="23">
        <v>1</v>
      </c>
      <c r="R16" s="22">
        <f t="shared" si="4"/>
        <v>3</v>
      </c>
      <c r="S16" s="3"/>
      <c r="T16" s="3">
        <v>-1</v>
      </c>
      <c r="U16" s="15">
        <f t="shared" si="5"/>
        <v>0</v>
      </c>
      <c r="V16" s="8">
        <f t="shared" si="6"/>
        <v>23</v>
      </c>
      <c r="W16" s="9">
        <f t="shared" si="7"/>
        <v>0.85185185185185186</v>
      </c>
    </row>
    <row r="17" spans="1:23" ht="18" customHeight="1" x14ac:dyDescent="0.2">
      <c r="A17" s="3">
        <f t="shared" ref="A17:A22" si="9">A16+1</f>
        <v>12</v>
      </c>
      <c r="B17" s="4" t="s">
        <v>34</v>
      </c>
      <c r="C17" s="3" t="s">
        <v>3</v>
      </c>
      <c r="D17" s="3">
        <v>23</v>
      </c>
      <c r="E17" s="3">
        <v>1</v>
      </c>
      <c r="F17" s="6">
        <f t="shared" si="0"/>
        <v>23</v>
      </c>
      <c r="G17" s="3">
        <v>2</v>
      </c>
      <c r="H17" s="14">
        <v>-1</v>
      </c>
      <c r="I17" s="6">
        <f t="shared" si="1"/>
        <v>-2</v>
      </c>
      <c r="J17" s="3">
        <v>1</v>
      </c>
      <c r="K17" s="3">
        <v>-1</v>
      </c>
      <c r="L17" s="6">
        <f t="shared" si="2"/>
        <v>-1</v>
      </c>
      <c r="M17" s="24"/>
      <c r="N17" s="3">
        <v>-3</v>
      </c>
      <c r="O17" s="6">
        <f t="shared" si="3"/>
        <v>0</v>
      </c>
      <c r="P17" s="24">
        <v>2</v>
      </c>
      <c r="Q17" s="23">
        <v>1</v>
      </c>
      <c r="R17" s="22">
        <f t="shared" si="4"/>
        <v>2</v>
      </c>
      <c r="S17" s="3"/>
      <c r="T17" s="3">
        <v>-1</v>
      </c>
      <c r="U17" s="15">
        <f t="shared" si="5"/>
        <v>0</v>
      </c>
      <c r="V17" s="8">
        <f t="shared" si="6"/>
        <v>22</v>
      </c>
      <c r="W17" s="9">
        <f t="shared" si="7"/>
        <v>0.7857142857142857</v>
      </c>
    </row>
    <row r="18" spans="1:23" ht="18" customHeight="1" x14ac:dyDescent="0.2">
      <c r="A18" s="3">
        <f t="shared" si="9"/>
        <v>13</v>
      </c>
      <c r="B18" s="4" t="s">
        <v>35</v>
      </c>
      <c r="C18" s="3" t="s">
        <v>3</v>
      </c>
      <c r="D18" s="3">
        <v>26</v>
      </c>
      <c r="E18" s="3">
        <v>1</v>
      </c>
      <c r="F18" s="6">
        <f t="shared" si="0"/>
        <v>26</v>
      </c>
      <c r="G18" s="3"/>
      <c r="H18" s="14">
        <v>-1</v>
      </c>
      <c r="I18" s="6">
        <f t="shared" si="1"/>
        <v>0</v>
      </c>
      <c r="J18" s="3">
        <v>1</v>
      </c>
      <c r="K18" s="3">
        <v>-1</v>
      </c>
      <c r="L18" s="6">
        <f t="shared" si="2"/>
        <v>-1</v>
      </c>
      <c r="M18" s="24"/>
      <c r="N18" s="3">
        <v>-3</v>
      </c>
      <c r="O18" s="6">
        <f t="shared" si="3"/>
        <v>0</v>
      </c>
      <c r="P18" s="24">
        <v>2</v>
      </c>
      <c r="Q18" s="23">
        <v>1</v>
      </c>
      <c r="R18" s="22">
        <f t="shared" si="4"/>
        <v>2</v>
      </c>
      <c r="S18" s="3"/>
      <c r="T18" s="3">
        <v>-1</v>
      </c>
      <c r="U18" s="15">
        <f t="shared" si="5"/>
        <v>0</v>
      </c>
      <c r="V18" s="8">
        <f t="shared" si="6"/>
        <v>27</v>
      </c>
      <c r="W18" s="9">
        <f t="shared" si="7"/>
        <v>0.93103448275862066</v>
      </c>
    </row>
    <row r="19" spans="1:23" ht="18" customHeight="1" x14ac:dyDescent="0.2">
      <c r="A19" s="3">
        <f t="shared" si="9"/>
        <v>14</v>
      </c>
      <c r="B19" s="4" t="s">
        <v>4</v>
      </c>
      <c r="C19" s="3" t="s">
        <v>5</v>
      </c>
      <c r="D19" s="3">
        <v>18</v>
      </c>
      <c r="E19" s="3">
        <v>1</v>
      </c>
      <c r="F19" s="6">
        <f t="shared" si="0"/>
        <v>18</v>
      </c>
      <c r="G19" s="3">
        <v>5</v>
      </c>
      <c r="H19" s="14">
        <v>-1</v>
      </c>
      <c r="I19" s="6">
        <f t="shared" si="1"/>
        <v>-5</v>
      </c>
      <c r="J19" s="3">
        <v>2</v>
      </c>
      <c r="K19" s="3">
        <v>-1</v>
      </c>
      <c r="L19" s="6">
        <f t="shared" si="2"/>
        <v>-2</v>
      </c>
      <c r="M19" s="24"/>
      <c r="N19" s="3">
        <v>-3</v>
      </c>
      <c r="O19" s="6">
        <f t="shared" si="3"/>
        <v>0</v>
      </c>
      <c r="P19" s="24">
        <v>1</v>
      </c>
      <c r="Q19" s="23">
        <v>1</v>
      </c>
      <c r="R19" s="22">
        <f t="shared" si="4"/>
        <v>1</v>
      </c>
      <c r="S19" s="3"/>
      <c r="T19" s="3">
        <v>-1</v>
      </c>
      <c r="U19" s="15">
        <f t="shared" si="5"/>
        <v>0</v>
      </c>
      <c r="V19" s="8">
        <f t="shared" si="6"/>
        <v>12</v>
      </c>
      <c r="W19" s="9">
        <f t="shared" si="7"/>
        <v>0.46153846153846156</v>
      </c>
    </row>
    <row r="20" spans="1:23" ht="18" customHeight="1" x14ac:dyDescent="0.2">
      <c r="A20" s="3">
        <f t="shared" si="9"/>
        <v>15</v>
      </c>
      <c r="B20" s="4" t="s">
        <v>30</v>
      </c>
      <c r="C20" s="3" t="s">
        <v>6</v>
      </c>
      <c r="D20" s="3">
        <v>24</v>
      </c>
      <c r="E20" s="3">
        <v>1</v>
      </c>
      <c r="F20" s="6">
        <f t="shared" si="0"/>
        <v>24</v>
      </c>
      <c r="G20" s="3"/>
      <c r="H20" s="14">
        <v>-1</v>
      </c>
      <c r="I20" s="6">
        <f t="shared" si="1"/>
        <v>0</v>
      </c>
      <c r="J20" s="3"/>
      <c r="K20" s="3">
        <v>-1</v>
      </c>
      <c r="L20" s="6">
        <f t="shared" si="2"/>
        <v>0</v>
      </c>
      <c r="M20" s="24"/>
      <c r="N20" s="3">
        <v>-3</v>
      </c>
      <c r="O20" s="6">
        <f t="shared" si="3"/>
        <v>0</v>
      </c>
      <c r="P20" s="24">
        <v>2</v>
      </c>
      <c r="Q20" s="23">
        <v>1</v>
      </c>
      <c r="R20" s="22">
        <f t="shared" si="4"/>
        <v>2</v>
      </c>
      <c r="S20" s="3"/>
      <c r="T20" s="3">
        <v>-1</v>
      </c>
      <c r="U20" s="15">
        <f t="shared" si="5"/>
        <v>0</v>
      </c>
      <c r="V20" s="8">
        <f t="shared" si="6"/>
        <v>26</v>
      </c>
      <c r="W20" s="9">
        <f t="shared" si="7"/>
        <v>1</v>
      </c>
    </row>
    <row r="21" spans="1:23" ht="18" customHeight="1" x14ac:dyDescent="0.2">
      <c r="A21" s="3">
        <f t="shared" si="9"/>
        <v>16</v>
      </c>
      <c r="B21" s="4" t="s">
        <v>38</v>
      </c>
      <c r="C21" s="3" t="s">
        <v>6</v>
      </c>
      <c r="D21" s="3">
        <v>24</v>
      </c>
      <c r="E21" s="3">
        <v>1</v>
      </c>
      <c r="F21" s="15">
        <f t="shared" si="0"/>
        <v>24</v>
      </c>
      <c r="G21" s="3">
        <v>1</v>
      </c>
      <c r="H21" s="14">
        <v>-1</v>
      </c>
      <c r="I21" s="15">
        <f t="shared" si="1"/>
        <v>-1</v>
      </c>
      <c r="J21" s="3"/>
      <c r="K21" s="3">
        <v>-1</v>
      </c>
      <c r="L21" s="15">
        <f t="shared" si="2"/>
        <v>0</v>
      </c>
      <c r="M21" s="25"/>
      <c r="N21" s="3">
        <v>-3</v>
      </c>
      <c r="O21" s="6">
        <f t="shared" si="3"/>
        <v>0</v>
      </c>
      <c r="P21" s="25">
        <v>3</v>
      </c>
      <c r="Q21" s="23">
        <v>1</v>
      </c>
      <c r="R21" s="22">
        <f t="shared" si="4"/>
        <v>3</v>
      </c>
      <c r="S21" s="3"/>
      <c r="T21" s="3">
        <v>-1</v>
      </c>
      <c r="U21" s="15">
        <f t="shared" si="5"/>
        <v>0</v>
      </c>
      <c r="V21" s="8">
        <f t="shared" si="6"/>
        <v>26</v>
      </c>
      <c r="W21" s="9">
        <f t="shared" si="7"/>
        <v>0.9285714285714286</v>
      </c>
    </row>
    <row r="22" spans="1:23" ht="18" customHeight="1" x14ac:dyDescent="0.2">
      <c r="A22" s="3">
        <f t="shared" si="9"/>
        <v>17</v>
      </c>
      <c r="B22" s="4" t="s">
        <v>36</v>
      </c>
      <c r="C22" s="3" t="s">
        <v>37</v>
      </c>
      <c r="D22" s="3">
        <v>23</v>
      </c>
      <c r="E22" s="10">
        <v>1</v>
      </c>
      <c r="F22" s="6">
        <f t="shared" si="0"/>
        <v>23</v>
      </c>
      <c r="G22" s="3">
        <v>1</v>
      </c>
      <c r="H22" s="14">
        <v>-1</v>
      </c>
      <c r="I22" s="6">
        <f t="shared" si="1"/>
        <v>-1</v>
      </c>
      <c r="J22" s="3"/>
      <c r="K22" s="3">
        <v>-1</v>
      </c>
      <c r="L22" s="6">
        <f t="shared" si="2"/>
        <v>0</v>
      </c>
      <c r="M22" s="24"/>
      <c r="N22" s="3">
        <v>-3</v>
      </c>
      <c r="O22" s="6">
        <f t="shared" si="3"/>
        <v>0</v>
      </c>
      <c r="P22" s="24">
        <v>2</v>
      </c>
      <c r="Q22" s="23">
        <v>1</v>
      </c>
      <c r="R22" s="22">
        <f t="shared" si="4"/>
        <v>2</v>
      </c>
      <c r="S22" s="3"/>
      <c r="T22" s="3">
        <v>-1</v>
      </c>
      <c r="U22" s="15">
        <f t="shared" si="5"/>
        <v>0</v>
      </c>
      <c r="V22" s="8">
        <f t="shared" si="6"/>
        <v>24</v>
      </c>
      <c r="W22" s="9">
        <f t="shared" si="7"/>
        <v>0.92307692307692313</v>
      </c>
    </row>
    <row r="23" spans="1:23" ht="18" customHeight="1" x14ac:dyDescent="0.2">
      <c r="A23" s="3">
        <f>A22+1</f>
        <v>18</v>
      </c>
      <c r="B23" s="4" t="s">
        <v>41</v>
      </c>
      <c r="C23" s="3" t="s">
        <v>37</v>
      </c>
      <c r="D23" s="3">
        <v>25</v>
      </c>
      <c r="E23" s="3">
        <v>1</v>
      </c>
      <c r="F23" s="15">
        <f t="shared" si="0"/>
        <v>25</v>
      </c>
      <c r="G23" s="3"/>
      <c r="H23" s="14">
        <v>-1</v>
      </c>
      <c r="I23" s="15">
        <f t="shared" si="1"/>
        <v>0</v>
      </c>
      <c r="J23" s="3"/>
      <c r="K23" s="3">
        <v>-1</v>
      </c>
      <c r="L23" s="15">
        <f t="shared" si="2"/>
        <v>0</v>
      </c>
      <c r="M23" s="25"/>
      <c r="N23" s="3">
        <v>-3</v>
      </c>
      <c r="O23" s="6">
        <f t="shared" si="3"/>
        <v>0</v>
      </c>
      <c r="P23" s="25">
        <v>1</v>
      </c>
      <c r="Q23" s="29">
        <v>2</v>
      </c>
      <c r="R23" s="30">
        <f t="shared" si="4"/>
        <v>2</v>
      </c>
      <c r="S23" s="3"/>
      <c r="T23" s="3">
        <v>-1</v>
      </c>
      <c r="U23" s="15">
        <f t="shared" si="5"/>
        <v>0</v>
      </c>
      <c r="V23" s="31">
        <f t="shared" si="6"/>
        <v>27</v>
      </c>
      <c r="W23" s="9">
        <f t="shared" si="7"/>
        <v>1.0384615384615385</v>
      </c>
    </row>
    <row r="25" spans="1:23" x14ac:dyDescent="0.2">
      <c r="A25" s="17" t="s">
        <v>44</v>
      </c>
    </row>
    <row r="27" spans="1:23" ht="25.5" customHeight="1" x14ac:dyDescent="0.2">
      <c r="A27" s="28" t="s">
        <v>45</v>
      </c>
    </row>
    <row r="28" spans="1:23" x14ac:dyDescent="0.2">
      <c r="A28" s="18">
        <v>1</v>
      </c>
      <c r="B28" s="27" t="s">
        <v>89</v>
      </c>
    </row>
    <row r="29" spans="1:23" x14ac:dyDescent="0.2">
      <c r="A29" s="19">
        <v>2</v>
      </c>
      <c r="B29" s="17" t="s">
        <v>90</v>
      </c>
    </row>
    <row r="30" spans="1:23" x14ac:dyDescent="0.2">
      <c r="A30" s="18">
        <v>3</v>
      </c>
      <c r="B30" s="17" t="s">
        <v>91</v>
      </c>
    </row>
  </sheetData>
  <mergeCells count="13">
    <mergeCell ref="A1:V2"/>
    <mergeCell ref="A4:A5"/>
    <mergeCell ref="B4:B5"/>
    <mergeCell ref="C4:C5"/>
    <mergeCell ref="D4:U4"/>
    <mergeCell ref="V4:V5"/>
    <mergeCell ref="W4:W5"/>
    <mergeCell ref="D5:E5"/>
    <mergeCell ref="G5:H5"/>
    <mergeCell ref="J5:K5"/>
    <mergeCell ref="M5:N5"/>
    <mergeCell ref="P5:Q5"/>
    <mergeCell ref="S5:T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pane xSplit="2" ySplit="5" topLeftCell="W12" activePane="bottomRight" state="frozen"/>
      <selection pane="topRight" activeCell="C1" sqref="C1"/>
      <selection pane="bottomLeft" activeCell="A6" sqref="A6"/>
      <selection pane="bottomRight" activeCell="C6" sqref="C6"/>
    </sheetView>
  </sheetViews>
  <sheetFormatPr defaultRowHeight="14.25" x14ac:dyDescent="0.2"/>
  <cols>
    <col min="1" max="1" width="6.28515625" style="17" customWidth="1"/>
    <col min="2" max="2" width="22.5703125" style="17" customWidth="1"/>
    <col min="3" max="3" width="18.7109375" style="17" customWidth="1"/>
    <col min="4" max="19" width="5.42578125" style="17" customWidth="1"/>
    <col min="20" max="21" width="5.42578125" style="18" customWidth="1"/>
    <col min="22" max="22" width="10.42578125" style="17" customWidth="1"/>
    <col min="23" max="23" width="12.85546875" style="17" customWidth="1"/>
    <col min="24" max="16384" width="9.140625" style="17"/>
  </cols>
  <sheetData>
    <row r="1" spans="1:23" x14ac:dyDescent="0.2">
      <c r="A1" s="100" t="s">
        <v>124</v>
      </c>
      <c r="B1" s="100"/>
      <c r="C1" s="100"/>
      <c r="D1" s="100"/>
      <c r="E1" s="100"/>
      <c r="F1" s="100"/>
      <c r="G1" s="100"/>
      <c r="H1" s="100"/>
      <c r="I1" s="100"/>
      <c r="J1" s="100"/>
      <c r="K1" s="100"/>
      <c r="L1" s="100"/>
      <c r="M1" s="100"/>
      <c r="N1" s="100"/>
      <c r="O1" s="100"/>
      <c r="P1" s="100"/>
      <c r="Q1" s="100"/>
      <c r="R1" s="100"/>
      <c r="S1" s="100"/>
      <c r="T1" s="100"/>
      <c r="U1" s="100"/>
      <c r="V1" s="100"/>
    </row>
    <row r="2" spans="1:23" x14ac:dyDescent="0.2">
      <c r="A2" s="100"/>
      <c r="B2" s="100"/>
      <c r="C2" s="100"/>
      <c r="D2" s="100"/>
      <c r="E2" s="100"/>
      <c r="F2" s="100"/>
      <c r="G2" s="100"/>
      <c r="H2" s="100"/>
      <c r="I2" s="100"/>
      <c r="J2" s="100"/>
      <c r="K2" s="100"/>
      <c r="L2" s="100"/>
      <c r="M2" s="100"/>
      <c r="N2" s="100"/>
      <c r="O2" s="100"/>
      <c r="P2" s="100"/>
      <c r="Q2" s="100"/>
      <c r="R2" s="100"/>
      <c r="S2" s="100"/>
      <c r="T2" s="100"/>
      <c r="U2" s="100"/>
      <c r="V2" s="100"/>
    </row>
    <row r="4" spans="1:23" ht="15" x14ac:dyDescent="0.2">
      <c r="A4" s="94" t="s">
        <v>0</v>
      </c>
      <c r="B4" s="94" t="s">
        <v>12</v>
      </c>
      <c r="C4" s="94" t="s">
        <v>1</v>
      </c>
      <c r="D4" s="101" t="s">
        <v>13</v>
      </c>
      <c r="E4" s="102"/>
      <c r="F4" s="102"/>
      <c r="G4" s="102"/>
      <c r="H4" s="102"/>
      <c r="I4" s="102"/>
      <c r="J4" s="102"/>
      <c r="K4" s="102"/>
      <c r="L4" s="102"/>
      <c r="M4" s="102"/>
      <c r="N4" s="102"/>
      <c r="O4" s="102"/>
      <c r="P4" s="102"/>
      <c r="Q4" s="102"/>
      <c r="R4" s="102"/>
      <c r="S4" s="102"/>
      <c r="T4" s="102"/>
      <c r="U4" s="103"/>
      <c r="V4" s="94" t="s">
        <v>14</v>
      </c>
      <c r="W4" s="94" t="s">
        <v>15</v>
      </c>
    </row>
    <row r="5" spans="1:23" ht="44.25" customHeight="1" x14ac:dyDescent="0.2">
      <c r="A5" s="95"/>
      <c r="B5" s="95"/>
      <c r="C5" s="95"/>
      <c r="D5" s="96" t="s">
        <v>16</v>
      </c>
      <c r="E5" s="97"/>
      <c r="F5" s="1" t="s">
        <v>17</v>
      </c>
      <c r="G5" s="96" t="s">
        <v>18</v>
      </c>
      <c r="H5" s="97"/>
      <c r="I5" s="2" t="s">
        <v>17</v>
      </c>
      <c r="J5" s="96" t="s">
        <v>46</v>
      </c>
      <c r="K5" s="97"/>
      <c r="L5" s="2" t="s">
        <v>17</v>
      </c>
      <c r="M5" s="98" t="s">
        <v>19</v>
      </c>
      <c r="N5" s="99"/>
      <c r="O5" s="1" t="s">
        <v>17</v>
      </c>
      <c r="P5" s="105" t="s">
        <v>42</v>
      </c>
      <c r="Q5" s="105"/>
      <c r="R5" s="1" t="s">
        <v>17</v>
      </c>
      <c r="S5" s="106" t="s">
        <v>43</v>
      </c>
      <c r="T5" s="107"/>
      <c r="U5" s="1" t="s">
        <v>17</v>
      </c>
      <c r="V5" s="104"/>
      <c r="W5" s="95"/>
    </row>
    <row r="6" spans="1:23" ht="18" customHeight="1" x14ac:dyDescent="0.2">
      <c r="A6" s="3">
        <v>1</v>
      </c>
      <c r="B6" s="4" t="s">
        <v>20</v>
      </c>
      <c r="C6" s="3" t="s">
        <v>2</v>
      </c>
      <c r="D6" s="5">
        <v>24</v>
      </c>
      <c r="E6" s="52">
        <v>1</v>
      </c>
      <c r="F6" s="6">
        <f>D6*E6</f>
        <v>24</v>
      </c>
      <c r="G6" s="7"/>
      <c r="H6" s="5">
        <v>-1</v>
      </c>
      <c r="I6" s="6">
        <f>G6*H6</f>
        <v>0</v>
      </c>
      <c r="J6" s="7"/>
      <c r="K6" s="5">
        <v>-1</v>
      </c>
      <c r="L6" s="6">
        <f>J6*K6</f>
        <v>0</v>
      </c>
      <c r="M6" s="23"/>
      <c r="N6" s="5">
        <v>-3</v>
      </c>
      <c r="O6" s="6">
        <f>M6*N6</f>
        <v>0</v>
      </c>
      <c r="P6" s="23">
        <v>2</v>
      </c>
      <c r="Q6" s="23">
        <v>1</v>
      </c>
      <c r="R6" s="22">
        <f>P6*Q6</f>
        <v>2</v>
      </c>
      <c r="S6" s="3"/>
      <c r="T6" s="3">
        <v>-1</v>
      </c>
      <c r="U6" s="3">
        <f>S6*T6</f>
        <v>0</v>
      </c>
      <c r="V6" s="8">
        <f>F6+I6+L6+O6+R6+U6</f>
        <v>26</v>
      </c>
      <c r="W6" s="9">
        <f>V6/(D6+G6+J6+S6+P6+S6)</f>
        <v>1</v>
      </c>
    </row>
    <row r="7" spans="1:23" ht="18" customHeight="1" x14ac:dyDescent="0.2">
      <c r="A7" s="3">
        <f>A6+1</f>
        <v>2</v>
      </c>
      <c r="B7" s="4" t="s">
        <v>21</v>
      </c>
      <c r="C7" s="3" t="s">
        <v>2</v>
      </c>
      <c r="D7" s="3">
        <v>23</v>
      </c>
      <c r="E7" s="10">
        <v>1</v>
      </c>
      <c r="F7" s="6">
        <f t="shared" ref="F7:F23" si="0">D7*E7</f>
        <v>23</v>
      </c>
      <c r="G7" s="3"/>
      <c r="H7" s="3">
        <v>-1</v>
      </c>
      <c r="I7" s="6">
        <f t="shared" ref="I7:I23" si="1">G7*H7</f>
        <v>0</v>
      </c>
      <c r="J7" s="3"/>
      <c r="K7" s="3">
        <v>-1</v>
      </c>
      <c r="L7" s="6">
        <f t="shared" ref="L7:L23" si="2">J7*K7</f>
        <v>0</v>
      </c>
      <c r="M7" s="24"/>
      <c r="N7" s="3">
        <v>-3</v>
      </c>
      <c r="O7" s="6">
        <f t="shared" ref="O7:O23" si="3">M7*N7</f>
        <v>0</v>
      </c>
      <c r="P7" s="24">
        <v>5</v>
      </c>
      <c r="Q7" s="23">
        <v>1</v>
      </c>
      <c r="R7" s="22">
        <f t="shared" ref="R7:R23" si="4">P7*Q7</f>
        <v>5</v>
      </c>
      <c r="S7" s="3"/>
      <c r="T7" s="3">
        <v>-1</v>
      </c>
      <c r="U7" s="3">
        <f t="shared" ref="U7:U23" si="5">S7*T7</f>
        <v>0</v>
      </c>
      <c r="V7" s="8">
        <f t="shared" ref="V7:V23" si="6">F7+I7+L7+O7+R7+U7</f>
        <v>28</v>
      </c>
      <c r="W7" s="9">
        <f t="shared" ref="W7:W23" si="7">V7/(D7+G7+J7+S7+P7+S7)</f>
        <v>1</v>
      </c>
    </row>
    <row r="8" spans="1:23" ht="18" customHeight="1" x14ac:dyDescent="0.2">
      <c r="A8" s="3">
        <f t="shared" ref="A8:A13" si="8">A7+1</f>
        <v>3</v>
      </c>
      <c r="B8" s="4" t="s">
        <v>22</v>
      </c>
      <c r="C8" s="3" t="s">
        <v>2</v>
      </c>
      <c r="D8" s="3">
        <v>22</v>
      </c>
      <c r="E8" s="10">
        <v>1</v>
      </c>
      <c r="F8" s="6">
        <f t="shared" si="0"/>
        <v>22</v>
      </c>
      <c r="G8" s="3"/>
      <c r="H8" s="3">
        <v>-1</v>
      </c>
      <c r="I8" s="6">
        <f t="shared" si="1"/>
        <v>0</v>
      </c>
      <c r="J8" s="3"/>
      <c r="K8" s="3">
        <v>-1</v>
      </c>
      <c r="L8" s="6">
        <f t="shared" si="2"/>
        <v>0</v>
      </c>
      <c r="M8" s="24"/>
      <c r="N8" s="3">
        <v>-3</v>
      </c>
      <c r="O8" s="6">
        <f t="shared" si="3"/>
        <v>0</v>
      </c>
      <c r="P8" s="24">
        <v>3</v>
      </c>
      <c r="Q8" s="23">
        <v>1</v>
      </c>
      <c r="R8" s="22">
        <f t="shared" si="4"/>
        <v>3</v>
      </c>
      <c r="S8" s="3"/>
      <c r="T8" s="3">
        <v>-1</v>
      </c>
      <c r="U8" s="3">
        <f t="shared" si="5"/>
        <v>0</v>
      </c>
      <c r="V8" s="8">
        <f t="shared" si="6"/>
        <v>25</v>
      </c>
      <c r="W8" s="9">
        <f t="shared" si="7"/>
        <v>1</v>
      </c>
    </row>
    <row r="9" spans="1:23" ht="18" customHeight="1" x14ac:dyDescent="0.2">
      <c r="A9" s="3">
        <f t="shared" si="8"/>
        <v>4</v>
      </c>
      <c r="B9" s="4" t="s">
        <v>23</v>
      </c>
      <c r="C9" s="3" t="s">
        <v>2</v>
      </c>
      <c r="D9" s="3">
        <v>20</v>
      </c>
      <c r="E9" s="10">
        <v>1</v>
      </c>
      <c r="F9" s="6">
        <f t="shared" si="0"/>
        <v>20</v>
      </c>
      <c r="G9" s="3"/>
      <c r="H9" s="3">
        <v>-1</v>
      </c>
      <c r="I9" s="6">
        <f t="shared" si="1"/>
        <v>0</v>
      </c>
      <c r="J9" s="3"/>
      <c r="K9" s="3">
        <v>-1</v>
      </c>
      <c r="L9" s="6">
        <f t="shared" si="2"/>
        <v>0</v>
      </c>
      <c r="M9" s="24">
        <v>1</v>
      </c>
      <c r="N9" s="3">
        <v>-3</v>
      </c>
      <c r="O9" s="6">
        <f t="shared" si="3"/>
        <v>-3</v>
      </c>
      <c r="P9" s="24">
        <v>3</v>
      </c>
      <c r="Q9" s="23">
        <v>1</v>
      </c>
      <c r="R9" s="22">
        <f t="shared" si="4"/>
        <v>3</v>
      </c>
      <c r="S9" s="3"/>
      <c r="T9" s="3">
        <v>-1</v>
      </c>
      <c r="U9" s="3">
        <f t="shared" si="5"/>
        <v>0</v>
      </c>
      <c r="V9" s="8">
        <f t="shared" si="6"/>
        <v>20</v>
      </c>
      <c r="W9" s="9">
        <f t="shared" si="7"/>
        <v>0.86956521739130432</v>
      </c>
    </row>
    <row r="10" spans="1:23" ht="18" customHeight="1" x14ac:dyDescent="0.2">
      <c r="A10" s="3">
        <f t="shared" si="8"/>
        <v>5</v>
      </c>
      <c r="B10" s="4" t="s">
        <v>24</v>
      </c>
      <c r="C10" s="3" t="s">
        <v>3</v>
      </c>
      <c r="D10" s="3">
        <v>24</v>
      </c>
      <c r="E10" s="10">
        <v>1</v>
      </c>
      <c r="F10" s="6">
        <f t="shared" si="0"/>
        <v>24</v>
      </c>
      <c r="G10" s="3"/>
      <c r="H10" s="3">
        <v>-1</v>
      </c>
      <c r="I10" s="6">
        <f t="shared" si="1"/>
        <v>0</v>
      </c>
      <c r="J10" s="3"/>
      <c r="K10" s="3">
        <v>-1</v>
      </c>
      <c r="L10" s="6">
        <f t="shared" si="2"/>
        <v>0</v>
      </c>
      <c r="M10" s="24"/>
      <c r="N10" s="3">
        <v>-3</v>
      </c>
      <c r="O10" s="6">
        <f t="shared" si="3"/>
        <v>0</v>
      </c>
      <c r="P10" s="24">
        <v>3</v>
      </c>
      <c r="Q10" s="23">
        <v>1</v>
      </c>
      <c r="R10" s="22">
        <f t="shared" si="4"/>
        <v>3</v>
      </c>
      <c r="S10" s="3"/>
      <c r="T10" s="3">
        <v>-1</v>
      </c>
      <c r="U10" s="3">
        <f t="shared" si="5"/>
        <v>0</v>
      </c>
      <c r="V10" s="8">
        <f t="shared" si="6"/>
        <v>27</v>
      </c>
      <c r="W10" s="9">
        <f t="shared" si="7"/>
        <v>1</v>
      </c>
    </row>
    <row r="11" spans="1:23" ht="18" customHeight="1" x14ac:dyDescent="0.2">
      <c r="A11" s="3">
        <f t="shared" si="8"/>
        <v>6</v>
      </c>
      <c r="B11" s="4" t="s">
        <v>25</v>
      </c>
      <c r="C11" s="3" t="s">
        <v>3</v>
      </c>
      <c r="D11" s="3">
        <v>22</v>
      </c>
      <c r="E11" s="10">
        <v>1</v>
      </c>
      <c r="F11" s="6">
        <f t="shared" si="0"/>
        <v>22</v>
      </c>
      <c r="G11" s="3">
        <v>1</v>
      </c>
      <c r="H11" s="3">
        <v>-1</v>
      </c>
      <c r="I11" s="6">
        <f t="shared" si="1"/>
        <v>-1</v>
      </c>
      <c r="J11" s="3"/>
      <c r="K11" s="3">
        <v>-1</v>
      </c>
      <c r="L11" s="6">
        <f t="shared" si="2"/>
        <v>0</v>
      </c>
      <c r="M11" s="24"/>
      <c r="N11" s="3">
        <v>-3</v>
      </c>
      <c r="O11" s="6">
        <f t="shared" si="3"/>
        <v>0</v>
      </c>
      <c r="P11" s="24">
        <v>4</v>
      </c>
      <c r="Q11" s="23">
        <v>1</v>
      </c>
      <c r="R11" s="22">
        <f t="shared" si="4"/>
        <v>4</v>
      </c>
      <c r="S11" s="3"/>
      <c r="T11" s="3">
        <v>-1</v>
      </c>
      <c r="U11" s="3">
        <f t="shared" si="5"/>
        <v>0</v>
      </c>
      <c r="V11" s="8">
        <f t="shared" si="6"/>
        <v>25</v>
      </c>
      <c r="W11" s="9">
        <f t="shared" si="7"/>
        <v>0.92592592592592593</v>
      </c>
    </row>
    <row r="12" spans="1:23" ht="18" customHeight="1" x14ac:dyDescent="0.2">
      <c r="A12" s="3">
        <f t="shared" si="8"/>
        <v>7</v>
      </c>
      <c r="B12" s="4" t="s">
        <v>26</v>
      </c>
      <c r="C12" s="3" t="s">
        <v>3</v>
      </c>
      <c r="D12" s="11">
        <v>22</v>
      </c>
      <c r="E12" s="12">
        <v>1</v>
      </c>
      <c r="F12" s="6">
        <f t="shared" si="0"/>
        <v>22</v>
      </c>
      <c r="G12" s="11"/>
      <c r="H12" s="11">
        <v>-1</v>
      </c>
      <c r="I12" s="6">
        <f t="shared" si="1"/>
        <v>0</v>
      </c>
      <c r="J12" s="11"/>
      <c r="K12" s="11">
        <v>-1</v>
      </c>
      <c r="L12" s="6">
        <f t="shared" si="2"/>
        <v>0</v>
      </c>
      <c r="M12" s="24"/>
      <c r="N12" s="11">
        <v>-3</v>
      </c>
      <c r="O12" s="6">
        <f t="shared" si="3"/>
        <v>0</v>
      </c>
      <c r="P12" s="25">
        <v>3</v>
      </c>
      <c r="Q12" s="23">
        <v>1</v>
      </c>
      <c r="R12" s="22">
        <f t="shared" si="4"/>
        <v>3</v>
      </c>
      <c r="S12" s="11"/>
      <c r="T12" s="3">
        <v>-1</v>
      </c>
      <c r="U12" s="3">
        <f t="shared" si="5"/>
        <v>0</v>
      </c>
      <c r="V12" s="8">
        <f t="shared" si="6"/>
        <v>25</v>
      </c>
      <c r="W12" s="9">
        <f t="shared" si="7"/>
        <v>1</v>
      </c>
    </row>
    <row r="13" spans="1:23" ht="18" customHeight="1" x14ac:dyDescent="0.2">
      <c r="A13" s="3">
        <f t="shared" si="8"/>
        <v>8</v>
      </c>
      <c r="B13" s="4" t="s">
        <v>27</v>
      </c>
      <c r="C13" s="3" t="s">
        <v>3</v>
      </c>
      <c r="D13" s="3">
        <v>20</v>
      </c>
      <c r="E13" s="10">
        <v>1</v>
      </c>
      <c r="F13" s="6">
        <f t="shared" si="0"/>
        <v>20</v>
      </c>
      <c r="G13" s="3">
        <v>2</v>
      </c>
      <c r="H13" s="3">
        <v>-1</v>
      </c>
      <c r="I13" s="6">
        <f t="shared" si="1"/>
        <v>-2</v>
      </c>
      <c r="J13" s="3"/>
      <c r="K13" s="3">
        <v>-1</v>
      </c>
      <c r="L13" s="6">
        <f t="shared" si="2"/>
        <v>0</v>
      </c>
      <c r="M13" s="25"/>
      <c r="N13" s="3">
        <v>-3</v>
      </c>
      <c r="O13" s="6">
        <f t="shared" si="3"/>
        <v>0</v>
      </c>
      <c r="P13" s="25">
        <v>3</v>
      </c>
      <c r="Q13" s="23">
        <v>1</v>
      </c>
      <c r="R13" s="22">
        <f t="shared" si="4"/>
        <v>3</v>
      </c>
      <c r="S13" s="3"/>
      <c r="T13" s="3">
        <v>-1</v>
      </c>
      <c r="U13" s="3">
        <f t="shared" si="5"/>
        <v>0</v>
      </c>
      <c r="V13" s="8">
        <f t="shared" si="6"/>
        <v>21</v>
      </c>
      <c r="W13" s="9">
        <f t="shared" si="7"/>
        <v>0.84</v>
      </c>
    </row>
    <row r="14" spans="1:23" ht="18" customHeight="1" x14ac:dyDescent="0.2">
      <c r="A14" s="3">
        <f>A13+1</f>
        <v>9</v>
      </c>
      <c r="B14" s="4" t="s">
        <v>28</v>
      </c>
      <c r="C14" s="3" t="s">
        <v>3</v>
      </c>
      <c r="D14" s="13">
        <v>22</v>
      </c>
      <c r="E14" s="10">
        <v>1</v>
      </c>
      <c r="F14" s="6">
        <f t="shared" si="0"/>
        <v>22</v>
      </c>
      <c r="G14" s="13"/>
      <c r="H14" s="3">
        <v>-1</v>
      </c>
      <c r="I14" s="6">
        <f t="shared" si="1"/>
        <v>0</v>
      </c>
      <c r="J14" s="13"/>
      <c r="K14" s="3">
        <v>-1</v>
      </c>
      <c r="L14" s="6">
        <f t="shared" si="2"/>
        <v>0</v>
      </c>
      <c r="M14" s="25"/>
      <c r="N14" s="3">
        <v>-3</v>
      </c>
      <c r="O14" s="6">
        <f t="shared" si="3"/>
        <v>0</v>
      </c>
      <c r="P14" s="25">
        <v>3</v>
      </c>
      <c r="Q14" s="23">
        <v>1</v>
      </c>
      <c r="R14" s="22">
        <f t="shared" si="4"/>
        <v>3</v>
      </c>
      <c r="S14" s="3"/>
      <c r="T14" s="3">
        <v>-1</v>
      </c>
      <c r="U14" s="3">
        <f t="shared" si="5"/>
        <v>0</v>
      </c>
      <c r="V14" s="8">
        <f t="shared" si="6"/>
        <v>25</v>
      </c>
      <c r="W14" s="9">
        <f t="shared" si="7"/>
        <v>1</v>
      </c>
    </row>
    <row r="15" spans="1:23" ht="18" customHeight="1" x14ac:dyDescent="0.2">
      <c r="A15" s="3">
        <f>A14+1</f>
        <v>10</v>
      </c>
      <c r="B15" s="4" t="s">
        <v>29</v>
      </c>
      <c r="C15" s="3" t="s">
        <v>3</v>
      </c>
      <c r="D15" s="13">
        <v>23</v>
      </c>
      <c r="E15" s="10">
        <v>1</v>
      </c>
      <c r="F15" s="6">
        <f t="shared" si="0"/>
        <v>23</v>
      </c>
      <c r="G15" s="13"/>
      <c r="H15" s="14">
        <v>-1</v>
      </c>
      <c r="I15" s="6">
        <f t="shared" si="1"/>
        <v>0</v>
      </c>
      <c r="J15" s="13"/>
      <c r="K15" s="14">
        <v>-1</v>
      </c>
      <c r="L15" s="6">
        <f t="shared" si="2"/>
        <v>0</v>
      </c>
      <c r="M15" s="25"/>
      <c r="N15" s="14">
        <v>-3</v>
      </c>
      <c r="O15" s="6">
        <f t="shared" si="3"/>
        <v>0</v>
      </c>
      <c r="P15" s="25">
        <v>3</v>
      </c>
      <c r="Q15" s="23">
        <v>1</v>
      </c>
      <c r="R15" s="22">
        <f t="shared" si="4"/>
        <v>3</v>
      </c>
      <c r="S15" s="3"/>
      <c r="T15" s="3">
        <v>-1</v>
      </c>
      <c r="U15" s="3">
        <f t="shared" si="5"/>
        <v>0</v>
      </c>
      <c r="V15" s="8">
        <f t="shared" si="6"/>
        <v>26</v>
      </c>
      <c r="W15" s="9">
        <f t="shared" si="7"/>
        <v>1</v>
      </c>
    </row>
    <row r="16" spans="1:23" ht="18" customHeight="1" x14ac:dyDescent="0.2">
      <c r="A16" s="3">
        <f>A15+1</f>
        <v>11</v>
      </c>
      <c r="B16" s="4" t="s">
        <v>33</v>
      </c>
      <c r="C16" s="3" t="s">
        <v>3</v>
      </c>
      <c r="D16" s="3">
        <v>24</v>
      </c>
      <c r="E16" s="3">
        <v>1</v>
      </c>
      <c r="F16" s="6">
        <f t="shared" si="0"/>
        <v>24</v>
      </c>
      <c r="G16" s="3"/>
      <c r="H16" s="14">
        <v>-1</v>
      </c>
      <c r="I16" s="6">
        <f t="shared" si="1"/>
        <v>0</v>
      </c>
      <c r="J16" s="3"/>
      <c r="K16" s="3">
        <v>-1</v>
      </c>
      <c r="L16" s="6">
        <f t="shared" si="2"/>
        <v>0</v>
      </c>
      <c r="M16" s="24"/>
      <c r="N16" s="3">
        <v>-3</v>
      </c>
      <c r="O16" s="6">
        <f t="shared" si="3"/>
        <v>0</v>
      </c>
      <c r="P16" s="25">
        <v>5</v>
      </c>
      <c r="Q16" s="23">
        <v>1</v>
      </c>
      <c r="R16" s="22">
        <f t="shared" si="4"/>
        <v>5</v>
      </c>
      <c r="S16" s="3"/>
      <c r="T16" s="3">
        <v>-1</v>
      </c>
      <c r="U16" s="3">
        <f t="shared" si="5"/>
        <v>0</v>
      </c>
      <c r="V16" s="8">
        <f t="shared" si="6"/>
        <v>29</v>
      </c>
      <c r="W16" s="9">
        <f t="shared" si="7"/>
        <v>1</v>
      </c>
    </row>
    <row r="17" spans="1:23" ht="18" customHeight="1" x14ac:dyDescent="0.2">
      <c r="A17" s="3">
        <f t="shared" ref="A17:A22" si="9">A16+1</f>
        <v>12</v>
      </c>
      <c r="B17" s="4" t="s">
        <v>34</v>
      </c>
      <c r="C17" s="3" t="s">
        <v>3</v>
      </c>
      <c r="D17" s="3">
        <v>21</v>
      </c>
      <c r="E17" s="3">
        <v>1</v>
      </c>
      <c r="F17" s="6">
        <f t="shared" si="0"/>
        <v>21</v>
      </c>
      <c r="G17" s="3">
        <v>2</v>
      </c>
      <c r="H17" s="14">
        <v>-1</v>
      </c>
      <c r="I17" s="6">
        <f t="shared" si="1"/>
        <v>-2</v>
      </c>
      <c r="J17" s="3"/>
      <c r="K17" s="3">
        <v>-1</v>
      </c>
      <c r="L17" s="6">
        <f t="shared" si="2"/>
        <v>0</v>
      </c>
      <c r="M17" s="24"/>
      <c r="N17" s="3">
        <v>-3</v>
      </c>
      <c r="O17" s="6">
        <f t="shared" si="3"/>
        <v>0</v>
      </c>
      <c r="P17" s="24">
        <v>4</v>
      </c>
      <c r="Q17" s="23">
        <v>1</v>
      </c>
      <c r="R17" s="22">
        <f t="shared" si="4"/>
        <v>4</v>
      </c>
      <c r="S17" s="3"/>
      <c r="T17" s="3">
        <v>-1</v>
      </c>
      <c r="U17" s="3">
        <f t="shared" si="5"/>
        <v>0</v>
      </c>
      <c r="V17" s="8">
        <f t="shared" si="6"/>
        <v>23</v>
      </c>
      <c r="W17" s="9">
        <f t="shared" si="7"/>
        <v>0.85185185185185186</v>
      </c>
    </row>
    <row r="18" spans="1:23" ht="18" customHeight="1" x14ac:dyDescent="0.2">
      <c r="A18" s="3">
        <f t="shared" si="9"/>
        <v>13</v>
      </c>
      <c r="B18" s="4" t="s">
        <v>35</v>
      </c>
      <c r="C18" s="3" t="s">
        <v>3</v>
      </c>
      <c r="D18" s="3">
        <v>20</v>
      </c>
      <c r="E18" s="3">
        <v>1</v>
      </c>
      <c r="F18" s="6">
        <f t="shared" si="0"/>
        <v>20</v>
      </c>
      <c r="G18" s="3">
        <v>3</v>
      </c>
      <c r="H18" s="14">
        <v>-1</v>
      </c>
      <c r="I18" s="6">
        <f t="shared" si="1"/>
        <v>-3</v>
      </c>
      <c r="J18" s="3">
        <v>1</v>
      </c>
      <c r="K18" s="3">
        <v>-1</v>
      </c>
      <c r="L18" s="6">
        <f t="shared" si="2"/>
        <v>-1</v>
      </c>
      <c r="M18" s="24"/>
      <c r="N18" s="3">
        <v>-3</v>
      </c>
      <c r="O18" s="6">
        <f t="shared" si="3"/>
        <v>0</v>
      </c>
      <c r="P18" s="24">
        <v>3</v>
      </c>
      <c r="Q18" s="23">
        <v>1</v>
      </c>
      <c r="R18" s="22">
        <f t="shared" si="4"/>
        <v>3</v>
      </c>
      <c r="S18" s="3"/>
      <c r="T18" s="3">
        <v>-1</v>
      </c>
      <c r="U18" s="3">
        <f t="shared" si="5"/>
        <v>0</v>
      </c>
      <c r="V18" s="8">
        <f t="shared" si="6"/>
        <v>19</v>
      </c>
      <c r="W18" s="9">
        <f t="shared" si="7"/>
        <v>0.70370370370370372</v>
      </c>
    </row>
    <row r="19" spans="1:23" ht="18" customHeight="1" x14ac:dyDescent="0.2">
      <c r="A19" s="3">
        <f t="shared" si="9"/>
        <v>14</v>
      </c>
      <c r="B19" s="4" t="s">
        <v>4</v>
      </c>
      <c r="C19" s="3" t="s">
        <v>5</v>
      </c>
      <c r="D19" s="3">
        <v>19</v>
      </c>
      <c r="E19" s="3">
        <v>1</v>
      </c>
      <c r="F19" s="6">
        <f t="shared" si="0"/>
        <v>19</v>
      </c>
      <c r="G19" s="3">
        <v>5</v>
      </c>
      <c r="H19" s="14">
        <v>-1</v>
      </c>
      <c r="I19" s="6">
        <f t="shared" si="1"/>
        <v>-5</v>
      </c>
      <c r="J19" s="3">
        <v>2</v>
      </c>
      <c r="K19" s="3">
        <v>-1</v>
      </c>
      <c r="L19" s="6">
        <f t="shared" si="2"/>
        <v>-2</v>
      </c>
      <c r="M19" s="24"/>
      <c r="N19" s="3">
        <v>-3</v>
      </c>
      <c r="O19" s="6">
        <f t="shared" si="3"/>
        <v>0</v>
      </c>
      <c r="P19" s="24">
        <v>3</v>
      </c>
      <c r="Q19" s="23">
        <v>1</v>
      </c>
      <c r="R19" s="22">
        <f t="shared" si="4"/>
        <v>3</v>
      </c>
      <c r="S19" s="3"/>
      <c r="T19" s="3">
        <v>-1</v>
      </c>
      <c r="U19" s="3">
        <f t="shared" si="5"/>
        <v>0</v>
      </c>
      <c r="V19" s="8">
        <f t="shared" si="6"/>
        <v>15</v>
      </c>
      <c r="W19" s="9">
        <f t="shared" si="7"/>
        <v>0.51724137931034486</v>
      </c>
    </row>
    <row r="20" spans="1:23" ht="18" customHeight="1" x14ac:dyDescent="0.2">
      <c r="A20" s="3">
        <f t="shared" si="9"/>
        <v>15</v>
      </c>
      <c r="B20" s="4" t="s">
        <v>30</v>
      </c>
      <c r="C20" s="3" t="s">
        <v>6</v>
      </c>
      <c r="D20" s="3">
        <v>22</v>
      </c>
      <c r="E20" s="3">
        <v>1</v>
      </c>
      <c r="F20" s="6">
        <f t="shared" si="0"/>
        <v>22</v>
      </c>
      <c r="G20" s="3"/>
      <c r="H20" s="14">
        <v>-1</v>
      </c>
      <c r="I20" s="6">
        <f t="shared" si="1"/>
        <v>0</v>
      </c>
      <c r="J20" s="3"/>
      <c r="K20" s="3">
        <v>-1</v>
      </c>
      <c r="L20" s="6">
        <f t="shared" si="2"/>
        <v>0</v>
      </c>
      <c r="M20" s="24"/>
      <c r="N20" s="3">
        <v>-3</v>
      </c>
      <c r="O20" s="6">
        <f t="shared" si="3"/>
        <v>0</v>
      </c>
      <c r="P20" s="24">
        <v>3</v>
      </c>
      <c r="Q20" s="23">
        <v>1</v>
      </c>
      <c r="R20" s="22">
        <f t="shared" si="4"/>
        <v>3</v>
      </c>
      <c r="S20" s="3"/>
      <c r="T20" s="3">
        <v>-1</v>
      </c>
      <c r="U20" s="3">
        <f t="shared" si="5"/>
        <v>0</v>
      </c>
      <c r="V20" s="8">
        <f t="shared" si="6"/>
        <v>25</v>
      </c>
      <c r="W20" s="9">
        <f t="shared" si="7"/>
        <v>1</v>
      </c>
    </row>
    <row r="21" spans="1:23" ht="18" customHeight="1" x14ac:dyDescent="0.2">
      <c r="A21" s="3">
        <f t="shared" si="9"/>
        <v>16</v>
      </c>
      <c r="B21" s="4" t="s">
        <v>38</v>
      </c>
      <c r="C21" s="3" t="s">
        <v>6</v>
      </c>
      <c r="D21" s="3">
        <v>23</v>
      </c>
      <c r="E21" s="3">
        <v>1</v>
      </c>
      <c r="F21" s="15">
        <f t="shared" si="0"/>
        <v>23</v>
      </c>
      <c r="G21" s="3"/>
      <c r="H21" s="14">
        <v>-1</v>
      </c>
      <c r="I21" s="15">
        <f t="shared" si="1"/>
        <v>0</v>
      </c>
      <c r="J21" s="3">
        <v>1</v>
      </c>
      <c r="K21" s="3">
        <v>-1</v>
      </c>
      <c r="L21" s="15">
        <f t="shared" si="2"/>
        <v>-1</v>
      </c>
      <c r="M21" s="25"/>
      <c r="N21" s="3">
        <v>-3</v>
      </c>
      <c r="O21" s="6">
        <f t="shared" si="3"/>
        <v>0</v>
      </c>
      <c r="P21" s="25">
        <v>4</v>
      </c>
      <c r="Q21" s="23">
        <v>1</v>
      </c>
      <c r="R21" s="22">
        <f t="shared" si="4"/>
        <v>4</v>
      </c>
      <c r="S21" s="3"/>
      <c r="T21" s="3">
        <v>-1</v>
      </c>
      <c r="U21" s="3">
        <f t="shared" si="5"/>
        <v>0</v>
      </c>
      <c r="V21" s="8">
        <f t="shared" si="6"/>
        <v>26</v>
      </c>
      <c r="W21" s="9">
        <f t="shared" si="7"/>
        <v>0.9285714285714286</v>
      </c>
    </row>
    <row r="22" spans="1:23" ht="18" customHeight="1" x14ac:dyDescent="0.2">
      <c r="A22" s="3">
        <f t="shared" si="9"/>
        <v>17</v>
      </c>
      <c r="B22" s="4" t="s">
        <v>36</v>
      </c>
      <c r="C22" s="3" t="s">
        <v>37</v>
      </c>
      <c r="D22" s="3">
        <v>24</v>
      </c>
      <c r="E22" s="10">
        <v>1</v>
      </c>
      <c r="F22" s="6">
        <f t="shared" si="0"/>
        <v>24</v>
      </c>
      <c r="G22" s="3"/>
      <c r="H22" s="14">
        <v>-1</v>
      </c>
      <c r="I22" s="6">
        <f t="shared" si="1"/>
        <v>0</v>
      </c>
      <c r="J22" s="3"/>
      <c r="K22" s="3">
        <v>-1</v>
      </c>
      <c r="L22" s="6">
        <f t="shared" si="2"/>
        <v>0</v>
      </c>
      <c r="M22" s="24"/>
      <c r="N22" s="3">
        <v>-3</v>
      </c>
      <c r="O22" s="6">
        <f t="shared" si="3"/>
        <v>0</v>
      </c>
      <c r="P22" s="24">
        <v>3</v>
      </c>
      <c r="Q22" s="23">
        <v>1</v>
      </c>
      <c r="R22" s="22">
        <f t="shared" si="4"/>
        <v>3</v>
      </c>
      <c r="S22" s="3"/>
      <c r="T22" s="3">
        <v>-1</v>
      </c>
      <c r="U22" s="3">
        <f t="shared" si="5"/>
        <v>0</v>
      </c>
      <c r="V22" s="8">
        <f t="shared" si="6"/>
        <v>27</v>
      </c>
      <c r="W22" s="9">
        <f t="shared" si="7"/>
        <v>1</v>
      </c>
    </row>
    <row r="23" spans="1:23" ht="18" customHeight="1" x14ac:dyDescent="0.2">
      <c r="A23" s="3">
        <f>A22+1</f>
        <v>18</v>
      </c>
      <c r="B23" s="4" t="s">
        <v>41</v>
      </c>
      <c r="C23" s="3" t="s">
        <v>37</v>
      </c>
      <c r="D23" s="3">
        <v>23</v>
      </c>
      <c r="E23" s="3">
        <v>1</v>
      </c>
      <c r="F23" s="15">
        <f t="shared" si="0"/>
        <v>23</v>
      </c>
      <c r="G23" s="3"/>
      <c r="H23" s="14">
        <v>-1</v>
      </c>
      <c r="I23" s="15">
        <f t="shared" si="1"/>
        <v>0</v>
      </c>
      <c r="J23" s="3"/>
      <c r="K23" s="3">
        <v>-1</v>
      </c>
      <c r="L23" s="15">
        <f t="shared" si="2"/>
        <v>0</v>
      </c>
      <c r="M23" s="25"/>
      <c r="N23" s="3">
        <v>-3</v>
      </c>
      <c r="O23" s="6">
        <f t="shared" si="3"/>
        <v>0</v>
      </c>
      <c r="P23" s="25">
        <v>2</v>
      </c>
      <c r="Q23" s="29">
        <v>1</v>
      </c>
      <c r="R23" s="30">
        <f t="shared" si="4"/>
        <v>2</v>
      </c>
      <c r="S23" s="3"/>
      <c r="T23" s="3">
        <v>-1</v>
      </c>
      <c r="U23" s="3">
        <f t="shared" si="5"/>
        <v>0</v>
      </c>
      <c r="V23" s="31">
        <f t="shared" si="6"/>
        <v>25</v>
      </c>
      <c r="W23" s="9">
        <f t="shared" si="7"/>
        <v>1</v>
      </c>
    </row>
    <row r="25" spans="1:23" x14ac:dyDescent="0.2">
      <c r="A25" s="17" t="s">
        <v>44</v>
      </c>
    </row>
    <row r="27" spans="1:23" ht="25.5" customHeight="1" x14ac:dyDescent="0.2">
      <c r="A27" s="28" t="s">
        <v>45</v>
      </c>
    </row>
    <row r="28" spans="1:23" x14ac:dyDescent="0.2">
      <c r="A28" s="18">
        <v>1</v>
      </c>
      <c r="B28" s="27" t="s">
        <v>125</v>
      </c>
    </row>
    <row r="29" spans="1:23" x14ac:dyDescent="0.2">
      <c r="A29" s="19">
        <v>2</v>
      </c>
      <c r="B29" s="17" t="s">
        <v>126</v>
      </c>
    </row>
  </sheetData>
  <mergeCells count="13">
    <mergeCell ref="A1:V2"/>
    <mergeCell ref="A4:A5"/>
    <mergeCell ref="B4:B5"/>
    <mergeCell ref="C4:C5"/>
    <mergeCell ref="D4:U4"/>
    <mergeCell ref="V4:V5"/>
    <mergeCell ref="W4:W5"/>
    <mergeCell ref="D5:E5"/>
    <mergeCell ref="G5:H5"/>
    <mergeCell ref="J5:K5"/>
    <mergeCell ref="M5:N5"/>
    <mergeCell ref="P5:Q5"/>
    <mergeCell ref="S5:T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
  <sheetViews>
    <sheetView zoomScale="110" zoomScaleNormal="110" workbookViewId="0">
      <pane xSplit="2" ySplit="5" topLeftCell="W6" activePane="bottomRight" state="frozen"/>
      <selection pane="topRight" activeCell="C1" sqref="C1"/>
      <selection pane="bottomLeft" activeCell="A6" sqref="A6"/>
      <selection pane="bottomRight" activeCell="C6" sqref="C6"/>
    </sheetView>
  </sheetViews>
  <sheetFormatPr defaultRowHeight="15" x14ac:dyDescent="0.25"/>
  <cols>
    <col min="1" max="1" width="6.5703125" customWidth="1"/>
    <col min="2" max="3" width="13.42578125" customWidth="1"/>
    <col min="4" max="21" width="5.140625" customWidth="1"/>
    <col min="22" max="22" width="6.5703125" customWidth="1"/>
    <col min="23" max="23" width="12.85546875" bestFit="1" customWidth="1"/>
  </cols>
  <sheetData>
    <row r="1" spans="1:24" x14ac:dyDescent="0.25">
      <c r="A1" s="108" t="s">
        <v>84</v>
      </c>
      <c r="B1" s="108"/>
      <c r="C1" s="108"/>
      <c r="D1" s="108"/>
      <c r="E1" s="108"/>
      <c r="F1" s="108"/>
      <c r="G1" s="108"/>
      <c r="H1" s="108"/>
      <c r="I1" s="108"/>
      <c r="J1" s="108"/>
      <c r="K1" s="108"/>
      <c r="L1" s="108"/>
      <c r="M1" s="108"/>
      <c r="N1" s="108"/>
      <c r="O1" s="108"/>
      <c r="P1" s="108"/>
      <c r="Q1" s="108"/>
      <c r="R1" s="108"/>
      <c r="S1" s="108"/>
      <c r="T1" s="108"/>
      <c r="U1" s="108"/>
      <c r="V1" s="108"/>
      <c r="W1" s="108"/>
      <c r="X1" s="16"/>
    </row>
    <row r="2" spans="1:24" ht="36.75" customHeight="1" x14ac:dyDescent="0.25">
      <c r="A2" s="108"/>
      <c r="B2" s="108"/>
      <c r="C2" s="108"/>
      <c r="D2" s="108"/>
      <c r="E2" s="108"/>
      <c r="F2" s="108"/>
      <c r="G2" s="108"/>
      <c r="H2" s="108"/>
      <c r="I2" s="108"/>
      <c r="J2" s="108"/>
      <c r="K2" s="108"/>
      <c r="L2" s="108"/>
      <c r="M2" s="108"/>
      <c r="N2" s="108"/>
      <c r="O2" s="108"/>
      <c r="P2" s="108"/>
      <c r="Q2" s="108"/>
      <c r="R2" s="108"/>
      <c r="S2" s="108"/>
      <c r="T2" s="108"/>
      <c r="U2" s="108"/>
      <c r="V2" s="108"/>
      <c r="W2" s="108"/>
      <c r="X2" s="16"/>
    </row>
    <row r="3" spans="1:24" x14ac:dyDescent="0.25">
      <c r="A3" s="17"/>
      <c r="B3" s="17"/>
      <c r="C3" s="17"/>
      <c r="D3" s="18"/>
      <c r="E3" s="17"/>
      <c r="F3" s="17"/>
      <c r="G3" s="19"/>
      <c r="H3" s="17"/>
      <c r="I3" s="19"/>
      <c r="J3" s="17"/>
      <c r="K3" s="17"/>
      <c r="L3" s="19"/>
      <c r="M3" s="19"/>
      <c r="N3" s="19"/>
      <c r="O3" s="19"/>
      <c r="P3" s="19"/>
      <c r="Q3" s="19"/>
      <c r="R3" s="19"/>
      <c r="S3" s="17"/>
      <c r="T3" s="17"/>
      <c r="U3" s="19"/>
      <c r="V3" s="17"/>
      <c r="W3" s="17"/>
      <c r="X3" s="16"/>
    </row>
    <row r="4" spans="1:24" ht="21" customHeight="1" x14ac:dyDescent="0.25">
      <c r="A4" s="94" t="s">
        <v>0</v>
      </c>
      <c r="B4" s="109" t="s">
        <v>12</v>
      </c>
      <c r="C4" s="94" t="s">
        <v>1</v>
      </c>
      <c r="D4" s="101" t="s">
        <v>13</v>
      </c>
      <c r="E4" s="102"/>
      <c r="F4" s="102"/>
      <c r="G4" s="102"/>
      <c r="H4" s="102"/>
      <c r="I4" s="102"/>
      <c r="J4" s="102"/>
      <c r="K4" s="102"/>
      <c r="L4" s="102"/>
      <c r="M4" s="102"/>
      <c r="N4" s="102"/>
      <c r="O4" s="102"/>
      <c r="P4" s="102"/>
      <c r="Q4" s="102"/>
      <c r="R4" s="102"/>
      <c r="S4" s="102"/>
      <c r="T4" s="102"/>
      <c r="U4" s="103"/>
      <c r="V4" s="94" t="s">
        <v>14</v>
      </c>
      <c r="W4" s="94" t="s">
        <v>15</v>
      </c>
      <c r="X4" s="16"/>
    </row>
    <row r="5" spans="1:24" ht="27.75" customHeight="1" x14ac:dyDescent="0.25">
      <c r="A5" s="95"/>
      <c r="B5" s="110"/>
      <c r="C5" s="95"/>
      <c r="D5" s="96" t="s">
        <v>16</v>
      </c>
      <c r="E5" s="97"/>
      <c r="F5" s="1" t="s">
        <v>17</v>
      </c>
      <c r="G5" s="96" t="s">
        <v>18</v>
      </c>
      <c r="H5" s="97"/>
      <c r="I5" s="2" t="s">
        <v>17</v>
      </c>
      <c r="J5" s="96" t="s">
        <v>46</v>
      </c>
      <c r="K5" s="97"/>
      <c r="L5" s="2" t="s">
        <v>17</v>
      </c>
      <c r="M5" s="98" t="s">
        <v>19</v>
      </c>
      <c r="N5" s="99"/>
      <c r="O5" s="1" t="s">
        <v>17</v>
      </c>
      <c r="P5" s="105" t="s">
        <v>42</v>
      </c>
      <c r="Q5" s="105"/>
      <c r="R5" s="1" t="s">
        <v>17</v>
      </c>
      <c r="S5" s="106" t="s">
        <v>43</v>
      </c>
      <c r="T5" s="107"/>
      <c r="U5" s="1" t="s">
        <v>17</v>
      </c>
      <c r="V5" s="104"/>
      <c r="W5" s="95"/>
      <c r="X5" s="16"/>
    </row>
    <row r="6" spans="1:24" ht="21" customHeight="1" x14ac:dyDescent="0.25">
      <c r="A6" s="3">
        <v>1</v>
      </c>
      <c r="B6" s="4" t="s">
        <v>8</v>
      </c>
      <c r="C6" s="3" t="s">
        <v>7</v>
      </c>
      <c r="D6" s="3">
        <v>17</v>
      </c>
      <c r="E6" s="10">
        <v>1</v>
      </c>
      <c r="F6" s="15">
        <f t="shared" ref="F6:F14" si="0">D6*E6</f>
        <v>17</v>
      </c>
      <c r="G6" s="3">
        <v>5</v>
      </c>
      <c r="H6" s="3">
        <v>-1</v>
      </c>
      <c r="I6" s="15">
        <f t="shared" ref="I6:I14" si="1">G6*H6</f>
        <v>-5</v>
      </c>
      <c r="J6" s="3">
        <v>1</v>
      </c>
      <c r="K6" s="3">
        <v>-1</v>
      </c>
      <c r="L6" s="15">
        <f t="shared" ref="L6:L14" si="2">J6*K6</f>
        <v>-1</v>
      </c>
      <c r="M6" s="25"/>
      <c r="N6" s="3">
        <v>-3</v>
      </c>
      <c r="O6" s="15">
        <f>M6*N6</f>
        <v>0</v>
      </c>
      <c r="P6" s="25"/>
      <c r="Q6" s="25">
        <v>1</v>
      </c>
      <c r="R6" s="15">
        <f t="shared" ref="R6:R14" si="3">P6*Q6</f>
        <v>0</v>
      </c>
      <c r="S6" s="3"/>
      <c r="T6" s="26">
        <v>-1</v>
      </c>
      <c r="U6" s="32">
        <f t="shared" ref="U6:U14" si="4">S6*T6</f>
        <v>0</v>
      </c>
      <c r="V6" s="11">
        <f t="shared" ref="V6:V14" si="5">F6+I6+L6+O6+R6+U6</f>
        <v>11</v>
      </c>
      <c r="W6" s="9">
        <f t="shared" ref="W6:W14" si="6">V6/(D6+G6+J6+S6+P6+S6)</f>
        <v>0.47826086956521741</v>
      </c>
      <c r="X6" s="16"/>
    </row>
    <row r="7" spans="1:24" ht="21" customHeight="1" x14ac:dyDescent="0.25">
      <c r="A7" s="3">
        <v>2</v>
      </c>
      <c r="B7" s="20" t="s">
        <v>10</v>
      </c>
      <c r="C7" s="3" t="s">
        <v>7</v>
      </c>
      <c r="D7" s="3">
        <v>20</v>
      </c>
      <c r="E7" s="10">
        <v>1</v>
      </c>
      <c r="F7" s="15">
        <f t="shared" si="0"/>
        <v>20</v>
      </c>
      <c r="G7" s="3">
        <v>1</v>
      </c>
      <c r="H7" s="3">
        <v>-1</v>
      </c>
      <c r="I7" s="15">
        <f t="shared" si="1"/>
        <v>-1</v>
      </c>
      <c r="J7" s="3"/>
      <c r="K7" s="3">
        <v>-1</v>
      </c>
      <c r="L7" s="15">
        <f t="shared" si="2"/>
        <v>0</v>
      </c>
      <c r="M7" s="25"/>
      <c r="N7" s="3">
        <v>-3</v>
      </c>
      <c r="O7" s="15">
        <f t="shared" ref="O7:O14" si="7">M7*N7</f>
        <v>0</v>
      </c>
      <c r="P7" s="25"/>
      <c r="Q7" s="25">
        <v>1</v>
      </c>
      <c r="R7" s="15">
        <f t="shared" si="3"/>
        <v>0</v>
      </c>
      <c r="S7" s="3"/>
      <c r="T7" s="26">
        <v>-1</v>
      </c>
      <c r="U7" s="32">
        <f t="shared" si="4"/>
        <v>0</v>
      </c>
      <c r="V7" s="11">
        <f t="shared" si="5"/>
        <v>19</v>
      </c>
      <c r="W7" s="9">
        <f t="shared" si="6"/>
        <v>0.90476190476190477</v>
      </c>
      <c r="X7" s="16"/>
    </row>
    <row r="8" spans="1:24" ht="21" customHeight="1" x14ac:dyDescent="0.25">
      <c r="A8" s="3">
        <v>3</v>
      </c>
      <c r="B8" s="4" t="s">
        <v>11</v>
      </c>
      <c r="C8" s="3" t="s">
        <v>7</v>
      </c>
      <c r="D8" s="3">
        <v>18</v>
      </c>
      <c r="E8" s="10">
        <v>1</v>
      </c>
      <c r="F8" s="15">
        <f t="shared" si="0"/>
        <v>18</v>
      </c>
      <c r="G8" s="3">
        <v>2</v>
      </c>
      <c r="H8" s="3">
        <v>-1</v>
      </c>
      <c r="I8" s="15">
        <f t="shared" si="1"/>
        <v>-2</v>
      </c>
      <c r="J8" s="3"/>
      <c r="K8" s="3">
        <v>-1</v>
      </c>
      <c r="L8" s="15">
        <f t="shared" si="2"/>
        <v>0</v>
      </c>
      <c r="M8" s="25">
        <v>1</v>
      </c>
      <c r="N8" s="3">
        <v>-3</v>
      </c>
      <c r="O8" s="15">
        <f t="shared" si="7"/>
        <v>-3</v>
      </c>
      <c r="P8" s="25"/>
      <c r="Q8" s="25">
        <v>1</v>
      </c>
      <c r="R8" s="15">
        <f t="shared" si="3"/>
        <v>0</v>
      </c>
      <c r="S8" s="3"/>
      <c r="T8" s="26">
        <v>-1</v>
      </c>
      <c r="U8" s="32">
        <f t="shared" si="4"/>
        <v>0</v>
      </c>
      <c r="V8" s="11">
        <f t="shared" si="5"/>
        <v>13</v>
      </c>
      <c r="W8" s="9">
        <f t="shared" si="6"/>
        <v>0.65</v>
      </c>
      <c r="X8" s="16"/>
    </row>
    <row r="9" spans="1:24" ht="21" customHeight="1" x14ac:dyDescent="0.25">
      <c r="A9" s="3">
        <v>4</v>
      </c>
      <c r="B9" s="4" t="s">
        <v>31</v>
      </c>
      <c r="C9" s="3" t="s">
        <v>9</v>
      </c>
      <c r="D9" s="3">
        <v>21</v>
      </c>
      <c r="E9" s="10">
        <v>1</v>
      </c>
      <c r="F9" s="15">
        <f t="shared" si="0"/>
        <v>21</v>
      </c>
      <c r="G9" s="3"/>
      <c r="H9" s="3">
        <v>-1</v>
      </c>
      <c r="I9" s="15">
        <f t="shared" si="1"/>
        <v>0</v>
      </c>
      <c r="J9" s="3"/>
      <c r="K9" s="3">
        <v>-1</v>
      </c>
      <c r="L9" s="15">
        <f t="shared" si="2"/>
        <v>0</v>
      </c>
      <c r="M9" s="25"/>
      <c r="N9" s="3">
        <v>-3</v>
      </c>
      <c r="O9" s="15">
        <f t="shared" si="7"/>
        <v>0</v>
      </c>
      <c r="P9" s="25"/>
      <c r="Q9" s="25">
        <v>1</v>
      </c>
      <c r="R9" s="15">
        <f t="shared" si="3"/>
        <v>0</v>
      </c>
      <c r="S9" s="3"/>
      <c r="T9" s="26">
        <v>-1</v>
      </c>
      <c r="U9" s="32">
        <f t="shared" si="4"/>
        <v>0</v>
      </c>
      <c r="V9" s="11">
        <f t="shared" si="5"/>
        <v>21</v>
      </c>
      <c r="W9" s="9">
        <f t="shared" si="6"/>
        <v>1</v>
      </c>
      <c r="X9" s="16"/>
    </row>
    <row r="10" spans="1:24" ht="21" customHeight="1" x14ac:dyDescent="0.25">
      <c r="A10" s="3">
        <v>5</v>
      </c>
      <c r="B10" s="4" t="s">
        <v>32</v>
      </c>
      <c r="C10" s="3" t="s">
        <v>9</v>
      </c>
      <c r="D10" s="11">
        <v>22</v>
      </c>
      <c r="E10" s="12">
        <v>1</v>
      </c>
      <c r="F10" s="15">
        <f t="shared" si="0"/>
        <v>22</v>
      </c>
      <c r="G10" s="11"/>
      <c r="H10" s="11">
        <v>-1</v>
      </c>
      <c r="I10" s="15">
        <f t="shared" si="1"/>
        <v>0</v>
      </c>
      <c r="J10" s="11"/>
      <c r="K10" s="11">
        <v>-1</v>
      </c>
      <c r="L10" s="15">
        <f t="shared" si="2"/>
        <v>0</v>
      </c>
      <c r="M10" s="25"/>
      <c r="N10" s="11">
        <v>-3</v>
      </c>
      <c r="O10" s="15">
        <f t="shared" si="7"/>
        <v>0</v>
      </c>
      <c r="P10" s="25"/>
      <c r="Q10" s="25">
        <v>1</v>
      </c>
      <c r="R10" s="15">
        <f t="shared" si="3"/>
        <v>0</v>
      </c>
      <c r="S10" s="11"/>
      <c r="T10" s="26">
        <v>-1</v>
      </c>
      <c r="U10" s="32">
        <f t="shared" si="4"/>
        <v>0</v>
      </c>
      <c r="V10" s="11">
        <f t="shared" si="5"/>
        <v>22</v>
      </c>
      <c r="W10" s="9">
        <f t="shared" si="6"/>
        <v>1</v>
      </c>
      <c r="X10" s="16"/>
    </row>
    <row r="11" spans="1:24" ht="21" customHeight="1" x14ac:dyDescent="0.25">
      <c r="A11" s="3">
        <v>6</v>
      </c>
      <c r="B11" s="4" t="s">
        <v>39</v>
      </c>
      <c r="C11" s="3" t="s">
        <v>9</v>
      </c>
      <c r="D11" s="3">
        <v>18</v>
      </c>
      <c r="E11" s="10">
        <v>1</v>
      </c>
      <c r="F11" s="15">
        <f t="shared" si="0"/>
        <v>18</v>
      </c>
      <c r="G11" s="3"/>
      <c r="H11" s="3">
        <v>-1</v>
      </c>
      <c r="I11" s="15">
        <f t="shared" si="1"/>
        <v>0</v>
      </c>
      <c r="J11" s="3"/>
      <c r="K11" s="3">
        <v>-1</v>
      </c>
      <c r="L11" s="15">
        <f t="shared" si="2"/>
        <v>0</v>
      </c>
      <c r="M11" s="25"/>
      <c r="N11" s="3">
        <v>-3</v>
      </c>
      <c r="O11" s="15">
        <f t="shared" si="7"/>
        <v>0</v>
      </c>
      <c r="P11" s="25"/>
      <c r="Q11" s="25">
        <v>1</v>
      </c>
      <c r="R11" s="15">
        <f t="shared" si="3"/>
        <v>0</v>
      </c>
      <c r="S11" s="3"/>
      <c r="T11" s="26">
        <v>-1</v>
      </c>
      <c r="U11" s="32">
        <f t="shared" si="4"/>
        <v>0</v>
      </c>
      <c r="V11" s="11">
        <f t="shared" si="5"/>
        <v>18</v>
      </c>
      <c r="W11" s="9">
        <f t="shared" si="6"/>
        <v>1</v>
      </c>
      <c r="X11" s="16"/>
    </row>
    <row r="12" spans="1:24" ht="21" customHeight="1" x14ac:dyDescent="0.25">
      <c r="A12" s="3">
        <v>7</v>
      </c>
      <c r="B12" s="4" t="s">
        <v>40</v>
      </c>
      <c r="C12" s="3" t="s">
        <v>9</v>
      </c>
      <c r="D12" s="3">
        <v>15</v>
      </c>
      <c r="E12" s="10">
        <v>1</v>
      </c>
      <c r="F12" s="15">
        <f t="shared" si="0"/>
        <v>15</v>
      </c>
      <c r="G12" s="3"/>
      <c r="H12" s="3">
        <v>-1</v>
      </c>
      <c r="I12" s="15">
        <f t="shared" si="1"/>
        <v>0</v>
      </c>
      <c r="J12" s="3">
        <v>1</v>
      </c>
      <c r="K12" s="3">
        <v>-1</v>
      </c>
      <c r="L12" s="15">
        <f t="shared" si="2"/>
        <v>-1</v>
      </c>
      <c r="M12" s="25"/>
      <c r="N12" s="3">
        <v>-3</v>
      </c>
      <c r="O12" s="15">
        <f t="shared" si="7"/>
        <v>0</v>
      </c>
      <c r="P12" s="25"/>
      <c r="Q12" s="25">
        <v>1</v>
      </c>
      <c r="R12" s="15">
        <f t="shared" si="3"/>
        <v>0</v>
      </c>
      <c r="S12" s="3"/>
      <c r="T12" s="26">
        <v>-1</v>
      </c>
      <c r="U12" s="32">
        <f t="shared" si="4"/>
        <v>0</v>
      </c>
      <c r="V12" s="11">
        <f t="shared" si="5"/>
        <v>14</v>
      </c>
      <c r="W12" s="9">
        <f t="shared" si="6"/>
        <v>0.875</v>
      </c>
      <c r="X12" s="16"/>
    </row>
    <row r="13" spans="1:24" ht="21" customHeight="1" x14ac:dyDescent="0.25">
      <c r="A13" s="3">
        <v>8</v>
      </c>
      <c r="B13" s="4" t="s">
        <v>87</v>
      </c>
      <c r="C13" s="3" t="s">
        <v>9</v>
      </c>
      <c r="D13" s="3">
        <v>16</v>
      </c>
      <c r="E13" s="10">
        <v>1</v>
      </c>
      <c r="F13" s="15">
        <f t="shared" si="0"/>
        <v>16</v>
      </c>
      <c r="G13" s="3"/>
      <c r="H13" s="3">
        <v>-1</v>
      </c>
      <c r="I13" s="15">
        <f t="shared" si="1"/>
        <v>0</v>
      </c>
      <c r="J13" s="3">
        <v>1</v>
      </c>
      <c r="K13" s="3">
        <v>-1</v>
      </c>
      <c r="L13" s="15">
        <f t="shared" si="2"/>
        <v>-1</v>
      </c>
      <c r="M13" s="25"/>
      <c r="N13" s="3">
        <v>-3</v>
      </c>
      <c r="O13" s="15">
        <f t="shared" si="7"/>
        <v>0</v>
      </c>
      <c r="P13" s="25"/>
      <c r="Q13" s="25">
        <v>1</v>
      </c>
      <c r="R13" s="15">
        <f t="shared" si="3"/>
        <v>0</v>
      </c>
      <c r="S13" s="3"/>
      <c r="T13" s="26">
        <v>-1</v>
      </c>
      <c r="U13" s="32">
        <f t="shared" si="4"/>
        <v>0</v>
      </c>
      <c r="V13" s="11">
        <f t="shared" si="5"/>
        <v>15</v>
      </c>
      <c r="W13" s="9">
        <f t="shared" si="6"/>
        <v>0.88235294117647056</v>
      </c>
      <c r="X13" s="16"/>
    </row>
    <row r="14" spans="1:24" ht="21" customHeight="1" x14ac:dyDescent="0.25">
      <c r="A14" s="3">
        <v>9</v>
      </c>
      <c r="B14" s="4" t="s">
        <v>88</v>
      </c>
      <c r="C14" s="3" t="s">
        <v>9</v>
      </c>
      <c r="D14" s="3">
        <v>16</v>
      </c>
      <c r="E14" s="10">
        <v>1</v>
      </c>
      <c r="F14" s="15">
        <f t="shared" si="0"/>
        <v>16</v>
      </c>
      <c r="G14" s="3">
        <v>2</v>
      </c>
      <c r="H14" s="3">
        <v>-1</v>
      </c>
      <c r="I14" s="15">
        <f t="shared" si="1"/>
        <v>-2</v>
      </c>
      <c r="J14" s="3"/>
      <c r="K14" s="3">
        <v>-1</v>
      </c>
      <c r="L14" s="15">
        <f t="shared" si="2"/>
        <v>0</v>
      </c>
      <c r="M14" s="25"/>
      <c r="N14" s="3">
        <v>-3</v>
      </c>
      <c r="O14" s="15">
        <f t="shared" si="7"/>
        <v>0</v>
      </c>
      <c r="P14" s="25"/>
      <c r="Q14" s="25">
        <v>1</v>
      </c>
      <c r="R14" s="15">
        <f t="shared" si="3"/>
        <v>0</v>
      </c>
      <c r="S14" s="3"/>
      <c r="T14" s="26">
        <v>-1</v>
      </c>
      <c r="U14" s="32">
        <f t="shared" si="4"/>
        <v>0</v>
      </c>
      <c r="V14" s="11">
        <f t="shared" si="5"/>
        <v>14</v>
      </c>
      <c r="W14" s="9">
        <f t="shared" si="6"/>
        <v>0.77777777777777779</v>
      </c>
      <c r="X14" s="16"/>
    </row>
    <row r="16" spans="1:24" x14ac:dyDescent="0.25">
      <c r="A16" s="17" t="s">
        <v>44</v>
      </c>
      <c r="B16" s="17"/>
      <c r="C16" s="17"/>
      <c r="D16" s="17"/>
      <c r="E16" s="17"/>
      <c r="F16" s="17"/>
    </row>
    <row r="17" spans="1:6" x14ac:dyDescent="0.25">
      <c r="A17" s="17"/>
      <c r="B17" s="17"/>
      <c r="C17" s="17"/>
      <c r="D17" s="17"/>
      <c r="E17" s="17"/>
      <c r="F17" s="17"/>
    </row>
    <row r="18" spans="1:6" x14ac:dyDescent="0.25">
      <c r="A18" s="28" t="s">
        <v>45</v>
      </c>
      <c r="B18" s="17"/>
      <c r="C18" s="17"/>
      <c r="D18" s="17"/>
      <c r="E18" s="17"/>
      <c r="F18" s="17"/>
    </row>
    <row r="19" spans="1:6" x14ac:dyDescent="0.25">
      <c r="A19" s="18">
        <v>1</v>
      </c>
      <c r="B19" s="27"/>
      <c r="C19" s="17"/>
      <c r="D19" s="17"/>
      <c r="E19" s="17"/>
      <c r="F19" s="17"/>
    </row>
    <row r="20" spans="1:6" x14ac:dyDescent="0.25">
      <c r="A20" s="19">
        <v>2</v>
      </c>
      <c r="B20" s="17"/>
      <c r="C20" s="17"/>
      <c r="D20" s="17"/>
      <c r="E20" s="17"/>
      <c r="F20" s="17"/>
    </row>
  </sheetData>
  <mergeCells count="13">
    <mergeCell ref="A1:W2"/>
    <mergeCell ref="A4:A5"/>
    <mergeCell ref="B4:B5"/>
    <mergeCell ref="C4:C5"/>
    <mergeCell ref="D4:U4"/>
    <mergeCell ref="M5:N5"/>
    <mergeCell ref="P5:Q5"/>
    <mergeCell ref="V4:V5"/>
    <mergeCell ref="W4:W5"/>
    <mergeCell ref="D5:E5"/>
    <mergeCell ref="G5:H5"/>
    <mergeCell ref="J5:K5"/>
    <mergeCell ref="S5:T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6.5703125" customWidth="1"/>
    <col min="2" max="3" width="13.42578125" customWidth="1"/>
    <col min="4" max="21" width="5.140625" customWidth="1"/>
    <col min="22" max="22" width="6.5703125" customWidth="1"/>
    <col min="23" max="23" width="12.85546875" bestFit="1" customWidth="1"/>
  </cols>
  <sheetData>
    <row r="1" spans="1:24" x14ac:dyDescent="0.25">
      <c r="A1" s="108" t="s">
        <v>85</v>
      </c>
      <c r="B1" s="108"/>
      <c r="C1" s="108"/>
      <c r="D1" s="108"/>
      <c r="E1" s="108"/>
      <c r="F1" s="108"/>
      <c r="G1" s="108"/>
      <c r="H1" s="108"/>
      <c r="I1" s="108"/>
      <c r="J1" s="108"/>
      <c r="K1" s="108"/>
      <c r="L1" s="108"/>
      <c r="M1" s="108"/>
      <c r="N1" s="108"/>
      <c r="O1" s="108"/>
      <c r="P1" s="108"/>
      <c r="Q1" s="108"/>
      <c r="R1" s="108"/>
      <c r="S1" s="108"/>
      <c r="T1" s="108"/>
      <c r="U1" s="108"/>
      <c r="V1" s="108"/>
      <c r="W1" s="108"/>
      <c r="X1" s="16"/>
    </row>
    <row r="2" spans="1:24" ht="36.75" customHeight="1" x14ac:dyDescent="0.25">
      <c r="A2" s="108"/>
      <c r="B2" s="108"/>
      <c r="C2" s="108"/>
      <c r="D2" s="108"/>
      <c r="E2" s="108"/>
      <c r="F2" s="108"/>
      <c r="G2" s="108"/>
      <c r="H2" s="108"/>
      <c r="I2" s="108"/>
      <c r="J2" s="108"/>
      <c r="K2" s="108"/>
      <c r="L2" s="108"/>
      <c r="M2" s="108"/>
      <c r="N2" s="108"/>
      <c r="O2" s="108"/>
      <c r="P2" s="108"/>
      <c r="Q2" s="108"/>
      <c r="R2" s="108"/>
      <c r="S2" s="108"/>
      <c r="T2" s="108"/>
      <c r="U2" s="108"/>
      <c r="V2" s="108"/>
      <c r="W2" s="108"/>
      <c r="X2" s="16"/>
    </row>
    <row r="3" spans="1:24" x14ac:dyDescent="0.25">
      <c r="A3" s="17"/>
      <c r="B3" s="17"/>
      <c r="C3" s="17"/>
      <c r="D3" s="18"/>
      <c r="E3" s="17"/>
      <c r="F3" s="17"/>
      <c r="G3" s="19"/>
      <c r="H3" s="17"/>
      <c r="I3" s="19"/>
      <c r="J3" s="17"/>
      <c r="K3" s="17"/>
      <c r="L3" s="19"/>
      <c r="M3" s="19"/>
      <c r="N3" s="19"/>
      <c r="O3" s="19"/>
      <c r="P3" s="19"/>
      <c r="Q3" s="19"/>
      <c r="R3" s="19"/>
      <c r="S3" s="17"/>
      <c r="T3" s="17"/>
      <c r="U3" s="19"/>
      <c r="V3" s="17"/>
      <c r="W3" s="17"/>
      <c r="X3" s="16"/>
    </row>
    <row r="4" spans="1:24" ht="21" customHeight="1" x14ac:dyDescent="0.25">
      <c r="A4" s="94" t="s">
        <v>0</v>
      </c>
      <c r="B4" s="109" t="s">
        <v>12</v>
      </c>
      <c r="C4" s="94" t="s">
        <v>1</v>
      </c>
      <c r="D4" s="101" t="s">
        <v>13</v>
      </c>
      <c r="E4" s="102"/>
      <c r="F4" s="102"/>
      <c r="G4" s="102"/>
      <c r="H4" s="102"/>
      <c r="I4" s="102"/>
      <c r="J4" s="102"/>
      <c r="K4" s="102"/>
      <c r="L4" s="102"/>
      <c r="M4" s="102"/>
      <c r="N4" s="102"/>
      <c r="O4" s="102"/>
      <c r="P4" s="102"/>
      <c r="Q4" s="102"/>
      <c r="R4" s="102"/>
      <c r="S4" s="102"/>
      <c r="T4" s="102"/>
      <c r="U4" s="103"/>
      <c r="V4" s="94" t="s">
        <v>14</v>
      </c>
      <c r="W4" s="94" t="s">
        <v>15</v>
      </c>
      <c r="X4" s="16"/>
    </row>
    <row r="5" spans="1:24" ht="27.75" customHeight="1" x14ac:dyDescent="0.25">
      <c r="A5" s="95"/>
      <c r="B5" s="110"/>
      <c r="C5" s="95"/>
      <c r="D5" s="96" t="s">
        <v>16</v>
      </c>
      <c r="E5" s="97"/>
      <c r="F5" s="1" t="s">
        <v>17</v>
      </c>
      <c r="G5" s="96" t="s">
        <v>18</v>
      </c>
      <c r="H5" s="97"/>
      <c r="I5" s="2" t="s">
        <v>17</v>
      </c>
      <c r="J5" s="96" t="s">
        <v>46</v>
      </c>
      <c r="K5" s="97"/>
      <c r="L5" s="2" t="s">
        <v>17</v>
      </c>
      <c r="M5" s="98" t="s">
        <v>19</v>
      </c>
      <c r="N5" s="99"/>
      <c r="O5" s="1" t="s">
        <v>17</v>
      </c>
      <c r="P5" s="105" t="s">
        <v>42</v>
      </c>
      <c r="Q5" s="105"/>
      <c r="R5" s="1" t="s">
        <v>17</v>
      </c>
      <c r="S5" s="106" t="s">
        <v>43</v>
      </c>
      <c r="T5" s="107"/>
      <c r="U5" s="1" t="s">
        <v>17</v>
      </c>
      <c r="V5" s="104"/>
      <c r="W5" s="95"/>
      <c r="X5" s="16"/>
    </row>
    <row r="6" spans="1:24" ht="21" customHeight="1" x14ac:dyDescent="0.25">
      <c r="A6" s="3">
        <v>1</v>
      </c>
      <c r="B6" s="4" t="s">
        <v>8</v>
      </c>
      <c r="C6" s="3" t="s">
        <v>7</v>
      </c>
      <c r="D6" s="3">
        <v>19</v>
      </c>
      <c r="E6" s="10">
        <v>1</v>
      </c>
      <c r="F6" s="15">
        <f t="shared" ref="F6:F14" si="0">D6*E6</f>
        <v>19</v>
      </c>
      <c r="G6" s="3">
        <v>2</v>
      </c>
      <c r="H6" s="3">
        <v>-1</v>
      </c>
      <c r="I6" s="15">
        <f t="shared" ref="I6:I14" si="1">G6*H6</f>
        <v>-2</v>
      </c>
      <c r="J6" s="3">
        <v>2</v>
      </c>
      <c r="K6" s="3">
        <v>-1</v>
      </c>
      <c r="L6" s="15">
        <f t="shared" ref="L6:L14" si="2">J6*K6</f>
        <v>-2</v>
      </c>
      <c r="M6" s="25"/>
      <c r="N6" s="3">
        <v>-3</v>
      </c>
      <c r="O6" s="15">
        <f>M6*N6</f>
        <v>0</v>
      </c>
      <c r="P6" s="25">
        <v>3</v>
      </c>
      <c r="Q6" s="25">
        <v>1</v>
      </c>
      <c r="R6" s="15">
        <f t="shared" ref="R6:R14" si="3">P6*Q6</f>
        <v>3</v>
      </c>
      <c r="S6" s="3"/>
      <c r="T6" s="26">
        <v>-1</v>
      </c>
      <c r="U6" s="32">
        <f t="shared" ref="U6:U14" si="4">S6*T6</f>
        <v>0</v>
      </c>
      <c r="V6" s="11">
        <f t="shared" ref="V6:V14" si="5">F6+I6+L6+O6+R6+U6</f>
        <v>18</v>
      </c>
      <c r="W6" s="9">
        <f t="shared" ref="W6:W14" si="6">V6/(D6+G6+J6+S6+P6+S6)</f>
        <v>0.69230769230769229</v>
      </c>
      <c r="X6" s="16"/>
    </row>
    <row r="7" spans="1:24" ht="21" customHeight="1" x14ac:dyDescent="0.25">
      <c r="A7" s="3">
        <v>2</v>
      </c>
      <c r="B7" s="20" t="s">
        <v>10</v>
      </c>
      <c r="C7" s="3" t="s">
        <v>7</v>
      </c>
      <c r="D7" s="3">
        <v>20</v>
      </c>
      <c r="E7" s="10">
        <v>1</v>
      </c>
      <c r="F7" s="15">
        <f t="shared" si="0"/>
        <v>20</v>
      </c>
      <c r="G7" s="3">
        <v>2</v>
      </c>
      <c r="H7" s="3">
        <v>-1</v>
      </c>
      <c r="I7" s="15">
        <f t="shared" si="1"/>
        <v>-2</v>
      </c>
      <c r="J7" s="3"/>
      <c r="K7" s="3">
        <v>-1</v>
      </c>
      <c r="L7" s="15">
        <f t="shared" si="2"/>
        <v>0</v>
      </c>
      <c r="M7" s="25"/>
      <c r="N7" s="3">
        <v>-3</v>
      </c>
      <c r="O7" s="15">
        <f t="shared" ref="O7:O14" si="7">M7*N7</f>
        <v>0</v>
      </c>
      <c r="P7" s="25">
        <v>2</v>
      </c>
      <c r="Q7" s="25">
        <v>1</v>
      </c>
      <c r="R7" s="15">
        <f t="shared" si="3"/>
        <v>2</v>
      </c>
      <c r="S7" s="3"/>
      <c r="T7" s="26">
        <v>-1</v>
      </c>
      <c r="U7" s="32">
        <f t="shared" si="4"/>
        <v>0</v>
      </c>
      <c r="V7" s="11">
        <f t="shared" si="5"/>
        <v>20</v>
      </c>
      <c r="W7" s="9">
        <f t="shared" si="6"/>
        <v>0.83333333333333337</v>
      </c>
      <c r="X7" s="16"/>
    </row>
    <row r="8" spans="1:24" ht="21" customHeight="1" x14ac:dyDescent="0.25">
      <c r="A8" s="3">
        <v>3</v>
      </c>
      <c r="B8" s="4" t="s">
        <v>11</v>
      </c>
      <c r="C8" s="3" t="s">
        <v>9</v>
      </c>
      <c r="D8" s="3">
        <v>20</v>
      </c>
      <c r="E8" s="10">
        <v>1</v>
      </c>
      <c r="F8" s="15">
        <f t="shared" si="0"/>
        <v>20</v>
      </c>
      <c r="G8" s="3">
        <v>2</v>
      </c>
      <c r="H8" s="3">
        <v>-1</v>
      </c>
      <c r="I8" s="15">
        <f t="shared" si="1"/>
        <v>-2</v>
      </c>
      <c r="J8" s="3"/>
      <c r="K8" s="3">
        <v>-1</v>
      </c>
      <c r="L8" s="15">
        <f t="shared" si="2"/>
        <v>0</v>
      </c>
      <c r="M8" s="25"/>
      <c r="N8" s="3">
        <v>-3</v>
      </c>
      <c r="O8" s="15">
        <f t="shared" si="7"/>
        <v>0</v>
      </c>
      <c r="P8" s="25">
        <v>2</v>
      </c>
      <c r="Q8" s="25">
        <v>1</v>
      </c>
      <c r="R8" s="15">
        <f t="shared" si="3"/>
        <v>2</v>
      </c>
      <c r="S8" s="3"/>
      <c r="T8" s="26">
        <v>-1</v>
      </c>
      <c r="U8" s="32">
        <f t="shared" si="4"/>
        <v>0</v>
      </c>
      <c r="V8" s="11">
        <f t="shared" si="5"/>
        <v>20</v>
      </c>
      <c r="W8" s="9">
        <f t="shared" si="6"/>
        <v>0.83333333333333337</v>
      </c>
      <c r="X8" s="16"/>
    </row>
    <row r="9" spans="1:24" ht="21" customHeight="1" x14ac:dyDescent="0.25">
      <c r="A9" s="3">
        <v>4</v>
      </c>
      <c r="B9" s="4" t="s">
        <v>31</v>
      </c>
      <c r="C9" s="3" t="s">
        <v>7</v>
      </c>
      <c r="D9" s="3">
        <v>22</v>
      </c>
      <c r="E9" s="10">
        <v>1</v>
      </c>
      <c r="F9" s="15">
        <f t="shared" si="0"/>
        <v>22</v>
      </c>
      <c r="G9" s="3"/>
      <c r="H9" s="3">
        <v>-1</v>
      </c>
      <c r="I9" s="15">
        <f t="shared" si="1"/>
        <v>0</v>
      </c>
      <c r="J9" s="3"/>
      <c r="K9" s="3">
        <v>-1</v>
      </c>
      <c r="L9" s="15">
        <f t="shared" si="2"/>
        <v>0</v>
      </c>
      <c r="M9" s="25"/>
      <c r="N9" s="3">
        <v>-3</v>
      </c>
      <c r="O9" s="15">
        <f t="shared" si="7"/>
        <v>0</v>
      </c>
      <c r="P9" s="25">
        <v>2</v>
      </c>
      <c r="Q9" s="25">
        <v>1</v>
      </c>
      <c r="R9" s="15">
        <f t="shared" si="3"/>
        <v>2</v>
      </c>
      <c r="S9" s="3"/>
      <c r="T9" s="26">
        <v>-1</v>
      </c>
      <c r="U9" s="32">
        <f t="shared" si="4"/>
        <v>0</v>
      </c>
      <c r="V9" s="11">
        <f t="shared" si="5"/>
        <v>24</v>
      </c>
      <c r="W9" s="9">
        <f t="shared" si="6"/>
        <v>1</v>
      </c>
      <c r="X9" s="16"/>
    </row>
    <row r="10" spans="1:24" ht="21" customHeight="1" x14ac:dyDescent="0.25">
      <c r="A10" s="3">
        <v>5</v>
      </c>
      <c r="B10" s="4" t="s">
        <v>32</v>
      </c>
      <c r="C10" s="3" t="s">
        <v>9</v>
      </c>
      <c r="D10" s="11">
        <v>9</v>
      </c>
      <c r="E10" s="12">
        <v>1</v>
      </c>
      <c r="F10" s="15">
        <f t="shared" si="0"/>
        <v>9</v>
      </c>
      <c r="G10" s="11"/>
      <c r="H10" s="11">
        <v>-1</v>
      </c>
      <c r="I10" s="15">
        <f t="shared" si="1"/>
        <v>0</v>
      </c>
      <c r="J10" s="11">
        <v>4</v>
      </c>
      <c r="K10" s="11">
        <v>-1</v>
      </c>
      <c r="L10" s="15">
        <f t="shared" si="2"/>
        <v>-4</v>
      </c>
      <c r="M10" s="25"/>
      <c r="N10" s="11">
        <v>-3</v>
      </c>
      <c r="O10" s="15">
        <f t="shared" si="7"/>
        <v>0</v>
      </c>
      <c r="P10" s="25">
        <v>2</v>
      </c>
      <c r="Q10" s="25">
        <v>1</v>
      </c>
      <c r="R10" s="15">
        <f t="shared" si="3"/>
        <v>2</v>
      </c>
      <c r="S10" s="11"/>
      <c r="T10" s="26">
        <v>-1</v>
      </c>
      <c r="U10" s="32">
        <f t="shared" si="4"/>
        <v>0</v>
      </c>
      <c r="V10" s="11">
        <f t="shared" si="5"/>
        <v>7</v>
      </c>
      <c r="W10" s="9">
        <f t="shared" si="6"/>
        <v>0.46666666666666667</v>
      </c>
      <c r="X10" s="16"/>
    </row>
    <row r="11" spans="1:24" ht="21" customHeight="1" x14ac:dyDescent="0.25">
      <c r="A11" s="3">
        <v>6</v>
      </c>
      <c r="B11" s="4" t="s">
        <v>39</v>
      </c>
      <c r="C11" s="3" t="s">
        <v>9</v>
      </c>
      <c r="D11" s="3">
        <v>10</v>
      </c>
      <c r="E11" s="10">
        <v>1</v>
      </c>
      <c r="F11" s="15">
        <f t="shared" si="0"/>
        <v>10</v>
      </c>
      <c r="G11" s="3">
        <v>2</v>
      </c>
      <c r="H11" s="3">
        <v>-1</v>
      </c>
      <c r="I11" s="15">
        <f t="shared" si="1"/>
        <v>-2</v>
      </c>
      <c r="J11" s="3"/>
      <c r="K11" s="3">
        <v>-1</v>
      </c>
      <c r="L11" s="15">
        <f t="shared" si="2"/>
        <v>0</v>
      </c>
      <c r="M11" s="25"/>
      <c r="N11" s="3">
        <v>-3</v>
      </c>
      <c r="O11" s="15">
        <f t="shared" si="7"/>
        <v>0</v>
      </c>
      <c r="P11" s="25">
        <v>2</v>
      </c>
      <c r="Q11" s="25">
        <v>1</v>
      </c>
      <c r="R11" s="15">
        <f t="shared" si="3"/>
        <v>2</v>
      </c>
      <c r="S11" s="3"/>
      <c r="T11" s="26">
        <v>-1</v>
      </c>
      <c r="U11" s="32">
        <f t="shared" si="4"/>
        <v>0</v>
      </c>
      <c r="V11" s="11">
        <f t="shared" si="5"/>
        <v>10</v>
      </c>
      <c r="W11" s="9">
        <f t="shared" si="6"/>
        <v>0.7142857142857143</v>
      </c>
      <c r="X11" s="16"/>
    </row>
    <row r="12" spans="1:24" ht="21" customHeight="1" x14ac:dyDescent="0.25">
      <c r="A12" s="3">
        <v>7</v>
      </c>
      <c r="B12" s="4" t="s">
        <v>40</v>
      </c>
      <c r="C12" s="3" t="s">
        <v>9</v>
      </c>
      <c r="D12" s="3">
        <v>22</v>
      </c>
      <c r="E12" s="10">
        <v>1</v>
      </c>
      <c r="F12" s="15">
        <f t="shared" si="0"/>
        <v>22</v>
      </c>
      <c r="G12" s="3"/>
      <c r="H12" s="3">
        <v>-1</v>
      </c>
      <c r="I12" s="15">
        <f t="shared" si="1"/>
        <v>0</v>
      </c>
      <c r="J12" s="3"/>
      <c r="K12" s="3">
        <v>-1</v>
      </c>
      <c r="L12" s="15">
        <f t="shared" si="2"/>
        <v>0</v>
      </c>
      <c r="M12" s="25"/>
      <c r="N12" s="3">
        <v>-3</v>
      </c>
      <c r="O12" s="15">
        <f t="shared" si="7"/>
        <v>0</v>
      </c>
      <c r="P12" s="25">
        <v>2</v>
      </c>
      <c r="Q12" s="25">
        <v>1</v>
      </c>
      <c r="R12" s="15">
        <f t="shared" si="3"/>
        <v>2</v>
      </c>
      <c r="S12" s="3"/>
      <c r="T12" s="26">
        <v>-1</v>
      </c>
      <c r="U12" s="32">
        <f t="shared" si="4"/>
        <v>0</v>
      </c>
      <c r="V12" s="11">
        <f t="shared" si="5"/>
        <v>24</v>
      </c>
      <c r="W12" s="9">
        <f t="shared" si="6"/>
        <v>1</v>
      </c>
      <c r="X12" s="16"/>
    </row>
    <row r="13" spans="1:24" ht="21" customHeight="1" x14ac:dyDescent="0.25">
      <c r="A13" s="3">
        <v>8</v>
      </c>
      <c r="B13" s="4" t="s">
        <v>87</v>
      </c>
      <c r="C13" s="3" t="s">
        <v>9</v>
      </c>
      <c r="D13" s="3">
        <v>11</v>
      </c>
      <c r="E13" s="10">
        <v>1</v>
      </c>
      <c r="F13" s="15">
        <f t="shared" si="0"/>
        <v>11</v>
      </c>
      <c r="G13" s="3"/>
      <c r="H13" s="3">
        <v>-1</v>
      </c>
      <c r="I13" s="15">
        <f t="shared" si="1"/>
        <v>0</v>
      </c>
      <c r="J13" s="3"/>
      <c r="K13" s="3">
        <v>-1</v>
      </c>
      <c r="L13" s="15">
        <f t="shared" si="2"/>
        <v>0</v>
      </c>
      <c r="M13" s="25"/>
      <c r="N13" s="3">
        <v>-3</v>
      </c>
      <c r="O13" s="15">
        <f t="shared" si="7"/>
        <v>0</v>
      </c>
      <c r="P13" s="25">
        <v>2</v>
      </c>
      <c r="Q13" s="25">
        <v>1</v>
      </c>
      <c r="R13" s="15">
        <f t="shared" si="3"/>
        <v>2</v>
      </c>
      <c r="S13" s="3"/>
      <c r="T13" s="26">
        <v>-1</v>
      </c>
      <c r="U13" s="32">
        <f t="shared" si="4"/>
        <v>0</v>
      </c>
      <c r="V13" s="11">
        <f t="shared" si="5"/>
        <v>13</v>
      </c>
      <c r="W13" s="9">
        <f t="shared" si="6"/>
        <v>1</v>
      </c>
      <c r="X13" s="16"/>
    </row>
    <row r="14" spans="1:24" ht="21" customHeight="1" x14ac:dyDescent="0.25">
      <c r="A14" s="3">
        <v>9</v>
      </c>
      <c r="B14" s="4" t="s">
        <v>88</v>
      </c>
      <c r="C14" s="3" t="s">
        <v>9</v>
      </c>
      <c r="D14" s="3">
        <v>9</v>
      </c>
      <c r="E14" s="10">
        <v>1</v>
      </c>
      <c r="F14" s="15">
        <f t="shared" si="0"/>
        <v>9</v>
      </c>
      <c r="G14" s="3">
        <v>3</v>
      </c>
      <c r="H14" s="3">
        <v>-1</v>
      </c>
      <c r="I14" s="15">
        <f t="shared" si="1"/>
        <v>-3</v>
      </c>
      <c r="J14" s="3">
        <v>1</v>
      </c>
      <c r="K14" s="3">
        <v>-1</v>
      </c>
      <c r="L14" s="15">
        <f t="shared" si="2"/>
        <v>-1</v>
      </c>
      <c r="M14" s="25"/>
      <c r="N14" s="3">
        <v>-3</v>
      </c>
      <c r="O14" s="15">
        <f t="shared" si="7"/>
        <v>0</v>
      </c>
      <c r="P14" s="25">
        <v>2</v>
      </c>
      <c r="Q14" s="25">
        <v>1</v>
      </c>
      <c r="R14" s="15">
        <f t="shared" si="3"/>
        <v>2</v>
      </c>
      <c r="S14" s="3"/>
      <c r="T14" s="26">
        <v>-1</v>
      </c>
      <c r="U14" s="32">
        <f t="shared" si="4"/>
        <v>0</v>
      </c>
      <c r="V14" s="11">
        <f t="shared" si="5"/>
        <v>7</v>
      </c>
      <c r="W14" s="9">
        <f t="shared" si="6"/>
        <v>0.46666666666666667</v>
      </c>
      <c r="X14" s="16"/>
    </row>
    <row r="16" spans="1:24" x14ac:dyDescent="0.25">
      <c r="A16" s="17" t="s">
        <v>44</v>
      </c>
      <c r="B16" s="17"/>
      <c r="C16" s="17"/>
      <c r="D16" s="17"/>
      <c r="E16" s="17"/>
      <c r="F16" s="17"/>
    </row>
    <row r="17" spans="1:6" x14ac:dyDescent="0.25">
      <c r="A17" s="17"/>
      <c r="B17" s="17"/>
      <c r="C17" s="17"/>
      <c r="D17" s="17"/>
      <c r="E17" s="17"/>
      <c r="F17" s="17"/>
    </row>
    <row r="18" spans="1:6" x14ac:dyDescent="0.25">
      <c r="A18" s="28" t="s">
        <v>45</v>
      </c>
      <c r="B18" s="17"/>
      <c r="C18" s="17"/>
      <c r="D18" s="17"/>
      <c r="E18" s="17"/>
      <c r="F18" s="17"/>
    </row>
    <row r="19" spans="1:6" x14ac:dyDescent="0.25">
      <c r="A19" s="18">
        <v>1</v>
      </c>
      <c r="B19" s="27" t="s">
        <v>89</v>
      </c>
      <c r="C19" s="17"/>
      <c r="D19" s="17"/>
      <c r="E19" s="17"/>
      <c r="F19" s="17"/>
    </row>
    <row r="20" spans="1:6" x14ac:dyDescent="0.25">
      <c r="A20" s="19">
        <v>2</v>
      </c>
      <c r="B20" s="17" t="s">
        <v>90</v>
      </c>
      <c r="C20" s="17"/>
      <c r="D20" s="17"/>
      <c r="E20" s="17"/>
      <c r="F20" s="17"/>
    </row>
    <row r="21" spans="1:6" x14ac:dyDescent="0.25">
      <c r="A21" s="18">
        <v>3</v>
      </c>
      <c r="B21" s="17" t="s">
        <v>91</v>
      </c>
    </row>
  </sheetData>
  <mergeCells count="13">
    <mergeCell ref="A1:W2"/>
    <mergeCell ref="A4:A5"/>
    <mergeCell ref="B4:B5"/>
    <mergeCell ref="C4:C5"/>
    <mergeCell ref="D4:U4"/>
    <mergeCell ref="V4:V5"/>
    <mergeCell ref="W4:W5"/>
    <mergeCell ref="D5:E5"/>
    <mergeCell ref="G5:H5"/>
    <mergeCell ref="J5:K5"/>
    <mergeCell ref="M5:N5"/>
    <mergeCell ref="P5:Q5"/>
    <mergeCell ref="S5:T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
  <sheetViews>
    <sheetView workbookViewId="0">
      <pane xSplit="2" ySplit="5" topLeftCell="W6" activePane="bottomRight" state="frozen"/>
      <selection pane="topRight" activeCell="C1" sqref="C1"/>
      <selection pane="bottomLeft" activeCell="A6" sqref="A6"/>
      <selection pane="bottomRight" activeCell="A6" sqref="A6"/>
    </sheetView>
  </sheetViews>
  <sheetFormatPr defaultRowHeight="15" x14ac:dyDescent="0.25"/>
  <cols>
    <col min="1" max="1" width="6.5703125" customWidth="1"/>
    <col min="2" max="3" width="13.42578125" customWidth="1"/>
    <col min="4" max="21" width="5.140625" customWidth="1"/>
    <col min="22" max="22" width="6.5703125" customWidth="1"/>
    <col min="23" max="23" width="12.85546875" bestFit="1" customWidth="1"/>
  </cols>
  <sheetData>
    <row r="1" spans="1:24" x14ac:dyDescent="0.25">
      <c r="A1" s="108" t="s">
        <v>86</v>
      </c>
      <c r="B1" s="108"/>
      <c r="C1" s="108"/>
      <c r="D1" s="108"/>
      <c r="E1" s="108"/>
      <c r="F1" s="108"/>
      <c r="G1" s="108"/>
      <c r="H1" s="108"/>
      <c r="I1" s="108"/>
      <c r="J1" s="108"/>
      <c r="K1" s="108"/>
      <c r="L1" s="108"/>
      <c r="M1" s="108"/>
      <c r="N1" s="108"/>
      <c r="O1" s="108"/>
      <c r="P1" s="108"/>
      <c r="Q1" s="108"/>
      <c r="R1" s="108"/>
      <c r="S1" s="108"/>
      <c r="T1" s="108"/>
      <c r="U1" s="108"/>
      <c r="V1" s="108"/>
      <c r="W1" s="108"/>
      <c r="X1" s="16"/>
    </row>
    <row r="2" spans="1:24" ht="36.75" customHeight="1" x14ac:dyDescent="0.25">
      <c r="A2" s="108"/>
      <c r="B2" s="108"/>
      <c r="C2" s="108"/>
      <c r="D2" s="108"/>
      <c r="E2" s="108"/>
      <c r="F2" s="108"/>
      <c r="G2" s="108"/>
      <c r="H2" s="108"/>
      <c r="I2" s="108"/>
      <c r="J2" s="108"/>
      <c r="K2" s="108"/>
      <c r="L2" s="108"/>
      <c r="M2" s="108"/>
      <c r="N2" s="108"/>
      <c r="O2" s="108"/>
      <c r="P2" s="108"/>
      <c r="Q2" s="108"/>
      <c r="R2" s="108"/>
      <c r="S2" s="108"/>
      <c r="T2" s="108"/>
      <c r="U2" s="108"/>
      <c r="V2" s="108"/>
      <c r="W2" s="108"/>
      <c r="X2" s="16"/>
    </row>
    <row r="3" spans="1:24" x14ac:dyDescent="0.25">
      <c r="A3" s="17"/>
      <c r="B3" s="17"/>
      <c r="C3" s="17"/>
      <c r="D3" s="18"/>
      <c r="E3" s="17"/>
      <c r="F3" s="17"/>
      <c r="G3" s="19"/>
      <c r="H3" s="17"/>
      <c r="I3" s="19"/>
      <c r="J3" s="17"/>
      <c r="K3" s="17"/>
      <c r="L3" s="19"/>
      <c r="M3" s="19"/>
      <c r="N3" s="19"/>
      <c r="O3" s="19"/>
      <c r="P3" s="19"/>
      <c r="Q3" s="19"/>
      <c r="R3" s="19"/>
      <c r="S3" s="17"/>
      <c r="T3" s="17"/>
      <c r="U3" s="19"/>
      <c r="V3" s="17"/>
      <c r="W3" s="17"/>
      <c r="X3" s="16"/>
    </row>
    <row r="4" spans="1:24" ht="21" customHeight="1" x14ac:dyDescent="0.25">
      <c r="A4" s="94" t="s">
        <v>0</v>
      </c>
      <c r="B4" s="109" t="s">
        <v>12</v>
      </c>
      <c r="C4" s="94" t="s">
        <v>1</v>
      </c>
      <c r="D4" s="101" t="s">
        <v>13</v>
      </c>
      <c r="E4" s="102"/>
      <c r="F4" s="102"/>
      <c r="G4" s="102"/>
      <c r="H4" s="102"/>
      <c r="I4" s="102"/>
      <c r="J4" s="102"/>
      <c r="K4" s="102"/>
      <c r="L4" s="102"/>
      <c r="M4" s="102"/>
      <c r="N4" s="102"/>
      <c r="O4" s="102"/>
      <c r="P4" s="102"/>
      <c r="Q4" s="102"/>
      <c r="R4" s="102"/>
      <c r="S4" s="102"/>
      <c r="T4" s="102"/>
      <c r="U4" s="103"/>
      <c r="V4" s="94" t="s">
        <v>14</v>
      </c>
      <c r="W4" s="94" t="s">
        <v>15</v>
      </c>
      <c r="X4" s="16"/>
    </row>
    <row r="5" spans="1:24" ht="27.75" customHeight="1" x14ac:dyDescent="0.25">
      <c r="A5" s="95"/>
      <c r="B5" s="110"/>
      <c r="C5" s="95"/>
      <c r="D5" s="96" t="s">
        <v>16</v>
      </c>
      <c r="E5" s="97"/>
      <c r="F5" s="1" t="s">
        <v>17</v>
      </c>
      <c r="G5" s="96" t="s">
        <v>18</v>
      </c>
      <c r="H5" s="97"/>
      <c r="I5" s="2" t="s">
        <v>17</v>
      </c>
      <c r="J5" s="96" t="s">
        <v>46</v>
      </c>
      <c r="K5" s="97"/>
      <c r="L5" s="2" t="s">
        <v>17</v>
      </c>
      <c r="M5" s="98" t="s">
        <v>19</v>
      </c>
      <c r="N5" s="99"/>
      <c r="O5" s="1" t="s">
        <v>17</v>
      </c>
      <c r="P5" s="105" t="s">
        <v>42</v>
      </c>
      <c r="Q5" s="105"/>
      <c r="R5" s="1" t="s">
        <v>17</v>
      </c>
      <c r="S5" s="106" t="s">
        <v>43</v>
      </c>
      <c r="T5" s="107"/>
      <c r="U5" s="1" t="s">
        <v>17</v>
      </c>
      <c r="V5" s="104"/>
      <c r="W5" s="95"/>
      <c r="X5" s="16"/>
    </row>
    <row r="6" spans="1:24" ht="21" customHeight="1" x14ac:dyDescent="0.25">
      <c r="A6" s="3">
        <v>1</v>
      </c>
      <c r="B6" s="4" t="s">
        <v>8</v>
      </c>
      <c r="C6" s="3" t="s">
        <v>7</v>
      </c>
      <c r="D6" s="3">
        <v>13</v>
      </c>
      <c r="E6" s="10">
        <v>1</v>
      </c>
      <c r="F6" s="15">
        <f t="shared" ref="F6:F14" si="0">D6*E6</f>
        <v>13</v>
      </c>
      <c r="G6" s="3">
        <v>8</v>
      </c>
      <c r="H6" s="3">
        <v>-1</v>
      </c>
      <c r="I6" s="15">
        <f t="shared" ref="I6:I14" si="1">G6*H6</f>
        <v>-8</v>
      </c>
      <c r="J6" s="3">
        <v>1</v>
      </c>
      <c r="K6" s="3">
        <v>-1</v>
      </c>
      <c r="L6" s="15">
        <f t="shared" ref="L6:L14" si="2">J6*K6</f>
        <v>-1</v>
      </c>
      <c r="M6" s="25"/>
      <c r="N6" s="3">
        <v>-3</v>
      </c>
      <c r="O6" s="15">
        <f>M6*N6</f>
        <v>0</v>
      </c>
      <c r="P6" s="25">
        <v>3</v>
      </c>
      <c r="Q6" s="25">
        <v>1</v>
      </c>
      <c r="R6" s="15">
        <f t="shared" ref="R6:R14" si="3">P6*Q6</f>
        <v>3</v>
      </c>
      <c r="S6" s="3"/>
      <c r="T6" s="26">
        <v>-1</v>
      </c>
      <c r="U6" s="32">
        <f t="shared" ref="U6:U14" si="4">S6*T6</f>
        <v>0</v>
      </c>
      <c r="V6" s="11">
        <f t="shared" ref="V6:V14" si="5">F6+I6+L6+O6+R6+U6</f>
        <v>7</v>
      </c>
      <c r="W6" s="9">
        <f t="shared" ref="W6:W14" si="6">V6/(D6+G6+J6+S6+P6+S6)</f>
        <v>0.28000000000000003</v>
      </c>
      <c r="X6" s="16"/>
    </row>
    <row r="7" spans="1:24" ht="21" customHeight="1" x14ac:dyDescent="0.25">
      <c r="A7" s="3">
        <v>2</v>
      </c>
      <c r="B7" s="20" t="s">
        <v>10</v>
      </c>
      <c r="C7" s="3" t="s">
        <v>7</v>
      </c>
      <c r="D7" s="3">
        <v>21</v>
      </c>
      <c r="E7" s="10">
        <v>1</v>
      </c>
      <c r="F7" s="15">
        <f t="shared" si="0"/>
        <v>21</v>
      </c>
      <c r="G7" s="3">
        <v>1</v>
      </c>
      <c r="H7" s="3">
        <v>-1</v>
      </c>
      <c r="I7" s="15">
        <f t="shared" si="1"/>
        <v>-1</v>
      </c>
      <c r="J7" s="3">
        <v>2</v>
      </c>
      <c r="K7" s="3">
        <v>-1</v>
      </c>
      <c r="L7" s="15">
        <f t="shared" si="2"/>
        <v>-2</v>
      </c>
      <c r="M7" s="25"/>
      <c r="N7" s="3">
        <v>-3</v>
      </c>
      <c r="O7" s="15">
        <f t="shared" ref="O7:O14" si="7">M7*N7</f>
        <v>0</v>
      </c>
      <c r="P7" s="25">
        <v>1</v>
      </c>
      <c r="Q7" s="25">
        <v>1</v>
      </c>
      <c r="R7" s="15">
        <f t="shared" si="3"/>
        <v>1</v>
      </c>
      <c r="S7" s="3"/>
      <c r="T7" s="26">
        <v>-1</v>
      </c>
      <c r="U7" s="32">
        <f t="shared" si="4"/>
        <v>0</v>
      </c>
      <c r="V7" s="11">
        <f t="shared" si="5"/>
        <v>19</v>
      </c>
      <c r="W7" s="9">
        <f t="shared" si="6"/>
        <v>0.76</v>
      </c>
      <c r="X7" s="16"/>
    </row>
    <row r="8" spans="1:24" ht="21" customHeight="1" x14ac:dyDescent="0.25">
      <c r="A8" s="3">
        <v>3</v>
      </c>
      <c r="B8" s="4" t="s">
        <v>11</v>
      </c>
      <c r="C8" s="3" t="s">
        <v>9</v>
      </c>
      <c r="D8" s="3">
        <v>16</v>
      </c>
      <c r="E8" s="10">
        <v>1</v>
      </c>
      <c r="F8" s="15">
        <f t="shared" si="0"/>
        <v>16</v>
      </c>
      <c r="G8" s="3">
        <v>5</v>
      </c>
      <c r="H8" s="3">
        <v>-1</v>
      </c>
      <c r="I8" s="15">
        <f t="shared" si="1"/>
        <v>-5</v>
      </c>
      <c r="J8" s="3"/>
      <c r="K8" s="3">
        <v>-1</v>
      </c>
      <c r="L8" s="15">
        <f t="shared" si="2"/>
        <v>0</v>
      </c>
      <c r="M8" s="25"/>
      <c r="N8" s="3">
        <v>-3</v>
      </c>
      <c r="O8" s="15">
        <f t="shared" si="7"/>
        <v>0</v>
      </c>
      <c r="P8" s="25">
        <v>2</v>
      </c>
      <c r="Q8" s="25">
        <v>1</v>
      </c>
      <c r="R8" s="15">
        <f t="shared" si="3"/>
        <v>2</v>
      </c>
      <c r="S8" s="3"/>
      <c r="T8" s="26">
        <v>-1</v>
      </c>
      <c r="U8" s="32">
        <f t="shared" si="4"/>
        <v>0</v>
      </c>
      <c r="V8" s="11">
        <f t="shared" si="5"/>
        <v>13</v>
      </c>
      <c r="W8" s="9">
        <f t="shared" si="6"/>
        <v>0.56521739130434778</v>
      </c>
      <c r="X8" s="16"/>
    </row>
    <row r="9" spans="1:24" ht="21" customHeight="1" x14ac:dyDescent="0.25">
      <c r="A9" s="3">
        <v>4</v>
      </c>
      <c r="B9" s="4" t="s">
        <v>31</v>
      </c>
      <c r="C9" s="3" t="s">
        <v>7</v>
      </c>
      <c r="D9" s="3">
        <v>22</v>
      </c>
      <c r="E9" s="10">
        <v>1</v>
      </c>
      <c r="F9" s="15">
        <f t="shared" si="0"/>
        <v>22</v>
      </c>
      <c r="G9" s="3">
        <v>1</v>
      </c>
      <c r="H9" s="3">
        <v>-1</v>
      </c>
      <c r="I9" s="15">
        <f t="shared" si="1"/>
        <v>-1</v>
      </c>
      <c r="J9" s="3"/>
      <c r="K9" s="3">
        <v>-1</v>
      </c>
      <c r="L9" s="15">
        <f t="shared" si="2"/>
        <v>0</v>
      </c>
      <c r="M9" s="25"/>
      <c r="N9" s="3">
        <v>-3</v>
      </c>
      <c r="O9" s="15">
        <f t="shared" si="7"/>
        <v>0</v>
      </c>
      <c r="P9" s="25">
        <v>2</v>
      </c>
      <c r="Q9" s="25">
        <v>1</v>
      </c>
      <c r="R9" s="15">
        <f t="shared" si="3"/>
        <v>2</v>
      </c>
      <c r="S9" s="3"/>
      <c r="T9" s="26">
        <v>-1</v>
      </c>
      <c r="U9" s="32">
        <f t="shared" si="4"/>
        <v>0</v>
      </c>
      <c r="V9" s="11">
        <f t="shared" si="5"/>
        <v>23</v>
      </c>
      <c r="W9" s="9">
        <f t="shared" si="6"/>
        <v>0.92</v>
      </c>
      <c r="X9" s="16"/>
    </row>
    <row r="10" spans="1:24" ht="21" customHeight="1" x14ac:dyDescent="0.25">
      <c r="A10" s="3">
        <v>5</v>
      </c>
      <c r="B10" s="4" t="s">
        <v>32</v>
      </c>
      <c r="C10" s="3" t="s">
        <v>9</v>
      </c>
      <c r="D10" s="11">
        <v>5</v>
      </c>
      <c r="E10" s="12">
        <v>1</v>
      </c>
      <c r="F10" s="15">
        <f t="shared" si="0"/>
        <v>5</v>
      </c>
      <c r="G10" s="11"/>
      <c r="H10" s="11">
        <v>-1</v>
      </c>
      <c r="I10" s="15">
        <f t="shared" si="1"/>
        <v>0</v>
      </c>
      <c r="J10" s="11"/>
      <c r="K10" s="11">
        <v>-1</v>
      </c>
      <c r="L10" s="15">
        <f t="shared" si="2"/>
        <v>0</v>
      </c>
      <c r="M10" s="25"/>
      <c r="N10" s="11">
        <v>-3</v>
      </c>
      <c r="O10" s="15">
        <f t="shared" si="7"/>
        <v>0</v>
      </c>
      <c r="P10" s="25">
        <v>1</v>
      </c>
      <c r="Q10" s="25">
        <v>1</v>
      </c>
      <c r="R10" s="15">
        <f t="shared" si="3"/>
        <v>1</v>
      </c>
      <c r="S10" s="11"/>
      <c r="T10" s="26">
        <v>-1</v>
      </c>
      <c r="U10" s="32">
        <f t="shared" si="4"/>
        <v>0</v>
      </c>
      <c r="V10" s="11">
        <f t="shared" si="5"/>
        <v>6</v>
      </c>
      <c r="W10" s="9">
        <f t="shared" si="6"/>
        <v>1</v>
      </c>
      <c r="X10" s="16"/>
    </row>
    <row r="11" spans="1:24" ht="21" customHeight="1" x14ac:dyDescent="0.25">
      <c r="A11" s="3">
        <v>6</v>
      </c>
      <c r="B11" s="4" t="s">
        <v>39</v>
      </c>
      <c r="C11" s="3" t="s">
        <v>9</v>
      </c>
      <c r="D11" s="3">
        <v>10</v>
      </c>
      <c r="E11" s="10">
        <v>1</v>
      </c>
      <c r="F11" s="15">
        <f t="shared" si="0"/>
        <v>10</v>
      </c>
      <c r="G11" s="3">
        <v>3</v>
      </c>
      <c r="H11" s="3">
        <v>-1</v>
      </c>
      <c r="I11" s="15">
        <f t="shared" si="1"/>
        <v>-3</v>
      </c>
      <c r="J11" s="3"/>
      <c r="K11" s="3">
        <v>-1</v>
      </c>
      <c r="L11" s="15">
        <f t="shared" si="2"/>
        <v>0</v>
      </c>
      <c r="M11" s="25"/>
      <c r="N11" s="3">
        <v>-3</v>
      </c>
      <c r="O11" s="15">
        <f t="shared" si="7"/>
        <v>0</v>
      </c>
      <c r="P11" s="25"/>
      <c r="Q11" s="25">
        <v>1</v>
      </c>
      <c r="R11" s="15">
        <f t="shared" si="3"/>
        <v>0</v>
      </c>
      <c r="S11" s="3"/>
      <c r="T11" s="26">
        <v>-1</v>
      </c>
      <c r="U11" s="32">
        <f t="shared" si="4"/>
        <v>0</v>
      </c>
      <c r="V11" s="11">
        <f t="shared" si="5"/>
        <v>7</v>
      </c>
      <c r="W11" s="9">
        <f t="shared" si="6"/>
        <v>0.53846153846153844</v>
      </c>
      <c r="X11" s="16"/>
    </row>
    <row r="12" spans="1:24" ht="21" customHeight="1" x14ac:dyDescent="0.25">
      <c r="A12" s="3">
        <v>7</v>
      </c>
      <c r="B12" s="4" t="s">
        <v>40</v>
      </c>
      <c r="C12" s="3" t="s">
        <v>9</v>
      </c>
      <c r="D12" s="3">
        <v>21</v>
      </c>
      <c r="E12" s="10">
        <v>1</v>
      </c>
      <c r="F12" s="15">
        <f t="shared" si="0"/>
        <v>21</v>
      </c>
      <c r="G12" s="3"/>
      <c r="H12" s="3">
        <v>-1</v>
      </c>
      <c r="I12" s="15">
        <f t="shared" si="1"/>
        <v>0</v>
      </c>
      <c r="J12" s="3">
        <v>1</v>
      </c>
      <c r="K12" s="3">
        <v>-1</v>
      </c>
      <c r="L12" s="15">
        <f t="shared" si="2"/>
        <v>-1</v>
      </c>
      <c r="M12" s="25"/>
      <c r="N12" s="3">
        <v>-3</v>
      </c>
      <c r="O12" s="15">
        <f t="shared" si="7"/>
        <v>0</v>
      </c>
      <c r="P12" s="25">
        <v>2</v>
      </c>
      <c r="Q12" s="25">
        <v>1</v>
      </c>
      <c r="R12" s="15">
        <f t="shared" si="3"/>
        <v>2</v>
      </c>
      <c r="S12" s="3"/>
      <c r="T12" s="26">
        <v>-1</v>
      </c>
      <c r="U12" s="32">
        <f t="shared" si="4"/>
        <v>0</v>
      </c>
      <c r="V12" s="11">
        <f t="shared" si="5"/>
        <v>22</v>
      </c>
      <c r="W12" s="9">
        <f t="shared" si="6"/>
        <v>0.91666666666666663</v>
      </c>
      <c r="X12" s="16"/>
    </row>
    <row r="13" spans="1:24" ht="21" customHeight="1" x14ac:dyDescent="0.25">
      <c r="A13" s="3">
        <v>8</v>
      </c>
      <c r="B13" s="4" t="s">
        <v>87</v>
      </c>
      <c r="C13" s="3" t="s">
        <v>9</v>
      </c>
      <c r="D13" s="3">
        <v>6</v>
      </c>
      <c r="E13" s="10">
        <v>1</v>
      </c>
      <c r="F13" s="15">
        <f t="shared" si="0"/>
        <v>6</v>
      </c>
      <c r="G13" s="3"/>
      <c r="H13" s="3">
        <v>-1</v>
      </c>
      <c r="I13" s="15">
        <f t="shared" si="1"/>
        <v>0</v>
      </c>
      <c r="J13" s="3"/>
      <c r="K13" s="3">
        <v>-1</v>
      </c>
      <c r="L13" s="15">
        <f t="shared" si="2"/>
        <v>0</v>
      </c>
      <c r="M13" s="25"/>
      <c r="N13" s="3">
        <v>-3</v>
      </c>
      <c r="O13" s="15">
        <f t="shared" si="7"/>
        <v>0</v>
      </c>
      <c r="P13" s="25">
        <v>1</v>
      </c>
      <c r="Q13" s="25">
        <v>1</v>
      </c>
      <c r="R13" s="15">
        <f t="shared" si="3"/>
        <v>1</v>
      </c>
      <c r="S13" s="3"/>
      <c r="T13" s="26">
        <v>-1</v>
      </c>
      <c r="U13" s="32">
        <f t="shared" si="4"/>
        <v>0</v>
      </c>
      <c r="V13" s="11">
        <f t="shared" si="5"/>
        <v>7</v>
      </c>
      <c r="W13" s="9">
        <f t="shared" si="6"/>
        <v>1</v>
      </c>
      <c r="X13" s="16"/>
    </row>
    <row r="14" spans="1:24" ht="21" customHeight="1" x14ac:dyDescent="0.25">
      <c r="A14" s="3">
        <v>9</v>
      </c>
      <c r="B14" s="4" t="s">
        <v>88</v>
      </c>
      <c r="C14" s="3" t="s">
        <v>9</v>
      </c>
      <c r="D14" s="3">
        <v>13</v>
      </c>
      <c r="E14" s="10">
        <v>1</v>
      </c>
      <c r="F14" s="15">
        <f t="shared" si="0"/>
        <v>13</v>
      </c>
      <c r="G14" s="3"/>
      <c r="H14" s="3">
        <v>-1</v>
      </c>
      <c r="I14" s="15">
        <f t="shared" si="1"/>
        <v>0</v>
      </c>
      <c r="J14" s="3"/>
      <c r="K14" s="3">
        <v>-1</v>
      </c>
      <c r="L14" s="15">
        <f t="shared" si="2"/>
        <v>0</v>
      </c>
      <c r="M14" s="25"/>
      <c r="N14" s="3">
        <v>-3</v>
      </c>
      <c r="O14" s="15">
        <f t="shared" si="7"/>
        <v>0</v>
      </c>
      <c r="P14" s="25">
        <v>1</v>
      </c>
      <c r="Q14" s="25">
        <v>1</v>
      </c>
      <c r="R14" s="15">
        <f t="shared" si="3"/>
        <v>1</v>
      </c>
      <c r="S14" s="3"/>
      <c r="T14" s="26">
        <v>-1</v>
      </c>
      <c r="U14" s="32">
        <f t="shared" si="4"/>
        <v>0</v>
      </c>
      <c r="V14" s="11">
        <f t="shared" si="5"/>
        <v>14</v>
      </c>
      <c r="W14" s="9">
        <f t="shared" si="6"/>
        <v>1</v>
      </c>
      <c r="X14" s="16"/>
    </row>
    <row r="16" spans="1:24" x14ac:dyDescent="0.25">
      <c r="A16" s="17" t="s">
        <v>44</v>
      </c>
      <c r="B16" s="17"/>
      <c r="C16" s="17"/>
      <c r="D16" s="17"/>
      <c r="E16" s="17"/>
      <c r="F16" s="17"/>
    </row>
    <row r="17" spans="1:6" x14ac:dyDescent="0.25">
      <c r="A17" s="17"/>
      <c r="B17" s="17"/>
      <c r="C17" s="17"/>
      <c r="D17" s="17"/>
      <c r="E17" s="17"/>
      <c r="F17" s="17"/>
    </row>
    <row r="18" spans="1:6" x14ac:dyDescent="0.25">
      <c r="A18" s="18">
        <v>1</v>
      </c>
      <c r="B18" s="27" t="s">
        <v>125</v>
      </c>
      <c r="C18" s="17"/>
      <c r="D18" s="17"/>
      <c r="E18" s="17"/>
      <c r="F18" s="17"/>
    </row>
    <row r="19" spans="1:6" x14ac:dyDescent="0.25">
      <c r="A19" s="19">
        <v>2</v>
      </c>
      <c r="B19" s="17" t="s">
        <v>126</v>
      </c>
      <c r="C19" s="17"/>
      <c r="D19" s="17"/>
      <c r="E19" s="17"/>
      <c r="F19" s="17"/>
    </row>
    <row r="20" spans="1:6" x14ac:dyDescent="0.25">
      <c r="A20" s="19"/>
      <c r="B20" s="17"/>
      <c r="C20" s="17"/>
      <c r="D20" s="17"/>
      <c r="E20" s="17"/>
      <c r="F20" s="17"/>
    </row>
  </sheetData>
  <mergeCells count="13">
    <mergeCell ref="S5:T5"/>
    <mergeCell ref="A1:W2"/>
    <mergeCell ref="A4:A5"/>
    <mergeCell ref="B4:B5"/>
    <mergeCell ref="C4:C5"/>
    <mergeCell ref="D4:U4"/>
    <mergeCell ref="V4:V5"/>
    <mergeCell ref="W4:W5"/>
    <mergeCell ref="D5:E5"/>
    <mergeCell ref="G5:H5"/>
    <mergeCell ref="J5:K5"/>
    <mergeCell ref="M5:N5"/>
    <mergeCell ref="P5:Q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AE38"/>
  <sheetViews>
    <sheetView tabSelected="1" topLeftCell="A7" zoomScale="98" zoomScaleNormal="98" workbookViewId="0">
      <pane xSplit="2" ySplit="3" topLeftCell="L10" activePane="bottomRight" state="frozen"/>
      <selection activeCell="A7" sqref="A7"/>
      <selection pane="topRight" activeCell="C7" sqref="C7"/>
      <selection pane="bottomLeft" activeCell="A10" sqref="A10"/>
      <selection pane="bottomRight" activeCell="AG5" sqref="AG5"/>
    </sheetView>
  </sheetViews>
  <sheetFormatPr defaultRowHeight="24" customHeight="1" x14ac:dyDescent="0.25"/>
  <cols>
    <col min="1" max="1" width="3" style="54" customWidth="1"/>
    <col min="2" max="3" width="9.140625" style="54" customWidth="1"/>
    <col min="4" max="23" width="6.7109375" style="54" customWidth="1"/>
    <col min="24" max="24" width="0.85546875" style="54" customWidth="1"/>
    <col min="25" max="25" width="9.140625" style="55"/>
    <col min="26" max="28" width="9.140625" style="65"/>
    <col min="29" max="29" width="9.140625" style="56"/>
    <col min="30" max="30" width="9.140625" style="54"/>
    <col min="31" max="31" width="9.140625" style="55"/>
    <col min="32" max="16384" width="9.140625" style="54"/>
  </cols>
  <sheetData>
    <row r="8" spans="2:31" ht="24" customHeight="1" x14ac:dyDescent="0.25">
      <c r="B8" s="80" t="s">
        <v>47</v>
      </c>
      <c r="C8" s="80" t="s">
        <v>1</v>
      </c>
      <c r="D8" s="85" t="s">
        <v>48</v>
      </c>
      <c r="E8" s="86"/>
      <c r="F8" s="85" t="s">
        <v>49</v>
      </c>
      <c r="G8" s="86"/>
      <c r="H8" s="89" t="s">
        <v>50</v>
      </c>
      <c r="I8" s="90"/>
      <c r="J8" s="90"/>
      <c r="K8" s="90"/>
      <c r="L8" s="90"/>
      <c r="M8" s="90"/>
      <c r="N8" s="90"/>
      <c r="O8" s="90"/>
      <c r="P8" s="78" t="s">
        <v>51</v>
      </c>
      <c r="Q8" s="75" t="s">
        <v>52</v>
      </c>
      <c r="R8" s="76"/>
      <c r="S8" s="76"/>
      <c r="T8" s="76"/>
      <c r="U8" s="76"/>
      <c r="V8" s="77"/>
      <c r="W8" s="78" t="s">
        <v>51</v>
      </c>
      <c r="Y8" s="111" t="s">
        <v>127</v>
      </c>
      <c r="Z8" s="112" t="s">
        <v>128</v>
      </c>
      <c r="AA8" s="112"/>
      <c r="AB8" s="112"/>
      <c r="AC8" s="112"/>
      <c r="AD8" s="113" t="s">
        <v>129</v>
      </c>
      <c r="AE8" s="60" t="s">
        <v>130</v>
      </c>
    </row>
    <row r="9" spans="2:31" ht="24" customHeight="1" x14ac:dyDescent="0.25">
      <c r="B9" s="81"/>
      <c r="C9" s="81"/>
      <c r="D9" s="87"/>
      <c r="E9" s="88"/>
      <c r="F9" s="87"/>
      <c r="G9" s="88"/>
      <c r="H9" s="82" t="s">
        <v>54</v>
      </c>
      <c r="I9" s="83"/>
      <c r="J9" s="82" t="s">
        <v>55</v>
      </c>
      <c r="K9" s="83"/>
      <c r="L9" s="82" t="s">
        <v>56</v>
      </c>
      <c r="M9" s="83"/>
      <c r="N9" s="82" t="s">
        <v>57</v>
      </c>
      <c r="O9" s="83"/>
      <c r="P9" s="79"/>
      <c r="Q9" s="82" t="s">
        <v>58</v>
      </c>
      <c r="R9" s="83"/>
      <c r="S9" s="82" t="s">
        <v>59</v>
      </c>
      <c r="T9" s="83"/>
      <c r="U9" s="84" t="s">
        <v>60</v>
      </c>
      <c r="V9" s="84"/>
      <c r="W9" s="79"/>
      <c r="Y9" s="111"/>
      <c r="Z9" s="59" t="s">
        <v>132</v>
      </c>
      <c r="AA9" s="59" t="s">
        <v>134</v>
      </c>
      <c r="AB9" s="59" t="s">
        <v>133</v>
      </c>
      <c r="AC9" s="114" t="s">
        <v>51</v>
      </c>
      <c r="AD9" s="113"/>
      <c r="AE9" s="60" t="s">
        <v>131</v>
      </c>
    </row>
    <row r="10" spans="2:31" ht="24" customHeight="1" x14ac:dyDescent="0.25">
      <c r="B10" s="34" t="s">
        <v>79</v>
      </c>
      <c r="C10" s="43" t="s">
        <v>75</v>
      </c>
      <c r="D10" s="35">
        <f>80+80+85+90+80+80+95+85+70+70+80+88+70+80+80+90+85+80+75+75+90+70+80+85+85+70+80+90</f>
        <v>2268</v>
      </c>
      <c r="E10" s="37">
        <f>D10/28</f>
        <v>81</v>
      </c>
      <c r="F10" s="35">
        <f>90+90+80+85+80+80+80+90+90+85+80+80+80+80+90+90+85+80+80+90+90+80+80+85+90+70+80+85</f>
        <v>2345</v>
      </c>
      <c r="G10" s="37">
        <f>F10/28</f>
        <v>83.75</v>
      </c>
      <c r="H10" s="49">
        <f>90+90+90+90+90+90+80+80+85+60+90+80+90+90+75+80+80+88+95+80+80+90+90+85+85+80+80</f>
        <v>2283</v>
      </c>
      <c r="I10" s="36">
        <f>H10/28</f>
        <v>81.535714285714292</v>
      </c>
      <c r="J10" s="49">
        <f>80+80+80+90+80+80+70+70+85+70+80+50+90+75+80+80+80+80+80+80+80+80+60+80</f>
        <v>1860</v>
      </c>
      <c r="K10" s="36">
        <f>J10/25</f>
        <v>74.400000000000006</v>
      </c>
      <c r="L10" s="49">
        <f>70+70+80+90+75+80+70+80+80+80+70+50+80+80+80+80+80+80+80+80+85+85+85+60+80</f>
        <v>1930</v>
      </c>
      <c r="M10" s="36">
        <f>L10/28</f>
        <v>68.928571428571431</v>
      </c>
      <c r="N10" s="35">
        <f>90+90+80+85+80+80+80+80+90+60+90+90+90+90+80+75+80+80+80+80+80+80+80+90+90+90+85</f>
        <v>2245</v>
      </c>
      <c r="O10" s="36">
        <f>N10/28</f>
        <v>80.178571428571431</v>
      </c>
      <c r="P10" s="37">
        <f>(I10+K10+M10+O10)/4</f>
        <v>76.2607142857143</v>
      </c>
      <c r="Q10" s="35">
        <f>80+80+80+80+90+90+90+85+80+80+80+80+80+90+90+90+86+80+80+80+90+90+90+90+80+86+80+87</f>
        <v>2364</v>
      </c>
      <c r="R10" s="36">
        <f>Q10/28</f>
        <v>84.428571428571431</v>
      </c>
      <c r="S10" s="35">
        <f>80+80+80+80+85+90+90+90+90+90+90+80+80+80+80+80+80+90+90+90+70+80+80+80+90+90+90+85</f>
        <v>2360</v>
      </c>
      <c r="T10" s="36">
        <f>S10/28</f>
        <v>84.285714285714292</v>
      </c>
      <c r="U10" s="35">
        <f>80+80+80+90+90+90+85+85+70+80+90+80+80+90+90+85+70+80+80+90+85+80+80+80+80+80+90+90</f>
        <v>2330</v>
      </c>
      <c r="V10" s="36">
        <f>U10/28</f>
        <v>83.214285714285708</v>
      </c>
      <c r="W10" s="37">
        <f>(R10+T10+V10)/3</f>
        <v>83.976190476190482</v>
      </c>
      <c r="Y10" s="61">
        <f t="shared" ref="Y10:Y27" si="0">(((E10+G10+P10+W10)/4)/100)</f>
        <v>0.81246726190476193</v>
      </c>
      <c r="Z10" s="64">
        <f>'Absen Staff-JULI'!W23</f>
        <v>1</v>
      </c>
      <c r="AA10" s="64">
        <f>'Absen Staff - AGST'!W23</f>
        <v>1.0384615384615385</v>
      </c>
      <c r="AB10" s="64">
        <f>'Absen Staff - SEPT'!W23</f>
        <v>1</v>
      </c>
      <c r="AC10" s="115">
        <f t="shared" ref="AC10:AC27" si="1">(Z10+AA10+AB10)/3</f>
        <v>1.0128205128205128</v>
      </c>
      <c r="AD10" s="62">
        <f t="shared" ref="AD10:AD27" si="2">Y10+AC10</f>
        <v>1.8252877747252747</v>
      </c>
      <c r="AE10" s="63">
        <f t="shared" ref="AE10:AE27" si="3">AD10/2</f>
        <v>0.91264388736263735</v>
      </c>
    </row>
    <row r="11" spans="2:31" ht="24" customHeight="1" x14ac:dyDescent="0.25">
      <c r="B11" s="34" t="s">
        <v>62</v>
      </c>
      <c r="C11" s="34" t="s">
        <v>2</v>
      </c>
      <c r="D11" s="35">
        <f>80+80+80+90+90+85+85+70+85+88+80+80+90+90+87+80+80+95+50+80+80+85+85+85+75+97</f>
        <v>2152</v>
      </c>
      <c r="E11" s="37">
        <f t="shared" ref="E11:E17" si="4">D11/27</f>
        <v>79.703703703703709</v>
      </c>
      <c r="F11" s="35">
        <f>80+80+80+80+90+90+90+80+65+90+80+90+90+90+75+80+80+80+80+80+80+80+90+90+80+80+97</f>
        <v>2247</v>
      </c>
      <c r="G11" s="37">
        <f>F11/27</f>
        <v>83.222222222222229</v>
      </c>
      <c r="H11" s="35">
        <f>80+80+80+80+90+90+90+85+75+80+90+80+90+100+75+80+88+80+80+95+80+80+80+80+80+90+90</f>
        <v>2268</v>
      </c>
      <c r="I11" s="36">
        <f>H11/28</f>
        <v>81</v>
      </c>
      <c r="J11" s="35">
        <f xml:space="preserve"> 80+80+80+90+90+85+85+85+60+80+88+90+90+75+88+80+80+80+80+80+90+90+90+90+90+75</f>
        <v>2171</v>
      </c>
      <c r="K11" s="36">
        <f>J11/27</f>
        <v>80.407407407407405</v>
      </c>
      <c r="L11" s="35">
        <f>90+90+90+80+80+80+80+80+70+80+80+80+90+85+800+75+60+75</f>
        <v>2165</v>
      </c>
      <c r="M11" s="36">
        <f>L11/27</f>
        <v>80.18518518518519</v>
      </c>
      <c r="N11" s="35">
        <f xml:space="preserve"> 90+90+90+80+80+80+80+80+80+80+80+85+100+90+90+90+80+80+80+80+80+80+80+80+87+90+70</f>
        <v>2252</v>
      </c>
      <c r="O11" s="36">
        <f t="shared" ref="O11:O17" si="5">N11/27</f>
        <v>83.407407407407405</v>
      </c>
      <c r="P11" s="37">
        <f>(O11+M11+K11+I11)/4</f>
        <v>81.25</v>
      </c>
      <c r="Q11" s="35">
        <f xml:space="preserve">  90+90+90+90+80+80+85+80+80+80+80+80+80+90+90+90+90+90+85+70+90+80+80+85+85+90+80</f>
        <v>2280</v>
      </c>
      <c r="R11" s="36">
        <f>Q11/27</f>
        <v>84.444444444444443</v>
      </c>
      <c r="S11" s="39">
        <f xml:space="preserve">  90+90+90+90+90+80+80+80+80+80+80+75+90+90+90+80+80+80+80+70+90+80+80+85+86+75+100</f>
        <v>2261</v>
      </c>
      <c r="T11" s="40">
        <f t="shared" ref="T11:T17" si="6">S11/27</f>
        <v>83.740740740740748</v>
      </c>
      <c r="U11" s="35">
        <f xml:space="preserve">  90+90+90+80+80+80+80+80+80+86+90+80+70+80+80+90+70+90+90+90+80+80+86+80+80+80+90</f>
        <v>2242</v>
      </c>
      <c r="V11" s="36">
        <f>U11/27</f>
        <v>83.037037037037038</v>
      </c>
      <c r="W11" s="37">
        <f>(V11+T11+R11)/3</f>
        <v>83.740740740740748</v>
      </c>
      <c r="Y11" s="61">
        <f t="shared" si="0"/>
        <v>0.8197916666666667</v>
      </c>
      <c r="Z11" s="64">
        <f>'Absen Staff-JULI'!W7</f>
        <v>1</v>
      </c>
      <c r="AA11" s="64">
        <f>'Absen Staff - AGST'!W7</f>
        <v>1</v>
      </c>
      <c r="AB11" s="64">
        <f>'Absen Staff - SEPT'!W7</f>
        <v>1</v>
      </c>
      <c r="AC11" s="115">
        <f t="shared" si="1"/>
        <v>1</v>
      </c>
      <c r="AD11" s="62">
        <f t="shared" si="2"/>
        <v>1.8197916666666667</v>
      </c>
      <c r="AE11" s="63">
        <f t="shared" si="3"/>
        <v>0.90989583333333335</v>
      </c>
    </row>
    <row r="12" spans="2:31" ht="24" customHeight="1" x14ac:dyDescent="0.25">
      <c r="B12" s="35" t="s">
        <v>70</v>
      </c>
      <c r="C12" s="35" t="s">
        <v>3</v>
      </c>
      <c r="D12" s="35">
        <v>2226</v>
      </c>
      <c r="E12" s="37">
        <f t="shared" si="4"/>
        <v>82.444444444444443</v>
      </c>
      <c r="F12" s="35">
        <v>2157</v>
      </c>
      <c r="G12" s="37">
        <f>F12/27</f>
        <v>79.888888888888886</v>
      </c>
      <c r="H12" s="35">
        <v>2170</v>
      </c>
      <c r="I12" s="36">
        <f t="shared" ref="I12:I17" si="7">H12/27</f>
        <v>80.370370370370367</v>
      </c>
      <c r="J12" s="35">
        <v>2205</v>
      </c>
      <c r="K12" s="36">
        <f>J12/27</f>
        <v>81.666666666666671</v>
      </c>
      <c r="L12" s="35">
        <v>2209</v>
      </c>
      <c r="M12" s="36">
        <f>L12/27</f>
        <v>81.81481481481481</v>
      </c>
      <c r="N12" s="35">
        <v>2233</v>
      </c>
      <c r="O12" s="36">
        <f t="shared" si="5"/>
        <v>82.703703703703709</v>
      </c>
      <c r="P12" s="37">
        <f t="shared" ref="P12:P27" si="8">(I12+K12+M12+O12)/4</f>
        <v>81.638888888888886</v>
      </c>
      <c r="Q12" s="35">
        <v>2246</v>
      </c>
      <c r="R12" s="36">
        <f>Q12/27</f>
        <v>83.18518518518519</v>
      </c>
      <c r="S12" s="35">
        <v>2205</v>
      </c>
      <c r="T12" s="36">
        <f t="shared" si="6"/>
        <v>81.666666666666671</v>
      </c>
      <c r="U12" s="35">
        <v>2224</v>
      </c>
      <c r="V12" s="36">
        <f>U12/27</f>
        <v>82.370370370370367</v>
      </c>
      <c r="W12" s="37">
        <f t="shared" ref="W12:W27" si="9">(R12+T12+V12)/3</f>
        <v>82.407407407407405</v>
      </c>
      <c r="X12" s="57"/>
      <c r="Y12" s="61">
        <f t="shared" si="0"/>
        <v>0.81594907407407402</v>
      </c>
      <c r="Z12" s="64">
        <f>'Absen Staff-JULI'!W14</f>
        <v>1</v>
      </c>
      <c r="AA12" s="64">
        <f>'Absen Staff - AGST'!W14</f>
        <v>1</v>
      </c>
      <c r="AB12" s="64">
        <f>'Absen Staff - SEPT'!W14</f>
        <v>1</v>
      </c>
      <c r="AC12" s="115">
        <f t="shared" si="1"/>
        <v>1</v>
      </c>
      <c r="AD12" s="62">
        <f t="shared" si="2"/>
        <v>1.815949074074074</v>
      </c>
      <c r="AE12" s="63">
        <f t="shared" si="3"/>
        <v>0.90797453703703701</v>
      </c>
    </row>
    <row r="13" spans="2:31" ht="24" customHeight="1" x14ac:dyDescent="0.25">
      <c r="B13" s="34" t="s">
        <v>68</v>
      </c>
      <c r="C13" s="43" t="s">
        <v>3</v>
      </c>
      <c r="D13" s="35">
        <v>2274</v>
      </c>
      <c r="E13" s="37">
        <f t="shared" si="4"/>
        <v>84.222222222222229</v>
      </c>
      <c r="F13" s="35">
        <v>2231</v>
      </c>
      <c r="G13" s="37">
        <f>F13/27</f>
        <v>82.629629629629633</v>
      </c>
      <c r="H13" s="35">
        <v>2213</v>
      </c>
      <c r="I13" s="36">
        <f t="shared" si="7"/>
        <v>81.962962962962962</v>
      </c>
      <c r="J13" s="35">
        <v>2289</v>
      </c>
      <c r="K13" s="36">
        <f>J13/27</f>
        <v>84.777777777777771</v>
      </c>
      <c r="L13" s="35">
        <v>2287</v>
      </c>
      <c r="M13" s="36">
        <f>L13/27</f>
        <v>84.703703703703709</v>
      </c>
      <c r="N13" s="35">
        <v>2261</v>
      </c>
      <c r="O13" s="36">
        <f t="shared" si="5"/>
        <v>83.740740740740748</v>
      </c>
      <c r="P13" s="37">
        <f t="shared" si="8"/>
        <v>83.796296296296305</v>
      </c>
      <c r="Q13" s="35">
        <v>2259</v>
      </c>
      <c r="R13" s="36">
        <f>Q13/27</f>
        <v>83.666666666666671</v>
      </c>
      <c r="S13" s="35">
        <v>2237</v>
      </c>
      <c r="T13" s="36">
        <f t="shared" si="6"/>
        <v>82.851851851851848</v>
      </c>
      <c r="U13" s="35">
        <v>2274</v>
      </c>
      <c r="V13" s="36">
        <f>U13/27</f>
        <v>84.222222222222229</v>
      </c>
      <c r="W13" s="37">
        <f t="shared" si="9"/>
        <v>83.580246913580254</v>
      </c>
      <c r="Y13" s="61">
        <f t="shared" si="0"/>
        <v>0.83557098765432103</v>
      </c>
      <c r="Z13" s="64">
        <f>'Absen Staff-JULI'!W12</f>
        <v>1</v>
      </c>
      <c r="AA13" s="64">
        <f>'Absen Staff - AGST'!W12</f>
        <v>0.8571428571428571</v>
      </c>
      <c r="AB13" s="64">
        <f>'Absen Staff - SEPT'!W12</f>
        <v>1</v>
      </c>
      <c r="AC13" s="115">
        <f t="shared" si="1"/>
        <v>0.95238095238095244</v>
      </c>
      <c r="AD13" s="62">
        <f t="shared" si="2"/>
        <v>1.7879519400352735</v>
      </c>
      <c r="AE13" s="63">
        <f t="shared" si="3"/>
        <v>0.89397597001763673</v>
      </c>
    </row>
    <row r="14" spans="2:31" ht="24" customHeight="1" x14ac:dyDescent="0.25">
      <c r="B14" s="34" t="s">
        <v>61</v>
      </c>
      <c r="C14" s="34" t="s">
        <v>2</v>
      </c>
      <c r="D14" s="35">
        <f>90+80+85+80+80+85+85+75+80+80+80+80+80+80+88+85+80+88+90+50+80+80+80+80+90+85+85</f>
        <v>2201</v>
      </c>
      <c r="E14" s="37">
        <f t="shared" si="4"/>
        <v>81.518518518518519</v>
      </c>
      <c r="F14" s="35">
        <f>80+80+90+90+90+90+90+85+60+90+85+80+80+90+90+86+80+80+80+80+80+90+90+85+85+75+90</f>
        <v>2271</v>
      </c>
      <c r="G14" s="37">
        <f>F14/28</f>
        <v>81.107142857142861</v>
      </c>
      <c r="H14" s="35">
        <f>80+80+80+80+80+90+90+70+90+90+90+90+80+80+75+80+88+77+80+80+80+80+80+90+90+90+70</f>
        <v>2230</v>
      </c>
      <c r="I14" s="36">
        <f t="shared" si="7"/>
        <v>82.592592592592595</v>
      </c>
      <c r="J14" s="35">
        <f>80+80+80+80+75+75+70+75+60+85+85+75+90+80+90+85+80+80+95+50+80+80+80+80+85+60+75</f>
        <v>2110</v>
      </c>
      <c r="K14" s="36">
        <f>J14/27</f>
        <v>78.148148148148152</v>
      </c>
      <c r="L14" s="35">
        <f>90+80+75+80+75+75+75+70+70+80+86+75+80+90+80+80+80+70+95+60+80+85+80+80+80+75+60</f>
        <v>2106</v>
      </c>
      <c r="M14" s="36">
        <f>L14/27</f>
        <v>78</v>
      </c>
      <c r="N14" s="35">
        <f>70+80+85+80+80+80+90+85+80+80+80+90+100+90+75+88+80+80+80+80+80+80+95+95+87+75+90</f>
        <v>2255</v>
      </c>
      <c r="O14" s="36">
        <f t="shared" si="5"/>
        <v>83.518518518518519</v>
      </c>
      <c r="P14" s="37">
        <f t="shared" si="8"/>
        <v>80.564814814814824</v>
      </c>
      <c r="Q14" s="35">
        <f>90+90+90+90+90+90+80+80+75+80+80+80+80+80+90+90+90+90+90+95+70+80+90+90+85+80+80</f>
        <v>2295</v>
      </c>
      <c r="R14" s="36">
        <f>Q14/28</f>
        <v>81.964285714285708</v>
      </c>
      <c r="S14" s="35">
        <f>80+80+80+80+90+90+90+90+90+90+80+80+90+90+80+80+80+80+80+80+90+90+85+80+70+86</f>
        <v>2181</v>
      </c>
      <c r="T14" s="36">
        <f t="shared" si="6"/>
        <v>80.777777777777771</v>
      </c>
      <c r="U14" s="35">
        <f>80+80+80+80+90+90+80+80+80+80+80+80+80+90+90+90+90+85+80+80+90+86+90+75+86+85+75+90</f>
        <v>2342</v>
      </c>
      <c r="V14" s="36">
        <f>U14/28</f>
        <v>83.642857142857139</v>
      </c>
      <c r="W14" s="37">
        <f t="shared" si="9"/>
        <v>82.128306878306873</v>
      </c>
      <c r="Y14" s="61">
        <f t="shared" si="0"/>
        <v>0.81329695767195775</v>
      </c>
      <c r="Z14" s="64">
        <f>'Absen Staff-JULI'!W6</f>
        <v>0.91666666666666663</v>
      </c>
      <c r="AA14" s="64">
        <f>'Absen Staff - AGST'!W6</f>
        <v>1</v>
      </c>
      <c r="AB14" s="64">
        <f>'Absen Staff - SEPT'!W6</f>
        <v>1</v>
      </c>
      <c r="AC14" s="115">
        <f t="shared" si="1"/>
        <v>0.97222222222222221</v>
      </c>
      <c r="AD14" s="62">
        <f t="shared" si="2"/>
        <v>1.7855191798941799</v>
      </c>
      <c r="AE14" s="63">
        <f t="shared" si="3"/>
        <v>0.89275958994708993</v>
      </c>
    </row>
    <row r="15" spans="2:31" ht="24" customHeight="1" x14ac:dyDescent="0.25">
      <c r="B15" s="35" t="s">
        <v>71</v>
      </c>
      <c r="C15" s="35" t="s">
        <v>3</v>
      </c>
      <c r="D15" s="35">
        <v>2168</v>
      </c>
      <c r="E15" s="37">
        <f t="shared" si="4"/>
        <v>80.296296296296291</v>
      </c>
      <c r="F15" s="35">
        <v>2170</v>
      </c>
      <c r="G15" s="37">
        <f>F15/27</f>
        <v>80.370370370370367</v>
      </c>
      <c r="H15" s="35">
        <v>2168</v>
      </c>
      <c r="I15" s="36">
        <f t="shared" si="7"/>
        <v>80.296296296296291</v>
      </c>
      <c r="J15" s="35">
        <v>2146</v>
      </c>
      <c r="K15" s="36">
        <f>J15/27</f>
        <v>79.481481481481481</v>
      </c>
      <c r="L15" s="35">
        <v>2167</v>
      </c>
      <c r="M15" s="36">
        <f>L15/27</f>
        <v>80.259259259259252</v>
      </c>
      <c r="N15" s="35">
        <v>2150</v>
      </c>
      <c r="O15" s="36">
        <f t="shared" si="5"/>
        <v>79.629629629629633</v>
      </c>
      <c r="P15" s="37">
        <f t="shared" si="8"/>
        <v>79.916666666666657</v>
      </c>
      <c r="Q15" s="35">
        <v>2208</v>
      </c>
      <c r="R15" s="36">
        <f>Q15/27</f>
        <v>81.777777777777771</v>
      </c>
      <c r="S15" s="35">
        <v>2150</v>
      </c>
      <c r="T15" s="36">
        <f t="shared" si="6"/>
        <v>79.629629629629633</v>
      </c>
      <c r="U15" s="35">
        <v>2134</v>
      </c>
      <c r="V15" s="36">
        <f>U15/27</f>
        <v>79.037037037037038</v>
      </c>
      <c r="W15" s="37">
        <f t="shared" si="9"/>
        <v>80.148148148148138</v>
      </c>
      <c r="X15" s="57"/>
      <c r="Y15" s="61">
        <f t="shared" si="0"/>
        <v>0.80182870370370363</v>
      </c>
      <c r="Z15" s="64">
        <f>'Absen Staff-JULI'!W15</f>
        <v>0.92</v>
      </c>
      <c r="AA15" s="64">
        <f>'Absen Staff - AGST'!W15</f>
        <v>1</v>
      </c>
      <c r="AB15" s="64">
        <f>'Absen Staff - SEPT'!W15</f>
        <v>1</v>
      </c>
      <c r="AC15" s="115">
        <f t="shared" si="1"/>
        <v>0.97333333333333327</v>
      </c>
      <c r="AD15" s="62">
        <f t="shared" si="2"/>
        <v>1.7751620370370369</v>
      </c>
      <c r="AE15" s="63">
        <f t="shared" si="3"/>
        <v>0.88758101851851845</v>
      </c>
    </row>
    <row r="16" spans="2:31" ht="24" customHeight="1" x14ac:dyDescent="0.25">
      <c r="B16" s="35" t="s">
        <v>72</v>
      </c>
      <c r="C16" s="35" t="s">
        <v>6</v>
      </c>
      <c r="D16" s="35">
        <v>2210</v>
      </c>
      <c r="E16" s="37">
        <f t="shared" si="4"/>
        <v>81.851851851851848</v>
      </c>
      <c r="F16" s="35">
        <v>2228</v>
      </c>
      <c r="G16" s="37">
        <f>F16/27</f>
        <v>82.518518518518519</v>
      </c>
      <c r="H16" s="35">
        <v>2175</v>
      </c>
      <c r="I16" s="36">
        <f t="shared" si="7"/>
        <v>80.555555555555557</v>
      </c>
      <c r="J16" s="35">
        <v>2046</v>
      </c>
      <c r="K16" s="36">
        <f>J16/25</f>
        <v>81.84</v>
      </c>
      <c r="L16" s="35">
        <v>2049</v>
      </c>
      <c r="M16" s="36">
        <f>L16/25</f>
        <v>81.96</v>
      </c>
      <c r="N16" s="35">
        <v>2238</v>
      </c>
      <c r="O16" s="36">
        <f t="shared" si="5"/>
        <v>82.888888888888886</v>
      </c>
      <c r="P16" s="37">
        <f t="shared" si="8"/>
        <v>81.811111111111103</v>
      </c>
      <c r="Q16" s="35">
        <v>2267</v>
      </c>
      <c r="R16" s="36">
        <f>Q16/27</f>
        <v>83.962962962962962</v>
      </c>
      <c r="S16" s="35">
        <v>2189</v>
      </c>
      <c r="T16" s="36">
        <f t="shared" si="6"/>
        <v>81.074074074074076</v>
      </c>
      <c r="U16" s="35">
        <v>2232</v>
      </c>
      <c r="V16" s="36">
        <f>U16/27</f>
        <v>82.666666666666671</v>
      </c>
      <c r="W16" s="37">
        <f t="shared" si="9"/>
        <v>82.567901234567898</v>
      </c>
      <c r="X16" s="57"/>
      <c r="Y16" s="61">
        <f t="shared" si="0"/>
        <v>0.82187345679012336</v>
      </c>
      <c r="Z16" s="64">
        <f>'Absen Staff-JULI'!W20</f>
        <v>0.80952380952380953</v>
      </c>
      <c r="AA16" s="64">
        <f>'Absen Staff - AGST'!W20</f>
        <v>1</v>
      </c>
      <c r="AB16" s="64">
        <f>'Absen Staff - SEPT'!W20</f>
        <v>1</v>
      </c>
      <c r="AC16" s="115">
        <f t="shared" si="1"/>
        <v>0.9365079365079364</v>
      </c>
      <c r="AD16" s="62">
        <f t="shared" si="2"/>
        <v>1.7583813932980599</v>
      </c>
      <c r="AE16" s="63">
        <f t="shared" si="3"/>
        <v>0.87919069664902993</v>
      </c>
    </row>
    <row r="17" spans="2:31" ht="24" customHeight="1" x14ac:dyDescent="0.25">
      <c r="B17" s="34" t="s">
        <v>63</v>
      </c>
      <c r="C17" s="34" t="s">
        <v>2</v>
      </c>
      <c r="D17" s="35">
        <f>90+90+90+80+80+80+80+80+80+80+88+90+90+80+80+80+80+80+80+60+80+85+85+85+80+80+80</f>
        <v>2213</v>
      </c>
      <c r="E17" s="37">
        <f t="shared" si="4"/>
        <v>81.962962962962962</v>
      </c>
      <c r="F17" s="35">
        <f xml:space="preserve">  80+80+80+80+80+90+90+90+60+90+90+80+80+80+80+80+80+80+80+60+90+80+80+80+80+80+80</f>
        <v>2180</v>
      </c>
      <c r="G17" s="37">
        <f>F17/27</f>
        <v>80.740740740740748</v>
      </c>
      <c r="H17" s="35">
        <f>90+90+90+80+80+80+80+80+70+90+90+90+80+80+80+88+80+80+90+70+80+80+80+80+70+80+90</f>
        <v>2218</v>
      </c>
      <c r="I17" s="36">
        <f t="shared" si="7"/>
        <v>82.148148148148152</v>
      </c>
      <c r="J17" s="35">
        <f>90+90+90+80+80+80+85+80+60+85+90+90+80+80+75+80+80+80+80+80+80+90+90+90+88+75+75</f>
        <v>2223</v>
      </c>
      <c r="K17" s="36">
        <f>J17/27</f>
        <v>82.333333333333329</v>
      </c>
      <c r="L17" s="35">
        <f xml:space="preserve">  90+90+90+80+80+80+80+80+70+90+80+80+80+85+90+90+90+80+80+80+80+80+75+80+80+75+65</f>
        <v>2200</v>
      </c>
      <c r="M17" s="36">
        <f>L17/27</f>
        <v>81.481481481481481</v>
      </c>
      <c r="N17" s="35">
        <f xml:space="preserve"> 90+90+90+90+90+80+80+80+80+80+80+80+100+90+80+86+90+90+90+90+80+80+80+80+80+80+60</f>
        <v>2266</v>
      </c>
      <c r="O17" s="36">
        <f t="shared" si="5"/>
        <v>83.925925925925924</v>
      </c>
      <c r="P17" s="37">
        <f t="shared" si="8"/>
        <v>82.472222222222214</v>
      </c>
      <c r="Q17" s="35">
        <f>90+90+90+80+80+80+85+85+90+90+90+90+90+90+80+75+80+80+87+70+80+90+90+85+85+90+65</f>
        <v>2277</v>
      </c>
      <c r="R17" s="36">
        <f>Q17/27</f>
        <v>84.333333333333329</v>
      </c>
      <c r="S17" s="35">
        <f xml:space="preserve">  90+90+90+90+80+80+80+80+80+80+85+70+90+90+90+80+80+80+80+70+90+80+80+85+85+65+100</f>
        <v>2240</v>
      </c>
      <c r="T17" s="36">
        <f t="shared" si="6"/>
        <v>82.962962962962962</v>
      </c>
      <c r="U17" s="35">
        <f>90+90+90+90+90+90+90+80+80+80+80+80+80+80+80+80+85+90+90+80+80+80+85+80+85+65+90</f>
        <v>2260</v>
      </c>
      <c r="V17" s="36">
        <f>U17/27</f>
        <v>83.703703703703709</v>
      </c>
      <c r="W17" s="37">
        <f t="shared" si="9"/>
        <v>83.666666666666671</v>
      </c>
      <c r="Y17" s="61">
        <f t="shared" si="0"/>
        <v>0.82210648148148158</v>
      </c>
      <c r="Z17" s="64">
        <f>'Absen Staff-JULI'!W8</f>
        <v>0.76</v>
      </c>
      <c r="AA17" s="64">
        <f>'Absen Staff - AGST'!W8</f>
        <v>1</v>
      </c>
      <c r="AB17" s="64">
        <f>'Absen Staff - SEPT'!W8</f>
        <v>1</v>
      </c>
      <c r="AC17" s="115">
        <f t="shared" si="1"/>
        <v>0.91999999999999993</v>
      </c>
      <c r="AD17" s="62">
        <f t="shared" si="2"/>
        <v>1.7421064814814815</v>
      </c>
      <c r="AE17" s="63">
        <f t="shared" si="3"/>
        <v>0.87105324074074075</v>
      </c>
    </row>
    <row r="18" spans="2:31" s="57" customFormat="1" ht="24" customHeight="1" x14ac:dyDescent="0.25">
      <c r="B18" s="35" t="s">
        <v>74</v>
      </c>
      <c r="C18" s="44" t="s">
        <v>75</v>
      </c>
      <c r="D18" s="35">
        <f>80+80+80+80+90+90+75+80+80+80+60+86+80+90+75+75+80+80+80+80+80+80+80+80+90+90+60+90</f>
        <v>2251</v>
      </c>
      <c r="E18" s="37">
        <f>D18/28</f>
        <v>80.392857142857139</v>
      </c>
      <c r="F18" s="35">
        <f>80+80+80+90+90+90+90+85+85+80+80+70+70+90+80+80+80+80+90+90+85+80+80+80+80+90+65+80</f>
        <v>2300</v>
      </c>
      <c r="G18" s="37">
        <f>F18/28</f>
        <v>82.142857142857139</v>
      </c>
      <c r="H18" s="35">
        <f>80+80+90+90+90+90+90+90+60+80+80+80+90+90+75+80+80+90+75+90+80+80+90+75+85+60+85+80</f>
        <v>2305</v>
      </c>
      <c r="I18" s="46">
        <f>H18/28</f>
        <v>82.321428571428569</v>
      </c>
      <c r="J18" s="35">
        <f>80+80+90+75+80+75+70+80+86+70+80+90+75+80+80+80+80+85+85+70+80+80+75+50</f>
        <v>1876</v>
      </c>
      <c r="K18" s="36">
        <f>J18/25</f>
        <v>75.040000000000006</v>
      </c>
      <c r="L18" s="35">
        <f>80+80+90+75+80+85+70+80+86+70+60+90+75+80+80+80+80+85+85+50+80+80+75+80</f>
        <v>1876</v>
      </c>
      <c r="M18" s="36">
        <f>L18/25</f>
        <v>75.040000000000006</v>
      </c>
      <c r="N18" s="35">
        <f>80+80+80+80+80+90+90+90+75+80+80+80+90+60+90+75+88+80+80+80+80+80+90+75+80+80+80+60</f>
        <v>2253</v>
      </c>
      <c r="O18" s="36">
        <f>N18/28</f>
        <v>80.464285714285708</v>
      </c>
      <c r="P18" s="37">
        <f t="shared" si="8"/>
        <v>78.21642857142858</v>
      </c>
      <c r="Q18" s="35">
        <f>80+80+80+80+80+80+80+90+90+60+80+80+90+90+75+75+80+80+80+90+70+85+80+90+85+85+60+80</f>
        <v>2255</v>
      </c>
      <c r="R18" s="36">
        <f>Q18/28</f>
        <v>80.535714285714292</v>
      </c>
      <c r="S18" s="35">
        <f>80+80+80+80+80+80+90+90+90+60+880+90+90+80+80+85+85+50</f>
        <v>2250</v>
      </c>
      <c r="T18" s="36">
        <f>S18/28</f>
        <v>80.357142857142861</v>
      </c>
      <c r="U18" s="35">
        <f>80+80+90+90+85+85+80+80+80+80+80+80+90+90+70+70+77+75+88+80+90+90+90+85+85+85+60+60</f>
        <v>2275</v>
      </c>
      <c r="V18" s="36">
        <f>U18/28</f>
        <v>81.25</v>
      </c>
      <c r="W18" s="37">
        <f t="shared" si="9"/>
        <v>80.714285714285722</v>
      </c>
      <c r="X18" s="54"/>
      <c r="Y18" s="61">
        <f t="shared" si="0"/>
        <v>0.80366607142857149</v>
      </c>
      <c r="Z18" s="64">
        <f>'Absen Staff-JULI'!W22</f>
        <v>0.86363636363636365</v>
      </c>
      <c r="AA18" s="64">
        <f>'Absen Staff - AGST'!W22</f>
        <v>0.92307692307692313</v>
      </c>
      <c r="AB18" s="64">
        <f>'Absen Staff - SEPT'!W22</f>
        <v>1</v>
      </c>
      <c r="AC18" s="115">
        <f t="shared" si="1"/>
        <v>0.92890442890442892</v>
      </c>
      <c r="AD18" s="62">
        <f t="shared" si="2"/>
        <v>1.7325705003330003</v>
      </c>
      <c r="AE18" s="63">
        <f t="shared" si="3"/>
        <v>0.86628525016650015</v>
      </c>
    </row>
    <row r="19" spans="2:31" s="57" customFormat="1" ht="24" customHeight="1" x14ac:dyDescent="0.25">
      <c r="B19" s="34" t="s">
        <v>66</v>
      </c>
      <c r="C19" s="34" t="s">
        <v>3</v>
      </c>
      <c r="D19" s="35">
        <v>2119</v>
      </c>
      <c r="E19" s="37">
        <f>D19/26</f>
        <v>81.5</v>
      </c>
      <c r="F19" s="35">
        <v>2153</v>
      </c>
      <c r="G19" s="37">
        <f>F19/26</f>
        <v>82.807692307692307</v>
      </c>
      <c r="H19" s="35">
        <v>2174</v>
      </c>
      <c r="I19" s="36">
        <f>H19/26</f>
        <v>83.615384615384613</v>
      </c>
      <c r="J19" s="35">
        <v>2189</v>
      </c>
      <c r="K19" s="36">
        <f>J19/26</f>
        <v>84.192307692307693</v>
      </c>
      <c r="L19" s="35">
        <v>2162</v>
      </c>
      <c r="M19" s="36">
        <f>L19/26</f>
        <v>83.15384615384616</v>
      </c>
      <c r="N19" s="35">
        <v>2198</v>
      </c>
      <c r="O19" s="36">
        <f>N19/26</f>
        <v>84.538461538461533</v>
      </c>
      <c r="P19" s="37">
        <f t="shared" si="8"/>
        <v>83.875</v>
      </c>
      <c r="Q19" s="35">
        <v>2183</v>
      </c>
      <c r="R19" s="36">
        <f>Q19/26</f>
        <v>83.961538461538467</v>
      </c>
      <c r="S19" s="35">
        <v>2126</v>
      </c>
      <c r="T19" s="36">
        <f>S19/26</f>
        <v>81.769230769230774</v>
      </c>
      <c r="U19" s="35">
        <v>2184</v>
      </c>
      <c r="V19" s="36">
        <f>U19/26</f>
        <v>84</v>
      </c>
      <c r="W19" s="37">
        <f t="shared" si="9"/>
        <v>83.243589743589737</v>
      </c>
      <c r="X19" s="54"/>
      <c r="Y19" s="61">
        <f t="shared" si="0"/>
        <v>0.82856570512820515</v>
      </c>
      <c r="Z19" s="64">
        <f>'Absen Staff-JULI'!W10</f>
        <v>0.75</v>
      </c>
      <c r="AA19" s="64">
        <f>'Absen Staff - AGST'!W10</f>
        <v>0.92592592592592593</v>
      </c>
      <c r="AB19" s="64">
        <f>'Absen Staff - SEPT'!W10</f>
        <v>1</v>
      </c>
      <c r="AC19" s="115">
        <f t="shared" si="1"/>
        <v>0.89197530864197538</v>
      </c>
      <c r="AD19" s="62">
        <f t="shared" si="2"/>
        <v>1.7205410137701804</v>
      </c>
      <c r="AE19" s="63">
        <f t="shared" si="3"/>
        <v>0.86027050688509021</v>
      </c>
    </row>
    <row r="20" spans="2:31" s="57" customFormat="1" ht="24" customHeight="1" x14ac:dyDescent="0.25">
      <c r="B20" s="34" t="s">
        <v>76</v>
      </c>
      <c r="C20" s="34" t="s">
        <v>3</v>
      </c>
      <c r="D20" s="35">
        <v>2180</v>
      </c>
      <c r="E20" s="37">
        <f t="shared" ref="E20:E27" si="10">D20/27</f>
        <v>80.740740740740748</v>
      </c>
      <c r="F20" s="35">
        <v>2230</v>
      </c>
      <c r="G20" s="37">
        <f t="shared" ref="G20:G27" si="11">F20/27</f>
        <v>82.592592592592595</v>
      </c>
      <c r="H20" s="35">
        <v>2154</v>
      </c>
      <c r="I20" s="36">
        <f t="shared" ref="I20:I27" si="12">H20/27</f>
        <v>79.777777777777771</v>
      </c>
      <c r="J20" s="35">
        <v>2163</v>
      </c>
      <c r="K20" s="36">
        <f>J20/27</f>
        <v>80.111111111111114</v>
      </c>
      <c r="L20" s="35">
        <v>2153</v>
      </c>
      <c r="M20" s="36">
        <f>L20/27</f>
        <v>79.740740740740748</v>
      </c>
      <c r="N20" s="35">
        <v>2181</v>
      </c>
      <c r="O20" s="36">
        <f t="shared" ref="O20:O27" si="13">N20/27</f>
        <v>80.777777777777771</v>
      </c>
      <c r="P20" s="37">
        <f t="shared" si="8"/>
        <v>80.101851851851848</v>
      </c>
      <c r="Q20" s="35">
        <v>2196</v>
      </c>
      <c r="R20" s="36">
        <f t="shared" ref="R20:R27" si="14">Q20/27</f>
        <v>81.333333333333329</v>
      </c>
      <c r="S20" s="35">
        <v>2140</v>
      </c>
      <c r="T20" s="36">
        <f t="shared" ref="T20:T27" si="15">S20/27</f>
        <v>79.259259259259252</v>
      </c>
      <c r="U20" s="35">
        <v>2158</v>
      </c>
      <c r="V20" s="36">
        <f t="shared" ref="V20:V27" si="16">U20/27</f>
        <v>79.925925925925924</v>
      </c>
      <c r="W20" s="37">
        <f t="shared" si="9"/>
        <v>80.172839506172835</v>
      </c>
      <c r="Y20" s="61">
        <f t="shared" si="0"/>
        <v>0.80902006172839502</v>
      </c>
      <c r="Z20" s="64">
        <f>'Absen Staff-JULI'!W16</f>
        <v>0.86956521739130432</v>
      </c>
      <c r="AA20" s="64">
        <f>'Absen Staff - AGST'!W16</f>
        <v>0.85185185185185186</v>
      </c>
      <c r="AB20" s="64">
        <f>'Absen Staff - SEPT'!W16</f>
        <v>1</v>
      </c>
      <c r="AC20" s="115">
        <f t="shared" si="1"/>
        <v>0.9071390230810521</v>
      </c>
      <c r="AD20" s="62">
        <f t="shared" si="2"/>
        <v>1.7161590848094472</v>
      </c>
      <c r="AE20" s="63">
        <f t="shared" si="3"/>
        <v>0.85807954240472362</v>
      </c>
    </row>
    <row r="21" spans="2:31" s="57" customFormat="1" ht="24" customHeight="1" x14ac:dyDescent="0.25">
      <c r="B21" s="34" t="s">
        <v>67</v>
      </c>
      <c r="C21" s="43" t="s">
        <v>3</v>
      </c>
      <c r="D21" s="35">
        <v>2189</v>
      </c>
      <c r="E21" s="37">
        <f t="shared" si="10"/>
        <v>81.074074074074076</v>
      </c>
      <c r="F21" s="35">
        <v>2231</v>
      </c>
      <c r="G21" s="37">
        <f t="shared" si="11"/>
        <v>82.629629629629633</v>
      </c>
      <c r="H21" s="35">
        <v>2183</v>
      </c>
      <c r="I21" s="36">
        <f t="shared" si="12"/>
        <v>80.851851851851848</v>
      </c>
      <c r="J21" s="35">
        <v>2193</v>
      </c>
      <c r="K21" s="36">
        <f>J21/27</f>
        <v>81.222222222222229</v>
      </c>
      <c r="L21" s="35">
        <v>2224</v>
      </c>
      <c r="M21" s="36">
        <f>L21/27</f>
        <v>82.370370370370367</v>
      </c>
      <c r="N21" s="35">
        <v>2256</v>
      </c>
      <c r="O21" s="36">
        <f t="shared" si="13"/>
        <v>83.555555555555557</v>
      </c>
      <c r="P21" s="37">
        <f t="shared" si="8"/>
        <v>82</v>
      </c>
      <c r="Q21" s="35">
        <v>2208</v>
      </c>
      <c r="R21" s="36">
        <f t="shared" si="14"/>
        <v>81.777777777777771</v>
      </c>
      <c r="S21" s="35">
        <v>2155</v>
      </c>
      <c r="T21" s="36">
        <f t="shared" si="15"/>
        <v>79.81481481481481</v>
      </c>
      <c r="U21" s="35">
        <v>2183</v>
      </c>
      <c r="V21" s="36">
        <f t="shared" si="16"/>
        <v>80.851851851851848</v>
      </c>
      <c r="W21" s="37">
        <f t="shared" si="9"/>
        <v>80.81481481481481</v>
      </c>
      <c r="X21" s="54"/>
      <c r="Y21" s="61">
        <f t="shared" si="0"/>
        <v>0.81629629629629619</v>
      </c>
      <c r="Z21" s="64">
        <f>'Absen Staff-JULI'!W11</f>
        <v>0.91304347826086951</v>
      </c>
      <c r="AA21" s="64">
        <f>'Absen Staff - AGST'!W11</f>
        <v>0.84</v>
      </c>
      <c r="AB21" s="64">
        <f>'Absen Staff - SEPT'!W11</f>
        <v>0.92592592592592593</v>
      </c>
      <c r="AC21" s="115">
        <f t="shared" si="1"/>
        <v>0.89298980139559847</v>
      </c>
      <c r="AD21" s="62">
        <f t="shared" si="2"/>
        <v>1.7092860976918947</v>
      </c>
      <c r="AE21" s="63">
        <f t="shared" si="3"/>
        <v>0.85464304884594733</v>
      </c>
    </row>
    <row r="22" spans="2:31" s="57" customFormat="1" ht="24" customHeight="1" x14ac:dyDescent="0.25">
      <c r="B22" s="35" t="s">
        <v>69</v>
      </c>
      <c r="C22" s="44" t="s">
        <v>3</v>
      </c>
      <c r="D22" s="35">
        <v>2224</v>
      </c>
      <c r="E22" s="37">
        <f t="shared" si="10"/>
        <v>82.370370370370367</v>
      </c>
      <c r="F22" s="35">
        <v>2208</v>
      </c>
      <c r="G22" s="37">
        <f t="shared" si="11"/>
        <v>81.777777777777771</v>
      </c>
      <c r="H22" s="35">
        <v>2145</v>
      </c>
      <c r="I22" s="36">
        <f t="shared" si="12"/>
        <v>79.444444444444443</v>
      </c>
      <c r="J22" s="35">
        <v>2195</v>
      </c>
      <c r="K22" s="36">
        <f>J22/27</f>
        <v>81.296296296296291</v>
      </c>
      <c r="L22" s="35">
        <v>2171</v>
      </c>
      <c r="M22" s="36">
        <f>L22/27</f>
        <v>80.407407407407405</v>
      </c>
      <c r="N22" s="35">
        <v>2236</v>
      </c>
      <c r="O22" s="36">
        <f t="shared" si="13"/>
        <v>82.81481481481481</v>
      </c>
      <c r="P22" s="37">
        <f t="shared" si="8"/>
        <v>80.990740740740733</v>
      </c>
      <c r="Q22" s="35">
        <v>2224</v>
      </c>
      <c r="R22" s="36">
        <f t="shared" si="14"/>
        <v>82.370370370370367</v>
      </c>
      <c r="S22" s="35">
        <v>2209</v>
      </c>
      <c r="T22" s="36">
        <f t="shared" si="15"/>
        <v>81.81481481481481</v>
      </c>
      <c r="U22" s="35">
        <v>2215</v>
      </c>
      <c r="V22" s="36">
        <f t="shared" si="16"/>
        <v>82.037037037037038</v>
      </c>
      <c r="W22" s="37">
        <f t="shared" si="9"/>
        <v>82.074074074074062</v>
      </c>
      <c r="X22" s="54"/>
      <c r="Y22" s="61">
        <f t="shared" si="0"/>
        <v>0.81803240740740735</v>
      </c>
      <c r="Z22" s="64">
        <f>'Absen Staff-JULI'!W13</f>
        <v>0.90909090909090906</v>
      </c>
      <c r="AA22" s="64">
        <f>'Absen Staff - AGST'!W13</f>
        <v>0.91666666666666663</v>
      </c>
      <c r="AB22" s="64">
        <f>'Absen Staff - SEPT'!W13</f>
        <v>0.84</v>
      </c>
      <c r="AC22" s="115">
        <f t="shared" si="1"/>
        <v>0.88858585858585848</v>
      </c>
      <c r="AD22" s="62">
        <f t="shared" si="2"/>
        <v>1.7066182659932658</v>
      </c>
      <c r="AE22" s="63">
        <f t="shared" si="3"/>
        <v>0.85330913299663291</v>
      </c>
    </row>
    <row r="23" spans="2:31" ht="24" customHeight="1" x14ac:dyDescent="0.25">
      <c r="B23" s="34" t="s">
        <v>65</v>
      </c>
      <c r="C23" s="34" t="s">
        <v>2</v>
      </c>
      <c r="D23" s="35">
        <f>90+90+90+80+80+80+80+80+70+80+80+80+90+90+88+87+0+80+90+60+80+80+85+85+85+85+90</f>
        <v>2155</v>
      </c>
      <c r="E23" s="37">
        <f t="shared" si="10"/>
        <v>79.81481481481481</v>
      </c>
      <c r="F23" s="35">
        <f>90+90+90+90+80+80+80+85+60+90+90+80+80+70+75+90+90+90+80+80+80+80+80+80+80+70+90</f>
        <v>2220</v>
      </c>
      <c r="G23" s="37">
        <f t="shared" si="11"/>
        <v>82.222222222222229</v>
      </c>
      <c r="H23" s="35">
        <v>2239</v>
      </c>
      <c r="I23" s="36">
        <f t="shared" si="12"/>
        <v>82.925925925925924</v>
      </c>
      <c r="J23" s="35">
        <v>2176</v>
      </c>
      <c r="K23" s="36">
        <f>J23/27</f>
        <v>80.592592592592595</v>
      </c>
      <c r="L23" s="35">
        <v>2208</v>
      </c>
      <c r="M23" s="36">
        <f>L23/27</f>
        <v>81.777777777777771</v>
      </c>
      <c r="N23" s="35">
        <v>2180</v>
      </c>
      <c r="O23" s="36">
        <f t="shared" si="13"/>
        <v>80.740740740740748</v>
      </c>
      <c r="P23" s="37">
        <f t="shared" si="8"/>
        <v>81.509259259259267</v>
      </c>
      <c r="Q23" s="35">
        <v>2165</v>
      </c>
      <c r="R23" s="36">
        <f t="shared" si="14"/>
        <v>80.18518518518519</v>
      </c>
      <c r="S23" s="35">
        <v>2148</v>
      </c>
      <c r="T23" s="36">
        <f t="shared" si="15"/>
        <v>79.555555555555557</v>
      </c>
      <c r="U23" s="35">
        <v>2139</v>
      </c>
      <c r="V23" s="36">
        <f t="shared" si="16"/>
        <v>79.222222222222229</v>
      </c>
      <c r="W23" s="37">
        <f t="shared" si="9"/>
        <v>79.65432098765433</v>
      </c>
      <c r="Y23" s="61">
        <f t="shared" si="0"/>
        <v>0.8080015432098766</v>
      </c>
      <c r="Z23" s="64">
        <f>'Absen Staff-JULI'!W9</f>
        <v>0.78260869565217395</v>
      </c>
      <c r="AA23" s="64">
        <f>'Absen Staff - AGST'!W9</f>
        <v>1</v>
      </c>
      <c r="AB23" s="64">
        <f>'Absen Staff - SEPT'!W9</f>
        <v>0.86956521739130432</v>
      </c>
      <c r="AC23" s="115">
        <f t="shared" si="1"/>
        <v>0.88405797101449268</v>
      </c>
      <c r="AD23" s="62">
        <f t="shared" si="2"/>
        <v>1.6920595142243693</v>
      </c>
      <c r="AE23" s="63">
        <f t="shared" si="3"/>
        <v>0.84602975711218464</v>
      </c>
    </row>
    <row r="24" spans="2:31" s="57" customFormat="1" ht="24" customHeight="1" x14ac:dyDescent="0.25">
      <c r="B24" s="34" t="s">
        <v>73</v>
      </c>
      <c r="C24" s="34" t="s">
        <v>6</v>
      </c>
      <c r="D24" s="35">
        <v>2170</v>
      </c>
      <c r="E24" s="37">
        <f t="shared" si="10"/>
        <v>80.370370370370367</v>
      </c>
      <c r="F24" s="35">
        <v>2114</v>
      </c>
      <c r="G24" s="37">
        <f t="shared" si="11"/>
        <v>78.296296296296291</v>
      </c>
      <c r="H24" s="35">
        <v>2139</v>
      </c>
      <c r="I24" s="36">
        <f t="shared" si="12"/>
        <v>79.222222222222229</v>
      </c>
      <c r="J24" s="35">
        <v>1955</v>
      </c>
      <c r="K24" s="36">
        <f>J24/25</f>
        <v>78.2</v>
      </c>
      <c r="L24" s="35">
        <v>1954</v>
      </c>
      <c r="M24" s="36">
        <f>L24/25</f>
        <v>78.16</v>
      </c>
      <c r="N24" s="35">
        <v>2147</v>
      </c>
      <c r="O24" s="36">
        <f t="shared" si="13"/>
        <v>79.518518518518519</v>
      </c>
      <c r="P24" s="37">
        <f t="shared" si="8"/>
        <v>78.77518518518518</v>
      </c>
      <c r="Q24" s="35">
        <v>2217</v>
      </c>
      <c r="R24" s="36">
        <f t="shared" si="14"/>
        <v>82.111111111111114</v>
      </c>
      <c r="S24" s="35">
        <v>2163</v>
      </c>
      <c r="T24" s="36">
        <f t="shared" si="15"/>
        <v>80.111111111111114</v>
      </c>
      <c r="U24" s="35">
        <v>2114</v>
      </c>
      <c r="V24" s="36">
        <f t="shared" si="16"/>
        <v>78.296296296296291</v>
      </c>
      <c r="W24" s="37">
        <f t="shared" si="9"/>
        <v>80.172839506172849</v>
      </c>
      <c r="X24" s="54"/>
      <c r="Y24" s="61">
        <f t="shared" si="0"/>
        <v>0.79403672839506168</v>
      </c>
      <c r="Z24" s="64">
        <f>'Absen Staff-JULI'!W21</f>
        <v>0.83333333333333337</v>
      </c>
      <c r="AA24" s="64">
        <f>'Absen Staff - AGST'!W21</f>
        <v>0.9285714285714286</v>
      </c>
      <c r="AB24" s="64">
        <f>'Absen Staff - SEPT'!W21</f>
        <v>0.9285714285714286</v>
      </c>
      <c r="AC24" s="115">
        <f t="shared" si="1"/>
        <v>0.89682539682539686</v>
      </c>
      <c r="AD24" s="62">
        <f t="shared" si="2"/>
        <v>1.6908621252204585</v>
      </c>
      <c r="AE24" s="63">
        <f t="shared" si="3"/>
        <v>0.84543106261022927</v>
      </c>
    </row>
    <row r="25" spans="2:31" ht="24" customHeight="1" x14ac:dyDescent="0.25">
      <c r="B25" s="34" t="s">
        <v>77</v>
      </c>
      <c r="C25" s="34" t="s">
        <v>3</v>
      </c>
      <c r="D25" s="35">
        <v>2152</v>
      </c>
      <c r="E25" s="37">
        <f t="shared" si="10"/>
        <v>79.703703703703709</v>
      </c>
      <c r="F25" s="35">
        <v>2176</v>
      </c>
      <c r="G25" s="37">
        <f t="shared" si="11"/>
        <v>80.592592592592595</v>
      </c>
      <c r="H25" s="35">
        <v>2141</v>
      </c>
      <c r="I25" s="36">
        <f t="shared" si="12"/>
        <v>79.296296296296291</v>
      </c>
      <c r="J25" s="35">
        <v>2129</v>
      </c>
      <c r="K25" s="36">
        <f>J25/27</f>
        <v>78.851851851851848</v>
      </c>
      <c r="L25" s="35">
        <v>2148</v>
      </c>
      <c r="M25" s="36">
        <f>L25/27</f>
        <v>79.555555555555557</v>
      </c>
      <c r="N25" s="35">
        <v>2156</v>
      </c>
      <c r="O25" s="36">
        <f t="shared" si="13"/>
        <v>79.851851851851848</v>
      </c>
      <c r="P25" s="37">
        <f t="shared" si="8"/>
        <v>79.388888888888886</v>
      </c>
      <c r="Q25" s="35">
        <v>2165</v>
      </c>
      <c r="R25" s="36">
        <f t="shared" si="14"/>
        <v>80.18518518518519</v>
      </c>
      <c r="S25" s="35">
        <v>2118</v>
      </c>
      <c r="T25" s="36">
        <f t="shared" si="15"/>
        <v>78.444444444444443</v>
      </c>
      <c r="U25" s="35">
        <v>2123</v>
      </c>
      <c r="V25" s="36">
        <f t="shared" si="16"/>
        <v>78.629629629629633</v>
      </c>
      <c r="W25" s="37">
        <f t="shared" si="9"/>
        <v>79.086419753086417</v>
      </c>
      <c r="X25" s="57"/>
      <c r="Y25" s="61">
        <f t="shared" si="0"/>
        <v>0.79692901234567903</v>
      </c>
      <c r="Z25" s="64">
        <f>'Absen Staff-JULI'!W17</f>
        <v>0.91304347826086951</v>
      </c>
      <c r="AA25" s="64">
        <f>'Absen Staff - AGST'!W17</f>
        <v>0.7857142857142857</v>
      </c>
      <c r="AB25" s="64">
        <f>'Absen Staff - SEPT'!W17</f>
        <v>0.85185185185185186</v>
      </c>
      <c r="AC25" s="115">
        <f t="shared" si="1"/>
        <v>0.85020320527566895</v>
      </c>
      <c r="AD25" s="62">
        <f t="shared" si="2"/>
        <v>1.6471322176213481</v>
      </c>
      <c r="AE25" s="63">
        <f t="shared" si="3"/>
        <v>0.82356610881067405</v>
      </c>
    </row>
    <row r="26" spans="2:31" ht="24" customHeight="1" x14ac:dyDescent="0.25">
      <c r="B26" s="34" t="s">
        <v>78</v>
      </c>
      <c r="C26" s="34" t="s">
        <v>3</v>
      </c>
      <c r="D26" s="35">
        <v>2166</v>
      </c>
      <c r="E26" s="37">
        <f t="shared" si="10"/>
        <v>80.222222222222229</v>
      </c>
      <c r="F26" s="35">
        <v>2148</v>
      </c>
      <c r="G26" s="37">
        <f t="shared" si="11"/>
        <v>79.555555555555557</v>
      </c>
      <c r="H26" s="35">
        <v>2142</v>
      </c>
      <c r="I26" s="36">
        <f t="shared" si="12"/>
        <v>79.333333333333329</v>
      </c>
      <c r="J26" s="35">
        <v>2145</v>
      </c>
      <c r="K26" s="36">
        <f>J26/27</f>
        <v>79.444444444444443</v>
      </c>
      <c r="L26" s="35">
        <v>2166</v>
      </c>
      <c r="M26" s="36">
        <f>L26/27</f>
        <v>80.222222222222229</v>
      </c>
      <c r="N26" s="35">
        <v>2178</v>
      </c>
      <c r="O26" s="36">
        <f t="shared" si="13"/>
        <v>80.666666666666671</v>
      </c>
      <c r="P26" s="37">
        <f t="shared" si="8"/>
        <v>79.916666666666671</v>
      </c>
      <c r="Q26" s="35">
        <v>2125</v>
      </c>
      <c r="R26" s="36">
        <f t="shared" si="14"/>
        <v>78.703703703703709</v>
      </c>
      <c r="S26" s="35">
        <v>2154</v>
      </c>
      <c r="T26" s="36">
        <f t="shared" si="15"/>
        <v>79.777777777777771</v>
      </c>
      <c r="U26" s="35">
        <v>2125</v>
      </c>
      <c r="V26" s="36">
        <f t="shared" si="16"/>
        <v>78.703703703703709</v>
      </c>
      <c r="W26" s="37">
        <f t="shared" si="9"/>
        <v>79.061728395061721</v>
      </c>
      <c r="X26" s="57"/>
      <c r="Y26" s="61">
        <f t="shared" si="0"/>
        <v>0.79689043209876542</v>
      </c>
      <c r="Z26" s="64">
        <f>'Absen Staff-JULI'!W18</f>
        <v>0.65217391304347827</v>
      </c>
      <c r="AA26" s="64">
        <f>'Absen Staff - AGST'!W18</f>
        <v>0.93103448275862066</v>
      </c>
      <c r="AB26" s="64">
        <f>'Absen Staff - SEPT'!W18</f>
        <v>0.70370370370370372</v>
      </c>
      <c r="AC26" s="115">
        <f t="shared" si="1"/>
        <v>0.76230403316860096</v>
      </c>
      <c r="AD26" s="62">
        <f t="shared" si="2"/>
        <v>1.5591944652673664</v>
      </c>
      <c r="AE26" s="63">
        <f t="shared" si="3"/>
        <v>0.77959723263368319</v>
      </c>
    </row>
    <row r="27" spans="2:31" ht="24" customHeight="1" x14ac:dyDescent="0.25">
      <c r="B27" s="35" t="s">
        <v>4</v>
      </c>
      <c r="C27" s="44" t="s">
        <v>5</v>
      </c>
      <c r="D27" s="35">
        <v>2287</v>
      </c>
      <c r="E27" s="37">
        <f t="shared" si="10"/>
        <v>84.703703703703709</v>
      </c>
      <c r="F27" s="35">
        <v>2231</v>
      </c>
      <c r="G27" s="37">
        <f t="shared" si="11"/>
        <v>82.629629629629633</v>
      </c>
      <c r="H27" s="35">
        <v>2197</v>
      </c>
      <c r="I27" s="36">
        <f t="shared" si="12"/>
        <v>81.370370370370367</v>
      </c>
      <c r="J27" s="35">
        <v>2096</v>
      </c>
      <c r="K27" s="36">
        <f>J27/25</f>
        <v>83.84</v>
      </c>
      <c r="L27" s="35">
        <v>2079</v>
      </c>
      <c r="M27" s="36">
        <f>L27/25</f>
        <v>83.16</v>
      </c>
      <c r="N27" s="35">
        <v>2254</v>
      </c>
      <c r="O27" s="36">
        <f t="shared" si="13"/>
        <v>83.481481481481481</v>
      </c>
      <c r="P27" s="37">
        <f t="shared" si="8"/>
        <v>82.962962962962962</v>
      </c>
      <c r="Q27" s="35">
        <v>2142</v>
      </c>
      <c r="R27" s="36">
        <f t="shared" si="14"/>
        <v>79.333333333333329</v>
      </c>
      <c r="S27" s="35">
        <v>2232</v>
      </c>
      <c r="T27" s="36">
        <f t="shared" si="15"/>
        <v>82.666666666666671</v>
      </c>
      <c r="U27" s="35">
        <v>2260</v>
      </c>
      <c r="V27" s="36">
        <f t="shared" si="16"/>
        <v>83.703703703703709</v>
      </c>
      <c r="W27" s="37">
        <f t="shared" si="9"/>
        <v>81.901234567901227</v>
      </c>
      <c r="Y27" s="61">
        <f t="shared" si="0"/>
        <v>0.8304938271604938</v>
      </c>
      <c r="Z27" s="64">
        <f>'Absen Staff-JULI'!W19</f>
        <v>0.66666666666666663</v>
      </c>
      <c r="AA27" s="64">
        <f>'Absen Staff - AGST'!W19</f>
        <v>0.46153846153846156</v>
      </c>
      <c r="AB27" s="64">
        <f>'Absen Staff - SEPT'!W19</f>
        <v>0.51724137931034486</v>
      </c>
      <c r="AC27" s="115">
        <f t="shared" si="1"/>
        <v>0.54848216917182435</v>
      </c>
      <c r="AD27" s="62">
        <f t="shared" si="2"/>
        <v>1.378975996332318</v>
      </c>
      <c r="AE27" s="63">
        <f t="shared" si="3"/>
        <v>0.68948799816615902</v>
      </c>
    </row>
    <row r="28" spans="2:31" s="66" customFormat="1" ht="24" customHeight="1" x14ac:dyDescent="0.25">
      <c r="B28" s="71"/>
      <c r="C28" s="72"/>
      <c r="D28" s="71"/>
      <c r="E28" s="73"/>
      <c r="F28" s="71"/>
      <c r="G28" s="73"/>
      <c r="H28" s="74"/>
      <c r="I28" s="73"/>
      <c r="J28" s="74"/>
      <c r="K28" s="73"/>
      <c r="L28" s="74"/>
      <c r="M28" s="73"/>
      <c r="N28" s="71"/>
      <c r="O28" s="73"/>
      <c r="P28" s="73"/>
      <c r="Q28" s="71"/>
      <c r="R28" s="73"/>
      <c r="S28" s="71"/>
      <c r="T28" s="73"/>
      <c r="U28" s="71"/>
      <c r="V28" s="73"/>
      <c r="W28" s="73"/>
      <c r="Y28" s="67"/>
      <c r="Z28" s="68"/>
      <c r="AA28" s="68"/>
      <c r="AB28" s="68"/>
      <c r="AC28" s="67"/>
      <c r="AD28" s="69"/>
      <c r="AE28" s="70"/>
    </row>
    <row r="29" spans="2:31" ht="24" customHeight="1" x14ac:dyDescent="0.25">
      <c r="B29" s="34" t="s">
        <v>31</v>
      </c>
      <c r="C29" s="34" t="s">
        <v>7</v>
      </c>
      <c r="D29" s="35">
        <f>80+80+78+80+80+80+75+85+75+70+80+88+75+90+80+75+85+80+76+90+60+80+80+80+85+80+75+70</f>
        <v>2212</v>
      </c>
      <c r="E29" s="37">
        <f t="shared" ref="E29:E37" si="17">D29/28</f>
        <v>79</v>
      </c>
      <c r="F29" s="49">
        <f>80+80+78+75+80+80+75+80+70+60+85+82+75+80+80+75+85+80+77+90+75+80+85+75+80+81+75+70</f>
        <v>2188</v>
      </c>
      <c r="G29" s="37">
        <f t="shared" ref="G29:G37" si="18">F29/28</f>
        <v>78.142857142857139</v>
      </c>
      <c r="H29" s="49">
        <f>80+80+80+80+85+80+80+80+70+70+85+90+70+80+80+75+85+80+78+90+75+80+89+80+79+83+70+80</f>
        <v>2234</v>
      </c>
      <c r="I29" s="36">
        <f t="shared" ref="I29:I37" si="19">H29/28</f>
        <v>79.785714285714292</v>
      </c>
      <c r="J29" s="49">
        <f>85+80+76+80+85+80+80+85+75+60+85+90+75+85+80+75+85+80+79+90+80+80+90+80+80+84+75+79</f>
        <v>2258</v>
      </c>
      <c r="K29" s="36">
        <f t="shared" ref="K29:K37" si="20">J29/28</f>
        <v>80.642857142857139</v>
      </c>
      <c r="L29" s="49">
        <f>80+80+77+75+85+80+75+80+75+70+85+88+75+95+80+75+85+70+79+90+70+80+90+80+80+84+75+79</f>
        <v>2237</v>
      </c>
      <c r="M29" s="36">
        <f t="shared" ref="M29:M37" si="21">L29/28</f>
        <v>79.892857142857139</v>
      </c>
      <c r="N29" s="35">
        <f>85+80+75+80+85+80+80+80+75+60+90+88+75+90+80+75+85+75+80+95+70+80+94+80+80+86+80+75</f>
        <v>2258</v>
      </c>
      <c r="O29" s="36">
        <f t="shared" ref="O29:O37" si="22">N29/28</f>
        <v>80.642857142857139</v>
      </c>
      <c r="P29" s="37">
        <f t="shared" ref="P29:P37" si="23">(I29+K29+M29+O29)/4</f>
        <v>80.241071428571431</v>
      </c>
      <c r="Q29" s="35">
        <f>80+80+78+80+80+80+80+85+75+70+90+90+75+80+80+75+85+80+75+95+70+80+93+80+85+86+80+85</f>
        <v>2272</v>
      </c>
      <c r="R29" s="36">
        <f t="shared" ref="R29:R37" si="24">Q29/28</f>
        <v>81.142857142857139</v>
      </c>
      <c r="S29" s="35">
        <f>80+90+75+80+80+80+80+90+70+70+80+80+75+90+80+75+85+80+79+90+70+80+91+88+80+86+80+83</f>
        <v>2267</v>
      </c>
      <c r="T29" s="36">
        <f t="shared" ref="T29:T37" si="25">S29/28</f>
        <v>80.964285714285708</v>
      </c>
      <c r="U29" s="35">
        <f>80+90+80+80+85+75+80+85+70+70+80+80+80+80+80+75+85+75+79+90+75+80+90+85+80+87+75+81</f>
        <v>2252</v>
      </c>
      <c r="V29" s="36">
        <f t="shared" ref="V29:V36" si="26">U29/28</f>
        <v>80.428571428571431</v>
      </c>
      <c r="W29" s="37">
        <f t="shared" ref="W29:W37" si="27">(R29+T29+V29)/3</f>
        <v>80.845238095238088</v>
      </c>
      <c r="Y29" s="61">
        <f t="shared" ref="Y29:Y37" si="28">(((E29+G29+P29+W29)/4)/100)</f>
        <v>0.79557291666666652</v>
      </c>
      <c r="Z29" s="64">
        <f>'Absen Magang - JULI'!W9</f>
        <v>1</v>
      </c>
      <c r="AA29" s="64">
        <f>'Absen Magang - AGST'!W9</f>
        <v>1</v>
      </c>
      <c r="AB29" s="64">
        <f>'Absen Magang - SEPT'!W9</f>
        <v>0.92</v>
      </c>
      <c r="AC29" s="115">
        <f t="shared" ref="AC29:AC37" si="29">(Z29+AA29+AB29)/3</f>
        <v>0.97333333333333327</v>
      </c>
      <c r="AD29" s="62">
        <f t="shared" ref="AD29:AD37" si="30">Y29+AC29</f>
        <v>1.7689062499999997</v>
      </c>
      <c r="AE29" s="63">
        <f t="shared" ref="AE29:AE37" si="31">AD29/2</f>
        <v>0.88445312499999984</v>
      </c>
    </row>
    <row r="30" spans="2:31" ht="24" customHeight="1" x14ac:dyDescent="0.25">
      <c r="B30" s="34" t="s">
        <v>92</v>
      </c>
      <c r="C30" s="34" t="s">
        <v>9</v>
      </c>
      <c r="D30" s="35">
        <f>80+90+80+80+80+80+75+80+80+70+85+88+80+90+70+75+85+80+80+90+60+80+85+80+85+81+70+70</f>
        <v>2229</v>
      </c>
      <c r="E30" s="37">
        <f t="shared" si="17"/>
        <v>79.607142857142861</v>
      </c>
      <c r="F30" s="35">
        <f>80+90+80+80+80+80+75+80+80+80+85+85+75+95+70+75+84+80+81+95+70+80+80+75+80+82+75+70</f>
        <v>2242</v>
      </c>
      <c r="G30" s="37">
        <f t="shared" si="18"/>
        <v>80.071428571428569</v>
      </c>
      <c r="H30" s="49">
        <f>80+80+78+75+85+80+75+80+80+70+85+90+75+80+70+75+85+80+79+90+70+80+85+80+79+83+70+80</f>
        <v>2219</v>
      </c>
      <c r="I30" s="36">
        <f t="shared" si="19"/>
        <v>79.25</v>
      </c>
      <c r="J30" s="49">
        <f>80+80+78+75+80+80+80+85+80+50+90+87+80+70+70+75+85+85+80+90+70+80+85+75+80+83+70+80</f>
        <v>2203</v>
      </c>
      <c r="K30" s="36">
        <f t="shared" si="20"/>
        <v>78.678571428571431</v>
      </c>
      <c r="L30" s="49">
        <f>80+80+78+75+80+80+80+80+80+70+90+87+75+70+70+75+85+85+80+90+60+80+85+75+80+84+75+80</f>
        <v>2209</v>
      </c>
      <c r="M30" s="36">
        <f t="shared" si="21"/>
        <v>78.892857142857139</v>
      </c>
      <c r="N30" s="35">
        <f>80+90+78+80+80+80+75+80+80+80+90+90+80+80+70+75+85+80+80+90+70+80+90+80+80+87+65+80</f>
        <v>2255</v>
      </c>
      <c r="O30" s="36">
        <f t="shared" si="22"/>
        <v>80.535714285714292</v>
      </c>
      <c r="P30" s="37">
        <f t="shared" si="23"/>
        <v>79.339285714285722</v>
      </c>
      <c r="Q30" s="35">
        <f>80+90+78+80+85+80+80+80+80+80+85+90+75+85+70+75+85+80+80+90+70+80+85+80+80+81+70+80</f>
        <v>2254</v>
      </c>
      <c r="R30" s="36">
        <f t="shared" si="24"/>
        <v>80.5</v>
      </c>
      <c r="S30" s="35">
        <f>80+90+75+80+80+80+80+90+80+70+85+80+90+90+70+75+85+80+80+90+60+80+90+85+80+85+65+80</f>
        <v>2255</v>
      </c>
      <c r="T30" s="36">
        <f t="shared" si="25"/>
        <v>80.535714285714292</v>
      </c>
      <c r="U30" s="35">
        <f>80+90+78+80+80+80+75+75+80+60+85+80+70+70+70+75+85+70+79+90+60+80+91+80+80+86+65+70</f>
        <v>2164</v>
      </c>
      <c r="V30" s="36">
        <f t="shared" si="26"/>
        <v>77.285714285714292</v>
      </c>
      <c r="W30" s="37">
        <f t="shared" si="27"/>
        <v>79.44047619047619</v>
      </c>
      <c r="Y30" s="61">
        <f t="shared" si="28"/>
        <v>0.79614583333333344</v>
      </c>
      <c r="Z30" s="64">
        <f>'Absen Magang - JULI'!W13</f>
        <v>0.88235294117647056</v>
      </c>
      <c r="AA30" s="64">
        <f>'Absen Magang - AGST'!W13</f>
        <v>1</v>
      </c>
      <c r="AB30" s="64">
        <f>'Absen Magang - SEPT'!W13</f>
        <v>1</v>
      </c>
      <c r="AC30" s="115">
        <f t="shared" si="29"/>
        <v>0.96078431372549022</v>
      </c>
      <c r="AD30" s="62">
        <f t="shared" si="30"/>
        <v>1.7569301470588237</v>
      </c>
      <c r="AE30" s="63">
        <f t="shared" si="31"/>
        <v>0.87846507352941183</v>
      </c>
    </row>
    <row r="31" spans="2:31" ht="24" customHeight="1" x14ac:dyDescent="0.25">
      <c r="B31" s="34" t="s">
        <v>40</v>
      </c>
      <c r="C31" s="34" t="s">
        <v>9</v>
      </c>
      <c r="D31" s="35">
        <f>80+80+80+80+80+80+80+80+80+70+85+88+80+80+70+80+88+80+79+90+75+80+89+85+85+82+75+87</f>
        <v>2268</v>
      </c>
      <c r="E31" s="37">
        <f t="shared" si="17"/>
        <v>81</v>
      </c>
      <c r="F31" s="49">
        <f>80+80+80+80+85+80+80+85+85+80+85+85+80+90+70+75+85+80+81+95+80+80+90+80+80+83+80+89</f>
        <v>2303</v>
      </c>
      <c r="G31" s="37">
        <f t="shared" si="18"/>
        <v>82.25</v>
      </c>
      <c r="H31" s="49">
        <f>80+80+80+80+85+80+75+85+80+60+85+90+70+90+70+80+87+80+80+90+75+80+90+85+80+83+80+83</f>
        <v>2263</v>
      </c>
      <c r="I31" s="36">
        <f t="shared" si="19"/>
        <v>80.821428571428569</v>
      </c>
      <c r="J31" s="49">
        <f>80+80+78+80+80+80+80+80+80+70+90+88+80+80+70+75+85+80+80+90+75+80+92+80+80+84+80+80</f>
        <v>2257</v>
      </c>
      <c r="K31" s="36">
        <f t="shared" si="20"/>
        <v>80.607142857142861</v>
      </c>
      <c r="L31" s="49">
        <f>80+80+78+80+80+75+75+80+80+80+90+88+80+80+70+75+85+80+80+90+70+80+95+85+80+84+80+80</f>
        <v>2260</v>
      </c>
      <c r="M31" s="36">
        <f t="shared" si="21"/>
        <v>80.714285714285708</v>
      </c>
      <c r="N31" s="35">
        <f>85+80+78+80+80+80+80+80+80+70+85+90+80+90+70+75+85+80+80+90+70+80+95+80+80+87+80+81</f>
        <v>2271</v>
      </c>
      <c r="O31" s="36">
        <f t="shared" si="22"/>
        <v>81.107142857142861</v>
      </c>
      <c r="P31" s="37">
        <f t="shared" si="23"/>
        <v>80.8125</v>
      </c>
      <c r="Q31" s="35">
        <f>80+80+75+80+85+80+80+85+80+60+90+90+75+75+70+80+85+80+80+90+70+80+95+80+85+86+80+87</f>
        <v>2263</v>
      </c>
      <c r="R31" s="36">
        <f t="shared" si="24"/>
        <v>80.821428571428569</v>
      </c>
      <c r="S31" s="35">
        <f>80+85+75+80+80+80+80+90+80+70+85+80+75+80+70+75+85+80+80+90+70+80+90+88+80+86+70+85</f>
        <v>2249</v>
      </c>
      <c r="T31" s="36">
        <f t="shared" si="25"/>
        <v>80.321428571428569</v>
      </c>
      <c r="U31" s="35">
        <f>80+85+80+80+80+75+75+75+80+60+80+80+75+70+70+75+85+75+79+90+70+80+90+85+85+87+70+81</f>
        <v>2197</v>
      </c>
      <c r="V31" s="36">
        <f t="shared" si="26"/>
        <v>78.464285714285708</v>
      </c>
      <c r="W31" s="37">
        <f t="shared" si="27"/>
        <v>79.869047619047606</v>
      </c>
      <c r="Y31" s="61">
        <f t="shared" si="28"/>
        <v>0.80982886904761897</v>
      </c>
      <c r="Z31" s="64">
        <f>'Absen Magang - JULI'!W12</f>
        <v>0.875</v>
      </c>
      <c r="AA31" s="64">
        <f>'Absen Magang - AGST'!W12</f>
        <v>1</v>
      </c>
      <c r="AB31" s="64">
        <f>'Absen Magang - SEPT'!W12</f>
        <v>0.91666666666666663</v>
      </c>
      <c r="AC31" s="115">
        <f t="shared" si="29"/>
        <v>0.93055555555555547</v>
      </c>
      <c r="AD31" s="62">
        <f t="shared" si="30"/>
        <v>1.7403844246031746</v>
      </c>
      <c r="AE31" s="63">
        <f t="shared" si="31"/>
        <v>0.87019221230158728</v>
      </c>
    </row>
    <row r="32" spans="2:31" ht="24" customHeight="1" x14ac:dyDescent="0.25">
      <c r="B32" s="34" t="s">
        <v>10</v>
      </c>
      <c r="C32" s="34" t="s">
        <v>80</v>
      </c>
      <c r="D32" s="35">
        <f>80+80+78+80+80+80+80+80+75+80+80+88+80+85+80+75+85+80+79+90+60+80+85+80+85+81+75+91</f>
        <v>2252</v>
      </c>
      <c r="E32" s="37">
        <f t="shared" si="17"/>
        <v>80.428571428571431</v>
      </c>
      <c r="F32" s="49">
        <f>80+80+78+80+85+80+75+80+70+80+85+85+80+85+80+75+85+80+78+90+70+80+85+75+80+83+75+90</f>
        <v>2249</v>
      </c>
      <c r="G32" s="37">
        <f t="shared" si="18"/>
        <v>80.321428571428569</v>
      </c>
      <c r="H32" s="49">
        <f>80+80+75+75+85+75+75+80+70+80+80+90+65+85+80+75+85+80+80+85+60+80+88+75+79+83+65+81</f>
        <v>2191</v>
      </c>
      <c r="I32" s="36">
        <f t="shared" si="19"/>
        <v>78.25</v>
      </c>
      <c r="J32" s="49">
        <f>80+80+75+75+80+80+80+85+75+70+85+88+75+85+80+75+85+75+79+90+75+80+90+75+80+84+75+80</f>
        <v>2236</v>
      </c>
      <c r="K32" s="36">
        <f t="shared" si="20"/>
        <v>79.857142857142861</v>
      </c>
      <c r="L32" s="49">
        <f>80+80+75+70+80+75+80+80+75+80+80+87+75+85+80+75+85+70+79+90+75+80+90+75+80+84+75+80</f>
        <v>2220</v>
      </c>
      <c r="M32" s="36">
        <f t="shared" si="21"/>
        <v>79.285714285714292</v>
      </c>
      <c r="N32" s="35">
        <f>80+80+78+75+85+80+80+80+75+80+85+90+75+85+80+75+85+80+81+95+70+80+93+80+80+87+70+81</f>
        <v>2265</v>
      </c>
      <c r="O32" s="36">
        <f t="shared" si="22"/>
        <v>80.892857142857139</v>
      </c>
      <c r="P32" s="37">
        <f t="shared" si="23"/>
        <v>79.571428571428584</v>
      </c>
      <c r="Q32" s="35">
        <f>80+80+74+80+80+80+80+85+75+80+80+90+80+85+80+75+85+80+80+95+60+80+91+80+89+85+85+80</f>
        <v>2274</v>
      </c>
      <c r="R32" s="36">
        <f t="shared" si="24"/>
        <v>81.214285714285708</v>
      </c>
      <c r="S32" s="35">
        <f>80+90+75+80+80+80+75+90+75+80+80+80+75+85+80+75+85+75+79+90+60+80+95+80+80+86+80+85</f>
        <v>2255</v>
      </c>
      <c r="T32" s="36">
        <f t="shared" si="25"/>
        <v>80.535714285714292</v>
      </c>
      <c r="U32" s="35">
        <f>80+90+75+80+80+80+80+80+75+80+80+80+75+85+80+75+86+65+80+85+70+80+93+80+80+87+75+83</f>
        <v>2239</v>
      </c>
      <c r="V32" s="36">
        <f t="shared" si="26"/>
        <v>79.964285714285708</v>
      </c>
      <c r="W32" s="37">
        <f t="shared" si="27"/>
        <v>80.571428571428569</v>
      </c>
      <c r="Y32" s="61">
        <f t="shared" si="28"/>
        <v>0.80223214285714295</v>
      </c>
      <c r="Z32" s="64">
        <f>'Absen Magang - JULI'!W7</f>
        <v>0.90476190476190477</v>
      </c>
      <c r="AA32" s="64">
        <f>'Absen Magang - AGST'!W7</f>
        <v>0.83333333333333337</v>
      </c>
      <c r="AB32" s="64">
        <f>'Absen Magang - SEPT'!W7</f>
        <v>0.76</v>
      </c>
      <c r="AC32" s="115">
        <f t="shared" si="29"/>
        <v>0.8326984126984126</v>
      </c>
      <c r="AD32" s="62">
        <f t="shared" si="30"/>
        <v>1.6349305555555556</v>
      </c>
      <c r="AE32" s="63">
        <f t="shared" si="31"/>
        <v>0.81746527777777778</v>
      </c>
    </row>
    <row r="33" spans="2:31" ht="24" customHeight="1" x14ac:dyDescent="0.25">
      <c r="B33" s="34" t="s">
        <v>32</v>
      </c>
      <c r="C33" s="34" t="s">
        <v>9</v>
      </c>
      <c r="D33" s="35">
        <f>80+80+75+80+80+80+75+80+70+70+80+80+70+70+70+75+85+80+70+85+50+80+75+80+85+80+65+70</f>
        <v>2120</v>
      </c>
      <c r="E33" s="37">
        <f t="shared" si="17"/>
        <v>75.714285714285708</v>
      </c>
      <c r="F33" s="49">
        <f>80+80+78+70+70+80+75+80+70+60+80+80+70+80+70+75+83+70+76+85+70+80+70+75+80+81+75+70</f>
        <v>2113</v>
      </c>
      <c r="G33" s="37">
        <f t="shared" si="18"/>
        <v>75.464285714285708</v>
      </c>
      <c r="H33" s="49">
        <f>75+80+75+70+80+75+75+75+70+50+80+88+70+80+70+75+85+80+71+90+60+80+70+75+79+83+65+80</f>
        <v>2106</v>
      </c>
      <c r="I33" s="36">
        <f t="shared" si="19"/>
        <v>75.214285714285708</v>
      </c>
      <c r="J33" s="49">
        <f>75+80+70+70+70+75+75+80+70+40+80+80+70+85+70+75+84+60+75+85+70+80+85+75+80+83+70+80</f>
        <v>2092</v>
      </c>
      <c r="K33" s="36">
        <f t="shared" si="20"/>
        <v>74.714285714285708</v>
      </c>
      <c r="L33" s="49">
        <f>75+80+70+70+70+75+80+75+70+60+80+80+70+85+70+75+85+60+76+85+70+80+88+75+80+84+70+80</f>
        <v>2118</v>
      </c>
      <c r="M33" s="36">
        <f t="shared" si="21"/>
        <v>75.642857142857139</v>
      </c>
      <c r="N33" s="35">
        <f>75+80+70+70+70+80+75+80+70+70+80+88+70+90+70+75+81+75+77+85+70+80+70+80+80+86+60+80</f>
        <v>2137</v>
      </c>
      <c r="O33" s="36">
        <f t="shared" si="22"/>
        <v>76.321428571428569</v>
      </c>
      <c r="P33" s="37">
        <f t="shared" si="23"/>
        <v>75.473214285714278</v>
      </c>
      <c r="Q33" s="35">
        <f>80+80+70+70+70+75+80+75+70+60+80+85+70+90+70+70+84+60+75+90+60+80+80+80+80+81+70+80</f>
        <v>2115</v>
      </c>
      <c r="R33" s="36">
        <f t="shared" si="24"/>
        <v>75.535714285714292</v>
      </c>
      <c r="S33" s="35">
        <f>80+90+75+80+80+80+75+75+70+70+80+80+75+85+70+75+85+70+70+90+70+80+88+85+80+80+70+80</f>
        <v>2188</v>
      </c>
      <c r="T33" s="36">
        <f t="shared" si="25"/>
        <v>78.142857142857139</v>
      </c>
      <c r="U33" s="35">
        <f>75+90+70+70+70+75+75+75+70+50+80+70+75+89+70+75+81+50+71+90+60+80+70+88+80+85+60+60</f>
        <v>2054</v>
      </c>
      <c r="V33" s="36">
        <f t="shared" si="26"/>
        <v>73.357142857142861</v>
      </c>
      <c r="W33" s="37">
        <f t="shared" si="27"/>
        <v>75.678571428571431</v>
      </c>
      <c r="Y33" s="61">
        <f t="shared" si="28"/>
        <v>0.75582589285714274</v>
      </c>
      <c r="Z33" s="64">
        <f>'Absen Magang - JULI'!W10</f>
        <v>1</v>
      </c>
      <c r="AA33" s="64">
        <f>'Absen Magang - AGST'!W10</f>
        <v>0.46666666666666667</v>
      </c>
      <c r="AB33" s="64">
        <f>'Absen Magang - SEPT'!W10</f>
        <v>1</v>
      </c>
      <c r="AC33" s="115">
        <f t="shared" si="29"/>
        <v>0.8222222222222223</v>
      </c>
      <c r="AD33" s="62">
        <f t="shared" si="30"/>
        <v>1.578048115079365</v>
      </c>
      <c r="AE33" s="63">
        <f t="shared" si="31"/>
        <v>0.78902405753968252</v>
      </c>
    </row>
    <row r="34" spans="2:31" ht="24" customHeight="1" x14ac:dyDescent="0.25">
      <c r="B34" s="34" t="s">
        <v>88</v>
      </c>
      <c r="C34" s="34" t="s">
        <v>9</v>
      </c>
      <c r="D34" s="35">
        <v>2130</v>
      </c>
      <c r="E34" s="37">
        <f t="shared" si="17"/>
        <v>76.071428571428569</v>
      </c>
      <c r="F34" s="49">
        <f>80+80+80+80+80+80+75+80+75+70+85+88+75+70+70+75+85+80+79+90+80+80+85+80+80+83+70+85</f>
        <v>2220</v>
      </c>
      <c r="G34" s="37">
        <f t="shared" si="18"/>
        <v>79.285714285714292</v>
      </c>
      <c r="H34" s="49">
        <f>80+80+77+80+85+80+80+85+80+70+85+90+80+80+70+75+86+80+80+85+80+80+85+85+79+83+70+80</f>
        <v>2250</v>
      </c>
      <c r="I34" s="36">
        <f t="shared" si="19"/>
        <v>80.357142857142861</v>
      </c>
      <c r="J34" s="49">
        <f>75+80+78+80+85+80+80+85+85+75+90+88+80+90+70+80+88+85+81+90+85+80+8+85+80+83+80+90</f>
        <v>2236</v>
      </c>
      <c r="K34" s="36">
        <f t="shared" si="20"/>
        <v>79.857142857142861</v>
      </c>
      <c r="L34" s="49">
        <f>80+80+78+80+85+80+80+90+85+75+90+88+80+95+70+75+87+85+80+90+85+80+85+85+80+84+85+90</f>
        <v>2327</v>
      </c>
      <c r="M34" s="36">
        <f t="shared" si="21"/>
        <v>83.107142857142861</v>
      </c>
      <c r="N34" s="35">
        <f>80+80+78+80+85+80+80+80+85+80+90+88+80+95+70+75+85+80+79+90+80+80+85+80+80+87+80+85</f>
        <v>2297</v>
      </c>
      <c r="O34" s="36">
        <f t="shared" si="22"/>
        <v>82.035714285714292</v>
      </c>
      <c r="P34" s="37">
        <f t="shared" si="23"/>
        <v>81.339285714285722</v>
      </c>
      <c r="Q34" s="35">
        <f>75+90+75+80+85+80+75+75+75+50+85+88+70+80+70+70+84+65+80+90+80+80+85+80+80+86+70+80</f>
        <v>2183</v>
      </c>
      <c r="R34" s="36">
        <f t="shared" si="24"/>
        <v>77.964285714285708</v>
      </c>
      <c r="S34" s="35">
        <f>75+90+75+80+80+80+80+90+80+70+85+80+75+70+70+75+85+75+78+90+70+80+85+85+80+86+70+80</f>
        <v>2219</v>
      </c>
      <c r="T34" s="36">
        <f t="shared" si="25"/>
        <v>79.25</v>
      </c>
      <c r="U34" s="35">
        <f>80+90+80+80+80+90+75+75+80+80+90+80+80+90+70+75+86+75+80+90+85+80+85+80+80+87+75+80</f>
        <v>2278</v>
      </c>
      <c r="V34" s="36">
        <f t="shared" si="26"/>
        <v>81.357142857142861</v>
      </c>
      <c r="W34" s="37">
        <f t="shared" si="27"/>
        <v>79.523809523809533</v>
      </c>
      <c r="Y34" s="61">
        <f t="shared" si="28"/>
        <v>0.79055059523809534</v>
      </c>
      <c r="Z34" s="64">
        <f>'Absen Magang - JULI'!W14</f>
        <v>0.77777777777777779</v>
      </c>
      <c r="AA34" s="64">
        <f>'Absen Magang - AGST'!W14</f>
        <v>0.46666666666666667</v>
      </c>
      <c r="AB34" s="64">
        <f>'Absen Magang - SEPT'!W14</f>
        <v>1</v>
      </c>
      <c r="AC34" s="115">
        <f t="shared" si="29"/>
        <v>0.74814814814814812</v>
      </c>
      <c r="AD34" s="62">
        <f t="shared" si="30"/>
        <v>1.5386987433862434</v>
      </c>
      <c r="AE34" s="63">
        <f t="shared" si="31"/>
        <v>0.76934937169312168</v>
      </c>
    </row>
    <row r="35" spans="2:31" ht="24" customHeight="1" x14ac:dyDescent="0.25">
      <c r="B35" s="34" t="s">
        <v>39</v>
      </c>
      <c r="C35" s="34" t="s">
        <v>9</v>
      </c>
      <c r="D35" s="35">
        <f>75+80+78+80+80+80+80+80+70+60+80+88+65+80+70+75+85+80+70+90+60+80+89+85+85+81+70+70</f>
        <v>2166</v>
      </c>
      <c r="E35" s="37">
        <f t="shared" si="17"/>
        <v>77.357142857142861</v>
      </c>
      <c r="F35" s="49">
        <f>80+80+78+80+80+80+75+85+75+70+80+85+80+80+70+75+84+80+73+95+70+80+90+80+80+80+70+70</f>
        <v>2205</v>
      </c>
      <c r="G35" s="37">
        <f t="shared" si="18"/>
        <v>78.75</v>
      </c>
      <c r="H35" s="49">
        <f>75+80+78+80+85+80+75+80+70+60+80+90+70+70+70+75+86+80+71+90+65+80+90+85+79+83+70+79</f>
        <v>2176</v>
      </c>
      <c r="I35" s="36">
        <f t="shared" si="19"/>
        <v>77.714285714285708</v>
      </c>
      <c r="J35" s="49">
        <f>75+80+75+75+80+80+80+80+70+80+85+88+75+80+70+75+85+75+75+90+75+80+93+80+80+83+75+79</f>
        <v>2218</v>
      </c>
      <c r="K35" s="36">
        <f t="shared" si="20"/>
        <v>79.214285714285708</v>
      </c>
      <c r="L35" s="49">
        <f>75+80+75+75+80+80+80+75+70+60+85+87+75+80+70+75+85+65+76+85+70+80+90+80+80+84+75+79</f>
        <v>2171</v>
      </c>
      <c r="M35" s="36">
        <f t="shared" si="21"/>
        <v>77.535714285714292</v>
      </c>
      <c r="N35" s="35">
        <f>80+80+75+80+80+80+80+80+75+80+85+90+75+90+70+75+85+75+77+90+70+80+95+80+80+86+70+80</f>
        <v>2243</v>
      </c>
      <c r="O35" s="36">
        <f t="shared" si="22"/>
        <v>80.107142857142861</v>
      </c>
      <c r="P35" s="37">
        <f t="shared" si="23"/>
        <v>78.642857142857139</v>
      </c>
      <c r="Q35" s="35">
        <f>75+80+74+70+80+75+80+75+70+80+80+89+70+70+70+70+84+50+75+90+70+80+91+80+80+85+70+80</f>
        <v>2143</v>
      </c>
      <c r="R35" s="36">
        <f t="shared" si="24"/>
        <v>76.535714285714292</v>
      </c>
      <c r="S35" s="35">
        <f>75+90+75+80+80+80+80+90+70+70+80+80+70+70+70+75+85+65+70+90+70+80+90+85+80+86+65+80</f>
        <v>2181</v>
      </c>
      <c r="T35" s="36">
        <f t="shared" si="25"/>
        <v>77.892857142857139</v>
      </c>
      <c r="U35" s="35">
        <f>75+90+75+80+80+80+75+75+70+60+80+80+70+75+70+75+85+65+71+90+70+80+91+85+85+86+70+80</f>
        <v>2168</v>
      </c>
      <c r="V35" s="36">
        <f t="shared" si="26"/>
        <v>77.428571428571431</v>
      </c>
      <c r="W35" s="37">
        <f t="shared" si="27"/>
        <v>77.285714285714292</v>
      </c>
      <c r="Y35" s="61">
        <f t="shared" si="28"/>
        <v>0.78008928571428571</v>
      </c>
      <c r="Z35" s="64">
        <f>'Absen Magang - JULI'!W11</f>
        <v>1</v>
      </c>
      <c r="AA35" s="64">
        <f>'Absen Magang - AGST'!W11</f>
        <v>0.7142857142857143</v>
      </c>
      <c r="AB35" s="64">
        <f>'Absen Magang - SEPT'!W11</f>
        <v>0.53846153846153844</v>
      </c>
      <c r="AC35" s="115">
        <f t="shared" si="29"/>
        <v>0.75091575091575091</v>
      </c>
      <c r="AD35" s="62">
        <f t="shared" si="30"/>
        <v>1.5310050366300367</v>
      </c>
      <c r="AE35" s="63">
        <f t="shared" si="31"/>
        <v>0.76550251831501837</v>
      </c>
    </row>
    <row r="36" spans="2:31" ht="24" customHeight="1" x14ac:dyDescent="0.25">
      <c r="B36" s="34" t="s">
        <v>11</v>
      </c>
      <c r="C36" s="34" t="s">
        <v>9</v>
      </c>
      <c r="D36" s="35">
        <f>80+80+80+80+80+90+80+80+85+60+80+88+75+80+70+75+88+80+73+90+50+80+85+85+85+81+70+89</f>
        <v>2219</v>
      </c>
      <c r="E36" s="37">
        <f t="shared" si="17"/>
        <v>79.25</v>
      </c>
      <c r="F36" s="49">
        <f>80+80+78+75+80+80+75+80+85+60+80+82+80+80+70+75+85+75+75+90+60+80+90+80+80+82+70+83</f>
        <v>2190</v>
      </c>
      <c r="G36" s="37">
        <f t="shared" si="18"/>
        <v>78.214285714285708</v>
      </c>
      <c r="H36" s="35">
        <f>80+80+78+80+85+80+75+80+80+65+80+90+70+80+70+75+86+75+77+85+50+80+89+85+80+83+70+87</f>
        <v>2195</v>
      </c>
      <c r="I36" s="36">
        <f t="shared" si="19"/>
        <v>78.392857142857139</v>
      </c>
      <c r="J36" s="49">
        <f>80+80+78+80+80+80+80+80+80+70+85+88+80+80+70+75+85+75+80+90+75+80+90+80+80+84+75+83</f>
        <v>2243</v>
      </c>
      <c r="K36" s="36">
        <f t="shared" si="20"/>
        <v>80.107142857142861</v>
      </c>
      <c r="L36" s="49">
        <f>80+80+75+80+80+80+80+80+80+60+80+88+75+80+70+75+85+65+80+90+75+80+90+85+80+84+80+75</f>
        <v>2212</v>
      </c>
      <c r="M36" s="36">
        <f t="shared" si="21"/>
        <v>79</v>
      </c>
      <c r="N36" s="35">
        <f>80+80+78+80+80+80+80+80+85+60+80+90+75+80+70+75+85+70+78+90+70+80+95+80+80+87+70+79</f>
        <v>2217</v>
      </c>
      <c r="O36" s="36">
        <f t="shared" si="22"/>
        <v>79.178571428571431</v>
      </c>
      <c r="P36" s="37">
        <f t="shared" si="23"/>
        <v>79.169642857142861</v>
      </c>
      <c r="Q36" s="35">
        <f>75+80+74+70+80+70+75+75+70+70+80+88+60+80+70+70+84+50+79+75+50+80+95+80+80+85+60+73</f>
        <v>2078</v>
      </c>
      <c r="R36" s="36">
        <f t="shared" si="24"/>
        <v>74.214285714285708</v>
      </c>
      <c r="S36" s="35">
        <f>75+90+75+80+80+75+80+90+80+60+80+80+75+80+70+75+85+65+79+90+60+80+90+80+80+86+65+80</f>
        <v>2185</v>
      </c>
      <c r="T36" s="36">
        <f t="shared" si="25"/>
        <v>78.035714285714292</v>
      </c>
      <c r="U36" s="35">
        <f>80+90+75+80+80+75+80+75+70+70+80+80+75+80+70+75+85+65+78+90+60+80+91+85+85+87+70+80</f>
        <v>2191</v>
      </c>
      <c r="V36" s="36">
        <f t="shared" si="26"/>
        <v>78.25</v>
      </c>
      <c r="W36" s="37">
        <f t="shared" si="27"/>
        <v>76.833333333333329</v>
      </c>
      <c r="Y36" s="61">
        <f t="shared" si="28"/>
        <v>0.78366815476190477</v>
      </c>
      <c r="Z36" s="64">
        <f>'Absen Magang - JULI'!W8</f>
        <v>0.65</v>
      </c>
      <c r="AA36" s="64">
        <f>'Absen Magang - AGST'!W8</f>
        <v>0.83333333333333337</v>
      </c>
      <c r="AB36" s="64">
        <f>'Absen Magang - SEPT'!W8</f>
        <v>0.56521739130434778</v>
      </c>
      <c r="AC36" s="115">
        <f t="shared" si="29"/>
        <v>0.68285024154589369</v>
      </c>
      <c r="AD36" s="62">
        <f t="shared" si="30"/>
        <v>1.4665183963077983</v>
      </c>
      <c r="AE36" s="63">
        <f t="shared" si="31"/>
        <v>0.73325919815389917</v>
      </c>
    </row>
    <row r="37" spans="2:31" ht="24" customHeight="1" x14ac:dyDescent="0.25">
      <c r="B37" s="34" t="s">
        <v>8</v>
      </c>
      <c r="C37" s="34" t="s">
        <v>7</v>
      </c>
      <c r="D37" s="35">
        <f>80+80+80+80+80+80+80+80+75+70+85+88+80+90+80+75+85+80+80+85+70+80+90+80+85+81+70+90</f>
        <v>2259</v>
      </c>
      <c r="E37" s="37">
        <f t="shared" si="17"/>
        <v>80.678571428571431</v>
      </c>
      <c r="F37" s="35">
        <f>80+80+80+75+85+80+80+80+57+60+80+82+75+90+80+75+85+80+76+90+70+80+89+80+80+81+75+90</f>
        <v>2215</v>
      </c>
      <c r="G37" s="37">
        <f t="shared" si="18"/>
        <v>79.107142857142861</v>
      </c>
      <c r="H37" s="35">
        <f>80+80+80+75+85+80+80+85+75+70+85+90+80+90+80+75+87+80+80+90+80+80+89+80+80+83+85+83</f>
        <v>2287</v>
      </c>
      <c r="I37" s="36">
        <f t="shared" si="19"/>
        <v>81.678571428571431</v>
      </c>
      <c r="J37" s="35">
        <f>80+80+75+80+85+80+80+85+75+80+90+88+80+82+80+75+85+75+80+95+85+80+90+80+80+84+80+80</f>
        <v>2289</v>
      </c>
      <c r="K37" s="36">
        <f t="shared" si="20"/>
        <v>81.75</v>
      </c>
      <c r="L37" s="35">
        <f>80+80+75+70+85+80+80+80+75+70+90+87+80+95+80+75+85+75+80+90+80+80+90+80+80+87+80+80</f>
        <v>2269</v>
      </c>
      <c r="M37" s="36">
        <f t="shared" si="21"/>
        <v>81.035714285714292</v>
      </c>
      <c r="N37" s="35">
        <f>80+80+80+80+85+80+80+80+75+60+90+90+80+80+80+75+86+80+80+95+80+80+90+80+80+85+85+83</f>
        <v>2279</v>
      </c>
      <c r="O37" s="36">
        <f t="shared" si="22"/>
        <v>81.392857142857139</v>
      </c>
      <c r="P37" s="37">
        <f t="shared" si="23"/>
        <v>81.464285714285722</v>
      </c>
      <c r="Q37" s="35">
        <f>80+80+75+80+80+80+75+80+75+70+80+89+70+81+80+75+85+80+79+85+70+80+90+80+85+86+75+80</f>
        <v>2225</v>
      </c>
      <c r="R37" s="36">
        <f t="shared" si="24"/>
        <v>79.464285714285708</v>
      </c>
      <c r="S37" s="35">
        <f>80+90+75+80+80+80+75+90+75+80+85+80+75+80+80+75+85+75+77+90+75+80+93+85+80+87+80+87</f>
        <v>2274</v>
      </c>
      <c r="T37" s="36">
        <f t="shared" si="25"/>
        <v>81.214285714285708</v>
      </c>
      <c r="U37" s="35">
        <f>80+90+75+80+80+90+75+85+75+60+85+80+80+80+80+75+85+76+80+95+70+80+93+80+85+86+85+85</f>
        <v>2270</v>
      </c>
      <c r="V37" s="36">
        <f>U37/22</f>
        <v>103.18181818181819</v>
      </c>
      <c r="W37" s="37">
        <f t="shared" si="27"/>
        <v>87.953463203463187</v>
      </c>
      <c r="Y37" s="61">
        <f t="shared" si="28"/>
        <v>0.82300865800865797</v>
      </c>
      <c r="Z37" s="64">
        <f>'Absen Magang - JULI'!W6</f>
        <v>0.47826086956521741</v>
      </c>
      <c r="AA37" s="64">
        <f>'Absen Magang - AGST'!W6</f>
        <v>0.69230769230769229</v>
      </c>
      <c r="AB37" s="64">
        <f>'Absen Magang - SEPT'!W6</f>
        <v>0.28000000000000003</v>
      </c>
      <c r="AC37" s="115">
        <f t="shared" si="29"/>
        <v>0.48352285395763661</v>
      </c>
      <c r="AD37" s="62">
        <f t="shared" si="30"/>
        <v>1.3065315119662946</v>
      </c>
      <c r="AE37" s="63">
        <f t="shared" si="31"/>
        <v>0.65326575598314729</v>
      </c>
    </row>
    <row r="38" spans="2:31" ht="24" customHeight="1" x14ac:dyDescent="0.25">
      <c r="B38" s="58"/>
    </row>
  </sheetData>
  <sortState ref="B29:AE37">
    <sortCondition descending="1" ref="AE29:AE37"/>
  </sortState>
  <mergeCells count="18">
    <mergeCell ref="B8:B9"/>
    <mergeCell ref="C8:C9"/>
    <mergeCell ref="D8:E9"/>
    <mergeCell ref="F8:G9"/>
    <mergeCell ref="H8:O8"/>
    <mergeCell ref="H9:I9"/>
    <mergeCell ref="J9:K9"/>
    <mergeCell ref="L9:M9"/>
    <mergeCell ref="N9:O9"/>
    <mergeCell ref="Q9:R9"/>
    <mergeCell ref="P8:P9"/>
    <mergeCell ref="Y8:Y9"/>
    <mergeCell ref="Z8:AC8"/>
    <mergeCell ref="AD8:AD9"/>
    <mergeCell ref="Q8:V8"/>
    <mergeCell ref="W8:W9"/>
    <mergeCell ref="S9:T9"/>
    <mergeCell ref="U9:V9"/>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KUISIONER</vt:lpstr>
      <vt:lpstr>Absen Staff-JULI</vt:lpstr>
      <vt:lpstr>Absen Staff - AGST</vt:lpstr>
      <vt:lpstr>Absen Staff - SEPT</vt:lpstr>
      <vt:lpstr>Absen Magang - JULI</vt:lpstr>
      <vt:lpstr>Absen Magang - AGST</vt:lpstr>
      <vt:lpstr>Absen Magang - SEPT</vt:lpstr>
      <vt:lpstr>HASIL AKHIR JULI-SEPT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Prepared By rialestariria@gmail.com</dc:creator>
  <cp:lastModifiedBy>diyat</cp:lastModifiedBy>
  <cp:lastPrinted>2018-02-07T02:36:48Z</cp:lastPrinted>
  <dcterms:created xsi:type="dcterms:W3CDTF">2017-12-02T06:37:30Z</dcterms:created>
  <dcterms:modified xsi:type="dcterms:W3CDTF">2019-03-08T09:10:28Z</dcterms:modified>
</cp:coreProperties>
</file>