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文章4\开源\"/>
    </mc:Choice>
  </mc:AlternateContent>
  <xr:revisionPtr revIDLastSave="0" documentId="8_{4E42A6DE-775A-41B8-A3DC-32FBCB69CA71}" xr6:coauthVersionLast="47" xr6:coauthVersionMax="47" xr10:uidLastSave="{00000000-0000-0000-0000-000000000000}"/>
  <bookViews>
    <workbookView xWindow="-110" yWindow="-110" windowWidth="25820" windowHeight="16220" tabRatio="620" xr2:uid="{00000000-000D-0000-FFFF-FFFF00000000}"/>
  </bookViews>
  <sheets>
    <sheet name="实验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3" i="1" l="1"/>
  <c r="Z392" i="1"/>
  <c r="Z391" i="1"/>
  <c r="Z390" i="1"/>
  <c r="Z389" i="1"/>
  <c r="Z388" i="1"/>
  <c r="J348" i="1"/>
  <c r="B348" i="1"/>
  <c r="B336" i="1"/>
  <c r="B338" i="1"/>
  <c r="D291" i="1"/>
  <c r="D290" i="1"/>
  <c r="D289" i="1"/>
  <c r="D288" i="1"/>
  <c r="D292" i="1"/>
  <c r="E292" i="1"/>
  <c r="E291" i="1"/>
  <c r="E290" i="1"/>
  <c r="C287" i="1"/>
  <c r="C286" i="1"/>
  <c r="C285" i="1"/>
  <c r="C284" i="1"/>
  <c r="C283" i="1"/>
  <c r="C282" i="1"/>
  <c r="C277" i="1"/>
  <c r="C276" i="1"/>
  <c r="Z267" i="1"/>
  <c r="Z268" i="1"/>
  <c r="Z235" i="1"/>
  <c r="Z239" i="1"/>
  <c r="Z238" i="1"/>
  <c r="Z237" i="1"/>
  <c r="C232" i="1"/>
  <c r="B232" i="1"/>
  <c r="C233" i="1"/>
  <c r="B233" i="1"/>
  <c r="B164" i="1"/>
  <c r="C137" i="1"/>
  <c r="B137" i="1"/>
  <c r="B133" i="1"/>
  <c r="B136" i="1"/>
  <c r="C136" i="1"/>
  <c r="C135" i="1"/>
  <c r="B135" i="1"/>
  <c r="B134" i="1"/>
  <c r="C134" i="1"/>
  <c r="C133" i="1"/>
  <c r="B128" i="1"/>
  <c r="C129" i="1"/>
  <c r="B129" i="1"/>
  <c r="C132" i="1"/>
  <c r="B132" i="1"/>
  <c r="B77" i="1"/>
  <c r="Z71" i="1"/>
  <c r="Z70" i="1"/>
  <c r="Z69" i="1"/>
  <c r="D57" i="1"/>
  <c r="C57" i="1"/>
  <c r="D52" i="1"/>
  <c r="Z46" i="1"/>
  <c r="Z45" i="1"/>
  <c r="G23" i="1"/>
  <c r="D23" i="1"/>
  <c r="C23" i="1"/>
  <c r="J441" i="1"/>
  <c r="D441" i="1"/>
  <c r="C441" i="1"/>
  <c r="D440" i="1"/>
  <c r="C440" i="1"/>
  <c r="J440" i="1"/>
  <c r="J438" i="1"/>
  <c r="C438" i="1"/>
  <c r="B438" i="1"/>
  <c r="J431" i="1"/>
  <c r="D431" i="1"/>
  <c r="C431" i="1"/>
  <c r="Z387" i="1"/>
  <c r="Z386" i="1"/>
  <c r="B384" i="1"/>
  <c r="C384" i="1"/>
  <c r="K383" i="1"/>
  <c r="C383" i="1"/>
  <c r="B383" i="1"/>
  <c r="K382" i="1"/>
  <c r="B382" i="1"/>
  <c r="C382" i="1"/>
  <c r="C373" i="1"/>
  <c r="B373" i="1"/>
  <c r="B372" i="1"/>
  <c r="C372" i="1"/>
  <c r="C347" i="1"/>
  <c r="B347" i="1"/>
  <c r="C346" i="1"/>
  <c r="D345" i="1"/>
  <c r="B345" i="1"/>
  <c r="C339" i="1"/>
  <c r="B339" i="1"/>
  <c r="C338" i="1"/>
  <c r="C337" i="1"/>
  <c r="B337" i="1"/>
  <c r="C336" i="1"/>
  <c r="C332" i="1"/>
  <c r="B332" i="1"/>
  <c r="C331" i="1"/>
  <c r="B331" i="1"/>
  <c r="C330" i="1"/>
  <c r="B330" i="1"/>
  <c r="C326" i="1"/>
  <c r="B326" i="1"/>
  <c r="C325" i="1"/>
  <c r="B325" i="1"/>
  <c r="B324" i="1"/>
  <c r="C324" i="1"/>
  <c r="L303" i="1"/>
  <c r="C303" i="1"/>
  <c r="B303" i="1"/>
  <c r="D301" i="1"/>
  <c r="K301" i="1"/>
  <c r="E289" i="1"/>
  <c r="E288" i="1"/>
  <c r="Z269" i="1"/>
  <c r="Z266" i="1"/>
  <c r="Z265" i="1"/>
  <c r="Z264" i="1"/>
  <c r="Z236" i="1"/>
  <c r="Z234" i="1"/>
  <c r="D2" i="2"/>
  <c r="D3" i="2"/>
  <c r="D1" i="2"/>
  <c r="F177" i="1"/>
  <c r="D177" i="1"/>
  <c r="C177" i="1"/>
  <c r="F178" i="1"/>
  <c r="D178" i="1"/>
  <c r="C178" i="1"/>
  <c r="F174" i="1"/>
  <c r="D174" i="1"/>
  <c r="C174" i="1"/>
  <c r="F173" i="1"/>
  <c r="D173" i="1"/>
  <c r="C173" i="1"/>
  <c r="C166" i="1"/>
  <c r="B166" i="1"/>
  <c r="C165" i="1"/>
  <c r="B165" i="1"/>
  <c r="C164" i="1"/>
  <c r="C172" i="1"/>
  <c r="B172" i="1"/>
  <c r="B171" i="1"/>
  <c r="C171" i="1"/>
  <c r="C170" i="1"/>
  <c r="B170" i="1"/>
  <c r="C169" i="1"/>
  <c r="B169" i="1"/>
  <c r="C168" i="1"/>
  <c r="B168" i="1"/>
  <c r="Z77" i="1"/>
  <c r="B158" i="1"/>
  <c r="D158" i="1"/>
  <c r="C158" i="1"/>
  <c r="D148" i="1"/>
  <c r="C148" i="1"/>
  <c r="C128" i="1"/>
  <c r="Q126" i="1"/>
  <c r="P125" i="1"/>
  <c r="O124" i="1"/>
  <c r="F123" i="1"/>
  <c r="N122" i="1"/>
  <c r="D126" i="1"/>
  <c r="C126" i="1"/>
  <c r="D125" i="1"/>
  <c r="C125" i="1"/>
  <c r="D124" i="1"/>
  <c r="C124" i="1"/>
  <c r="D123" i="1"/>
  <c r="C123" i="1"/>
  <c r="D122" i="1"/>
  <c r="C122" i="1"/>
  <c r="Q119" i="1"/>
  <c r="P118" i="1"/>
  <c r="O117" i="1"/>
  <c r="F116" i="1"/>
  <c r="C119" i="1"/>
  <c r="B119" i="1"/>
  <c r="C118" i="1"/>
  <c r="B118" i="1"/>
  <c r="C117" i="1"/>
  <c r="B117" i="1"/>
  <c r="C116" i="1"/>
  <c r="B116" i="1"/>
  <c r="N115" i="1"/>
  <c r="C115" i="1"/>
  <c r="B115" i="1"/>
  <c r="C113" i="1"/>
  <c r="B113" i="1"/>
  <c r="J112" i="1"/>
  <c r="C112" i="1"/>
  <c r="B112" i="1"/>
  <c r="D110" i="1"/>
  <c r="C110" i="1"/>
  <c r="D109" i="1"/>
  <c r="C109" i="1"/>
  <c r="Z83" i="1"/>
  <c r="Z81" i="1"/>
  <c r="Z80" i="1"/>
  <c r="Z79" i="1"/>
  <c r="Z82" i="1"/>
  <c r="Z78" i="1"/>
  <c r="E79" i="1"/>
  <c r="C79" i="1"/>
  <c r="B79" i="1"/>
  <c r="E80" i="1"/>
  <c r="C80" i="1"/>
  <c r="B80" i="1"/>
  <c r="Z16" i="1"/>
  <c r="Z15" i="1"/>
  <c r="C77" i="1"/>
  <c r="E82" i="1"/>
  <c r="C82" i="1"/>
  <c r="B81" i="1"/>
  <c r="B82" i="1"/>
  <c r="E83" i="1"/>
  <c r="B83" i="1"/>
  <c r="E81" i="1"/>
  <c r="C81" i="1"/>
  <c r="E78" i="1"/>
  <c r="C78" i="1"/>
  <c r="B78" i="1"/>
  <c r="Z65" i="1"/>
  <c r="Z66" i="1"/>
  <c r="Z67" i="1"/>
  <c r="Z68" i="1"/>
  <c r="Z64" i="1"/>
  <c r="D56" i="1"/>
  <c r="D55" i="1"/>
  <c r="D54" i="1"/>
  <c r="D53" i="1"/>
  <c r="C56" i="1"/>
  <c r="C55" i="1"/>
  <c r="C54" i="1"/>
  <c r="C53" i="1"/>
  <c r="C52" i="1"/>
  <c r="G21" i="1"/>
  <c r="D21" i="1"/>
  <c r="C21" i="1"/>
  <c r="K3" i="2" l="1"/>
  <c r="J1" i="2"/>
  <c r="K2" i="2"/>
  <c r="E1" i="2"/>
  <c r="F1" i="2" s="1"/>
  <c r="H1" i="2"/>
  <c r="H2" i="2"/>
  <c r="J3" i="2"/>
  <c r="F3" i="2" l="1"/>
  <c r="F2" i="2"/>
</calcChain>
</file>

<file path=xl/sharedStrings.xml><?xml version="1.0" encoding="utf-8"?>
<sst xmlns="http://schemas.openxmlformats.org/spreadsheetml/2006/main" count="3571" uniqueCount="734">
  <si>
    <t>Ni</t>
    <phoneticPr fontId="1" type="noConversion"/>
  </si>
  <si>
    <t>Fe</t>
    <phoneticPr fontId="1" type="noConversion"/>
  </si>
  <si>
    <t>support</t>
    <phoneticPr fontId="1" type="noConversion"/>
  </si>
  <si>
    <t>carbon black</t>
    <phoneticPr fontId="1" type="noConversion"/>
  </si>
  <si>
    <t>overpotential (mV)</t>
    <phoneticPr fontId="1" type="noConversion"/>
  </si>
  <si>
    <t>working electrode</t>
    <phoneticPr fontId="1" type="noConversion"/>
  </si>
  <si>
    <t>glassy carbon</t>
    <phoneticPr fontId="1" type="noConversion"/>
  </si>
  <si>
    <t>electrolyte</t>
    <phoneticPr fontId="1" type="noConversion"/>
  </si>
  <si>
    <t>1 M KOH</t>
    <phoneticPr fontId="1" type="noConversion"/>
  </si>
  <si>
    <t>preparation method</t>
    <phoneticPr fontId="1" type="noConversion"/>
  </si>
  <si>
    <t>freeze-dried</t>
    <phoneticPr fontId="1" type="noConversion"/>
  </si>
  <si>
    <t>sample name</t>
    <phoneticPr fontId="1" type="noConversion"/>
  </si>
  <si>
    <t>Ni0.5Fe0.5/C</t>
    <phoneticPr fontId="1" type="noConversion"/>
  </si>
  <si>
    <t>C-Ni0.5Fe0.5/C</t>
    <phoneticPr fontId="1" type="noConversion"/>
  </si>
  <si>
    <t>Ni0.5Fe0.5</t>
  </si>
  <si>
    <t>Cdl (mF cm-2)</t>
    <phoneticPr fontId="1" type="noConversion"/>
  </si>
  <si>
    <t>doi</t>
    <phoneticPr fontId="1" type="noConversion"/>
  </si>
  <si>
    <t>10.1039/D2TA01931K</t>
    <phoneticPr fontId="1" type="noConversion"/>
  </si>
  <si>
    <t>amorphous</t>
    <phoneticPr fontId="1" type="noConversion"/>
  </si>
  <si>
    <t>structure</t>
    <phoneticPr fontId="1" type="noConversion"/>
  </si>
  <si>
    <t>crystalline</t>
    <phoneticPr fontId="1" type="noConversion"/>
  </si>
  <si>
    <t>Co0.8V0.2OOH</t>
    <phoneticPr fontId="1" type="noConversion"/>
  </si>
  <si>
    <t>Co0.9V0.1OOH</t>
    <phoneticPr fontId="1" type="noConversion"/>
  </si>
  <si>
    <t>Co0.7V0.3OOH</t>
    <phoneticPr fontId="1" type="noConversion"/>
  </si>
  <si>
    <t>CoOOH</t>
    <phoneticPr fontId="1" type="noConversion"/>
  </si>
  <si>
    <t>Co</t>
    <phoneticPr fontId="1" type="noConversion"/>
  </si>
  <si>
    <t>V</t>
    <phoneticPr fontId="1" type="noConversion"/>
  </si>
  <si>
    <t>Ni Foam</t>
    <phoneticPr fontId="1" type="noConversion"/>
  </si>
  <si>
    <t>10.1039/c9ta07918a</t>
  </si>
  <si>
    <t>10.1002/anie.201610211</t>
    <phoneticPr fontId="1" type="noConversion"/>
  </si>
  <si>
    <t>carbon paper</t>
    <phoneticPr fontId="1" type="noConversion"/>
  </si>
  <si>
    <t>hydrothermal(160℃,90min）</t>
    <phoneticPr fontId="1" type="noConversion"/>
  </si>
  <si>
    <t>hydrothermal(120℃,8h）</t>
    <phoneticPr fontId="1" type="noConversion"/>
  </si>
  <si>
    <t>hydrothermal(160℃,8h）</t>
    <phoneticPr fontId="1" type="noConversion"/>
  </si>
  <si>
    <t>nanospheres</t>
    <phoneticPr fontId="1" type="noConversion"/>
  </si>
  <si>
    <t>VOOH (sample I)</t>
    <phoneticPr fontId="1" type="noConversion"/>
  </si>
  <si>
    <t>VOOH (sample iii)</t>
    <phoneticPr fontId="1" type="noConversion"/>
  </si>
  <si>
    <t>VOOH (sample Ii)</t>
    <phoneticPr fontId="1" type="noConversion"/>
  </si>
  <si>
    <t>nanospheres (solid interior)</t>
    <phoneticPr fontId="1" type="noConversion"/>
  </si>
  <si>
    <t>nanospheres (smooth)</t>
    <phoneticPr fontId="1" type="noConversion"/>
  </si>
  <si>
    <t>nanospheres (rough, hollow interior, different size)</t>
    <phoneticPr fontId="1" type="noConversion"/>
  </si>
  <si>
    <t>calcination(400℃,2h）</t>
    <phoneticPr fontId="1" type="noConversion"/>
  </si>
  <si>
    <t>nanorods (nanosheets)、porous、hierarchical</t>
    <phoneticPr fontId="1" type="noConversion"/>
  </si>
  <si>
    <t>electroxide(25℃,0.5h)</t>
  </si>
  <si>
    <t>electroxide(25℃,0.5h)</t>
    <phoneticPr fontId="1" type="noConversion"/>
  </si>
  <si>
    <t>carbon fiber cloth</t>
    <phoneticPr fontId="1" type="noConversion"/>
  </si>
  <si>
    <t>1 M KOH</t>
  </si>
  <si>
    <t>10.1002/anie.201712549</t>
    <phoneticPr fontId="1" type="noConversion"/>
  </si>
  <si>
    <t>Fe0.33Co0.67OOH PNSAs/CFC</t>
    <phoneticPr fontId="1" type="noConversion"/>
  </si>
  <si>
    <t>CoOOH PNSAs/CFC</t>
    <phoneticPr fontId="1" type="noConversion"/>
  </si>
  <si>
    <t>amorphous、porous nanosheet arrays</t>
    <phoneticPr fontId="1" type="noConversion"/>
  </si>
  <si>
    <t>10.1002/adma.201803144</t>
    <phoneticPr fontId="1" type="noConversion"/>
  </si>
  <si>
    <t>δ-FeOOH NSs/NF</t>
    <phoneticPr fontId="1" type="noConversion"/>
  </si>
  <si>
    <t>δ-FeOOH bulk/NF</t>
    <phoneticPr fontId="1" type="noConversion"/>
  </si>
  <si>
    <t>nanosheet (lower crystallinity)、 lattice distortions</t>
    <phoneticPr fontId="1" type="noConversion"/>
  </si>
  <si>
    <t>γ-CoOOH NS</t>
    <phoneticPr fontId="1" type="noConversion"/>
  </si>
  <si>
    <t>γ-CoOOH bulk</t>
    <phoneticPr fontId="1" type="noConversion"/>
  </si>
  <si>
    <t>nanosheets (ultrathin,exfoliation)</t>
    <phoneticPr fontId="1" type="noConversion"/>
  </si>
  <si>
    <t xml:space="preserve"> better crystallinity with the ordered lattice,bulk</t>
    <phoneticPr fontId="1" type="noConversion"/>
  </si>
  <si>
    <t>-</t>
    <phoneticPr fontId="1" type="noConversion"/>
  </si>
  <si>
    <t>hydrothermal (150℃,12h）</t>
    <phoneticPr fontId="1" type="noConversion"/>
  </si>
  <si>
    <t>Fe-CoOOH/G</t>
    <phoneticPr fontId="1" type="noConversion"/>
  </si>
  <si>
    <t>CoOOH/G</t>
    <phoneticPr fontId="1" type="noConversion"/>
  </si>
  <si>
    <t>Al</t>
    <phoneticPr fontId="1" type="noConversion"/>
  </si>
  <si>
    <t xml:space="preserve"> graphene oxide</t>
    <phoneticPr fontId="1" type="noConversion"/>
  </si>
  <si>
    <t>10.1002/aenm.201602148</t>
    <phoneticPr fontId="1" type="noConversion"/>
  </si>
  <si>
    <t>nanosheets(flower-like aggregated structure),bulky</t>
    <phoneticPr fontId="1" type="noConversion"/>
  </si>
  <si>
    <t>nanoparticles、porous、without aggregation、low crystalline</t>
    <phoneticPr fontId="1" type="noConversion"/>
  </si>
  <si>
    <t>a-FeOOH</t>
    <phoneticPr fontId="1" type="noConversion"/>
  </si>
  <si>
    <t>fluorine-doped SnO2 (FTO) coated glass</t>
    <phoneticPr fontId="1" type="noConversion"/>
  </si>
  <si>
    <t>electrodeposition</t>
    <phoneticPr fontId="1" type="noConversion"/>
  </si>
  <si>
    <t>10.1021/ja411835a</t>
    <phoneticPr fontId="1" type="noConversion"/>
  </si>
  <si>
    <t>1 M Na2CO3 (pH=12.1)</t>
    <phoneticPr fontId="1" type="noConversion"/>
  </si>
  <si>
    <t>A-Fe</t>
    <phoneticPr fontId="1" type="noConversion"/>
  </si>
  <si>
    <t>indium tin oxide electrode (ITO)</t>
    <phoneticPr fontId="1" type="noConversion"/>
  </si>
  <si>
    <t>10.1039/c6ta00313c</t>
    <phoneticPr fontId="1" type="noConversion"/>
  </si>
  <si>
    <t>1 M NaOH</t>
    <phoneticPr fontId="1" type="noConversion"/>
  </si>
  <si>
    <t xml:space="preserve"> 0.5 M borate buffer (pH=9.2)</t>
    <phoneticPr fontId="1" type="noConversion"/>
  </si>
  <si>
    <t>aggregates of spherical nanoparticles</t>
    <phoneticPr fontId="1" type="noConversion"/>
  </si>
  <si>
    <t>10.1002/cplu.201900512</t>
    <phoneticPr fontId="1" type="noConversion"/>
  </si>
  <si>
    <t>currrent density</t>
    <phoneticPr fontId="1" type="noConversion"/>
  </si>
  <si>
    <t>CoxFe1-XOOH/CC</t>
  </si>
  <si>
    <t>CoxFe1-XOOH/CC</t>
    <phoneticPr fontId="1" type="noConversion"/>
  </si>
  <si>
    <t>hydrothermal (90℃,24h）</t>
  </si>
  <si>
    <t>hydrothermal (90℃,24h）</t>
    <phoneticPr fontId="1" type="noConversion"/>
  </si>
  <si>
    <t>hydrothermal (150℃,12h）</t>
  </si>
  <si>
    <t>6..8</t>
    <phoneticPr fontId="1" type="noConversion"/>
  </si>
  <si>
    <t>phase</t>
    <phoneticPr fontId="1" type="noConversion"/>
  </si>
  <si>
    <t>cubic nanorods</t>
    <phoneticPr fontId="1" type="noConversion"/>
  </si>
  <si>
    <t>crosslinked nanowire structure</t>
    <phoneticPr fontId="1" type="noConversion"/>
  </si>
  <si>
    <t>nanowires with nanosheet array</t>
    <phoneticPr fontId="1" type="noConversion"/>
  </si>
  <si>
    <t>ordered porous nanowire arrays</t>
    <phoneticPr fontId="1" type="noConversion"/>
  </si>
  <si>
    <t>CoV-Fe0.28</t>
    <phoneticPr fontId="1" type="noConversion"/>
  </si>
  <si>
    <t>10.1002/aenm.202002215</t>
    <phoneticPr fontId="1" type="noConversion"/>
  </si>
  <si>
    <t>nanosheets</t>
    <phoneticPr fontId="1" type="noConversion"/>
  </si>
  <si>
    <t>α</t>
    <phoneticPr fontId="1" type="noConversion"/>
  </si>
  <si>
    <t>nanosheets (ultrathin,wrinkle)</t>
    <phoneticPr fontId="1" type="noConversion"/>
  </si>
  <si>
    <t>CoV-HS</t>
    <phoneticPr fontId="1" type="noConversion"/>
  </si>
  <si>
    <t>CoV-Fe0.16</t>
    <phoneticPr fontId="1" type="noConversion"/>
  </si>
  <si>
    <t>CoV-Fe0.39</t>
    <phoneticPr fontId="1" type="noConversion"/>
  </si>
  <si>
    <t>a-CoVFe</t>
    <phoneticPr fontId="1" type="noConversion"/>
  </si>
  <si>
    <t>c-CoVFe</t>
    <phoneticPr fontId="1" type="noConversion"/>
  </si>
  <si>
    <t>hydrothermal (80℃,0.5h）</t>
    <phoneticPr fontId="1" type="noConversion"/>
  </si>
  <si>
    <t>hydrothermal (100℃,15h）</t>
    <phoneticPr fontId="1" type="noConversion"/>
  </si>
  <si>
    <t>CoVFe0.26</t>
    <phoneticPr fontId="1" type="noConversion"/>
  </si>
  <si>
    <t>hydrothermal (30℃,0.5h）</t>
    <phoneticPr fontId="1" type="noConversion"/>
  </si>
  <si>
    <t>W0.5Co0.5/NF</t>
    <phoneticPr fontId="1" type="noConversion"/>
  </si>
  <si>
    <t>W0.5Co0.45Fe0.05/NF</t>
    <phoneticPr fontId="1" type="noConversion"/>
  </si>
  <si>
    <t>W</t>
    <phoneticPr fontId="1" type="noConversion"/>
  </si>
  <si>
    <t>10.1002/anie.201701533</t>
    <phoneticPr fontId="1" type="noConversion"/>
  </si>
  <si>
    <t xml:space="preserve"> sponge-like、nanosheets、highly crystalline、coralloid-like</t>
    <phoneticPr fontId="1" type="noConversion"/>
  </si>
  <si>
    <t xml:space="preserve"> sponge-like、nanosheets、highly crystalline （smaller pore）、coralloid-like</t>
    <phoneticPr fontId="1" type="noConversion"/>
  </si>
  <si>
    <t>CoFe0.2(OH)x</t>
    <phoneticPr fontId="1" type="noConversion"/>
  </si>
  <si>
    <t>CoFe0.4(OH)x</t>
    <phoneticPr fontId="1" type="noConversion"/>
  </si>
  <si>
    <t>CoFe0.6(OH)x</t>
    <phoneticPr fontId="1" type="noConversion"/>
  </si>
  <si>
    <t>CoFe0.8(OH)x</t>
    <phoneticPr fontId="1" type="noConversion"/>
  </si>
  <si>
    <t>CoFe1.0(OH)x</t>
    <phoneticPr fontId="1" type="noConversion"/>
  </si>
  <si>
    <t>CoFe-AO</t>
    <phoneticPr fontId="1" type="noConversion"/>
  </si>
  <si>
    <t>10.1016/j.ijhydene.2022.03.174</t>
    <phoneticPr fontId="1" type="noConversion"/>
  </si>
  <si>
    <t>partially crystallized</t>
    <phoneticPr fontId="1" type="noConversion"/>
  </si>
  <si>
    <t>porous</t>
    <phoneticPr fontId="1" type="noConversion"/>
  </si>
  <si>
    <t>modified sol-gel method (40℃,12h)</t>
    <phoneticPr fontId="1" type="noConversion"/>
  </si>
  <si>
    <t>NiFeOOH/CFC</t>
  </si>
  <si>
    <t>NiFeOOH/CFC</t>
    <phoneticPr fontId="1" type="noConversion"/>
  </si>
  <si>
    <t>NiOOH/CFC</t>
    <phoneticPr fontId="1" type="noConversion"/>
  </si>
  <si>
    <t>FeOOH/CFC</t>
    <phoneticPr fontId="1" type="noConversion"/>
  </si>
  <si>
    <t>ultrathin nanosheet、spongy</t>
    <phoneticPr fontId="1" type="noConversion"/>
  </si>
  <si>
    <t>10.1016/j.electacta.2017.05.200</t>
    <phoneticPr fontId="1" type="noConversion"/>
  </si>
  <si>
    <t>ultrathin nanosheet、spongy、macroporous</t>
    <phoneticPr fontId="1" type="noConversion"/>
  </si>
  <si>
    <t>CeFeOxHy</t>
    <phoneticPr fontId="1" type="noConversion"/>
  </si>
  <si>
    <t>Ce</t>
    <phoneticPr fontId="1" type="noConversion"/>
  </si>
  <si>
    <t>10.1002/smll.202207999</t>
    <phoneticPr fontId="1" type="noConversion"/>
  </si>
  <si>
    <t>a-c-FeOOH</t>
    <phoneticPr fontId="1" type="noConversion"/>
  </si>
  <si>
    <t>c-FeOOH</t>
    <phoneticPr fontId="1" type="noConversion"/>
  </si>
  <si>
    <t>amorphous/crystalline</t>
    <phoneticPr fontId="1" type="noConversion"/>
  </si>
  <si>
    <t>nanosheets、rough and porisity</t>
    <phoneticPr fontId="1" type="noConversion"/>
  </si>
  <si>
    <t>Cr-CoOOH</t>
    <phoneticPr fontId="1" type="noConversion"/>
  </si>
  <si>
    <t>Cr</t>
    <phoneticPr fontId="1" type="noConversion"/>
  </si>
  <si>
    <t>10.1016/j.nanoen.2022.107562</t>
    <phoneticPr fontId="1" type="noConversion"/>
  </si>
  <si>
    <t>hydrothermal (82℃,2h)</t>
    <phoneticPr fontId="1" type="noConversion"/>
  </si>
  <si>
    <t>nanosheets coss-link on nanocages (ZIF67)</t>
    <phoneticPr fontId="1" type="noConversion"/>
  </si>
  <si>
    <t>Ni3Fe</t>
    <phoneticPr fontId="1" type="noConversion"/>
  </si>
  <si>
    <t>Ni3Fe0.67V0.33</t>
    <phoneticPr fontId="1" type="noConversion"/>
  </si>
  <si>
    <t>Ni3Fe0.5V0.5</t>
    <phoneticPr fontId="1" type="noConversion"/>
  </si>
  <si>
    <t>Ni3Fe0.33V0.67</t>
    <phoneticPr fontId="1" type="noConversion"/>
  </si>
  <si>
    <t>Ni3V</t>
    <phoneticPr fontId="1" type="noConversion"/>
  </si>
  <si>
    <t>nanosheets (porous,ultrathin)</t>
    <phoneticPr fontId="1" type="noConversion"/>
  </si>
  <si>
    <t>nanosheets (ultrathin)</t>
    <phoneticPr fontId="1" type="noConversion"/>
  </si>
  <si>
    <t>10.1038/s41467-018-05341-y</t>
    <phoneticPr fontId="1" type="noConversion"/>
  </si>
  <si>
    <t>hydrothermal (120℃,12h)</t>
    <phoneticPr fontId="1" type="noConversion"/>
  </si>
  <si>
    <t>10.1002/cssc.202001229</t>
    <phoneticPr fontId="1" type="noConversion"/>
  </si>
  <si>
    <t>Zn0.2Co0.8OOH</t>
    <phoneticPr fontId="1" type="noConversion"/>
  </si>
  <si>
    <t>Zn</t>
    <phoneticPr fontId="1" type="noConversion"/>
  </si>
  <si>
    <t>hydrothermal (100℃,10h)</t>
    <phoneticPr fontId="1" type="noConversion"/>
  </si>
  <si>
    <t>β</t>
    <phoneticPr fontId="1" type="noConversion"/>
  </si>
  <si>
    <t>nanosheets (cross-linked, rough, rhombic dodecahedral morphology)</t>
    <phoneticPr fontId="1" type="noConversion"/>
  </si>
  <si>
    <t>10.1038/s41560-019-0355-9</t>
    <phoneticPr fontId="1" type="noConversion"/>
  </si>
  <si>
    <t>Co0.54Fe0.46OOH</t>
    <phoneticPr fontId="1" type="noConversion"/>
  </si>
  <si>
    <t>10.1038/srep43590</t>
    <phoneticPr fontId="1" type="noConversion"/>
  </si>
  <si>
    <t>0.1 M KOH (pH=13)</t>
    <phoneticPr fontId="1" type="noConversion"/>
  </si>
  <si>
    <t>FeOOH/Ni_x0002_foam</t>
    <phoneticPr fontId="1" type="noConversion"/>
  </si>
  <si>
    <t>hydrothermal (120℃,6h)</t>
    <phoneticPr fontId="1" type="noConversion"/>
  </si>
  <si>
    <t>nanowires( small diameters)</t>
    <phoneticPr fontId="1" type="noConversion"/>
  </si>
  <si>
    <t>10.1007/s10008-013-2105-4</t>
    <phoneticPr fontId="1" type="noConversion"/>
  </si>
  <si>
    <t>:10.1016/j.elecom.2007.06.011</t>
    <phoneticPr fontId="1" type="noConversion"/>
  </si>
  <si>
    <t>MnOOH</t>
    <phoneticPr fontId="1" type="noConversion"/>
  </si>
  <si>
    <t>Mn</t>
    <phoneticPr fontId="1" type="noConversion"/>
  </si>
  <si>
    <t>γ</t>
    <phoneticPr fontId="1" type="noConversion"/>
  </si>
  <si>
    <t>nanoparticles、porous</t>
    <phoneticPr fontId="1" type="noConversion"/>
  </si>
  <si>
    <t>0.5 M KOH (pH=13.69)</t>
    <phoneticPr fontId="1" type="noConversion"/>
  </si>
  <si>
    <t>Au</t>
    <phoneticPr fontId="1" type="noConversion"/>
  </si>
  <si>
    <t>18号文献中提到了近年OER的催化剂的对比</t>
    <phoneticPr fontId="1" type="noConversion"/>
  </si>
  <si>
    <t>FeOOH/CeO2 HLNTs-NF</t>
    <phoneticPr fontId="1" type="noConversion"/>
  </si>
  <si>
    <t>CeO2</t>
    <phoneticPr fontId="1" type="noConversion"/>
  </si>
  <si>
    <t>nanotubes (hollow、large BET)</t>
    <phoneticPr fontId="1" type="noConversion"/>
  </si>
  <si>
    <t>10.1002/adma.201600054</t>
    <phoneticPr fontId="1" type="noConversion"/>
  </si>
  <si>
    <t>FeOOH/NPCs-NF</t>
    <phoneticPr fontId="1" type="noConversion"/>
  </si>
  <si>
    <t>NPCs(ZIF-8 derived N-doped porous carbons)</t>
    <phoneticPr fontId="1" type="noConversion"/>
  </si>
  <si>
    <t>10.1002/aenm.201702598</t>
    <phoneticPr fontId="1" type="noConversion"/>
  </si>
  <si>
    <t>nanoparticles（aggregate、porous)</t>
    <phoneticPr fontId="1" type="noConversion"/>
  </si>
  <si>
    <t>FeOOH NSs/Ti3C2</t>
    <phoneticPr fontId="1" type="noConversion"/>
  </si>
  <si>
    <t>Mxene(Ti3C2)</t>
    <phoneticPr fontId="1" type="noConversion"/>
  </si>
  <si>
    <t>δ、polycrystalline</t>
    <phoneticPr fontId="1" type="noConversion"/>
  </si>
  <si>
    <t>nanosheets(hierarchica、 porous)</t>
    <phoneticPr fontId="1" type="noConversion"/>
  </si>
  <si>
    <t>10.1002/slct.201904506</t>
    <phoneticPr fontId="1" type="noConversion"/>
  </si>
  <si>
    <t>(25℃,12h）</t>
    <phoneticPr fontId="1" type="noConversion"/>
  </si>
  <si>
    <t>FeOOH NSs</t>
    <phoneticPr fontId="1" type="noConversion"/>
  </si>
  <si>
    <t>nanosheets(ultrathin lamellar）</t>
    <phoneticPr fontId="1" type="noConversion"/>
  </si>
  <si>
    <t>FeOOH/Co/FeOOH</t>
    <phoneticPr fontId="1" type="noConversion"/>
  </si>
  <si>
    <t>polycrystalline</t>
    <phoneticPr fontId="1" type="noConversion"/>
  </si>
  <si>
    <t>1M NaOH</t>
    <phoneticPr fontId="1" type="noConversion"/>
  </si>
  <si>
    <t>10.1002/anie.201511447</t>
    <phoneticPr fontId="1" type="noConversion"/>
  </si>
  <si>
    <t>FeCo-MOF-EH</t>
    <phoneticPr fontId="1" type="noConversion"/>
  </si>
  <si>
    <t>nanosheet (wrinkled、ultrathin)</t>
    <phoneticPr fontId="1" type="noConversion"/>
  </si>
  <si>
    <t>10.1002/anie.202004420</t>
    <phoneticPr fontId="1" type="noConversion"/>
  </si>
  <si>
    <t>NiFeCr</t>
    <phoneticPr fontId="1" type="noConversion"/>
  </si>
  <si>
    <t>nanosheet</t>
    <phoneticPr fontId="1" type="noConversion"/>
  </si>
  <si>
    <t>10.1039/d0ee01609h</t>
    <phoneticPr fontId="1" type="noConversion"/>
  </si>
  <si>
    <t>NiFe</t>
    <phoneticPr fontId="1" type="noConversion"/>
  </si>
  <si>
    <t>10.1038/s41929-020-00525-6</t>
    <phoneticPr fontId="1" type="noConversion"/>
  </si>
  <si>
    <t>NiFeMo</t>
    <phoneticPr fontId="1" type="noConversion"/>
  </si>
  <si>
    <t>NiFeW</t>
    <phoneticPr fontId="1" type="noConversion"/>
  </si>
  <si>
    <t>NiFeTa</t>
    <phoneticPr fontId="1" type="noConversion"/>
  </si>
  <si>
    <t>NiFeRe</t>
    <phoneticPr fontId="1" type="noConversion"/>
  </si>
  <si>
    <t>NiFeNb</t>
    <phoneticPr fontId="1" type="noConversion"/>
  </si>
  <si>
    <t>NiFeMoW</t>
    <phoneticPr fontId="1" type="noConversion"/>
  </si>
  <si>
    <t>FeCo</t>
    <phoneticPr fontId="1" type="noConversion"/>
  </si>
  <si>
    <t>FeCoMo</t>
    <phoneticPr fontId="1" type="noConversion"/>
  </si>
  <si>
    <t>FeCoW</t>
    <phoneticPr fontId="1" type="noConversion"/>
  </si>
  <si>
    <t>FeCoTa</t>
    <phoneticPr fontId="1" type="noConversion"/>
  </si>
  <si>
    <t>FeCoRe</t>
    <phoneticPr fontId="1" type="noConversion"/>
  </si>
  <si>
    <t>FeCoNb</t>
    <phoneticPr fontId="1" type="noConversion"/>
  </si>
  <si>
    <t>FeCoMoW</t>
    <phoneticPr fontId="1" type="noConversion"/>
  </si>
  <si>
    <t>nanoparticles (aggregate)</t>
    <phoneticPr fontId="1" type="noConversion"/>
  </si>
  <si>
    <t>sol-gel method</t>
    <phoneticPr fontId="1" type="noConversion"/>
  </si>
  <si>
    <t>Mo</t>
    <phoneticPr fontId="1" type="noConversion"/>
  </si>
  <si>
    <t>Ta</t>
    <phoneticPr fontId="1" type="noConversion"/>
  </si>
  <si>
    <t>Re</t>
    <phoneticPr fontId="1" type="noConversion"/>
  </si>
  <si>
    <t>Nb</t>
    <phoneticPr fontId="1" type="noConversion"/>
  </si>
  <si>
    <t>Ni:FeOOH</t>
    <phoneticPr fontId="1" type="noConversion"/>
  </si>
  <si>
    <t xml:space="preserve"> N-doped graphite foam (NGF)</t>
    <phoneticPr fontId="1" type="noConversion"/>
  </si>
  <si>
    <t>10.1021/acscatal.9b00492</t>
    <phoneticPr fontId="1" type="noConversion"/>
  </si>
  <si>
    <t>γ-FeOOH/NF-6M</t>
    <phoneticPr fontId="1" type="noConversion"/>
  </si>
  <si>
    <t>10.1002/adma.202005587</t>
    <phoneticPr fontId="1" type="noConversion"/>
  </si>
  <si>
    <t>Co-FeOOH/CFP</t>
    <phoneticPr fontId="1" type="noConversion"/>
  </si>
  <si>
    <t>FeOOH/CFP</t>
    <phoneticPr fontId="1" type="noConversion"/>
  </si>
  <si>
    <t>nanosheets( vertically deposited、 rippled、interconnected、porous)</t>
    <phoneticPr fontId="1" type="noConversion"/>
  </si>
  <si>
    <t>10.1002/smll.201901015</t>
    <phoneticPr fontId="1" type="noConversion"/>
  </si>
  <si>
    <t>FeOOH/CNT</t>
    <phoneticPr fontId="1" type="noConversion"/>
  </si>
  <si>
    <t>oxide CNT</t>
    <phoneticPr fontId="1" type="noConversion"/>
  </si>
  <si>
    <t>10.1016/j.apcatb.2019.117755</t>
    <phoneticPr fontId="1" type="noConversion"/>
  </si>
  <si>
    <t>nanosheets （ultrathin、order、cross-linked、small、rough)</t>
    <phoneticPr fontId="1" type="noConversion"/>
  </si>
  <si>
    <t>α-Fe0.24Co0.76OOH</t>
    <phoneticPr fontId="1" type="noConversion"/>
  </si>
  <si>
    <t>nanorods(ultrafine)</t>
    <phoneticPr fontId="1" type="noConversion"/>
  </si>
  <si>
    <t>10.1021/acs.langmuir.9b03293</t>
    <phoneticPr fontId="1" type="noConversion"/>
  </si>
  <si>
    <t>α-CoOOH</t>
    <phoneticPr fontId="1" type="noConversion"/>
  </si>
  <si>
    <t>β-CoOOH</t>
    <phoneticPr fontId="1" type="noConversion"/>
  </si>
  <si>
    <t>α-Fe0.7Co0.3OOH</t>
    <phoneticPr fontId="1" type="noConversion"/>
  </si>
  <si>
    <t>α-Fe0.32Co0.68OOH</t>
    <phoneticPr fontId="1" type="noConversion"/>
  </si>
  <si>
    <t>10.1021/acssuschemeng.1c03116</t>
    <phoneticPr fontId="1" type="noConversion"/>
  </si>
  <si>
    <t>nanosheet(porous)</t>
    <phoneticPr fontId="1" type="noConversion"/>
  </si>
  <si>
    <t>FeNiCo</t>
    <phoneticPr fontId="1" type="noConversion"/>
  </si>
  <si>
    <t>β(poorly crystalline)</t>
    <phoneticPr fontId="1" type="noConversion"/>
  </si>
  <si>
    <t>FeCo-MOF-EH/NF</t>
    <phoneticPr fontId="1" type="noConversion"/>
  </si>
  <si>
    <t>nanosheet(ultrathin)</t>
    <phoneticPr fontId="1" type="noConversion"/>
  </si>
  <si>
    <t xml:space="preserve"> 10.1039/c8ee03208d</t>
    <phoneticPr fontId="1" type="noConversion"/>
  </si>
  <si>
    <t>CoOOH hollow nanospheres</t>
    <phoneticPr fontId="1" type="noConversion"/>
  </si>
  <si>
    <t>γ-CoOOH</t>
    <phoneticPr fontId="1" type="noConversion"/>
  </si>
  <si>
    <t>γ(poorly crystalline)</t>
    <phoneticPr fontId="1" type="noConversion"/>
  </si>
  <si>
    <t>nanosheets (rough、porous)</t>
    <phoneticPr fontId="1" type="noConversion"/>
  </si>
  <si>
    <t>nanosheet (ultrathin、hollow、hierarchical、nanosphere</t>
    <phoneticPr fontId="1" type="noConversion"/>
  </si>
  <si>
    <t xml:space="preserve"> 10.1039/c9ta00878k</t>
    <phoneticPr fontId="1" type="noConversion"/>
  </si>
  <si>
    <t xml:space="preserve">electrodeposition(25℃,5 min) </t>
    <phoneticPr fontId="1" type="noConversion"/>
  </si>
  <si>
    <t>NIFE0</t>
    <phoneticPr fontId="1" type="noConversion"/>
  </si>
  <si>
    <t>NIFE25</t>
    <phoneticPr fontId="1" type="noConversion"/>
  </si>
  <si>
    <t>NIFE50</t>
    <phoneticPr fontId="1" type="noConversion"/>
  </si>
  <si>
    <t>NIFE75</t>
    <phoneticPr fontId="1" type="noConversion"/>
  </si>
  <si>
    <t>NIFE100</t>
    <phoneticPr fontId="1" type="noConversion"/>
  </si>
  <si>
    <t>electrodeposition(25℃,5 min)</t>
    <phoneticPr fontId="1" type="noConversion"/>
  </si>
  <si>
    <t xml:space="preserve">electrodeposition(25℃,10 min) </t>
    <phoneticPr fontId="1" type="noConversion"/>
  </si>
  <si>
    <t>10.1021/acsaem.1c00955</t>
    <phoneticPr fontId="1" type="noConversion"/>
  </si>
  <si>
    <t>Fb+s-NIFE0</t>
    <phoneticPr fontId="1" type="noConversion"/>
  </si>
  <si>
    <t>Fb+s-NIFE25</t>
    <phoneticPr fontId="1" type="noConversion"/>
  </si>
  <si>
    <t>Fb+s-NIFE50</t>
    <phoneticPr fontId="1" type="noConversion"/>
  </si>
  <si>
    <t>Fb+s-NIFE75</t>
    <phoneticPr fontId="1" type="noConversion"/>
  </si>
  <si>
    <t>Fb+s-NIFE100</t>
    <phoneticPr fontId="1" type="noConversion"/>
  </si>
  <si>
    <t>nanoplates</t>
    <phoneticPr fontId="1" type="noConversion"/>
  </si>
  <si>
    <t>nanosheets(interconnected rippled、coar、close</t>
    <phoneticPr fontId="1" type="noConversion"/>
  </si>
  <si>
    <t>G-FeCoW</t>
    <phoneticPr fontId="1" type="noConversion"/>
  </si>
  <si>
    <t>nanosheets(crumpled、entangled、nanopores)</t>
    <phoneticPr fontId="1" type="noConversion"/>
  </si>
  <si>
    <t>Au Foam</t>
    <phoneticPr fontId="1" type="noConversion"/>
  </si>
  <si>
    <t>sol-gel method(25℃,72h)</t>
    <phoneticPr fontId="1" type="noConversion"/>
  </si>
  <si>
    <t>G-FeCo</t>
    <phoneticPr fontId="1" type="noConversion"/>
  </si>
  <si>
    <t>A-FeCoW</t>
    <phoneticPr fontId="1" type="noConversion"/>
  </si>
  <si>
    <t>calcination(500℃,2h）</t>
    <phoneticPr fontId="1" type="noConversion"/>
  </si>
  <si>
    <t>10.1126/science.aaf1525</t>
    <phoneticPr fontId="1" type="noConversion"/>
  </si>
  <si>
    <t>Co0.5Fe0.5OOH</t>
    <phoneticPr fontId="1" type="noConversion"/>
  </si>
  <si>
    <t>nanoplates (bigger)</t>
    <phoneticPr fontId="1" type="noConversion"/>
  </si>
  <si>
    <t>10.1021/acsami.9b07164</t>
    <phoneticPr fontId="1" type="noConversion"/>
  </si>
  <si>
    <t>FeCoOOH</t>
    <phoneticPr fontId="1" type="noConversion"/>
  </si>
  <si>
    <t>hydrothermal (120℃,6h）</t>
    <phoneticPr fontId="1" type="noConversion"/>
  </si>
  <si>
    <t>10.1002/chem.201800022</t>
    <phoneticPr fontId="1" type="noConversion"/>
  </si>
  <si>
    <t>NiCoFeOxHy/Ni3S2/NF</t>
    <phoneticPr fontId="1" type="noConversion"/>
  </si>
  <si>
    <r>
      <t>FeSO</t>
    </r>
    <r>
      <rPr>
        <sz val="8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>·7H</t>
    </r>
    <r>
      <rPr>
        <sz val="8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</si>
  <si>
    <t>NiSO4·6H2O</t>
    <phoneticPr fontId="1" type="noConversion"/>
  </si>
  <si>
    <t>CoSO4·7H2O</t>
    <phoneticPr fontId="1" type="noConversion"/>
  </si>
  <si>
    <t>Ni3S2</t>
    <phoneticPr fontId="1" type="noConversion"/>
  </si>
  <si>
    <t xml:space="preserve">electrodeposition(25℃,20 min) </t>
    <phoneticPr fontId="1" type="noConversion"/>
  </si>
  <si>
    <t>nanosheets(porous、flower like)</t>
    <phoneticPr fontId="1" type="noConversion"/>
  </si>
  <si>
    <t>nanosheets(loose、particle-shape)</t>
    <phoneticPr fontId="1" type="noConversion"/>
  </si>
  <si>
    <t>NiCoFeOxHy/NF</t>
    <phoneticPr fontId="1" type="noConversion"/>
  </si>
  <si>
    <t>NiOxHy/NF</t>
    <phoneticPr fontId="1" type="noConversion"/>
  </si>
  <si>
    <t>NiOxHy/Ni3S2/NF</t>
    <phoneticPr fontId="1" type="noConversion"/>
  </si>
  <si>
    <t>FeOxHy/NF</t>
    <phoneticPr fontId="1" type="noConversion"/>
  </si>
  <si>
    <t>FeOxHy/Ni3S2/NF</t>
    <phoneticPr fontId="1" type="noConversion"/>
  </si>
  <si>
    <t>CoOxHy/NF</t>
    <phoneticPr fontId="1" type="noConversion"/>
  </si>
  <si>
    <t>CoOxHy/Ni3S2/NF</t>
    <phoneticPr fontId="1" type="noConversion"/>
  </si>
  <si>
    <t>NiFeOxHy/NF</t>
    <phoneticPr fontId="1" type="noConversion"/>
  </si>
  <si>
    <t>NiFeOxHy/Ni3S2/NF</t>
    <phoneticPr fontId="1" type="noConversion"/>
  </si>
  <si>
    <t>CoFeOxHy/NF</t>
    <phoneticPr fontId="1" type="noConversion"/>
  </si>
  <si>
    <t>CoFeOxHy/Ni3S2/NF</t>
    <phoneticPr fontId="1" type="noConversion"/>
  </si>
  <si>
    <t>NiCoOxHy/NF</t>
    <phoneticPr fontId="1" type="noConversion"/>
  </si>
  <si>
    <t>NiCoOxHy/Ni3S2/NF</t>
    <phoneticPr fontId="1" type="noConversion"/>
  </si>
  <si>
    <t>10.1021/acs.inorgchem.2c03759</t>
    <phoneticPr fontId="1" type="noConversion"/>
  </si>
  <si>
    <t>CoO</t>
    <phoneticPr fontId="1" type="noConversion"/>
  </si>
  <si>
    <t xml:space="preserve">electrodeposition(80℃,100 s) </t>
    <phoneticPr fontId="1" type="noConversion"/>
  </si>
  <si>
    <t>nanoparticles (small size)</t>
    <phoneticPr fontId="1" type="noConversion"/>
  </si>
  <si>
    <t>10.1016/j.electacta.2017.10.011</t>
    <phoneticPr fontId="1" type="noConversion"/>
  </si>
  <si>
    <t>RGO/Ni:FeOOH</t>
    <phoneticPr fontId="1" type="noConversion"/>
  </si>
  <si>
    <t>RGO</t>
    <phoneticPr fontId="1" type="noConversion"/>
  </si>
  <si>
    <t xml:space="preserve">electrodeposition(25℃) </t>
    <phoneticPr fontId="1" type="noConversion"/>
  </si>
  <si>
    <t>10.1016/j.apsusc.2017.12.078</t>
    <phoneticPr fontId="1" type="noConversion"/>
  </si>
  <si>
    <t>10.1039/c6ta08719a</t>
    <phoneticPr fontId="1" type="noConversion"/>
  </si>
  <si>
    <t>α-FeOOH</t>
    <phoneticPr fontId="1" type="noConversion"/>
  </si>
  <si>
    <t>γ-FeOOH</t>
    <phoneticPr fontId="1" type="noConversion"/>
  </si>
  <si>
    <t>FTO</t>
    <phoneticPr fontId="1" type="noConversion"/>
  </si>
  <si>
    <t>chemical bath deposition method (70℃,72 h)</t>
    <phoneticPr fontId="1" type="noConversion"/>
  </si>
  <si>
    <t>electrodeposition (25℃,400 s)</t>
    <phoneticPr fontId="1" type="noConversion"/>
  </si>
  <si>
    <t>α(crystalline)</t>
    <phoneticPr fontId="1" type="noConversion"/>
  </si>
  <si>
    <t>γ(amorphous)</t>
    <phoneticPr fontId="1" type="noConversion"/>
  </si>
  <si>
    <t>CNTs@FeOOH/CC</t>
    <phoneticPr fontId="1" type="noConversion"/>
  </si>
  <si>
    <t>CNTs</t>
    <phoneticPr fontId="1" type="noConversion"/>
  </si>
  <si>
    <t>nanoparticles (nonaggregate)</t>
    <phoneticPr fontId="1" type="noConversion"/>
  </si>
  <si>
    <t>carbon cloth</t>
    <phoneticPr fontId="1" type="noConversion"/>
  </si>
  <si>
    <t>nanoparticles (naggregate)</t>
    <phoneticPr fontId="1" type="noConversion"/>
  </si>
  <si>
    <t>FeOOH</t>
    <phoneticPr fontId="1" type="noConversion"/>
  </si>
  <si>
    <t xml:space="preserve"> hydrolysis with ZnO(25℃，12h)</t>
    <phoneticPr fontId="1" type="noConversion"/>
  </si>
  <si>
    <t>10.1039/c6qm00168h</t>
    <phoneticPr fontId="1" type="noConversion"/>
  </si>
  <si>
    <t>γ-FeOOH/CC-6M</t>
    <phoneticPr fontId="1" type="noConversion"/>
  </si>
  <si>
    <t>γ-FeOOH/CF-6M</t>
    <phoneticPr fontId="1" type="noConversion"/>
  </si>
  <si>
    <t>Cu foam</t>
    <phoneticPr fontId="1" type="noConversion"/>
  </si>
  <si>
    <t>Fe-400-9C</t>
    <phoneticPr fontId="1" type="noConversion"/>
  </si>
  <si>
    <t>electrodeposition (25℃,360 s)</t>
    <phoneticPr fontId="1" type="noConversion"/>
  </si>
  <si>
    <t>Fe foil</t>
    <phoneticPr fontId="1" type="noConversion"/>
  </si>
  <si>
    <t xml:space="preserve"> 10.1039/c9cc02941a</t>
    <phoneticPr fontId="1" type="noConversion"/>
  </si>
  <si>
    <t>β-FeOOH</t>
    <phoneticPr fontId="1" type="noConversion"/>
  </si>
  <si>
    <t>δ-FeOOH</t>
    <phoneticPr fontId="1" type="noConversion"/>
  </si>
  <si>
    <t>α/β-FeOOH</t>
    <phoneticPr fontId="1" type="noConversion"/>
  </si>
  <si>
    <t>α/δ-FeOOH</t>
    <phoneticPr fontId="1" type="noConversion"/>
  </si>
  <si>
    <t>β/δ-FeOOH</t>
    <phoneticPr fontId="1" type="noConversion"/>
  </si>
  <si>
    <t>10.1021/acscatal.9b03876</t>
    <phoneticPr fontId="1" type="noConversion"/>
  </si>
  <si>
    <t>δ</t>
    <phoneticPr fontId="1" type="noConversion"/>
  </si>
  <si>
    <t>α/β</t>
    <phoneticPr fontId="1" type="noConversion"/>
  </si>
  <si>
    <t>α/δ</t>
    <phoneticPr fontId="1" type="noConversion"/>
  </si>
  <si>
    <t>β/δ</t>
    <phoneticPr fontId="1" type="noConversion"/>
  </si>
  <si>
    <t>hydrothermal (100℃,4h)</t>
    <phoneticPr fontId="1" type="noConversion"/>
  </si>
  <si>
    <t>nanosheets (oblique hexagonal sheet)</t>
    <phoneticPr fontId="1" type="noConversion"/>
  </si>
  <si>
    <t>nanosheets (urchinlike structure)</t>
    <phoneticPr fontId="1" type="noConversion"/>
  </si>
  <si>
    <t>nanosheets (orthohexagonal)</t>
    <phoneticPr fontId="1" type="noConversion"/>
  </si>
  <si>
    <t>nanoparticles</t>
    <phoneticPr fontId="1" type="noConversion"/>
  </si>
  <si>
    <t>nanosheets (assembled like flower)</t>
    <phoneticPr fontId="1" type="noConversion"/>
  </si>
  <si>
    <t>nanosheets( hollow spherical morphology)</t>
    <phoneticPr fontId="1" type="noConversion"/>
  </si>
  <si>
    <t>α-FeO(OH)@FeSn2</t>
    <phoneticPr fontId="1" type="noConversion"/>
  </si>
  <si>
    <t>FeSn2</t>
    <phoneticPr fontId="1" type="noConversion"/>
  </si>
  <si>
    <t>10.1002/aenm.202001377</t>
    <phoneticPr fontId="1" type="noConversion"/>
  </si>
  <si>
    <t>α（crystalline）</t>
    <phoneticPr fontId="1" type="noConversion"/>
  </si>
  <si>
    <t>α-FeO(OH)</t>
    <phoneticPr fontId="1" type="noConversion"/>
  </si>
  <si>
    <t>β-FeOOH(Cl)</t>
    <phoneticPr fontId="1" type="noConversion"/>
  </si>
  <si>
    <t>sol-gel method(25℃,24h)</t>
    <phoneticPr fontId="1" type="noConversion"/>
  </si>
  <si>
    <t>β（crystalline）</t>
    <phoneticPr fontId="1" type="noConversion"/>
  </si>
  <si>
    <t>nanorods</t>
    <phoneticPr fontId="1" type="noConversion"/>
  </si>
  <si>
    <t>10.1039/c7se00043j</t>
    <phoneticPr fontId="1" type="noConversion"/>
  </si>
  <si>
    <t>Fe0.83V0.17</t>
    <phoneticPr fontId="1" type="noConversion"/>
  </si>
  <si>
    <t>Fe0.75V0.25</t>
    <phoneticPr fontId="1" type="noConversion"/>
  </si>
  <si>
    <t>Fe0.5V0.5</t>
    <phoneticPr fontId="1" type="noConversion"/>
  </si>
  <si>
    <t>Fe0.25V0.75</t>
    <phoneticPr fontId="1" type="noConversion"/>
  </si>
  <si>
    <t>10.1002/anie.201611863</t>
  </si>
  <si>
    <t>hydrothermal (120℃,12h）</t>
    <phoneticPr fontId="1" type="noConversion"/>
  </si>
  <si>
    <t>α、β、γ（crystalline)</t>
    <phoneticPr fontId="1" type="noConversion"/>
  </si>
  <si>
    <t>nanoparticles(hollow sphere、hierarchically )</t>
    <phoneticPr fontId="1" type="noConversion"/>
  </si>
  <si>
    <t>0.1 M NaOH (pH=13)</t>
    <phoneticPr fontId="1" type="noConversion"/>
  </si>
  <si>
    <t>electrodeposition(25℃）</t>
    <phoneticPr fontId="1" type="noConversion"/>
  </si>
  <si>
    <t>10.1039/c4ta03078h</t>
    <phoneticPr fontId="1" type="noConversion"/>
  </si>
  <si>
    <t>CoV</t>
    <phoneticPr fontId="1" type="noConversion"/>
  </si>
  <si>
    <t xml:space="preserve"> 10.1039/c8ee00611c</t>
    <phoneticPr fontId="1" type="noConversion"/>
  </si>
  <si>
    <t>nanosheets(ultrathin、wrinkled and porous、veil like、distort）</t>
    <phoneticPr fontId="1" type="noConversion"/>
  </si>
  <si>
    <t>co-precipitation （30℃,15min）</t>
    <phoneticPr fontId="1" type="noConversion"/>
  </si>
  <si>
    <t>VA FeOOH/NiFe-LDHs-NF</t>
    <phoneticPr fontId="1" type="noConversion"/>
  </si>
  <si>
    <t>NiFe-LDHs</t>
    <phoneticPr fontId="1" type="noConversion"/>
  </si>
  <si>
    <t>10.1021/acsami.6b13360</t>
    <phoneticPr fontId="1" type="noConversion"/>
  </si>
  <si>
    <t>nanosheets (single layer、ultrathin、porous)</t>
    <phoneticPr fontId="1" type="noConversion"/>
  </si>
  <si>
    <t>hydrothermal (120℃,5h）</t>
    <phoneticPr fontId="1" type="noConversion"/>
  </si>
  <si>
    <t>nanosheets(assembled sphere)</t>
    <phoneticPr fontId="1" type="noConversion"/>
  </si>
  <si>
    <t>N-doped graphite foam (NGF)</t>
    <phoneticPr fontId="1" type="noConversion"/>
  </si>
  <si>
    <t>10.1021/acsnano.8b06312</t>
    <phoneticPr fontId="1" type="noConversion"/>
  </si>
  <si>
    <t>10.1002/anie.201502836</t>
    <phoneticPr fontId="1" type="noConversion"/>
  </si>
  <si>
    <t>10.1021/acscatal.9b02249</t>
    <phoneticPr fontId="1" type="noConversion"/>
  </si>
  <si>
    <t>Ag</t>
    <phoneticPr fontId="1" type="noConversion"/>
  </si>
  <si>
    <t>Ag film</t>
    <phoneticPr fontId="1" type="noConversion"/>
  </si>
  <si>
    <t>Au film</t>
    <phoneticPr fontId="1" type="noConversion"/>
  </si>
  <si>
    <t>Cu film</t>
    <phoneticPr fontId="1" type="noConversion"/>
  </si>
  <si>
    <t>Ni film</t>
    <phoneticPr fontId="1" type="noConversion"/>
  </si>
  <si>
    <t>Ag-CoOOH</t>
    <phoneticPr fontId="1" type="noConversion"/>
  </si>
  <si>
    <t>Au-CoOOH</t>
    <phoneticPr fontId="1" type="noConversion"/>
  </si>
  <si>
    <t>Cu-CoOOH</t>
    <phoneticPr fontId="1" type="noConversion"/>
  </si>
  <si>
    <t>Ni-CoOOH</t>
    <phoneticPr fontId="1" type="noConversion"/>
  </si>
  <si>
    <t>Cu</t>
    <phoneticPr fontId="1" type="noConversion"/>
  </si>
  <si>
    <t>electrodeposition(25℃,100s)</t>
    <phoneticPr fontId="1" type="noConversion"/>
  </si>
  <si>
    <t xml:space="preserve">Zn;NiFeOxHy </t>
  </si>
  <si>
    <t>electrodeposition(25℃,60s)</t>
    <phoneticPr fontId="1" type="noConversion"/>
  </si>
  <si>
    <t>nanoparticles(perforated network structure with reduced grain size)</t>
    <phoneticPr fontId="1" type="noConversion"/>
  </si>
  <si>
    <t>Ni foil</t>
    <phoneticPr fontId="1" type="noConversion"/>
  </si>
  <si>
    <t>10.1021/acscatal.9b03544</t>
    <phoneticPr fontId="1" type="noConversion"/>
  </si>
  <si>
    <t>Co4N</t>
    <phoneticPr fontId="1" type="noConversion"/>
  </si>
  <si>
    <t>10.1002/anie.201506480</t>
    <phoneticPr fontId="1" type="noConversion"/>
  </si>
  <si>
    <t>Ni-rGO</t>
    <phoneticPr fontId="1" type="noConversion"/>
  </si>
  <si>
    <t>Co-rGO</t>
    <phoneticPr fontId="1" type="noConversion"/>
  </si>
  <si>
    <t>Fe-rGO</t>
    <phoneticPr fontId="1" type="noConversion"/>
  </si>
  <si>
    <t>NiCo-rGO</t>
    <phoneticPr fontId="1" type="noConversion"/>
  </si>
  <si>
    <t>NiFe-rGO</t>
    <phoneticPr fontId="1" type="noConversion"/>
  </si>
  <si>
    <t>CoFe-rGO</t>
    <phoneticPr fontId="1" type="noConversion"/>
  </si>
  <si>
    <t>NiCoFe-rGO</t>
    <phoneticPr fontId="1" type="noConversion"/>
  </si>
  <si>
    <t>hydrothermal (120℃,0.5h）</t>
    <phoneticPr fontId="1" type="noConversion"/>
  </si>
  <si>
    <t>pyrolytic graphite (PG) carbon</t>
    <phoneticPr fontId="1" type="noConversion"/>
  </si>
  <si>
    <t>10.1016/j.jcat.2019.08.006</t>
    <phoneticPr fontId="1" type="noConversion"/>
  </si>
  <si>
    <t>α（highly crystalline）</t>
    <phoneticPr fontId="1" type="noConversion"/>
  </si>
  <si>
    <t>nanoparticles(ultra-small)</t>
    <phoneticPr fontId="1" type="noConversion"/>
  </si>
  <si>
    <t>10.1016/j.electacta.2019.02.083</t>
    <phoneticPr fontId="1" type="noConversion"/>
  </si>
  <si>
    <t>CoOOH-20</t>
    <phoneticPr fontId="1" type="noConversion"/>
  </si>
  <si>
    <t>CoOOH-3</t>
    <phoneticPr fontId="1" type="noConversion"/>
  </si>
  <si>
    <t>nanoparticles(larger)</t>
    <phoneticPr fontId="1" type="noConversion"/>
  </si>
  <si>
    <t>electrooxides (25℃,20h)</t>
    <phoneticPr fontId="1" type="noConversion"/>
  </si>
  <si>
    <t>electrooxides (25℃,3h)</t>
    <phoneticPr fontId="1" type="noConversion"/>
  </si>
  <si>
    <t>10.1002/aenm.202002464</t>
    <phoneticPr fontId="1" type="noConversion"/>
  </si>
  <si>
    <t>Ni foam</t>
    <phoneticPr fontId="1" type="noConversion"/>
  </si>
  <si>
    <t>(Co,Fe)OOH</t>
    <phoneticPr fontId="1" type="noConversion"/>
  </si>
  <si>
    <t>carbon support (acetylene black (AB)</t>
    <phoneticPr fontId="1" type="noConversion"/>
  </si>
  <si>
    <t>4 M KOH</t>
    <phoneticPr fontId="1" type="noConversion"/>
  </si>
  <si>
    <t>10.1021/acsaem.0c00159</t>
    <phoneticPr fontId="1" type="noConversion"/>
  </si>
  <si>
    <t xml:space="preserve"> carbon paper</t>
    <phoneticPr fontId="1" type="noConversion"/>
  </si>
  <si>
    <t>electrodeposition(25℃,4weeks）</t>
    <phoneticPr fontId="1" type="noConversion"/>
  </si>
  <si>
    <t>chemical bath deposition method (100℃,5 s)</t>
    <phoneticPr fontId="1" type="noConversion"/>
  </si>
  <si>
    <t>FeOOH/Co4N/SSM</t>
    <phoneticPr fontId="1" type="noConversion"/>
  </si>
  <si>
    <t>nanoflakes</t>
    <phoneticPr fontId="1" type="noConversion"/>
  </si>
  <si>
    <t>10.1039/d2ta04688a</t>
    <phoneticPr fontId="1" type="noConversion"/>
  </si>
  <si>
    <t>β-NiFeOOH/NF</t>
    <phoneticPr fontId="1" type="noConversion"/>
  </si>
  <si>
    <t>nanosheets(porous network structure composed of intersected nanosheets)</t>
    <phoneticPr fontId="1" type="noConversion"/>
  </si>
  <si>
    <t>β-NiOOH/NF</t>
    <phoneticPr fontId="1" type="noConversion"/>
  </si>
  <si>
    <t>γ-NiFeOOH/NF</t>
    <phoneticPr fontId="1" type="noConversion"/>
  </si>
  <si>
    <t>γ-NiOOH/NF</t>
    <phoneticPr fontId="1" type="noConversion"/>
  </si>
  <si>
    <t xml:space="preserve">electrodeposition(25℃,60 min) </t>
    <phoneticPr fontId="1" type="noConversion"/>
  </si>
  <si>
    <t>γ（polycrystalline）</t>
    <phoneticPr fontId="1" type="noConversion"/>
  </si>
  <si>
    <t>10.1039/c7ta03582a</t>
    <phoneticPr fontId="1" type="noConversion"/>
  </si>
  <si>
    <t>nanoprisms</t>
    <phoneticPr fontId="1" type="noConversion"/>
  </si>
  <si>
    <t>Ni-β-FeOOH</t>
    <phoneticPr fontId="1" type="noConversion"/>
  </si>
  <si>
    <t xml:space="preserve"> 10.1039/c6ra16450a</t>
    <phoneticPr fontId="1" type="noConversion"/>
  </si>
  <si>
    <t>NiCoOOH-5</t>
    <phoneticPr fontId="1" type="noConversion"/>
  </si>
  <si>
    <t>NiFeOOH-5</t>
    <phoneticPr fontId="1" type="noConversion"/>
  </si>
  <si>
    <t>NiFeOOH-7</t>
    <phoneticPr fontId="1" type="noConversion"/>
  </si>
  <si>
    <t>NiFeOOH/CNT-47%</t>
    <phoneticPr fontId="1" type="noConversion"/>
  </si>
  <si>
    <t>10.1021/acssuschemeng.6b02788</t>
    <phoneticPr fontId="1" type="noConversion"/>
  </si>
  <si>
    <t>α-NiOOH</t>
    <phoneticPr fontId="1" type="noConversion"/>
  </si>
  <si>
    <t>nanosheets(porous、vertically aligned）</t>
    <phoneticPr fontId="1" type="noConversion"/>
  </si>
  <si>
    <t>NiOxHy</t>
    <phoneticPr fontId="1" type="noConversion"/>
  </si>
  <si>
    <t>Ni0.9Fe0.1OxHy</t>
    <phoneticPr fontId="1" type="noConversion"/>
  </si>
  <si>
    <t>Ni0.8Fe0.2OxHy</t>
    <phoneticPr fontId="1" type="noConversion"/>
  </si>
  <si>
    <t>Ni0.7Fe0.3OxHy</t>
    <phoneticPr fontId="1" type="noConversion"/>
  </si>
  <si>
    <t>Ni0.9Co0.1OxHy</t>
    <phoneticPr fontId="1" type="noConversion"/>
  </si>
  <si>
    <t>Ni0.8Co0.2OxHy</t>
    <phoneticPr fontId="1" type="noConversion"/>
  </si>
  <si>
    <t>Ni0.7Co0.2Fe0.1OxHy</t>
    <phoneticPr fontId="1" type="noConversion"/>
  </si>
  <si>
    <t>Ni0.6Co0.2Fe0.2OxHy</t>
    <phoneticPr fontId="1" type="noConversion"/>
  </si>
  <si>
    <t>Ni0.5Co0.2Fe0.3OxHy</t>
    <phoneticPr fontId="1" type="noConversion"/>
  </si>
  <si>
    <t>Ni0.7Co0.3OxHy</t>
    <phoneticPr fontId="1" type="noConversion"/>
  </si>
  <si>
    <t>Ni0.6Co0.3Fe0.1OxHy</t>
    <phoneticPr fontId="1" type="noConversion"/>
  </si>
  <si>
    <t>Ni0.5Co0.3Fe0.2OxHy</t>
    <phoneticPr fontId="1" type="noConversion"/>
  </si>
  <si>
    <t>Ni0.4Co0.3Fe0.3OxHy</t>
    <phoneticPr fontId="1" type="noConversion"/>
  </si>
  <si>
    <t>electrodeposition(25℃)</t>
  </si>
  <si>
    <t>10.1021/acscatal.8b01567</t>
    <phoneticPr fontId="1" type="noConversion"/>
  </si>
  <si>
    <t>FeOOH/CC</t>
    <phoneticPr fontId="1" type="noConversion"/>
  </si>
  <si>
    <t>low crystalline</t>
    <phoneticPr fontId="1" type="noConversion"/>
  </si>
  <si>
    <t>10.1002/adfm.201802463</t>
    <phoneticPr fontId="1" type="noConversion"/>
  </si>
  <si>
    <t>calcination(350℃,2h）</t>
    <phoneticPr fontId="1" type="noConversion"/>
  </si>
  <si>
    <t>FeNi foam</t>
    <phoneticPr fontId="1" type="noConversion"/>
  </si>
  <si>
    <t>crystalline FeNi OOH</t>
    <phoneticPr fontId="1" type="noConversion"/>
  </si>
  <si>
    <t>FNF-0.1-300</t>
    <phoneticPr fontId="1" type="noConversion"/>
  </si>
  <si>
    <t>10.1002/cctc.201900718</t>
    <phoneticPr fontId="1" type="noConversion"/>
  </si>
  <si>
    <t>10.1021/acscatal.8b03489</t>
    <phoneticPr fontId="1" type="noConversion"/>
  </si>
  <si>
    <t>FeOOH2 nm/LDH</t>
    <phoneticPr fontId="1" type="noConversion"/>
  </si>
  <si>
    <t>10.1021/acsaem.9b00265</t>
    <phoneticPr fontId="1" type="noConversion"/>
  </si>
  <si>
    <t>Ni-Al-OOH</t>
    <phoneticPr fontId="1" type="noConversion"/>
  </si>
  <si>
    <t>γ（low crystalline）</t>
    <phoneticPr fontId="1" type="noConversion"/>
  </si>
  <si>
    <t>Ni-OOH</t>
    <phoneticPr fontId="1" type="noConversion"/>
  </si>
  <si>
    <t>AN-CuNiFe</t>
    <phoneticPr fontId="1" type="noConversion"/>
  </si>
  <si>
    <t>nanocages</t>
    <phoneticPr fontId="1" type="noConversion"/>
  </si>
  <si>
    <t>photocorrosion(25℃,320s)</t>
    <phoneticPr fontId="1" type="noConversion"/>
  </si>
  <si>
    <t>doi.org/10.1002/anie.201812601</t>
    <phoneticPr fontId="1" type="noConversion"/>
  </si>
  <si>
    <t>10.1021/acssuschemeng.8b06386</t>
    <phoneticPr fontId="1" type="noConversion"/>
  </si>
  <si>
    <t>ASF</t>
    <phoneticPr fontId="1" type="noConversion"/>
  </si>
  <si>
    <t xml:space="preserve">stainless steel </t>
    <phoneticPr fontId="1" type="noConversion"/>
  </si>
  <si>
    <t>stainless steel</t>
    <phoneticPr fontId="1" type="noConversion"/>
  </si>
  <si>
    <t>α（polycrystalline)</t>
    <phoneticPr fontId="1" type="noConversion"/>
  </si>
  <si>
    <t>alkali etching oxidation(25℃，24h)</t>
    <phoneticPr fontId="1" type="noConversion"/>
  </si>
  <si>
    <t>10.1016/j.jallcom.2019.01.324</t>
    <phoneticPr fontId="1" type="noConversion"/>
  </si>
  <si>
    <t xml:space="preserve"> Successive Ionic Layer Deposition （25℃，30min）</t>
    <phoneticPr fontId="1" type="noConversion"/>
  </si>
  <si>
    <t>NiCo2O4@FeOOH</t>
    <phoneticPr fontId="1" type="noConversion"/>
  </si>
  <si>
    <t>NiCo2O4</t>
    <phoneticPr fontId="1" type="noConversion"/>
  </si>
  <si>
    <t>nanowires</t>
    <phoneticPr fontId="1" type="noConversion"/>
  </si>
  <si>
    <t>electrodeposition(25℃，500s）</t>
    <phoneticPr fontId="1" type="noConversion"/>
  </si>
  <si>
    <t>10.1002/cctc.201800606</t>
    <phoneticPr fontId="1" type="noConversion"/>
  </si>
  <si>
    <t>doi.org/10.1016/j.jcis.2018.06.073</t>
    <phoneticPr fontId="1" type="noConversion"/>
  </si>
  <si>
    <t>CoFeP</t>
    <phoneticPr fontId="1" type="noConversion"/>
  </si>
  <si>
    <t>P</t>
    <phoneticPr fontId="1" type="noConversion"/>
  </si>
  <si>
    <t>co-reduction(25℃）</t>
    <phoneticPr fontId="1" type="noConversion"/>
  </si>
  <si>
    <t>CoP</t>
    <phoneticPr fontId="1" type="noConversion"/>
  </si>
  <si>
    <t>FeP</t>
    <phoneticPr fontId="1" type="noConversion"/>
  </si>
  <si>
    <t>CoFe</t>
    <phoneticPr fontId="1" type="noConversion"/>
  </si>
  <si>
    <t>S-NiFeOOH</t>
    <phoneticPr fontId="1" type="noConversion"/>
  </si>
  <si>
    <t>NiFeOOH</t>
    <phoneticPr fontId="1" type="noConversion"/>
  </si>
  <si>
    <t>S</t>
    <phoneticPr fontId="1" type="noConversion"/>
  </si>
  <si>
    <t>10.1016/j.jechem.2021.04.067</t>
    <phoneticPr fontId="1" type="noConversion"/>
  </si>
  <si>
    <t>Co0.7Fe0.3P/CNTs</t>
    <phoneticPr fontId="1" type="noConversion"/>
  </si>
  <si>
    <t>1 M PBS(pH=6.8)</t>
    <phoneticPr fontId="1" type="noConversion"/>
  </si>
  <si>
    <t>electroxide(25℃, 13000s)</t>
    <phoneticPr fontId="1" type="noConversion"/>
  </si>
  <si>
    <t>Co0.7Fe0.3OOH/CNTs</t>
    <phoneticPr fontId="1" type="noConversion"/>
  </si>
  <si>
    <t>10.1002/adfm.201606635</t>
    <phoneticPr fontId="1" type="noConversion"/>
  </si>
  <si>
    <t>Se</t>
    <phoneticPr fontId="1" type="noConversion"/>
  </si>
  <si>
    <t>10.1021/jacs.9b01214</t>
    <phoneticPr fontId="1" type="noConversion"/>
  </si>
  <si>
    <t>FeOOH(Se)/IF</t>
    <phoneticPr fontId="1" type="noConversion"/>
  </si>
  <si>
    <t>electroxide(25℃, 4h)</t>
    <phoneticPr fontId="1" type="noConversion"/>
  </si>
  <si>
    <t>Fe Foam</t>
    <phoneticPr fontId="1" type="noConversion"/>
  </si>
  <si>
    <t>hydrothermal(120℃，12h)</t>
    <phoneticPr fontId="1" type="noConversion"/>
  </si>
  <si>
    <t>Se-FeOOH/CC</t>
    <phoneticPr fontId="1" type="noConversion"/>
  </si>
  <si>
    <t>(150℃，10 min)</t>
    <phoneticPr fontId="1" type="noConversion"/>
  </si>
  <si>
    <t>FeNiOOH(Se)/IF</t>
    <phoneticPr fontId="1" type="noConversion"/>
  </si>
  <si>
    <t>alkaline hydrolysis (90℃,24h)</t>
    <phoneticPr fontId="1" type="noConversion"/>
  </si>
  <si>
    <t>10.1016/j.jiec.2017.09.013</t>
    <phoneticPr fontId="1" type="noConversion"/>
  </si>
  <si>
    <t>10.1021/acsenergylett.8b00696</t>
    <phoneticPr fontId="1" type="noConversion"/>
  </si>
  <si>
    <t>r-NiFe/NF</t>
    <phoneticPr fontId="1" type="noConversion"/>
  </si>
  <si>
    <t>NiFe/NF</t>
    <phoneticPr fontId="1" type="noConversion"/>
  </si>
  <si>
    <t>NaBH4 reduction (25 ℃, 20 min)</t>
    <phoneticPr fontId="1" type="noConversion"/>
  </si>
  <si>
    <t>electrodeposition(10℃)</t>
    <phoneticPr fontId="1" type="noConversion"/>
  </si>
  <si>
    <t>r-NiFe/GC</t>
    <phoneticPr fontId="1" type="noConversion"/>
  </si>
  <si>
    <t>FeOOH/NF</t>
    <phoneticPr fontId="1" type="noConversion"/>
  </si>
  <si>
    <t>Fe-OH/NF-100</t>
    <phoneticPr fontId="1" type="noConversion"/>
  </si>
  <si>
    <t>Fe-OH/NF-200</t>
    <phoneticPr fontId="1" type="noConversion"/>
  </si>
  <si>
    <t>Fe-OH/NF-300</t>
    <phoneticPr fontId="1" type="noConversion"/>
  </si>
  <si>
    <t>Fe-OH/NF-400</t>
    <phoneticPr fontId="1" type="noConversion"/>
  </si>
  <si>
    <t>electrodeposition(25℃,15 min)</t>
    <phoneticPr fontId="1" type="noConversion"/>
  </si>
  <si>
    <t>calcination(100℃,2h）</t>
    <phoneticPr fontId="1" type="noConversion"/>
  </si>
  <si>
    <t>calcination(200℃,2h）</t>
    <phoneticPr fontId="1" type="noConversion"/>
  </si>
  <si>
    <t>calcination(300℃,2h）</t>
    <phoneticPr fontId="1" type="noConversion"/>
  </si>
  <si>
    <t>10.1016/j.jechem.2017.04.012</t>
    <phoneticPr fontId="1" type="noConversion"/>
  </si>
  <si>
    <t>FexNi1-XO</t>
    <phoneticPr fontId="1" type="noConversion"/>
  </si>
  <si>
    <t>electroxide(25℃）</t>
    <phoneticPr fontId="1" type="noConversion"/>
  </si>
  <si>
    <t>10.1021/acsnano.5b00520</t>
    <phoneticPr fontId="1" type="noConversion"/>
  </si>
  <si>
    <t>NiO</t>
    <phoneticPr fontId="1" type="noConversion"/>
  </si>
  <si>
    <t>10.1002/adfm.201303600</t>
  </si>
  <si>
    <t>derived from</t>
    <phoneticPr fontId="1" type="noConversion"/>
  </si>
  <si>
    <t>oxides/hydroxides</t>
    <phoneticPr fontId="1" type="noConversion"/>
  </si>
  <si>
    <t>nanodots (very small nanoparticles)</t>
    <phoneticPr fontId="1" type="noConversion"/>
  </si>
  <si>
    <t>10.1021/acs.chemmater.0c01067</t>
    <phoneticPr fontId="1" type="noConversion"/>
  </si>
  <si>
    <t>CoFeCr</t>
    <phoneticPr fontId="1" type="noConversion"/>
  </si>
  <si>
    <t>h-NiFeCr</t>
    <phoneticPr fontId="1" type="noConversion"/>
  </si>
  <si>
    <t>LDHs</t>
    <phoneticPr fontId="1" type="noConversion"/>
  </si>
  <si>
    <t>10.1021/acsami.7b12629</t>
  </si>
  <si>
    <t>10.1016/j.jpowsour.2018.09.063</t>
    <phoneticPr fontId="1" type="noConversion"/>
  </si>
  <si>
    <t xml:space="preserve"> FeOOH@Ni(OH)2</t>
    <phoneticPr fontId="1" type="noConversion"/>
  </si>
  <si>
    <t>Ni(OH)2</t>
    <phoneticPr fontId="1" type="noConversion"/>
  </si>
  <si>
    <t>MOF(MIL-53(Fe))</t>
    <phoneticPr fontId="1" type="noConversion"/>
  </si>
  <si>
    <t>hydrothermal (100℃,24h)</t>
    <phoneticPr fontId="1" type="noConversion"/>
  </si>
  <si>
    <t>j.electacta.2019.01.157</t>
    <phoneticPr fontId="1" type="noConversion"/>
  </si>
  <si>
    <t>oxyhydroxide</t>
    <phoneticPr fontId="1" type="noConversion"/>
  </si>
  <si>
    <t>direct synthesis</t>
    <phoneticPr fontId="1" type="noConversion"/>
  </si>
  <si>
    <t>nanoclusters</t>
    <phoneticPr fontId="1" type="noConversion"/>
  </si>
  <si>
    <t>Ni-OH/C</t>
    <phoneticPr fontId="1" type="noConversion"/>
  </si>
  <si>
    <t>Fe-OH/C</t>
    <phoneticPr fontId="1" type="noConversion"/>
  </si>
  <si>
    <t>boride</t>
    <phoneticPr fontId="1" type="noConversion"/>
  </si>
  <si>
    <t>chemical oxide (25℃,4h)</t>
    <phoneticPr fontId="1" type="noConversion"/>
  </si>
  <si>
    <t>chemical oxide (25℃)</t>
    <phoneticPr fontId="1" type="noConversion"/>
  </si>
  <si>
    <t>δ (crystallinity)</t>
  </si>
  <si>
    <t>δ (crystallinity)</t>
    <phoneticPr fontId="1" type="noConversion"/>
  </si>
  <si>
    <t>chemical oxide(25℃,12h)</t>
    <phoneticPr fontId="1" type="noConversion"/>
  </si>
  <si>
    <t>γ（amorphous）</t>
    <phoneticPr fontId="1" type="noConversion"/>
  </si>
  <si>
    <t>γ（crystalline）</t>
    <phoneticPr fontId="1" type="noConversion"/>
  </si>
  <si>
    <t xml:space="preserve"> chemical oxide(25℃,14h)</t>
    <phoneticPr fontId="1" type="noConversion"/>
  </si>
  <si>
    <t>Fe-CoOOH</t>
    <phoneticPr fontId="1" type="noConversion"/>
  </si>
  <si>
    <t>electrodeposition(25℃，2min)</t>
    <phoneticPr fontId="1" type="noConversion"/>
  </si>
  <si>
    <t>α（amorphous/crystalline）</t>
    <phoneticPr fontId="1" type="noConversion"/>
  </si>
  <si>
    <t>hydrothermal (150℃,15h）</t>
    <phoneticPr fontId="1" type="noConversion"/>
  </si>
  <si>
    <t>W0.5Co0.4Fe0.1/NF</t>
    <phoneticPr fontId="1" type="noConversion"/>
  </si>
  <si>
    <t>W0.5Co0.3Fe0.2/NF</t>
    <phoneticPr fontId="1" type="noConversion"/>
  </si>
  <si>
    <t>Ni Foam</t>
  </si>
  <si>
    <t>W0.5Co0.4Fe0.1/CNTs</t>
    <phoneticPr fontId="1" type="noConversion"/>
  </si>
  <si>
    <t>nanosheet rough</t>
    <phoneticPr fontId="1" type="noConversion"/>
  </si>
  <si>
    <t>electrooxides (25℃）</t>
    <phoneticPr fontId="1" type="noConversion"/>
  </si>
  <si>
    <t>electrodeposition(25℃，20min)</t>
    <phoneticPr fontId="1" type="noConversion"/>
  </si>
  <si>
    <t>FeOxHy</t>
    <phoneticPr fontId="1" type="noConversion"/>
  </si>
  <si>
    <t>electrooxides(25℃，400s）</t>
    <phoneticPr fontId="1" type="noConversion"/>
  </si>
  <si>
    <t>electrooxides(25℃，30 min）</t>
    <phoneticPr fontId="1" type="noConversion"/>
  </si>
  <si>
    <t>electrooxides(25℃）</t>
    <phoneticPr fontId="1" type="noConversion"/>
  </si>
  <si>
    <t>ZIF-67(MOF）</t>
    <phoneticPr fontId="1" type="noConversion"/>
  </si>
  <si>
    <t xml:space="preserve"> ZnCo MOF</t>
    <phoneticPr fontId="1" type="noConversion"/>
  </si>
  <si>
    <t>β(crystalline)</t>
    <phoneticPr fontId="1" type="noConversion"/>
  </si>
  <si>
    <t>Zn0.1Co0.9OOH</t>
    <phoneticPr fontId="1" type="noConversion"/>
  </si>
  <si>
    <t>Zn0.3Co0.7OOH</t>
    <phoneticPr fontId="1" type="noConversion"/>
  </si>
  <si>
    <t>hydrothermal(80℃,21h)</t>
    <phoneticPr fontId="1" type="noConversion"/>
  </si>
  <si>
    <t>Co0.77Fe0.23OOH</t>
    <phoneticPr fontId="1" type="noConversion"/>
  </si>
  <si>
    <t>Co0.23Fe0.77OOH</t>
    <phoneticPr fontId="1" type="noConversion"/>
  </si>
  <si>
    <t>FeOOH1</t>
    <phoneticPr fontId="1" type="noConversion"/>
  </si>
  <si>
    <t>FeOOH2</t>
  </si>
  <si>
    <t>FeOOH3</t>
  </si>
  <si>
    <t>electrodeposition(25℃,400s)</t>
    <phoneticPr fontId="1" type="noConversion"/>
  </si>
  <si>
    <t>electrodeposition(50℃,10min)</t>
    <phoneticPr fontId="1" type="noConversion"/>
  </si>
  <si>
    <t>FeOOH NTAs-NF</t>
  </si>
  <si>
    <t>electrodeposition（25℃）</t>
    <phoneticPr fontId="1" type="noConversion"/>
  </si>
  <si>
    <t>FeOOH NTAs-NF</t>
    <phoneticPr fontId="1" type="noConversion"/>
  </si>
  <si>
    <t>electrodeposition（30℃,10min)</t>
    <phoneticPr fontId="1" type="noConversion"/>
  </si>
  <si>
    <t>Fe-MOF-EH</t>
    <phoneticPr fontId="1" type="noConversion"/>
  </si>
  <si>
    <t>FeCo MOF</t>
    <phoneticPr fontId="1" type="noConversion"/>
  </si>
  <si>
    <t>Fe MOF</t>
    <phoneticPr fontId="1" type="noConversion"/>
  </si>
  <si>
    <t>electric-field assisted hydrolysis (25℃,20s)</t>
    <phoneticPr fontId="1" type="noConversion"/>
  </si>
  <si>
    <t>electric-field assisted hydrolysis (25℃)</t>
    <phoneticPr fontId="1" type="noConversion"/>
  </si>
  <si>
    <t>electrodeposition (25℃,900s)</t>
    <phoneticPr fontId="1" type="noConversion"/>
  </si>
  <si>
    <t xml:space="preserve"> </t>
    <phoneticPr fontId="1" type="noConversion"/>
  </si>
  <si>
    <t>chemical oxides (25℃，0.167h）</t>
    <phoneticPr fontId="1" type="noConversion"/>
  </si>
  <si>
    <t>NiOOH/NGF</t>
    <phoneticPr fontId="1" type="noConversion"/>
  </si>
  <si>
    <t>FeOOH/NGF</t>
    <phoneticPr fontId="1" type="noConversion"/>
  </si>
  <si>
    <t>Ni:FeOOH/NGF</t>
    <phoneticPr fontId="1" type="noConversion"/>
  </si>
  <si>
    <t>Ni:FeOOH/NF</t>
    <phoneticPr fontId="1" type="noConversion"/>
  </si>
  <si>
    <t>γ（poorly crystalline)</t>
    <phoneticPr fontId="1" type="noConversion"/>
  </si>
  <si>
    <t>hydrolysis in 6 M KOH(25℃，24h)</t>
    <phoneticPr fontId="1" type="noConversion"/>
  </si>
  <si>
    <t>γ-FeOOH/NF-1M</t>
    <phoneticPr fontId="1" type="noConversion"/>
  </si>
  <si>
    <t>γ-FeOOH/NF-2M</t>
    <phoneticPr fontId="1" type="noConversion"/>
  </si>
  <si>
    <t>γ-FeOOH/NF-4M</t>
    <phoneticPr fontId="1" type="noConversion"/>
  </si>
  <si>
    <t>γ-FeOOH/NF-8M</t>
    <phoneticPr fontId="1" type="noConversion"/>
  </si>
  <si>
    <t>γ-FeOOH/NF-10M</t>
    <phoneticPr fontId="1" type="noConversion"/>
  </si>
  <si>
    <t>γ-FeOOH/NF-12M</t>
    <phoneticPr fontId="1" type="noConversion"/>
  </si>
  <si>
    <t>electrodeposition（25℃，2h）</t>
    <phoneticPr fontId="1" type="noConversion"/>
  </si>
  <si>
    <t>chemical oxide (95℃）</t>
    <phoneticPr fontId="1" type="noConversion"/>
  </si>
  <si>
    <t>hydrothermal (170℃,12h)</t>
    <phoneticPr fontId="1" type="noConversion"/>
  </si>
  <si>
    <t>hydrothermal (80℃,12h)</t>
    <phoneticPr fontId="1" type="noConversion"/>
  </si>
  <si>
    <t>electrooxides（20℃，250s)</t>
    <phoneticPr fontId="1" type="noConversion"/>
  </si>
  <si>
    <t>fluoride</t>
    <phoneticPr fontId="1" type="noConversion"/>
  </si>
  <si>
    <t>electrodeposition（25℃，10h）</t>
    <phoneticPr fontId="1" type="noConversion"/>
  </si>
  <si>
    <t>NaxCoFe(CN)6</t>
    <phoneticPr fontId="1" type="noConversion"/>
  </si>
  <si>
    <t>chemical oxide(50℃,4h)</t>
    <phoneticPr fontId="1" type="noConversion"/>
  </si>
  <si>
    <t>chemical oxide（25℃,6h)</t>
    <phoneticPr fontId="1" type="noConversion"/>
  </si>
  <si>
    <t>CoFe-glycol</t>
    <phoneticPr fontId="1" type="noConversion"/>
  </si>
  <si>
    <t>Co-glycol</t>
    <phoneticPr fontId="1" type="noConversion"/>
  </si>
  <si>
    <t>electrodeposition(25℃,2h)</t>
    <phoneticPr fontId="1" type="noConversion"/>
  </si>
  <si>
    <t>Co0.75Fe02.5OOH</t>
    <phoneticPr fontId="1" type="noConversion"/>
  </si>
  <si>
    <t>Co0.25Fe0.75OOH</t>
    <phoneticPr fontId="1" type="noConversion"/>
  </si>
  <si>
    <t>CC@FeOOH-NWAs</t>
    <phoneticPr fontId="1" type="noConversion"/>
  </si>
  <si>
    <t>CC@CoO@FeOOH-NWAs100</t>
    <phoneticPr fontId="1" type="noConversion"/>
  </si>
  <si>
    <t>CC@CoO@FeOOH-NWAs50</t>
    <phoneticPr fontId="1" type="noConversion"/>
  </si>
  <si>
    <t>CC@CoO@FeOOH-NWAs200</t>
    <phoneticPr fontId="1" type="noConversion"/>
  </si>
  <si>
    <t xml:space="preserve">electrodeposition(80℃,50 s) </t>
    <phoneticPr fontId="1" type="noConversion"/>
  </si>
  <si>
    <t xml:space="preserve">electrodeposition(80℃,200 s) </t>
    <phoneticPr fontId="1" type="noConversion"/>
  </si>
  <si>
    <t>none</t>
    <phoneticPr fontId="1" type="noConversion"/>
  </si>
  <si>
    <t>α（amorphous）</t>
    <phoneticPr fontId="1" type="noConversion"/>
  </si>
  <si>
    <t xml:space="preserve">electrodeposition(25℃，380s) </t>
    <phoneticPr fontId="1" type="noConversion"/>
  </si>
  <si>
    <t>calcination(170℃,5 min）</t>
    <phoneticPr fontId="1" type="noConversion"/>
  </si>
  <si>
    <t>calcination(250℃,5 min）</t>
    <phoneticPr fontId="1" type="noConversion"/>
  </si>
  <si>
    <t>calcination(300℃,5 min）</t>
    <phoneticPr fontId="1" type="noConversion"/>
  </si>
  <si>
    <t>precipitation (25℃,7h)</t>
    <phoneticPr fontId="1" type="noConversion"/>
  </si>
  <si>
    <t>Fe-9C</t>
    <phoneticPr fontId="1" type="noConversion"/>
  </si>
  <si>
    <t>Fe-400-1C</t>
    <phoneticPr fontId="1" type="noConversion"/>
  </si>
  <si>
    <t>Fe-400-5C</t>
    <phoneticPr fontId="1" type="noConversion"/>
  </si>
  <si>
    <t>Fe-400-7C</t>
    <phoneticPr fontId="1" type="noConversion"/>
  </si>
  <si>
    <t>Fe-400-10C</t>
    <phoneticPr fontId="1" type="noConversion"/>
  </si>
  <si>
    <t>Fe-400-20C</t>
    <phoneticPr fontId="1" type="noConversion"/>
  </si>
  <si>
    <t>electrodeposition (25℃,40 s)</t>
    <phoneticPr fontId="1" type="noConversion"/>
  </si>
  <si>
    <t>electrodeposition (25℃,200 s)</t>
    <phoneticPr fontId="1" type="noConversion"/>
  </si>
  <si>
    <t>electrodeposition (25℃,280 s)</t>
    <phoneticPr fontId="1" type="noConversion"/>
  </si>
  <si>
    <t>electrodeposition (25℃,800 s)</t>
    <phoneticPr fontId="1" type="noConversion"/>
  </si>
  <si>
    <t>Intermetallic FeSn2</t>
    <phoneticPr fontId="1" type="noConversion"/>
  </si>
  <si>
    <t>chemical oxide(45℃,18h)</t>
    <phoneticPr fontId="1" type="noConversion"/>
  </si>
  <si>
    <t>electrooxides (25℃,24h)</t>
    <phoneticPr fontId="1" type="noConversion"/>
  </si>
  <si>
    <t>β-NiFeOOH(Cl)(1.2at%)</t>
    <phoneticPr fontId="1" type="noConversion"/>
  </si>
  <si>
    <t>β-NiFeOOH(Cl)(0.4at%)</t>
    <phoneticPr fontId="1" type="noConversion"/>
  </si>
  <si>
    <t>β-NiFeOOH(Cl)(0.9at%)</t>
    <phoneticPr fontId="1" type="noConversion"/>
  </si>
  <si>
    <t>β-NiFeOOH(Cl)(2.9at%)</t>
    <phoneticPr fontId="1" type="noConversion"/>
  </si>
  <si>
    <t>VOOH</t>
    <phoneticPr fontId="1" type="noConversion"/>
  </si>
  <si>
    <t>β（crystalline)</t>
    <phoneticPr fontId="1" type="noConversion"/>
  </si>
  <si>
    <t>chalcogenide</t>
    <phoneticPr fontId="1" type="noConversion"/>
  </si>
  <si>
    <t>hydrothermal(25℃,12h)</t>
    <phoneticPr fontId="1" type="noConversion"/>
  </si>
  <si>
    <t>electrooxides(25℃,1.1h）</t>
    <phoneticPr fontId="1" type="noConversion"/>
  </si>
  <si>
    <t xml:space="preserve"> phosphate</t>
    <phoneticPr fontId="1" type="noConversion"/>
  </si>
  <si>
    <t xml:space="preserve">e-NiFeOxHy </t>
    <phoneticPr fontId="1" type="noConversion"/>
  </si>
  <si>
    <t>pH=13.6</t>
    <phoneticPr fontId="1" type="noConversion"/>
  </si>
  <si>
    <t>pH=13.2</t>
    <phoneticPr fontId="1" type="noConversion"/>
  </si>
  <si>
    <t>pH=13</t>
    <phoneticPr fontId="1" type="noConversion"/>
  </si>
  <si>
    <t>electrodeposition(25℃)</t>
    <phoneticPr fontId="1" type="noConversion"/>
  </si>
  <si>
    <t>CoVFeN@NF</t>
  </si>
  <si>
    <t>nitrides</t>
    <phoneticPr fontId="1" type="noConversion"/>
  </si>
  <si>
    <t>Brownmillerite-type Ca2FeCoO5 (CFCO)；oxides/hydroxides</t>
    <phoneticPr fontId="1" type="noConversion"/>
  </si>
  <si>
    <t>metal</t>
    <phoneticPr fontId="1" type="noConversion"/>
  </si>
  <si>
    <t>Ni-γ-FeOOH</t>
    <phoneticPr fontId="1" type="noConversion"/>
  </si>
  <si>
    <t>hydrothermal(100℃，1h)</t>
    <phoneticPr fontId="1" type="noConversion"/>
  </si>
  <si>
    <t>Chemical Oxides (25℃，10min）</t>
    <phoneticPr fontId="1" type="noConversion"/>
  </si>
  <si>
    <t>NiCrOOH-8</t>
    <phoneticPr fontId="1" type="noConversion"/>
  </si>
  <si>
    <t>NiFeOOH-3</t>
    <phoneticPr fontId="1" type="noConversion"/>
  </si>
  <si>
    <t>NiFeOOH/CNT-24%</t>
    <phoneticPr fontId="1" type="noConversion"/>
  </si>
  <si>
    <t>NiFeOOH/CNT-57%</t>
    <phoneticPr fontId="1" type="noConversion"/>
  </si>
  <si>
    <t>Chemical Oxides(30℃,24h)</t>
    <phoneticPr fontId="1" type="noConversion"/>
  </si>
  <si>
    <t>Ni2Cl(OH)3</t>
    <phoneticPr fontId="1" type="noConversion"/>
  </si>
  <si>
    <t>chemical oxide(70℃,1h)</t>
    <phoneticPr fontId="1" type="noConversion"/>
  </si>
  <si>
    <t>chemical oxide(150℃,12h)</t>
    <phoneticPr fontId="1" type="noConversion"/>
  </si>
  <si>
    <t>Ni0.8Co0.1Fe0.1OxHy</t>
    <phoneticPr fontId="1" type="noConversion"/>
  </si>
  <si>
    <t>Ni0.7Co0.1Fe0.2OxHy</t>
    <phoneticPr fontId="1" type="noConversion"/>
  </si>
  <si>
    <t>Ni0.6Co0.1Fe0.3OxHy</t>
    <phoneticPr fontId="1" type="noConversion"/>
  </si>
  <si>
    <t>calcination (300℃,5min)</t>
    <phoneticPr fontId="1" type="noConversion"/>
  </si>
  <si>
    <t>FNF-0.05</t>
    <phoneticPr fontId="1" type="noConversion"/>
  </si>
  <si>
    <t>FNF-0.1</t>
    <phoneticPr fontId="1" type="noConversion"/>
  </si>
  <si>
    <t>FNF-0.2</t>
    <phoneticPr fontId="1" type="noConversion"/>
  </si>
  <si>
    <t>FNF-0.1-400</t>
    <phoneticPr fontId="1" type="noConversion"/>
  </si>
  <si>
    <t>Chemical Oxides(25℃，24h)</t>
    <phoneticPr fontId="1" type="noConversion"/>
  </si>
  <si>
    <t>calcination (400℃,5min)</t>
    <phoneticPr fontId="1" type="noConversion"/>
  </si>
  <si>
    <t>hydrothermal(120℃,6h)</t>
    <phoneticPr fontId="1" type="noConversion"/>
  </si>
  <si>
    <t>FeOOH18 nm/LDH</t>
    <phoneticPr fontId="1" type="noConversion"/>
  </si>
  <si>
    <t>electro Oxides(25℃，20h)</t>
    <phoneticPr fontId="1" type="noConversion"/>
  </si>
  <si>
    <t>electrodeposition(25℃，50s）</t>
    <phoneticPr fontId="1" type="noConversion"/>
  </si>
  <si>
    <t>electrodeposition(25℃，100s）</t>
    <phoneticPr fontId="1" type="noConversion"/>
  </si>
  <si>
    <t>electrodeposition(25℃，200s）</t>
    <phoneticPr fontId="1" type="noConversion"/>
  </si>
  <si>
    <t>electrodeposition(25℃，300s）</t>
    <phoneticPr fontId="1" type="noConversion"/>
  </si>
  <si>
    <t>electrodeposition(25℃，1000s）</t>
    <phoneticPr fontId="1" type="noConversion"/>
  </si>
  <si>
    <t xml:space="preserve"> corrosion(25℃，10h)</t>
    <phoneticPr fontId="1" type="noConversion"/>
  </si>
  <si>
    <t>hydrothermal(90℃，24h）</t>
    <phoneticPr fontId="1" type="noConversion"/>
  </si>
  <si>
    <t>phosphide</t>
  </si>
  <si>
    <t>CoP/CNTs</t>
    <phoneticPr fontId="1" type="noConversion"/>
  </si>
  <si>
    <t>Co0.5Fe0.5P/CNTs</t>
    <phoneticPr fontId="1" type="noConversion"/>
  </si>
  <si>
    <t>Co0.9Fe0.1P/CNTs</t>
    <phoneticPr fontId="1" type="noConversion"/>
  </si>
  <si>
    <t>Co0.8Fe0.2P/CNTs</t>
    <phoneticPr fontId="1" type="noConversion"/>
  </si>
  <si>
    <t>Co0.6Fe0.4P/CNTs</t>
    <phoneticPr fontId="1" type="noConversion"/>
  </si>
  <si>
    <t>FeSe</t>
  </si>
  <si>
    <t>NiFeSe</t>
    <phoneticPr fontId="1" type="noConversion"/>
  </si>
  <si>
    <t>iron alkoxide</t>
  </si>
  <si>
    <t>NiCr</t>
    <phoneticPr fontId="1" type="noConversion"/>
  </si>
  <si>
    <t>FeCr</t>
    <phoneticPr fontId="1" type="noConversion"/>
  </si>
  <si>
    <t>CoCr</t>
    <phoneticPr fontId="1" type="noConversion"/>
  </si>
  <si>
    <t>electroxide(25℃,300s）</t>
    <phoneticPr fontId="1" type="noConversion"/>
  </si>
  <si>
    <t>electroxide(25℃,900s）</t>
    <phoneticPr fontId="1" type="noConversion"/>
  </si>
  <si>
    <t>cation-exchange(80℃,2h)</t>
    <phoneticPr fontId="1" type="noConversion"/>
  </si>
  <si>
    <t xml:space="preserve">from amorphous to crystalline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</si>
</sst>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4" fillId="0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C@CoO@FeOOH-NWAs200" TargetMode="External"/><Relationship Id="rId13" Type="http://schemas.openxmlformats.org/officeDocument/2006/relationships/hyperlink" Target="mailto:NiCo2O4@FeOOH" TargetMode="External"/><Relationship Id="rId3" Type="http://schemas.openxmlformats.org/officeDocument/2006/relationships/hyperlink" Target="mailto:NiCo2O4@FeOOH" TargetMode="External"/><Relationship Id="rId7" Type="http://schemas.openxmlformats.org/officeDocument/2006/relationships/hyperlink" Target="mailto:CC@CoO@FeOOH-NWAs100" TargetMode="External"/><Relationship Id="rId12" Type="http://schemas.openxmlformats.org/officeDocument/2006/relationships/hyperlink" Target="mailto:NiCo2O4@FeOOH" TargetMode="External"/><Relationship Id="rId2" Type="http://schemas.openxmlformats.org/officeDocument/2006/relationships/hyperlink" Target="mailto:NiCo2O4@FeOOH" TargetMode="External"/><Relationship Id="rId1" Type="http://schemas.openxmlformats.org/officeDocument/2006/relationships/hyperlink" Target="mailto:CNTs@FeOOH/CC" TargetMode="External"/><Relationship Id="rId6" Type="http://schemas.openxmlformats.org/officeDocument/2006/relationships/hyperlink" Target="mailto:CC@CoO@FeOOH-NWAs50" TargetMode="External"/><Relationship Id="rId11" Type="http://schemas.openxmlformats.org/officeDocument/2006/relationships/hyperlink" Target="mailto:NiCo2O4@FeOOH" TargetMode="External"/><Relationship Id="rId5" Type="http://schemas.openxmlformats.org/officeDocument/2006/relationships/hyperlink" Target="mailto:CC@FeOOH-NWAs" TargetMode="External"/><Relationship Id="rId10" Type="http://schemas.openxmlformats.org/officeDocument/2006/relationships/hyperlink" Target="mailto:NiCo2O4@FeOOH" TargetMode="External"/><Relationship Id="rId4" Type="http://schemas.openxmlformats.org/officeDocument/2006/relationships/hyperlink" Target="mailto:NiCo2O4@FeOOH" TargetMode="External"/><Relationship Id="rId9" Type="http://schemas.openxmlformats.org/officeDocument/2006/relationships/hyperlink" Target="mailto:NiCo2O4@FeOOH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3"/>
  <sheetViews>
    <sheetView tabSelected="1" topLeftCell="P328" zoomScale="85" zoomScaleNormal="85" workbookViewId="0">
      <selection activeCell="AG1" sqref="AG1"/>
    </sheetView>
  </sheetViews>
  <sheetFormatPr defaultRowHeight="14" x14ac:dyDescent="0.3"/>
  <cols>
    <col min="1" max="1" width="31.25" style="1" customWidth="1"/>
    <col min="2" max="20" width="8.6640625" style="1"/>
    <col min="21" max="21" width="14.25" style="1" customWidth="1"/>
    <col min="22" max="22" width="55.08203125" style="1" customWidth="1"/>
    <col min="23" max="23" width="46.4140625" style="1" customWidth="1"/>
    <col min="24" max="24" width="17.75" style="1" customWidth="1"/>
    <col min="25" max="25" width="43.58203125" style="1" customWidth="1"/>
    <col min="26" max="26" width="16.1640625" style="1" customWidth="1"/>
    <col min="27" max="27" width="18.83203125" style="1" customWidth="1"/>
    <col min="28" max="29" width="31" style="1" customWidth="1"/>
    <col min="30" max="31" width="19.25" style="1" customWidth="1"/>
    <col min="32" max="32" width="57.4140625" style="1" customWidth="1"/>
    <col min="33" max="16384" width="8.6640625" style="1"/>
  </cols>
  <sheetData>
    <row r="1" spans="1:32" x14ac:dyDescent="0.3">
      <c r="A1" s="1" t="s">
        <v>11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108</v>
      </c>
      <c r="G1" s="1" t="s">
        <v>63</v>
      </c>
      <c r="H1" s="1" t="s">
        <v>387</v>
      </c>
      <c r="I1" s="1" t="s">
        <v>130</v>
      </c>
      <c r="J1" s="1" t="s">
        <v>137</v>
      </c>
      <c r="K1" s="1" t="s">
        <v>396</v>
      </c>
      <c r="L1" s="1" t="s">
        <v>152</v>
      </c>
      <c r="M1" s="1" t="s">
        <v>166</v>
      </c>
      <c r="N1" s="1" t="s">
        <v>215</v>
      </c>
      <c r="O1" s="1" t="s">
        <v>216</v>
      </c>
      <c r="P1" s="1" t="s">
        <v>217</v>
      </c>
      <c r="Q1" s="1" t="s">
        <v>218</v>
      </c>
      <c r="R1" s="1" t="s">
        <v>501</v>
      </c>
      <c r="S1" s="1" t="s">
        <v>508</v>
      </c>
      <c r="T1" s="1" t="s">
        <v>515</v>
      </c>
      <c r="U1" s="1" t="s">
        <v>2</v>
      </c>
      <c r="V1" s="1" t="s">
        <v>547</v>
      </c>
      <c r="W1" s="1" t="s">
        <v>9</v>
      </c>
      <c r="X1" s="1" t="s">
        <v>87</v>
      </c>
      <c r="Y1" s="1" t="s">
        <v>19</v>
      </c>
      <c r="Z1" s="1" t="s">
        <v>15</v>
      </c>
      <c r="AA1" s="1" t="s">
        <v>7</v>
      </c>
      <c r="AB1" s="1" t="s">
        <v>5</v>
      </c>
      <c r="AC1" s="1" t="s">
        <v>80</v>
      </c>
      <c r="AD1" s="1" t="s">
        <v>4</v>
      </c>
      <c r="AF1" s="1" t="s">
        <v>16</v>
      </c>
    </row>
    <row r="2" spans="1:32" x14ac:dyDescent="0.3">
      <c r="A2" s="1" t="s">
        <v>12</v>
      </c>
      <c r="B2" s="1">
        <v>0.5</v>
      </c>
      <c r="C2" s="1">
        <v>0.5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 t="s">
        <v>3</v>
      </c>
      <c r="V2" s="1" t="s">
        <v>562</v>
      </c>
      <c r="W2" s="1" t="s">
        <v>10</v>
      </c>
      <c r="X2" s="1" t="s">
        <v>18</v>
      </c>
      <c r="Y2" s="1" t="s">
        <v>563</v>
      </c>
      <c r="Z2" s="1">
        <v>32.61</v>
      </c>
      <c r="AA2" s="1" t="s">
        <v>8</v>
      </c>
      <c r="AB2" s="1" t="s">
        <v>6</v>
      </c>
      <c r="AC2" s="1">
        <v>10</v>
      </c>
      <c r="AD2" s="1">
        <v>269.55</v>
      </c>
      <c r="AF2" s="1" t="s">
        <v>17</v>
      </c>
    </row>
    <row r="3" spans="1:32" x14ac:dyDescent="0.3">
      <c r="A3" s="1" t="s">
        <v>13</v>
      </c>
      <c r="B3" s="1">
        <v>0.5</v>
      </c>
      <c r="C3" s="1">
        <v>0.5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 t="s">
        <v>3</v>
      </c>
      <c r="V3" s="1" t="s">
        <v>561</v>
      </c>
      <c r="W3" s="1" t="s">
        <v>41</v>
      </c>
      <c r="X3" s="1" t="s">
        <v>20</v>
      </c>
      <c r="Y3" s="1" t="s">
        <v>349</v>
      </c>
      <c r="Z3" s="1">
        <v>3.99</v>
      </c>
      <c r="AA3" s="1" t="s">
        <v>8</v>
      </c>
      <c r="AB3" s="1" t="s">
        <v>6</v>
      </c>
      <c r="AC3" s="1">
        <v>10</v>
      </c>
      <c r="AD3" s="1">
        <v>370.4</v>
      </c>
    </row>
    <row r="4" spans="1:32" x14ac:dyDescent="0.3">
      <c r="A4" s="1" t="s">
        <v>14</v>
      </c>
      <c r="B4" s="1">
        <v>0.5</v>
      </c>
      <c r="C4" s="1">
        <v>0.5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 t="s">
        <v>562</v>
      </c>
      <c r="W4" s="1" t="s">
        <v>10</v>
      </c>
      <c r="X4" s="1" t="s">
        <v>18</v>
      </c>
      <c r="Y4" s="1" t="s">
        <v>59</v>
      </c>
      <c r="Z4" s="1">
        <v>1.71</v>
      </c>
      <c r="AA4" s="1" t="s">
        <v>8</v>
      </c>
      <c r="AB4" s="1" t="s">
        <v>6</v>
      </c>
      <c r="AC4" s="1">
        <v>10</v>
      </c>
      <c r="AD4" s="1">
        <v>347.9</v>
      </c>
    </row>
    <row r="5" spans="1:32" x14ac:dyDescent="0.3">
      <c r="A5" s="1" t="s">
        <v>564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 t="s">
        <v>3</v>
      </c>
      <c r="V5" s="1" t="s">
        <v>562</v>
      </c>
      <c r="W5" s="1" t="s">
        <v>10</v>
      </c>
      <c r="X5" s="1" t="s">
        <v>18</v>
      </c>
      <c r="Y5" s="1" t="s">
        <v>563</v>
      </c>
      <c r="Z5" s="1">
        <v>49.43</v>
      </c>
      <c r="AA5" s="1" t="s">
        <v>8</v>
      </c>
      <c r="AB5" s="1" t="s">
        <v>6</v>
      </c>
      <c r="AC5" s="1">
        <v>10</v>
      </c>
      <c r="AD5" s="1">
        <v>340.48</v>
      </c>
    </row>
    <row r="6" spans="1:32" x14ac:dyDescent="0.3">
      <c r="A6" s="1" t="s">
        <v>565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 t="s">
        <v>3</v>
      </c>
      <c r="V6" s="1" t="s">
        <v>562</v>
      </c>
      <c r="W6" s="1" t="s">
        <v>10</v>
      </c>
      <c r="X6" s="1" t="s">
        <v>18</v>
      </c>
      <c r="Y6" s="1" t="s">
        <v>563</v>
      </c>
      <c r="Z6" s="1">
        <v>1.77</v>
      </c>
      <c r="AA6" s="1" t="s">
        <v>8</v>
      </c>
      <c r="AB6" s="1" t="s">
        <v>6</v>
      </c>
      <c r="AC6" s="1">
        <v>10</v>
      </c>
      <c r="AD6" s="1">
        <v>440</v>
      </c>
    </row>
    <row r="7" spans="1:32" x14ac:dyDescent="0.3">
      <c r="A7" s="1" t="s">
        <v>21</v>
      </c>
      <c r="B7" s="1">
        <v>0</v>
      </c>
      <c r="C7" s="1">
        <v>0</v>
      </c>
      <c r="D7" s="1">
        <v>0.8</v>
      </c>
      <c r="E7" s="1">
        <v>0.2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 t="s">
        <v>562</v>
      </c>
      <c r="W7" s="1" t="s">
        <v>60</v>
      </c>
      <c r="X7" s="1" t="s">
        <v>20</v>
      </c>
      <c r="Y7" s="1" t="s">
        <v>42</v>
      </c>
      <c r="Z7" s="1">
        <v>61.8</v>
      </c>
      <c r="AA7" s="1" t="s">
        <v>8</v>
      </c>
      <c r="AB7" s="1" t="s">
        <v>27</v>
      </c>
      <c r="AC7" s="1">
        <v>10</v>
      </c>
      <c r="AD7" s="1">
        <v>190</v>
      </c>
      <c r="AF7" s="1" t="s">
        <v>28</v>
      </c>
    </row>
    <row r="8" spans="1:32" x14ac:dyDescent="0.3">
      <c r="A8" s="1" t="s">
        <v>22</v>
      </c>
      <c r="B8" s="1">
        <v>0</v>
      </c>
      <c r="C8" s="1">
        <v>0</v>
      </c>
      <c r="D8" s="1">
        <v>0.9</v>
      </c>
      <c r="E8" s="1">
        <v>0.1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 t="s">
        <v>562</v>
      </c>
      <c r="W8" s="1" t="s">
        <v>60</v>
      </c>
      <c r="X8" s="1" t="s">
        <v>20</v>
      </c>
      <c r="Y8" s="1" t="s">
        <v>42</v>
      </c>
      <c r="Z8" s="1">
        <v>46.6</v>
      </c>
      <c r="AA8" s="1" t="s">
        <v>8</v>
      </c>
      <c r="AB8" s="1" t="s">
        <v>27</v>
      </c>
      <c r="AC8" s="1">
        <v>10</v>
      </c>
      <c r="AD8" s="1">
        <v>199</v>
      </c>
    </row>
    <row r="9" spans="1:32" x14ac:dyDescent="0.3">
      <c r="A9" s="1" t="s">
        <v>23</v>
      </c>
      <c r="B9" s="1">
        <v>0</v>
      </c>
      <c r="C9" s="1">
        <v>0</v>
      </c>
      <c r="D9" s="1">
        <v>0.7</v>
      </c>
      <c r="E9" s="1">
        <v>0.3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 t="s">
        <v>562</v>
      </c>
      <c r="W9" s="1" t="s">
        <v>85</v>
      </c>
      <c r="X9" s="1" t="s">
        <v>20</v>
      </c>
      <c r="Y9" s="1" t="s">
        <v>42</v>
      </c>
      <c r="Z9" s="1">
        <v>34.9</v>
      </c>
      <c r="AA9" s="1" t="s">
        <v>8</v>
      </c>
      <c r="AB9" s="1" t="s">
        <v>27</v>
      </c>
      <c r="AC9" s="1">
        <v>10</v>
      </c>
      <c r="AD9" s="1">
        <v>216</v>
      </c>
    </row>
    <row r="10" spans="1:32" x14ac:dyDescent="0.3">
      <c r="A10" s="1" t="s">
        <v>24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562</v>
      </c>
      <c r="W10" s="1" t="s">
        <v>85</v>
      </c>
      <c r="X10" s="1" t="s">
        <v>20</v>
      </c>
      <c r="Y10" s="1" t="s">
        <v>42</v>
      </c>
      <c r="Z10" s="1">
        <v>25.7</v>
      </c>
      <c r="AA10" s="1" t="s">
        <v>8</v>
      </c>
      <c r="AB10" s="1" t="s">
        <v>27</v>
      </c>
      <c r="AC10" s="1">
        <v>10</v>
      </c>
      <c r="AD10" s="1">
        <v>235</v>
      </c>
    </row>
    <row r="11" spans="1:32" x14ac:dyDescent="0.3">
      <c r="A11" s="1" t="s">
        <v>36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 t="s">
        <v>562</v>
      </c>
      <c r="W11" s="1" t="s">
        <v>33</v>
      </c>
      <c r="X11" s="1" t="s">
        <v>20</v>
      </c>
      <c r="Y11" s="1" t="s">
        <v>40</v>
      </c>
      <c r="Z11" s="1">
        <v>29.4</v>
      </c>
      <c r="AA11" s="1" t="s">
        <v>8</v>
      </c>
      <c r="AB11" s="1" t="s">
        <v>27</v>
      </c>
      <c r="AC11" s="1">
        <v>10</v>
      </c>
      <c r="AD11" s="1">
        <v>270</v>
      </c>
      <c r="AF11" s="1" t="s">
        <v>29</v>
      </c>
    </row>
    <row r="12" spans="1:32" x14ac:dyDescent="0.3">
      <c r="A12" s="1" t="s">
        <v>37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 t="s">
        <v>562</v>
      </c>
      <c r="W12" s="1" t="s">
        <v>32</v>
      </c>
      <c r="X12" s="1" t="s">
        <v>20</v>
      </c>
      <c r="Y12" s="1" t="s">
        <v>39</v>
      </c>
      <c r="Z12" s="1">
        <v>16.399999999999999</v>
      </c>
      <c r="AA12" s="1" t="s">
        <v>8</v>
      </c>
      <c r="AB12" s="1" t="s">
        <v>27</v>
      </c>
      <c r="AC12" s="1">
        <v>10</v>
      </c>
      <c r="AD12" s="1">
        <v>319</v>
      </c>
    </row>
    <row r="13" spans="1:32" x14ac:dyDescent="0.3">
      <c r="A13" s="1" t="s">
        <v>35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 t="s">
        <v>562</v>
      </c>
      <c r="W13" s="1" t="s">
        <v>31</v>
      </c>
      <c r="X13" s="1" t="s">
        <v>20</v>
      </c>
      <c r="Y13" s="1" t="s">
        <v>38</v>
      </c>
      <c r="Z13" s="1">
        <v>3</v>
      </c>
      <c r="AA13" s="1" t="s">
        <v>8</v>
      </c>
      <c r="AB13" s="1" t="s">
        <v>27</v>
      </c>
      <c r="AC13" s="1">
        <v>10</v>
      </c>
      <c r="AD13" s="1">
        <v>359</v>
      </c>
    </row>
    <row r="14" spans="1:32" x14ac:dyDescent="0.3">
      <c r="A14" s="1" t="s">
        <v>36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 t="s">
        <v>562</v>
      </c>
      <c r="W14" s="1" t="s">
        <v>33</v>
      </c>
      <c r="X14" s="1" t="s">
        <v>20</v>
      </c>
      <c r="Y14" s="1" t="s">
        <v>34</v>
      </c>
      <c r="Z14" s="1">
        <v>5.7</v>
      </c>
      <c r="AA14" s="1" t="s">
        <v>8</v>
      </c>
      <c r="AB14" s="1" t="s">
        <v>30</v>
      </c>
      <c r="AC14" s="1">
        <v>10</v>
      </c>
      <c r="AD14" s="1">
        <v>321</v>
      </c>
    </row>
    <row r="15" spans="1:32" x14ac:dyDescent="0.3">
      <c r="A15" s="2" t="s">
        <v>48</v>
      </c>
      <c r="B15" s="1">
        <v>0</v>
      </c>
      <c r="C15" s="1">
        <v>0.33</v>
      </c>
      <c r="D15" s="1">
        <v>0.67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 t="s">
        <v>548</v>
      </c>
      <c r="W15" s="1" t="s">
        <v>44</v>
      </c>
      <c r="X15" s="1" t="s">
        <v>18</v>
      </c>
      <c r="Y15" s="1" t="s">
        <v>50</v>
      </c>
      <c r="Z15" s="1">
        <f>1.56*2/10</f>
        <v>0.312</v>
      </c>
      <c r="AA15" s="1" t="s">
        <v>46</v>
      </c>
      <c r="AB15" s="1" t="s">
        <v>45</v>
      </c>
      <c r="AC15" s="1">
        <v>10</v>
      </c>
      <c r="AD15" s="1">
        <v>266</v>
      </c>
      <c r="AF15" s="1" t="s">
        <v>47</v>
      </c>
    </row>
    <row r="16" spans="1:32" x14ac:dyDescent="0.3">
      <c r="A16" s="2" t="s">
        <v>49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548</v>
      </c>
      <c r="W16" s="1" t="s">
        <v>43</v>
      </c>
      <c r="X16" s="1" t="s">
        <v>18</v>
      </c>
      <c r="Y16" s="1" t="s">
        <v>50</v>
      </c>
      <c r="Z16" s="1">
        <f>1.43*2/10</f>
        <v>0.28599999999999998</v>
      </c>
      <c r="AA16" s="1" t="s">
        <v>46</v>
      </c>
      <c r="AB16" s="1" t="s">
        <v>45</v>
      </c>
      <c r="AC16" s="1">
        <v>10</v>
      </c>
      <c r="AD16" s="1">
        <v>331</v>
      </c>
    </row>
    <row r="17" spans="1:32" x14ac:dyDescent="0.3">
      <c r="A17" s="1" t="s">
        <v>52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566</v>
      </c>
      <c r="W17" s="1" t="s">
        <v>567</v>
      </c>
      <c r="X17" s="1" t="s">
        <v>570</v>
      </c>
      <c r="Y17" s="1" t="s">
        <v>54</v>
      </c>
      <c r="Z17" s="1">
        <v>3.33</v>
      </c>
      <c r="AA17" s="1" t="s">
        <v>8</v>
      </c>
      <c r="AB17" s="1" t="s">
        <v>27</v>
      </c>
      <c r="AC17" s="1">
        <v>10</v>
      </c>
      <c r="AD17" s="1">
        <v>265</v>
      </c>
      <c r="AF17" s="1" t="s">
        <v>51</v>
      </c>
    </row>
    <row r="18" spans="1:32" x14ac:dyDescent="0.3">
      <c r="A18" s="1" t="s">
        <v>53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548</v>
      </c>
      <c r="W18" s="1" t="s">
        <v>568</v>
      </c>
      <c r="X18" s="1" t="s">
        <v>569</v>
      </c>
      <c r="Y18" s="2" t="s">
        <v>58</v>
      </c>
      <c r="Z18" s="1">
        <v>0.56000000000000005</v>
      </c>
      <c r="AA18" s="1" t="s">
        <v>8</v>
      </c>
      <c r="AB18" s="1" t="s">
        <v>27</v>
      </c>
      <c r="AC18" s="1">
        <v>10</v>
      </c>
      <c r="AD18" s="1">
        <v>400</v>
      </c>
    </row>
    <row r="19" spans="1:32" x14ac:dyDescent="0.3">
      <c r="A19" s="1" t="s">
        <v>55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548</v>
      </c>
      <c r="W19" s="1" t="s">
        <v>571</v>
      </c>
      <c r="X19" s="1" t="s">
        <v>572</v>
      </c>
      <c r="Y19" s="1" t="s">
        <v>57</v>
      </c>
      <c r="Z19" s="1" t="s">
        <v>59</v>
      </c>
      <c r="AA19" s="1" t="s">
        <v>8</v>
      </c>
      <c r="AB19" s="1" t="s">
        <v>6</v>
      </c>
      <c r="AC19" s="1">
        <v>10</v>
      </c>
      <c r="AD19" s="1">
        <v>300</v>
      </c>
      <c r="AF19" s="1" t="s">
        <v>385</v>
      </c>
    </row>
    <row r="20" spans="1:32" x14ac:dyDescent="0.3">
      <c r="A20" s="1" t="s">
        <v>56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548</v>
      </c>
      <c r="W20" s="1" t="s">
        <v>571</v>
      </c>
      <c r="X20" s="1" t="s">
        <v>573</v>
      </c>
      <c r="Y20" s="1" t="s">
        <v>59</v>
      </c>
      <c r="Z20" s="1" t="s">
        <v>59</v>
      </c>
      <c r="AA20" s="1" t="s">
        <v>8</v>
      </c>
      <c r="AB20" s="1" t="s">
        <v>6</v>
      </c>
      <c r="AC20" s="1">
        <v>10</v>
      </c>
      <c r="AD20" s="1">
        <v>374</v>
      </c>
    </row>
    <row r="21" spans="1:32" x14ac:dyDescent="0.3">
      <c r="A21" s="1" t="s">
        <v>61</v>
      </c>
      <c r="B21" s="1">
        <v>0</v>
      </c>
      <c r="C21" s="1">
        <f>2.2/(4.81+2.2+0.15)</f>
        <v>0.30726256983240224</v>
      </c>
      <c r="D21" s="1">
        <f>4.81/(4.81+2.2+0.15)</f>
        <v>0.67178770949720668</v>
      </c>
      <c r="E21" s="1">
        <v>0</v>
      </c>
      <c r="F21" s="1">
        <v>0</v>
      </c>
      <c r="G21" s="1">
        <f>0.15/(4.81+2.2+0.15)</f>
        <v>2.094972067039106E-2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 t="s">
        <v>64</v>
      </c>
      <c r="V21" s="1" t="s">
        <v>553</v>
      </c>
      <c r="W21" s="1" t="s">
        <v>574</v>
      </c>
      <c r="X21" s="1" t="s">
        <v>20</v>
      </c>
      <c r="Y21" s="1" t="s">
        <v>67</v>
      </c>
      <c r="Z21" s="1">
        <v>13.64</v>
      </c>
      <c r="AA21" s="1" t="s">
        <v>8</v>
      </c>
      <c r="AB21" s="1" t="s">
        <v>6</v>
      </c>
      <c r="AC21" s="1">
        <v>10</v>
      </c>
      <c r="AD21" s="1">
        <v>330</v>
      </c>
      <c r="AF21" s="1" t="s">
        <v>65</v>
      </c>
    </row>
    <row r="22" spans="1:32" x14ac:dyDescent="0.3">
      <c r="A22" s="1" t="s">
        <v>62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 t="s">
        <v>64</v>
      </c>
      <c r="V22" s="1" t="s">
        <v>553</v>
      </c>
      <c r="W22" s="1" t="s">
        <v>574</v>
      </c>
      <c r="X22" s="1" t="s">
        <v>20</v>
      </c>
      <c r="Y22" s="1" t="s">
        <v>66</v>
      </c>
      <c r="Z22" s="1">
        <v>9.64</v>
      </c>
      <c r="AA22" s="1" t="s">
        <v>8</v>
      </c>
      <c r="AB22" s="1" t="s">
        <v>6</v>
      </c>
      <c r="AC22" s="1">
        <v>10</v>
      </c>
      <c r="AD22" s="1">
        <v>401</v>
      </c>
    </row>
    <row r="23" spans="1:32" x14ac:dyDescent="0.3">
      <c r="A23" s="1" t="s">
        <v>575</v>
      </c>
      <c r="B23" s="1">
        <v>0</v>
      </c>
      <c r="C23" s="1">
        <f>2.2/(4.81+2.2+0.15)</f>
        <v>0.30726256983240224</v>
      </c>
      <c r="D23" s="1">
        <f>4.81/(4.81+2.2+0.15)</f>
        <v>0.67178770949720668</v>
      </c>
      <c r="E23" s="1">
        <v>0</v>
      </c>
      <c r="F23" s="1">
        <v>0</v>
      </c>
      <c r="G23" s="1">
        <f>0.15/(4.81+2.2+0.15)</f>
        <v>2.094972067039106E-2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 t="s">
        <v>553</v>
      </c>
      <c r="W23" s="1" t="s">
        <v>574</v>
      </c>
      <c r="X23" s="1" t="s">
        <v>20</v>
      </c>
      <c r="Y23" s="1" t="s">
        <v>349</v>
      </c>
      <c r="Z23" s="1">
        <v>11.47</v>
      </c>
      <c r="AA23" s="1" t="s">
        <v>8</v>
      </c>
      <c r="AB23" s="1" t="s">
        <v>6</v>
      </c>
      <c r="AC23" s="1">
        <v>10</v>
      </c>
      <c r="AD23" s="1">
        <v>352</v>
      </c>
    </row>
    <row r="24" spans="1:32" x14ac:dyDescent="0.3">
      <c r="A24" s="1" t="s">
        <v>68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 t="s">
        <v>562</v>
      </c>
      <c r="W24" s="1" t="s">
        <v>70</v>
      </c>
      <c r="X24" s="1" t="s">
        <v>18</v>
      </c>
      <c r="Y24" s="1" t="s">
        <v>59</v>
      </c>
      <c r="Z24" s="1" t="s">
        <v>59</v>
      </c>
      <c r="AA24" s="1" t="s">
        <v>72</v>
      </c>
      <c r="AB24" s="1" t="s">
        <v>69</v>
      </c>
      <c r="AC24" s="1">
        <v>10</v>
      </c>
      <c r="AD24" s="1">
        <v>550</v>
      </c>
      <c r="AF24" s="1" t="s">
        <v>71</v>
      </c>
    </row>
    <row r="25" spans="1:32" x14ac:dyDescent="0.3">
      <c r="A25" s="1" t="s">
        <v>73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562</v>
      </c>
      <c r="W25" s="1" t="s">
        <v>576</v>
      </c>
      <c r="X25" s="1" t="s">
        <v>18</v>
      </c>
      <c r="Y25" s="2" t="s">
        <v>78</v>
      </c>
      <c r="Z25" s="1" t="s">
        <v>59</v>
      </c>
      <c r="AA25" s="1" t="s">
        <v>77</v>
      </c>
      <c r="AB25" s="1" t="s">
        <v>74</v>
      </c>
      <c r="AC25" s="1">
        <v>10</v>
      </c>
      <c r="AD25" s="1">
        <v>600</v>
      </c>
      <c r="AF25" s="1" t="s">
        <v>75</v>
      </c>
    </row>
    <row r="26" spans="1:32" x14ac:dyDescent="0.3">
      <c r="A26" s="1" t="s">
        <v>73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 t="s">
        <v>562</v>
      </c>
      <c r="W26" s="1" t="s">
        <v>576</v>
      </c>
      <c r="X26" s="1" t="s">
        <v>18</v>
      </c>
      <c r="Y26" s="2" t="s">
        <v>78</v>
      </c>
      <c r="Z26" s="1" t="s">
        <v>59</v>
      </c>
      <c r="AA26" s="1" t="s">
        <v>76</v>
      </c>
      <c r="AB26" s="1" t="s">
        <v>74</v>
      </c>
      <c r="AC26" s="1">
        <v>10</v>
      </c>
      <c r="AD26" s="1">
        <v>495</v>
      </c>
    </row>
    <row r="27" spans="1:32" x14ac:dyDescent="0.3">
      <c r="A27" s="1" t="s">
        <v>82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562</v>
      </c>
      <c r="W27" s="1" t="s">
        <v>84</v>
      </c>
      <c r="X27" s="5" t="s">
        <v>733</v>
      </c>
      <c r="Y27" s="1" t="s">
        <v>88</v>
      </c>
      <c r="Z27" s="1">
        <v>1.6</v>
      </c>
      <c r="AA27" s="1" t="s">
        <v>46</v>
      </c>
      <c r="AB27" s="1" t="s">
        <v>45</v>
      </c>
      <c r="AC27" s="1">
        <v>20</v>
      </c>
      <c r="AD27" s="1">
        <v>440</v>
      </c>
      <c r="AF27" s="1" t="s">
        <v>79</v>
      </c>
    </row>
    <row r="28" spans="1:32" x14ac:dyDescent="0.3">
      <c r="A28" s="1" t="s">
        <v>82</v>
      </c>
      <c r="B28" s="1">
        <v>0</v>
      </c>
      <c r="C28" s="1">
        <v>0.83</v>
      </c>
      <c r="D28" s="1">
        <v>0.17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562</v>
      </c>
      <c r="W28" s="1" t="s">
        <v>84</v>
      </c>
      <c r="X28" s="5"/>
      <c r="Y28" s="1" t="s">
        <v>90</v>
      </c>
      <c r="Z28" s="1">
        <v>1.7</v>
      </c>
      <c r="AA28" s="1" t="s">
        <v>46</v>
      </c>
      <c r="AB28" s="1" t="s">
        <v>45</v>
      </c>
      <c r="AC28" s="1">
        <v>20</v>
      </c>
      <c r="AD28" s="1">
        <v>390</v>
      </c>
    </row>
    <row r="29" spans="1:32" x14ac:dyDescent="0.3">
      <c r="A29" s="1" t="s">
        <v>81</v>
      </c>
      <c r="B29" s="1">
        <v>0</v>
      </c>
      <c r="C29" s="1">
        <v>0.67</v>
      </c>
      <c r="D29" s="1">
        <v>0.33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 t="s">
        <v>562</v>
      </c>
      <c r="W29" s="1" t="s">
        <v>83</v>
      </c>
      <c r="X29" s="5"/>
      <c r="Y29" s="1" t="s">
        <v>59</v>
      </c>
      <c r="Z29" s="1">
        <v>2</v>
      </c>
      <c r="AA29" s="1" t="s">
        <v>46</v>
      </c>
      <c r="AB29" s="1" t="s">
        <v>45</v>
      </c>
      <c r="AC29" s="1">
        <v>20</v>
      </c>
      <c r="AD29" s="1">
        <v>350</v>
      </c>
    </row>
    <row r="30" spans="1:32" x14ac:dyDescent="0.3">
      <c r="A30" s="1" t="s">
        <v>81</v>
      </c>
      <c r="B30" s="1">
        <v>0</v>
      </c>
      <c r="C30" s="1">
        <v>0.5</v>
      </c>
      <c r="D30" s="1">
        <v>0.5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 t="s">
        <v>562</v>
      </c>
      <c r="W30" s="1" t="s">
        <v>83</v>
      </c>
      <c r="X30" s="5"/>
      <c r="Y30" s="1" t="s">
        <v>59</v>
      </c>
      <c r="Z30" s="1">
        <v>1.3</v>
      </c>
      <c r="AA30" s="1" t="s">
        <v>46</v>
      </c>
      <c r="AB30" s="1" t="s">
        <v>45</v>
      </c>
      <c r="AC30" s="1">
        <v>20</v>
      </c>
      <c r="AD30" s="1">
        <v>340</v>
      </c>
    </row>
    <row r="31" spans="1:32" x14ac:dyDescent="0.3">
      <c r="A31" s="1" t="s">
        <v>81</v>
      </c>
      <c r="B31" s="1">
        <v>0</v>
      </c>
      <c r="C31" s="1">
        <v>0.25</v>
      </c>
      <c r="D31" s="1">
        <v>0.75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 t="s">
        <v>562</v>
      </c>
      <c r="W31" s="1" t="s">
        <v>83</v>
      </c>
      <c r="X31" s="5"/>
      <c r="Y31" s="1" t="s">
        <v>59</v>
      </c>
      <c r="Z31" s="1">
        <v>2.2000000000000002</v>
      </c>
      <c r="AA31" s="1" t="s">
        <v>46</v>
      </c>
      <c r="AB31" s="1" t="s">
        <v>45</v>
      </c>
      <c r="AC31" s="1">
        <v>20</v>
      </c>
      <c r="AD31" s="1">
        <v>300</v>
      </c>
    </row>
    <row r="32" spans="1:32" x14ac:dyDescent="0.3">
      <c r="A32" s="1" t="s">
        <v>81</v>
      </c>
      <c r="B32" s="1">
        <v>0</v>
      </c>
      <c r="C32" s="1">
        <v>0.125</v>
      </c>
      <c r="D32" s="1">
        <v>0.875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 t="s">
        <v>562</v>
      </c>
      <c r="W32" s="1" t="s">
        <v>83</v>
      </c>
      <c r="X32" s="5"/>
      <c r="Y32" s="1" t="s">
        <v>91</v>
      </c>
      <c r="Z32" s="1" t="s">
        <v>86</v>
      </c>
      <c r="AA32" s="1" t="s">
        <v>8</v>
      </c>
      <c r="AB32" s="1" t="s">
        <v>45</v>
      </c>
      <c r="AC32" s="1">
        <v>20</v>
      </c>
      <c r="AD32" s="1">
        <v>300</v>
      </c>
    </row>
    <row r="33" spans="1:32" x14ac:dyDescent="0.3">
      <c r="A33" s="1" t="s">
        <v>81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 t="s">
        <v>562</v>
      </c>
      <c r="W33" s="1" t="s">
        <v>83</v>
      </c>
      <c r="X33" s="5"/>
      <c r="Y33" s="1" t="s">
        <v>89</v>
      </c>
      <c r="Z33" s="1" t="s">
        <v>59</v>
      </c>
      <c r="AA33" s="1" t="s">
        <v>8</v>
      </c>
      <c r="AB33" s="1" t="s">
        <v>45</v>
      </c>
      <c r="AC33" s="1">
        <v>20</v>
      </c>
      <c r="AD33" s="1">
        <v>340</v>
      </c>
    </row>
    <row r="34" spans="1:32" x14ac:dyDescent="0.3">
      <c r="A34" s="1" t="s">
        <v>92</v>
      </c>
      <c r="B34" s="1">
        <v>0</v>
      </c>
      <c r="C34" s="1">
        <v>0.28220000000000001</v>
      </c>
      <c r="D34" s="1">
        <v>0.62529999999999997</v>
      </c>
      <c r="E34" s="1">
        <v>9.2499999999999999E-2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 t="s">
        <v>561</v>
      </c>
      <c r="W34" s="1" t="s">
        <v>732</v>
      </c>
      <c r="X34" s="1" t="s">
        <v>577</v>
      </c>
      <c r="Y34" s="1" t="s">
        <v>96</v>
      </c>
      <c r="Z34" s="1">
        <v>1.06</v>
      </c>
      <c r="AA34" s="1" t="s">
        <v>8</v>
      </c>
      <c r="AB34" s="1" t="s">
        <v>6</v>
      </c>
      <c r="AC34" s="1">
        <v>10</v>
      </c>
      <c r="AD34" s="1">
        <v>215</v>
      </c>
      <c r="AF34" s="1" t="s">
        <v>93</v>
      </c>
    </row>
    <row r="35" spans="1:32" x14ac:dyDescent="0.3">
      <c r="A35" s="1" t="s">
        <v>92</v>
      </c>
      <c r="B35" s="1">
        <v>0</v>
      </c>
      <c r="C35" s="1">
        <v>0.28220000000000001</v>
      </c>
      <c r="D35" s="1">
        <v>0.62529999999999997</v>
      </c>
      <c r="E35" s="1">
        <v>9.2499999999999999E-2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 t="s">
        <v>561</v>
      </c>
      <c r="W35" s="1" t="s">
        <v>732</v>
      </c>
      <c r="X35" s="1" t="s">
        <v>577</v>
      </c>
      <c r="Y35" s="1" t="s">
        <v>94</v>
      </c>
      <c r="Z35" s="1" t="s">
        <v>59</v>
      </c>
      <c r="AA35" s="1" t="s">
        <v>8</v>
      </c>
      <c r="AB35" s="1" t="s">
        <v>45</v>
      </c>
      <c r="AC35" s="1">
        <v>10</v>
      </c>
      <c r="AD35" s="1">
        <v>178</v>
      </c>
    </row>
    <row r="36" spans="1:32" x14ac:dyDescent="0.3">
      <c r="A36" s="1" t="s">
        <v>92</v>
      </c>
      <c r="B36" s="1">
        <v>0</v>
      </c>
      <c r="C36" s="1">
        <v>0.28220000000000001</v>
      </c>
      <c r="D36" s="1">
        <v>0.62529999999999997</v>
      </c>
      <c r="E36" s="1">
        <v>9.2499999999999999E-2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 t="s">
        <v>561</v>
      </c>
      <c r="W36" s="1" t="s">
        <v>732</v>
      </c>
      <c r="X36" s="1" t="s">
        <v>577</v>
      </c>
      <c r="Y36" s="1" t="s">
        <v>94</v>
      </c>
      <c r="Z36" s="1">
        <v>1.06</v>
      </c>
      <c r="AA36" s="1" t="s">
        <v>8</v>
      </c>
      <c r="AB36" s="1" t="s">
        <v>6</v>
      </c>
      <c r="AC36" s="1">
        <v>50</v>
      </c>
      <c r="AD36" s="1">
        <v>278</v>
      </c>
    </row>
    <row r="37" spans="1:32" x14ac:dyDescent="0.3">
      <c r="A37" s="1" t="s">
        <v>97</v>
      </c>
      <c r="B37" s="1">
        <v>0</v>
      </c>
      <c r="C37" s="1">
        <v>0</v>
      </c>
      <c r="D37" s="1">
        <v>0.90890000000000004</v>
      </c>
      <c r="E37" s="1">
        <v>9.11E-2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 t="s">
        <v>562</v>
      </c>
      <c r="W37" s="1" t="s">
        <v>102</v>
      </c>
      <c r="X37" s="1" t="s">
        <v>355</v>
      </c>
      <c r="Y37" s="1" t="s">
        <v>94</v>
      </c>
      <c r="Z37" s="1">
        <v>0.155</v>
      </c>
      <c r="AA37" s="1" t="s">
        <v>46</v>
      </c>
      <c r="AB37" s="1" t="s">
        <v>6</v>
      </c>
      <c r="AC37" s="1">
        <v>10</v>
      </c>
      <c r="AD37" s="1">
        <v>317</v>
      </c>
    </row>
    <row r="38" spans="1:32" x14ac:dyDescent="0.3">
      <c r="A38" s="1" t="s">
        <v>97</v>
      </c>
      <c r="B38" s="1">
        <v>0</v>
      </c>
      <c r="C38" s="1">
        <v>0</v>
      </c>
      <c r="D38" s="1">
        <v>0.90890000000000004</v>
      </c>
      <c r="E38" s="1">
        <v>9.11E-2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562</v>
      </c>
      <c r="W38" s="1" t="s">
        <v>102</v>
      </c>
      <c r="X38" s="1" t="s">
        <v>355</v>
      </c>
      <c r="Y38" s="1" t="s">
        <v>94</v>
      </c>
      <c r="Z38" s="1">
        <v>0.155</v>
      </c>
      <c r="AA38" s="1" t="s">
        <v>46</v>
      </c>
      <c r="AB38" s="1" t="s">
        <v>6</v>
      </c>
      <c r="AC38" s="1">
        <v>50</v>
      </c>
      <c r="AD38" s="1">
        <v>481</v>
      </c>
    </row>
    <row r="39" spans="1:32" x14ac:dyDescent="0.3">
      <c r="A39" s="1" t="s">
        <v>98</v>
      </c>
      <c r="B39" s="1">
        <v>0</v>
      </c>
      <c r="C39" s="1">
        <v>0.1633</v>
      </c>
      <c r="D39" s="1">
        <v>0.74619999999999997</v>
      </c>
      <c r="E39" s="1">
        <v>9.0499999999999997E-2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561</v>
      </c>
      <c r="W39" s="1" t="s">
        <v>732</v>
      </c>
      <c r="X39" s="1" t="s">
        <v>577</v>
      </c>
      <c r="Y39" s="1" t="s">
        <v>94</v>
      </c>
      <c r="Z39" s="1">
        <v>0.36</v>
      </c>
      <c r="AA39" s="1" t="s">
        <v>46</v>
      </c>
      <c r="AB39" s="1" t="s">
        <v>6</v>
      </c>
      <c r="AC39" s="1">
        <v>10</v>
      </c>
      <c r="AD39" s="1">
        <v>308</v>
      </c>
    </row>
    <row r="40" spans="1:32" x14ac:dyDescent="0.3">
      <c r="A40" s="1" t="s">
        <v>98</v>
      </c>
      <c r="B40" s="1">
        <v>0</v>
      </c>
      <c r="C40" s="1">
        <v>0.1633</v>
      </c>
      <c r="D40" s="1">
        <v>0.74619999999999997</v>
      </c>
      <c r="E40" s="1">
        <v>9.0499999999999997E-2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 t="s">
        <v>561</v>
      </c>
      <c r="W40" s="1" t="s">
        <v>732</v>
      </c>
      <c r="X40" s="1" t="s">
        <v>577</v>
      </c>
      <c r="Y40" s="1" t="s">
        <v>94</v>
      </c>
      <c r="Z40" s="1">
        <v>0.36</v>
      </c>
      <c r="AA40" s="1" t="s">
        <v>46</v>
      </c>
      <c r="AB40" s="1" t="s">
        <v>6</v>
      </c>
      <c r="AC40" s="1">
        <v>50</v>
      </c>
      <c r="AD40" s="1">
        <v>418</v>
      </c>
    </row>
    <row r="41" spans="1:32" x14ac:dyDescent="0.3">
      <c r="A41" s="1" t="s">
        <v>99</v>
      </c>
      <c r="B41" s="1">
        <v>0</v>
      </c>
      <c r="C41" s="1">
        <v>0.39179999999999998</v>
      </c>
      <c r="D41" s="1">
        <v>0.51849999999999996</v>
      </c>
      <c r="E41" s="1">
        <v>8.8969999999999994E-2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 t="s">
        <v>561</v>
      </c>
      <c r="W41" s="1" t="s">
        <v>732</v>
      </c>
      <c r="X41" s="1" t="s">
        <v>577</v>
      </c>
      <c r="Y41" s="1" t="s">
        <v>94</v>
      </c>
      <c r="Z41" s="1">
        <v>0.78</v>
      </c>
      <c r="AA41" s="1" t="s">
        <v>46</v>
      </c>
      <c r="AB41" s="1" t="s">
        <v>6</v>
      </c>
      <c r="AC41" s="1">
        <v>10</v>
      </c>
      <c r="AD41" s="1">
        <v>252</v>
      </c>
    </row>
    <row r="42" spans="1:32" x14ac:dyDescent="0.3">
      <c r="A42" s="1" t="s">
        <v>99</v>
      </c>
      <c r="B42" s="1">
        <v>0</v>
      </c>
      <c r="C42" s="1">
        <v>0.39179999999999998</v>
      </c>
      <c r="D42" s="1">
        <v>0.51849999999999996</v>
      </c>
      <c r="E42" s="1">
        <v>8.8969999999999994E-2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 t="s">
        <v>561</v>
      </c>
      <c r="W42" s="1" t="s">
        <v>732</v>
      </c>
      <c r="X42" s="1" t="s">
        <v>577</v>
      </c>
      <c r="Y42" s="1" t="s">
        <v>94</v>
      </c>
      <c r="Z42" s="1">
        <v>0.78</v>
      </c>
      <c r="AA42" s="1" t="s">
        <v>46</v>
      </c>
      <c r="AB42" s="1" t="s">
        <v>6</v>
      </c>
      <c r="AC42" s="1">
        <v>50</v>
      </c>
      <c r="AD42" s="1">
        <v>338</v>
      </c>
    </row>
    <row r="43" spans="1:32" x14ac:dyDescent="0.3">
      <c r="A43" s="1" t="s">
        <v>104</v>
      </c>
      <c r="B43" s="1">
        <v>0</v>
      </c>
      <c r="C43" s="1">
        <v>0.26440000000000002</v>
      </c>
      <c r="D43" s="1">
        <v>0.64649999999999996</v>
      </c>
      <c r="E43" s="1">
        <v>8.9099999999999999E-2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 t="s">
        <v>562</v>
      </c>
      <c r="W43" s="1" t="s">
        <v>102</v>
      </c>
      <c r="X43" s="1" t="s">
        <v>355</v>
      </c>
      <c r="Y43" s="1" t="s">
        <v>94</v>
      </c>
      <c r="Z43" s="1">
        <v>0.24</v>
      </c>
      <c r="AA43" s="1" t="s">
        <v>46</v>
      </c>
      <c r="AB43" s="1" t="s">
        <v>6</v>
      </c>
      <c r="AC43" s="1">
        <v>10</v>
      </c>
      <c r="AD43" s="1">
        <v>324</v>
      </c>
    </row>
    <row r="44" spans="1:32" x14ac:dyDescent="0.3">
      <c r="A44" s="1" t="s">
        <v>104</v>
      </c>
      <c r="B44" s="1">
        <v>0</v>
      </c>
      <c r="C44" s="1">
        <v>0.26440000000000002</v>
      </c>
      <c r="D44" s="1">
        <v>0.64649999999999996</v>
      </c>
      <c r="E44" s="1">
        <v>8.9099999999999999E-2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 t="s">
        <v>562</v>
      </c>
      <c r="W44" s="1" t="s">
        <v>102</v>
      </c>
      <c r="X44" s="1" t="s">
        <v>355</v>
      </c>
      <c r="Y44" s="1" t="s">
        <v>94</v>
      </c>
      <c r="Z44" s="1">
        <v>0.24</v>
      </c>
      <c r="AA44" s="1" t="s">
        <v>46</v>
      </c>
      <c r="AB44" s="1" t="s">
        <v>6</v>
      </c>
      <c r="AC44" s="1">
        <v>50</v>
      </c>
      <c r="AD44" s="1">
        <v>408</v>
      </c>
    </row>
    <row r="45" spans="1:32" x14ac:dyDescent="0.3">
      <c r="A45" s="1" t="s">
        <v>100</v>
      </c>
      <c r="B45" s="1">
        <v>0</v>
      </c>
      <c r="C45" s="1">
        <v>0.28160000000000002</v>
      </c>
      <c r="D45" s="1">
        <v>0.628</v>
      </c>
      <c r="E45" s="1">
        <v>9.0399999999999994E-2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 t="s">
        <v>562</v>
      </c>
      <c r="W45" s="1" t="s">
        <v>105</v>
      </c>
      <c r="X45" s="1" t="s">
        <v>18</v>
      </c>
      <c r="Y45" s="1" t="s">
        <v>94</v>
      </c>
      <c r="Z45" s="1">
        <f>1.06/7.1</f>
        <v>0.14929577464788735</v>
      </c>
      <c r="AA45" s="1" t="s">
        <v>46</v>
      </c>
      <c r="AB45" s="1" t="s">
        <v>6</v>
      </c>
      <c r="AC45" s="1">
        <v>10</v>
      </c>
      <c r="AD45" s="1">
        <v>349</v>
      </c>
    </row>
    <row r="46" spans="1:32" x14ac:dyDescent="0.3">
      <c r="A46" s="1" t="s">
        <v>101</v>
      </c>
      <c r="B46" s="1">
        <v>0</v>
      </c>
      <c r="C46" s="1">
        <v>0.26579999999999998</v>
      </c>
      <c r="D46" s="1">
        <v>0.64280000000000004</v>
      </c>
      <c r="E46" s="1">
        <v>9.1399999999999995E-2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 t="s">
        <v>562</v>
      </c>
      <c r="W46" s="1" t="s">
        <v>103</v>
      </c>
      <c r="X46" s="1" t="s">
        <v>20</v>
      </c>
      <c r="Y46" s="1" t="s">
        <v>59</v>
      </c>
      <c r="Z46" s="1">
        <f>1.06/6.3</f>
        <v>0.16825396825396827</v>
      </c>
      <c r="AA46" s="1" t="s">
        <v>46</v>
      </c>
      <c r="AB46" s="1" t="s">
        <v>6</v>
      </c>
      <c r="AC46" s="1">
        <v>10</v>
      </c>
      <c r="AD46" s="1">
        <v>360</v>
      </c>
    </row>
    <row r="47" spans="1:32" x14ac:dyDescent="0.3">
      <c r="A47" s="1" t="s">
        <v>106</v>
      </c>
      <c r="B47" s="1">
        <v>0</v>
      </c>
      <c r="C47" s="1">
        <v>0</v>
      </c>
      <c r="D47" s="1">
        <v>0.499</v>
      </c>
      <c r="E47" s="1">
        <v>0</v>
      </c>
      <c r="F47" s="1">
        <v>0.501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 t="s">
        <v>562</v>
      </c>
      <c r="W47" s="1" t="s">
        <v>578</v>
      </c>
      <c r="X47" s="1" t="s">
        <v>20</v>
      </c>
      <c r="Y47" s="1" t="s">
        <v>110</v>
      </c>
      <c r="Z47" s="1">
        <v>1.33</v>
      </c>
      <c r="AA47" s="1" t="s">
        <v>46</v>
      </c>
      <c r="AB47" s="1" t="s">
        <v>27</v>
      </c>
      <c r="AC47" s="1">
        <v>10</v>
      </c>
      <c r="AD47" s="1">
        <v>308</v>
      </c>
      <c r="AF47" s="1" t="s">
        <v>109</v>
      </c>
    </row>
    <row r="48" spans="1:32" x14ac:dyDescent="0.3">
      <c r="A48" s="1" t="s">
        <v>107</v>
      </c>
      <c r="B48" s="1">
        <v>0</v>
      </c>
      <c r="C48" s="1">
        <v>5.5E-2</v>
      </c>
      <c r="D48" s="1">
        <v>0.45300000000000001</v>
      </c>
      <c r="E48" s="1">
        <v>0</v>
      </c>
      <c r="F48" s="1">
        <v>0.49199999999999999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 t="s">
        <v>562</v>
      </c>
      <c r="W48" s="1" t="s">
        <v>578</v>
      </c>
      <c r="X48" s="1" t="s">
        <v>20</v>
      </c>
      <c r="Y48" s="1" t="s">
        <v>94</v>
      </c>
      <c r="Z48" s="1" t="s">
        <v>59</v>
      </c>
      <c r="AA48" s="1" t="s">
        <v>46</v>
      </c>
      <c r="AB48" s="1" t="s">
        <v>581</v>
      </c>
      <c r="AC48" s="1">
        <v>10</v>
      </c>
      <c r="AD48" s="1">
        <v>294.60000000000002</v>
      </c>
    </row>
    <row r="49" spans="1:32" x14ac:dyDescent="0.3">
      <c r="A49" s="1" t="s">
        <v>579</v>
      </c>
      <c r="B49" s="1">
        <v>0</v>
      </c>
      <c r="C49" s="1">
        <v>0.105</v>
      </c>
      <c r="D49" s="1">
        <v>0.42199999999999999</v>
      </c>
      <c r="E49" s="1">
        <v>0</v>
      </c>
      <c r="F49" s="1">
        <v>0.47299999999999998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562</v>
      </c>
      <c r="W49" s="1" t="s">
        <v>578</v>
      </c>
      <c r="X49" s="1" t="s">
        <v>20</v>
      </c>
      <c r="Y49" s="1" t="s">
        <v>111</v>
      </c>
      <c r="Z49" s="1">
        <v>1.98</v>
      </c>
      <c r="AA49" s="1" t="s">
        <v>46</v>
      </c>
      <c r="AB49" s="1" t="s">
        <v>27</v>
      </c>
      <c r="AC49" s="1">
        <v>10</v>
      </c>
      <c r="AD49" s="1">
        <v>250</v>
      </c>
    </row>
    <row r="50" spans="1:32" x14ac:dyDescent="0.3">
      <c r="A50" s="1" t="s">
        <v>580</v>
      </c>
      <c r="B50" s="1">
        <v>0</v>
      </c>
      <c r="C50" s="1">
        <v>0.221</v>
      </c>
      <c r="D50" s="1">
        <v>0.29699999999999999</v>
      </c>
      <c r="E50" s="1">
        <v>0</v>
      </c>
      <c r="F50" s="1">
        <v>0.48199999999999998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562</v>
      </c>
      <c r="W50" s="1" t="s">
        <v>578</v>
      </c>
      <c r="X50" s="1" t="s">
        <v>20</v>
      </c>
      <c r="Y50" s="1" t="s">
        <v>94</v>
      </c>
      <c r="Z50" s="1" t="s">
        <v>59</v>
      </c>
      <c r="AA50" s="1" t="s">
        <v>46</v>
      </c>
      <c r="AB50" s="1" t="s">
        <v>581</v>
      </c>
      <c r="AC50" s="1">
        <v>10</v>
      </c>
      <c r="AD50" s="1">
        <v>273.60000000000002</v>
      </c>
    </row>
    <row r="51" spans="1:32" x14ac:dyDescent="0.3">
      <c r="A51" s="1" t="s">
        <v>582</v>
      </c>
      <c r="B51" s="1">
        <v>0</v>
      </c>
      <c r="C51" s="1">
        <v>8.5999999999999993E-2</v>
      </c>
      <c r="D51" s="1">
        <v>0.379</v>
      </c>
      <c r="E51" s="1">
        <v>0</v>
      </c>
      <c r="F51" s="1">
        <v>0.53500000000000003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 t="s">
        <v>321</v>
      </c>
      <c r="V51" s="1" t="s">
        <v>562</v>
      </c>
      <c r="W51" s="1" t="s">
        <v>578</v>
      </c>
      <c r="X51" s="1" t="s">
        <v>20</v>
      </c>
      <c r="Y51" s="1" t="s">
        <v>94</v>
      </c>
      <c r="Z51" s="1" t="s">
        <v>59</v>
      </c>
      <c r="AA51" s="1" t="s">
        <v>46</v>
      </c>
      <c r="AB51" s="1" t="s">
        <v>6</v>
      </c>
      <c r="AC51" s="1">
        <v>10</v>
      </c>
      <c r="AD51" s="1">
        <v>266</v>
      </c>
    </row>
    <row r="52" spans="1:32" x14ac:dyDescent="0.3">
      <c r="A52" s="1" t="s">
        <v>112</v>
      </c>
      <c r="B52" s="1">
        <v>0</v>
      </c>
      <c r="C52" s="1">
        <f>0.2/(1+0.2)</f>
        <v>0.16666666666666669</v>
      </c>
      <c r="D52" s="1">
        <f>1/(1+0.2)</f>
        <v>0.83333333333333337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562</v>
      </c>
      <c r="W52" s="1" t="s">
        <v>121</v>
      </c>
      <c r="X52" s="1" t="s">
        <v>119</v>
      </c>
      <c r="Y52" s="1" t="s">
        <v>120</v>
      </c>
      <c r="Z52" s="1">
        <v>0.59</v>
      </c>
      <c r="AA52" s="1" t="s">
        <v>46</v>
      </c>
      <c r="AB52" s="1" t="s">
        <v>6</v>
      </c>
      <c r="AC52" s="1">
        <v>10</v>
      </c>
      <c r="AD52" s="1">
        <v>292.25</v>
      </c>
      <c r="AF52" s="1" t="s">
        <v>118</v>
      </c>
    </row>
    <row r="53" spans="1:32" x14ac:dyDescent="0.3">
      <c r="A53" s="1" t="s">
        <v>113</v>
      </c>
      <c r="B53" s="1">
        <v>0</v>
      </c>
      <c r="C53" s="1">
        <f>0.4/(1+0.4)</f>
        <v>0.28571428571428575</v>
      </c>
      <c r="D53" s="1">
        <f>1/(1+0.4)</f>
        <v>0.7142857142857143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562</v>
      </c>
      <c r="W53" s="1" t="s">
        <v>121</v>
      </c>
      <c r="X53" s="1" t="s">
        <v>119</v>
      </c>
      <c r="Y53" s="1" t="s">
        <v>120</v>
      </c>
      <c r="Z53" s="1">
        <v>1.68</v>
      </c>
      <c r="AA53" s="1" t="s">
        <v>46</v>
      </c>
      <c r="AB53" s="1" t="s">
        <v>6</v>
      </c>
      <c r="AC53" s="1">
        <v>10</v>
      </c>
      <c r="AD53" s="1">
        <v>273.75</v>
      </c>
    </row>
    <row r="54" spans="1:32" x14ac:dyDescent="0.3">
      <c r="A54" s="1" t="s">
        <v>114</v>
      </c>
      <c r="B54" s="1">
        <v>0</v>
      </c>
      <c r="C54" s="1">
        <f>0.6/(1+0.6)</f>
        <v>0.37499999999999994</v>
      </c>
      <c r="D54" s="1">
        <f>1/(1+0.6)</f>
        <v>0.625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562</v>
      </c>
      <c r="W54" s="1" t="s">
        <v>121</v>
      </c>
      <c r="X54" s="1" t="s">
        <v>119</v>
      </c>
      <c r="Y54" s="1" t="s">
        <v>120</v>
      </c>
      <c r="Z54" s="1">
        <v>3.81</v>
      </c>
      <c r="AA54" s="1" t="s">
        <v>46</v>
      </c>
      <c r="AB54" s="1" t="s">
        <v>6</v>
      </c>
      <c r="AC54" s="1">
        <v>10</v>
      </c>
      <c r="AD54" s="1">
        <v>266.81</v>
      </c>
    </row>
    <row r="55" spans="1:32" x14ac:dyDescent="0.3">
      <c r="A55" s="1" t="s">
        <v>115</v>
      </c>
      <c r="B55" s="1">
        <v>0</v>
      </c>
      <c r="C55" s="1">
        <f>0.8/(1+0.8)</f>
        <v>0.44444444444444448</v>
      </c>
      <c r="D55" s="1">
        <f>1/(1+0.8)</f>
        <v>0.55555555555555558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562</v>
      </c>
      <c r="W55" s="1" t="s">
        <v>121</v>
      </c>
      <c r="X55" s="1" t="s">
        <v>119</v>
      </c>
      <c r="Y55" s="1" t="s">
        <v>120</v>
      </c>
      <c r="Z55" s="1">
        <v>4.68</v>
      </c>
      <c r="AA55" s="1" t="s">
        <v>46</v>
      </c>
      <c r="AB55" s="1" t="s">
        <v>6</v>
      </c>
      <c r="AC55" s="1">
        <v>10</v>
      </c>
      <c r="AD55" s="1">
        <v>246</v>
      </c>
    </row>
    <row r="56" spans="1:32" x14ac:dyDescent="0.3">
      <c r="A56" s="1" t="s">
        <v>116</v>
      </c>
      <c r="B56" s="1">
        <v>0</v>
      </c>
      <c r="C56" s="1">
        <f>1/(1+1)</f>
        <v>0.5</v>
      </c>
      <c r="D56" s="1">
        <f>1/(1+1)</f>
        <v>0.5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562</v>
      </c>
      <c r="W56" s="1" t="s">
        <v>121</v>
      </c>
      <c r="X56" s="1" t="s">
        <v>119</v>
      </c>
      <c r="Y56" s="1" t="s">
        <v>120</v>
      </c>
      <c r="Z56" s="1">
        <v>2.78</v>
      </c>
      <c r="AA56" s="1" t="s">
        <v>46</v>
      </c>
      <c r="AB56" s="1" t="s">
        <v>6</v>
      </c>
      <c r="AC56" s="1">
        <v>10</v>
      </c>
      <c r="AD56" s="1">
        <v>248.32</v>
      </c>
    </row>
    <row r="57" spans="1:32" x14ac:dyDescent="0.3">
      <c r="A57" s="1" t="s">
        <v>117</v>
      </c>
      <c r="B57" s="1">
        <v>0</v>
      </c>
      <c r="C57" s="1">
        <f>0.8/(1+0.8)</f>
        <v>0.44444444444444448</v>
      </c>
      <c r="D57" s="1">
        <f>1/(1+0.8)</f>
        <v>0.55555555555555558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562</v>
      </c>
      <c r="W57" s="1" t="s">
        <v>10</v>
      </c>
      <c r="X57" s="1" t="s">
        <v>18</v>
      </c>
      <c r="Y57" s="1" t="s">
        <v>59</v>
      </c>
      <c r="Z57" s="1">
        <v>0.45</v>
      </c>
      <c r="AA57" s="1" t="s">
        <v>46</v>
      </c>
      <c r="AB57" s="1" t="s">
        <v>6</v>
      </c>
      <c r="AC57" s="1">
        <v>10</v>
      </c>
      <c r="AD57" s="1">
        <v>332.59</v>
      </c>
    </row>
    <row r="58" spans="1:32" x14ac:dyDescent="0.3">
      <c r="A58" s="1" t="s">
        <v>123</v>
      </c>
      <c r="B58" s="1">
        <v>0.7</v>
      </c>
      <c r="C58" s="1">
        <v>0.3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674</v>
      </c>
      <c r="W58" s="1" t="s">
        <v>584</v>
      </c>
      <c r="X58" s="1" t="s">
        <v>469</v>
      </c>
      <c r="Y58" s="1" t="s">
        <v>128</v>
      </c>
      <c r="Z58" s="1">
        <v>3.09</v>
      </c>
      <c r="AA58" s="1" t="s">
        <v>46</v>
      </c>
      <c r="AB58" s="1" t="s">
        <v>45</v>
      </c>
      <c r="AC58" s="1">
        <v>100</v>
      </c>
      <c r="AD58" s="1">
        <v>200</v>
      </c>
      <c r="AF58" s="1" t="s">
        <v>127</v>
      </c>
    </row>
    <row r="59" spans="1:32" x14ac:dyDescent="0.3">
      <c r="A59" s="1" t="s">
        <v>122</v>
      </c>
      <c r="B59" s="1">
        <v>0.7</v>
      </c>
      <c r="C59" s="1">
        <v>0.3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 t="s">
        <v>674</v>
      </c>
      <c r="W59" s="1" t="s">
        <v>584</v>
      </c>
      <c r="X59" s="1" t="s">
        <v>469</v>
      </c>
      <c r="Y59" s="1" t="s">
        <v>128</v>
      </c>
      <c r="Z59" s="1">
        <v>3.09</v>
      </c>
      <c r="AA59" s="1" t="s">
        <v>46</v>
      </c>
      <c r="AB59" s="1" t="s">
        <v>45</v>
      </c>
      <c r="AC59" s="1">
        <v>200</v>
      </c>
      <c r="AD59" s="1">
        <v>205</v>
      </c>
    </row>
    <row r="60" spans="1:32" x14ac:dyDescent="0.3">
      <c r="A60" s="1" t="s">
        <v>124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 t="s">
        <v>674</v>
      </c>
      <c r="W60" s="1" t="s">
        <v>584</v>
      </c>
      <c r="X60" s="1" t="s">
        <v>469</v>
      </c>
      <c r="Y60" s="1" t="s">
        <v>126</v>
      </c>
      <c r="Z60" s="1">
        <v>2.65</v>
      </c>
      <c r="AA60" s="1" t="s">
        <v>46</v>
      </c>
      <c r="AB60" s="1" t="s">
        <v>45</v>
      </c>
      <c r="AC60" s="1">
        <v>100</v>
      </c>
      <c r="AD60" s="1">
        <v>363</v>
      </c>
    </row>
    <row r="61" spans="1:32" x14ac:dyDescent="0.3">
      <c r="A61" s="1" t="s">
        <v>124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 t="s">
        <v>674</v>
      </c>
      <c r="W61" s="1" t="s">
        <v>584</v>
      </c>
      <c r="X61" s="1" t="s">
        <v>469</v>
      </c>
      <c r="Y61" s="1" t="s">
        <v>126</v>
      </c>
      <c r="Z61" s="1">
        <v>2.65</v>
      </c>
      <c r="AA61" s="1" t="s">
        <v>46</v>
      </c>
      <c r="AB61" s="1" t="s">
        <v>45</v>
      </c>
      <c r="AC61" s="1">
        <v>200</v>
      </c>
      <c r="AD61" s="1">
        <v>390</v>
      </c>
    </row>
    <row r="62" spans="1:32" x14ac:dyDescent="0.3">
      <c r="A62" s="1" t="s">
        <v>125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 t="s">
        <v>674</v>
      </c>
      <c r="W62" s="1" t="s">
        <v>584</v>
      </c>
      <c r="X62" s="1" t="s">
        <v>469</v>
      </c>
      <c r="Y62" s="1" t="s">
        <v>583</v>
      </c>
      <c r="Z62" s="1">
        <v>1.65</v>
      </c>
      <c r="AA62" s="1" t="s">
        <v>46</v>
      </c>
      <c r="AB62" s="1" t="s">
        <v>45</v>
      </c>
      <c r="AC62" s="1">
        <v>100</v>
      </c>
      <c r="AD62" s="1">
        <v>514</v>
      </c>
    </row>
    <row r="63" spans="1:32" x14ac:dyDescent="0.3">
      <c r="A63" s="1" t="s">
        <v>125</v>
      </c>
      <c r="B63" s="1">
        <v>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 t="s">
        <v>674</v>
      </c>
      <c r="W63" s="1" t="s">
        <v>584</v>
      </c>
      <c r="X63" s="1" t="s">
        <v>469</v>
      </c>
      <c r="Y63" s="1" t="s">
        <v>583</v>
      </c>
      <c r="Z63" s="1">
        <v>1.65</v>
      </c>
      <c r="AA63" s="1" t="s">
        <v>46</v>
      </c>
      <c r="AB63" s="1" t="s">
        <v>45</v>
      </c>
      <c r="AC63" s="1">
        <v>200</v>
      </c>
      <c r="AD63" s="1">
        <v>549</v>
      </c>
    </row>
    <row r="64" spans="1:32" x14ac:dyDescent="0.3">
      <c r="A64" s="1" t="s">
        <v>129</v>
      </c>
      <c r="B64" s="1">
        <v>0</v>
      </c>
      <c r="C64" s="1">
        <v>0.95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0.05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 t="s">
        <v>562</v>
      </c>
      <c r="W64" s="1" t="s">
        <v>585</v>
      </c>
      <c r="X64" s="1" t="s">
        <v>18</v>
      </c>
      <c r="Y64" s="1" t="s">
        <v>94</v>
      </c>
      <c r="Z64" s="1">
        <f>6.65/1000</f>
        <v>6.6500000000000005E-3</v>
      </c>
      <c r="AA64" s="1" t="s">
        <v>8</v>
      </c>
      <c r="AB64" s="1" t="s">
        <v>27</v>
      </c>
      <c r="AC64" s="1">
        <v>100</v>
      </c>
      <c r="AD64" s="1">
        <v>250</v>
      </c>
      <c r="AF64" s="1" t="s">
        <v>131</v>
      </c>
    </row>
    <row r="65" spans="1:32" x14ac:dyDescent="0.3">
      <c r="A65" s="1" t="s">
        <v>129</v>
      </c>
      <c r="B65" s="1">
        <v>0</v>
      </c>
      <c r="C65" s="1">
        <v>0.95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0.05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 t="s">
        <v>562</v>
      </c>
      <c r="W65" s="1" t="s">
        <v>585</v>
      </c>
      <c r="X65" s="1" t="s">
        <v>18</v>
      </c>
      <c r="Y65" s="1" t="s">
        <v>94</v>
      </c>
      <c r="Z65" s="1">
        <f t="shared" ref="Z65:Z68" si="0">6.65/1000</f>
        <v>6.6500000000000005E-3</v>
      </c>
      <c r="AA65" s="1" t="s">
        <v>46</v>
      </c>
      <c r="AB65" s="1" t="s">
        <v>27</v>
      </c>
      <c r="AC65" s="1">
        <v>188</v>
      </c>
      <c r="AD65" s="1">
        <v>300</v>
      </c>
    </row>
    <row r="66" spans="1:32" x14ac:dyDescent="0.3">
      <c r="A66" s="1" t="s">
        <v>129</v>
      </c>
      <c r="B66" s="1">
        <v>0</v>
      </c>
      <c r="C66" s="1">
        <v>0.95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0.05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 t="s">
        <v>562</v>
      </c>
      <c r="W66" s="1" t="s">
        <v>585</v>
      </c>
      <c r="X66" s="1" t="s">
        <v>18</v>
      </c>
      <c r="Y66" s="1" t="s">
        <v>94</v>
      </c>
      <c r="Z66" s="1">
        <f t="shared" si="0"/>
        <v>6.6500000000000005E-3</v>
      </c>
      <c r="AA66" s="1" t="s">
        <v>46</v>
      </c>
      <c r="AB66" s="1" t="s">
        <v>27</v>
      </c>
      <c r="AC66" s="1">
        <v>200</v>
      </c>
      <c r="AD66" s="1">
        <v>310</v>
      </c>
    </row>
    <row r="67" spans="1:32" x14ac:dyDescent="0.3">
      <c r="A67" s="1" t="s">
        <v>129</v>
      </c>
      <c r="B67" s="1">
        <v>0</v>
      </c>
      <c r="C67" s="1">
        <v>0.95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0.05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 t="s">
        <v>562</v>
      </c>
      <c r="W67" s="1" t="s">
        <v>585</v>
      </c>
      <c r="X67" s="1" t="s">
        <v>18</v>
      </c>
      <c r="Y67" s="1" t="s">
        <v>94</v>
      </c>
      <c r="Z67" s="1">
        <f t="shared" si="0"/>
        <v>6.6500000000000005E-3</v>
      </c>
      <c r="AA67" s="1" t="s">
        <v>46</v>
      </c>
      <c r="AB67" s="1" t="s">
        <v>27</v>
      </c>
      <c r="AC67" s="1">
        <v>300</v>
      </c>
      <c r="AD67" s="1">
        <v>360</v>
      </c>
    </row>
    <row r="68" spans="1:32" x14ac:dyDescent="0.3">
      <c r="A68" s="1" t="s">
        <v>129</v>
      </c>
      <c r="B68" s="1">
        <v>0</v>
      </c>
      <c r="C68" s="1">
        <v>0.95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0.05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 t="s">
        <v>562</v>
      </c>
      <c r="W68" s="1" t="s">
        <v>585</v>
      </c>
      <c r="X68" s="1" t="s">
        <v>18</v>
      </c>
      <c r="Y68" s="1" t="s">
        <v>94</v>
      </c>
      <c r="Z68" s="1">
        <f t="shared" si="0"/>
        <v>6.6500000000000005E-3</v>
      </c>
      <c r="AA68" s="1" t="s">
        <v>46</v>
      </c>
      <c r="AB68" s="1" t="s">
        <v>27</v>
      </c>
      <c r="AC68" s="1">
        <v>500</v>
      </c>
      <c r="AD68" s="1">
        <v>470</v>
      </c>
    </row>
    <row r="69" spans="1:32" x14ac:dyDescent="0.3">
      <c r="A69" s="1" t="s">
        <v>586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 t="s">
        <v>562</v>
      </c>
      <c r="W69" s="1" t="s">
        <v>585</v>
      </c>
      <c r="X69" s="1" t="s">
        <v>18</v>
      </c>
      <c r="Y69" s="1" t="s">
        <v>94</v>
      </c>
      <c r="Z69" s="1">
        <f>2.34/1000</f>
        <v>2.3400000000000001E-3</v>
      </c>
      <c r="AA69" s="1" t="s">
        <v>46</v>
      </c>
      <c r="AB69" s="1" t="s">
        <v>27</v>
      </c>
      <c r="AC69" s="1">
        <v>100</v>
      </c>
      <c r="AD69" s="1">
        <v>299</v>
      </c>
    </row>
    <row r="70" spans="1:32" x14ac:dyDescent="0.3">
      <c r="A70" s="1" t="s">
        <v>586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 t="s">
        <v>562</v>
      </c>
      <c r="W70" s="1" t="s">
        <v>585</v>
      </c>
      <c r="X70" s="1" t="s">
        <v>18</v>
      </c>
      <c r="Y70" s="1" t="s">
        <v>94</v>
      </c>
      <c r="Z70" s="1">
        <f>2.34/1000</f>
        <v>2.3400000000000001E-3</v>
      </c>
      <c r="AA70" s="1" t="s">
        <v>46</v>
      </c>
      <c r="AB70" s="1" t="s">
        <v>27</v>
      </c>
      <c r="AC70" s="1">
        <v>200</v>
      </c>
      <c r="AD70" s="1">
        <v>402</v>
      </c>
    </row>
    <row r="71" spans="1:32" x14ac:dyDescent="0.3">
      <c r="A71" s="1" t="s">
        <v>586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 t="s">
        <v>562</v>
      </c>
      <c r="W71" s="1" t="s">
        <v>585</v>
      </c>
      <c r="X71" s="1" t="s">
        <v>18</v>
      </c>
      <c r="Y71" s="1" t="s">
        <v>94</v>
      </c>
      <c r="Z71" s="1">
        <f>2.34/1000</f>
        <v>2.3400000000000001E-3</v>
      </c>
      <c r="AA71" s="1" t="s">
        <v>46</v>
      </c>
      <c r="AB71" s="1" t="s">
        <v>27</v>
      </c>
      <c r="AC71" s="1">
        <v>300</v>
      </c>
      <c r="AD71" s="1">
        <v>500</v>
      </c>
    </row>
    <row r="72" spans="1:32" ht="14.5" customHeight="1" x14ac:dyDescent="0.3">
      <c r="A72" s="1" t="s">
        <v>132</v>
      </c>
      <c r="B72" s="1">
        <v>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 t="s">
        <v>548</v>
      </c>
      <c r="W72" s="1" t="s">
        <v>589</v>
      </c>
      <c r="X72" s="1" t="s">
        <v>134</v>
      </c>
      <c r="Y72" s="1" t="s">
        <v>135</v>
      </c>
      <c r="Z72" s="1">
        <v>32.799999999999997</v>
      </c>
      <c r="AA72" s="1" t="s">
        <v>46</v>
      </c>
      <c r="AB72" s="1" t="s">
        <v>27</v>
      </c>
      <c r="AC72" s="1">
        <v>300</v>
      </c>
      <c r="AD72" s="1">
        <v>330</v>
      </c>
      <c r="AF72" s="1" t="s">
        <v>150</v>
      </c>
    </row>
    <row r="73" spans="1:32" x14ac:dyDescent="0.3">
      <c r="A73" s="1" t="s">
        <v>68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 t="s">
        <v>548</v>
      </c>
      <c r="W73" s="1" t="s">
        <v>587</v>
      </c>
      <c r="X73" s="1" t="s">
        <v>18</v>
      </c>
      <c r="Y73" s="1" t="s">
        <v>94</v>
      </c>
      <c r="Z73" s="1">
        <v>70.34</v>
      </c>
      <c r="AA73" s="1" t="s">
        <v>46</v>
      </c>
      <c r="AB73" s="1" t="s">
        <v>27</v>
      </c>
      <c r="AC73" s="1">
        <v>47</v>
      </c>
      <c r="AD73" s="1">
        <v>330</v>
      </c>
    </row>
    <row r="74" spans="1:32" x14ac:dyDescent="0.3">
      <c r="A74" s="1" t="s">
        <v>133</v>
      </c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 t="s">
        <v>548</v>
      </c>
      <c r="W74" s="1" t="s">
        <v>588</v>
      </c>
      <c r="X74" s="1" t="s">
        <v>20</v>
      </c>
      <c r="Y74" s="1" t="s">
        <v>94</v>
      </c>
      <c r="Z74" s="1">
        <v>28.24</v>
      </c>
      <c r="AA74" s="1" t="s">
        <v>46</v>
      </c>
      <c r="AB74" s="1" t="s">
        <v>27</v>
      </c>
      <c r="AC74" s="1">
        <v>60</v>
      </c>
      <c r="AD74" s="1">
        <v>330</v>
      </c>
    </row>
    <row r="75" spans="1:32" x14ac:dyDescent="0.3">
      <c r="A75" s="1" t="s">
        <v>136</v>
      </c>
      <c r="B75" s="1">
        <v>0</v>
      </c>
      <c r="C75" s="1">
        <v>0</v>
      </c>
      <c r="D75" s="1">
        <v>0.75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0.25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 t="s">
        <v>590</v>
      </c>
      <c r="W75" s="1" t="s">
        <v>139</v>
      </c>
      <c r="X75" s="1" t="s">
        <v>20</v>
      </c>
      <c r="Y75" s="1" t="s">
        <v>140</v>
      </c>
      <c r="Z75" s="1">
        <v>117</v>
      </c>
      <c r="AA75" s="1" t="s">
        <v>8</v>
      </c>
      <c r="AB75" s="1" t="s">
        <v>6</v>
      </c>
      <c r="AC75" s="1">
        <v>10</v>
      </c>
      <c r="AD75" s="1">
        <v>290</v>
      </c>
      <c r="AF75" s="1" t="s">
        <v>138</v>
      </c>
    </row>
    <row r="76" spans="1:32" x14ac:dyDescent="0.3">
      <c r="A76" s="1" t="s">
        <v>24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 t="s">
        <v>590</v>
      </c>
      <c r="W76" s="1" t="s">
        <v>139</v>
      </c>
      <c r="X76" s="1" t="s">
        <v>20</v>
      </c>
      <c r="Y76" s="1" t="s">
        <v>140</v>
      </c>
      <c r="Z76" s="1">
        <v>20.6</v>
      </c>
      <c r="AA76" s="1" t="s">
        <v>46</v>
      </c>
      <c r="AB76" s="1" t="s">
        <v>6</v>
      </c>
      <c r="AC76" s="1">
        <v>10</v>
      </c>
      <c r="AD76" s="1">
        <v>400</v>
      </c>
    </row>
    <row r="77" spans="1:32" x14ac:dyDescent="0.3">
      <c r="A77" s="1" t="s">
        <v>141</v>
      </c>
      <c r="B77" s="1">
        <f>2.82/3.82</f>
        <v>0.73821989528795806</v>
      </c>
      <c r="C77" s="1">
        <f>1/3.82</f>
        <v>0.26178010471204188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 t="s">
        <v>562</v>
      </c>
      <c r="W77" s="1" t="s">
        <v>149</v>
      </c>
      <c r="X77" s="1" t="s">
        <v>318</v>
      </c>
      <c r="Y77" s="1" t="s">
        <v>147</v>
      </c>
      <c r="Z77" s="1">
        <f>(0.02809-0.1701)/(10.27303-100.44887)</f>
        <v>1.5748120560895248E-3</v>
      </c>
      <c r="AA77" s="1" t="s">
        <v>8</v>
      </c>
      <c r="AB77" s="1" t="s">
        <v>30</v>
      </c>
      <c r="AC77" s="1">
        <v>100</v>
      </c>
      <c r="AD77" s="1">
        <v>327.52999999999997</v>
      </c>
      <c r="AF77" s="1" t="s">
        <v>148</v>
      </c>
    </row>
    <row r="78" spans="1:32" x14ac:dyDescent="0.3">
      <c r="A78" s="1" t="s">
        <v>142</v>
      </c>
      <c r="B78" s="1">
        <f>9.13/(9.13+1.92+1)</f>
        <v>0.75767634854771782</v>
      </c>
      <c r="C78" s="1">
        <f>1.92/(9.13+1.92+1)</f>
        <v>0.15933609958506223</v>
      </c>
      <c r="D78" s="1">
        <v>0</v>
      </c>
      <c r="E78" s="1">
        <f>1/(9.13+1.92+1)</f>
        <v>8.2987551867219914E-2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 t="s">
        <v>562</v>
      </c>
      <c r="W78" s="1" t="s">
        <v>149</v>
      </c>
      <c r="X78" s="1" t="s">
        <v>318</v>
      </c>
      <c r="Y78" s="1" t="s">
        <v>147</v>
      </c>
      <c r="Z78" s="1">
        <f>(0.0426-0.21349)/(10.36354-100.1547)</f>
        <v>1.9031940338002094E-3</v>
      </c>
      <c r="AA78" s="1" t="s">
        <v>46</v>
      </c>
      <c r="AB78" s="1" t="s">
        <v>30</v>
      </c>
      <c r="AC78" s="1">
        <v>100</v>
      </c>
      <c r="AD78" s="1">
        <v>281.32</v>
      </c>
    </row>
    <row r="79" spans="1:32" x14ac:dyDescent="0.3">
      <c r="A79" s="1" t="s">
        <v>143</v>
      </c>
      <c r="B79" s="1">
        <f>6.25/(6.25+0.91+1)</f>
        <v>0.76593137254901955</v>
      </c>
      <c r="C79" s="1">
        <f>0.91/(6.25+0.91+1)</f>
        <v>0.11151960784313726</v>
      </c>
      <c r="D79" s="1">
        <v>0</v>
      </c>
      <c r="E79" s="1">
        <f>1/(6.25+0.91+1)</f>
        <v>0.12254901960784313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 t="s">
        <v>562</v>
      </c>
      <c r="W79" s="1" t="s">
        <v>149</v>
      </c>
      <c r="X79" s="1" t="s">
        <v>318</v>
      </c>
      <c r="Y79" s="1" t="s">
        <v>146</v>
      </c>
      <c r="Z79" s="1">
        <f>(0.04465-0.25832)/(10.70298-99.92841)</f>
        <v>2.3947208772207651E-3</v>
      </c>
      <c r="AA79" s="1" t="s">
        <v>46</v>
      </c>
      <c r="AB79" s="1" t="s">
        <v>30</v>
      </c>
      <c r="AC79" s="1">
        <v>100</v>
      </c>
      <c r="AD79" s="1">
        <v>200</v>
      </c>
    </row>
    <row r="80" spans="1:32" x14ac:dyDescent="0.3">
      <c r="A80" s="1" t="s">
        <v>143</v>
      </c>
      <c r="B80" s="1">
        <f>6.25/(6.25+0.91+1)</f>
        <v>0.76593137254901955</v>
      </c>
      <c r="C80" s="1">
        <f>0.91/(6.25+0.91+1)</f>
        <v>0.11151960784313726</v>
      </c>
      <c r="D80" s="1">
        <v>0</v>
      </c>
      <c r="E80" s="1">
        <f>1/(6.25+0.91+1)</f>
        <v>0.12254901960784313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 t="s">
        <v>562</v>
      </c>
      <c r="W80" s="1" t="s">
        <v>149</v>
      </c>
      <c r="X80" s="1" t="s">
        <v>318</v>
      </c>
      <c r="Y80" s="1" t="s">
        <v>146</v>
      </c>
      <c r="Z80" s="1">
        <f>(0.04465-0.25832)/(10.70298-99.92841)</f>
        <v>2.3947208772207651E-3</v>
      </c>
      <c r="AA80" s="1" t="s">
        <v>46</v>
      </c>
      <c r="AB80" s="1" t="s">
        <v>30</v>
      </c>
      <c r="AC80" s="1">
        <v>100</v>
      </c>
      <c r="AD80" s="1">
        <v>264</v>
      </c>
    </row>
    <row r="81" spans="1:33" x14ac:dyDescent="0.3">
      <c r="A81" s="1" t="s">
        <v>143</v>
      </c>
      <c r="B81" s="1">
        <f>6.25/(6.25+0.91+1)</f>
        <v>0.76593137254901955</v>
      </c>
      <c r="C81" s="1">
        <f>0.91/(6.25+0.91+1)</f>
        <v>0.11151960784313726</v>
      </c>
      <c r="D81" s="1">
        <v>0</v>
      </c>
      <c r="E81" s="1">
        <f>1/(6.25+0.91+1)</f>
        <v>0.12254901960784313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 t="s">
        <v>562</v>
      </c>
      <c r="W81" s="1" t="s">
        <v>149</v>
      </c>
      <c r="X81" s="1" t="s">
        <v>318</v>
      </c>
      <c r="Y81" s="1" t="s">
        <v>146</v>
      </c>
      <c r="Z81" s="1">
        <f>(0.04465-0.25832)/(10.70298-99.92841)</f>
        <v>2.3947208772207651E-3</v>
      </c>
      <c r="AA81" s="1" t="s">
        <v>46</v>
      </c>
      <c r="AB81" s="1" t="s">
        <v>30</v>
      </c>
      <c r="AC81" s="1">
        <v>500</v>
      </c>
      <c r="AD81" s="1">
        <v>291</v>
      </c>
    </row>
    <row r="82" spans="1:33" x14ac:dyDescent="0.3">
      <c r="A82" s="1" t="s">
        <v>144</v>
      </c>
      <c r="B82" s="1">
        <f>4.56/(4.56+0.56+1)</f>
        <v>0.74509803921568629</v>
      </c>
      <c r="C82" s="1">
        <f>0.56/(4.56+0.56+1)</f>
        <v>9.1503267973856231E-2</v>
      </c>
      <c r="D82" s="1">
        <v>0</v>
      </c>
      <c r="E82" s="1">
        <f>1/(4.56+0.56+1)</f>
        <v>0.16339869281045755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 t="s">
        <v>562</v>
      </c>
      <c r="W82" s="1" t="s">
        <v>149</v>
      </c>
      <c r="X82" s="1" t="s">
        <v>318</v>
      </c>
      <c r="Y82" s="1" t="s">
        <v>147</v>
      </c>
      <c r="Z82" s="1">
        <f>(0.04891-0.24009)/(10.47669-100.1547)</f>
        <v>2.1318492682877326E-3</v>
      </c>
      <c r="AA82" s="1" t="s">
        <v>8</v>
      </c>
      <c r="AB82" s="1" t="s">
        <v>30</v>
      </c>
      <c r="AC82" s="1">
        <v>100</v>
      </c>
      <c r="AD82" s="1">
        <v>270.60000000000002</v>
      </c>
    </row>
    <row r="83" spans="1:33" x14ac:dyDescent="0.3">
      <c r="A83" s="1" t="s">
        <v>145</v>
      </c>
      <c r="B83" s="1">
        <f>2.77/3.77</f>
        <v>0.73474801061007955</v>
      </c>
      <c r="C83" s="1">
        <v>0</v>
      </c>
      <c r="D83" s="1">
        <v>0</v>
      </c>
      <c r="E83" s="1">
        <f>1/3.77</f>
        <v>0.26525198938992045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 t="s">
        <v>562</v>
      </c>
      <c r="W83" s="1" t="s">
        <v>149</v>
      </c>
      <c r="X83" s="1" t="s">
        <v>318</v>
      </c>
      <c r="Y83" s="1" t="s">
        <v>147</v>
      </c>
      <c r="Z83" s="1">
        <f>(0.04328-0.20437)/(10.27303-99.92841)</f>
        <v>1.79676891671197E-3</v>
      </c>
      <c r="AA83" s="1" t="s">
        <v>46</v>
      </c>
      <c r="AB83" s="1" t="s">
        <v>30</v>
      </c>
      <c r="AC83" s="1">
        <v>100</v>
      </c>
      <c r="AD83" s="1">
        <v>281.32</v>
      </c>
    </row>
    <row r="84" spans="1:33" x14ac:dyDescent="0.3">
      <c r="A84" s="1" t="s">
        <v>151</v>
      </c>
      <c r="B84" s="1">
        <v>0</v>
      </c>
      <c r="C84" s="1">
        <v>0</v>
      </c>
      <c r="D84" s="1">
        <v>0.8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0.2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 t="s">
        <v>591</v>
      </c>
      <c r="W84" s="1" t="s">
        <v>153</v>
      </c>
      <c r="X84" s="1" t="s">
        <v>592</v>
      </c>
      <c r="Y84" s="1" t="s">
        <v>155</v>
      </c>
      <c r="Z84" s="1" t="s">
        <v>59</v>
      </c>
      <c r="AA84" s="1" t="s">
        <v>46</v>
      </c>
      <c r="AB84" s="1" t="s">
        <v>6</v>
      </c>
      <c r="AC84" s="1">
        <v>10</v>
      </c>
      <c r="AD84" s="1">
        <v>235</v>
      </c>
      <c r="AF84" s="1" t="s">
        <v>156</v>
      </c>
      <c r="AG84" s="1" t="s">
        <v>171</v>
      </c>
    </row>
    <row r="85" spans="1:33" x14ac:dyDescent="0.3">
      <c r="A85" s="1" t="s">
        <v>593</v>
      </c>
      <c r="B85" s="1">
        <v>0</v>
      </c>
      <c r="C85" s="1">
        <v>0</v>
      </c>
      <c r="D85" s="1">
        <v>0.9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0.1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 t="s">
        <v>591</v>
      </c>
      <c r="W85" s="1" t="s">
        <v>153</v>
      </c>
      <c r="X85" s="1" t="s">
        <v>592</v>
      </c>
      <c r="Y85" s="1" t="s">
        <v>155</v>
      </c>
      <c r="Z85" s="1" t="s">
        <v>59</v>
      </c>
      <c r="AA85" s="1" t="s">
        <v>46</v>
      </c>
      <c r="AB85" s="1" t="s">
        <v>6</v>
      </c>
      <c r="AC85" s="1">
        <v>10</v>
      </c>
      <c r="AD85" s="1">
        <v>289.76</v>
      </c>
    </row>
    <row r="86" spans="1:33" x14ac:dyDescent="0.3">
      <c r="A86" s="1" t="s">
        <v>594</v>
      </c>
      <c r="B86" s="1">
        <v>0</v>
      </c>
      <c r="C86" s="1">
        <v>0</v>
      </c>
      <c r="D86" s="1">
        <v>0.7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0.3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 t="s">
        <v>591</v>
      </c>
      <c r="W86" s="1" t="s">
        <v>153</v>
      </c>
      <c r="X86" s="1" t="s">
        <v>592</v>
      </c>
      <c r="Y86" s="1" t="s">
        <v>155</v>
      </c>
      <c r="Z86" s="1" t="s">
        <v>59</v>
      </c>
      <c r="AA86" s="1" t="s">
        <v>8</v>
      </c>
      <c r="AB86" s="1" t="s">
        <v>6</v>
      </c>
      <c r="AC86" s="1">
        <v>10</v>
      </c>
      <c r="AD86" s="1">
        <v>280</v>
      </c>
    </row>
    <row r="87" spans="1:33" x14ac:dyDescent="0.3">
      <c r="A87" s="1" t="s">
        <v>24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 t="s">
        <v>590</v>
      </c>
      <c r="W87" s="1" t="s">
        <v>153</v>
      </c>
      <c r="X87" s="1" t="s">
        <v>592</v>
      </c>
      <c r="Y87" s="1" t="s">
        <v>155</v>
      </c>
      <c r="Z87" s="1" t="s">
        <v>59</v>
      </c>
      <c r="AA87" s="1" t="s">
        <v>46</v>
      </c>
      <c r="AB87" s="1" t="s">
        <v>6</v>
      </c>
      <c r="AC87" s="1">
        <v>10</v>
      </c>
      <c r="AD87" s="1">
        <v>352.18</v>
      </c>
    </row>
    <row r="88" spans="1:33" x14ac:dyDescent="0.3">
      <c r="A88" s="1" t="s">
        <v>157</v>
      </c>
      <c r="B88" s="1">
        <v>0</v>
      </c>
      <c r="C88" s="1">
        <v>0.4647</v>
      </c>
      <c r="D88" s="1">
        <v>0.54530000000000001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 t="s">
        <v>562</v>
      </c>
      <c r="W88" s="1" t="s">
        <v>595</v>
      </c>
      <c r="X88" s="1" t="s">
        <v>20</v>
      </c>
      <c r="Y88" s="1" t="s">
        <v>360</v>
      </c>
      <c r="Z88" s="1" t="s">
        <v>59</v>
      </c>
      <c r="AA88" s="1" t="s">
        <v>159</v>
      </c>
      <c r="AB88" s="1" t="s">
        <v>6</v>
      </c>
      <c r="AC88" s="1">
        <v>10</v>
      </c>
      <c r="AD88" s="1">
        <v>390</v>
      </c>
      <c r="AF88" s="1" t="s">
        <v>158</v>
      </c>
    </row>
    <row r="89" spans="1:33" x14ac:dyDescent="0.3">
      <c r="A89" s="1" t="s">
        <v>596</v>
      </c>
      <c r="B89" s="1">
        <v>0</v>
      </c>
      <c r="C89" s="1">
        <v>0.2351</v>
      </c>
      <c r="D89" s="1">
        <v>0.77490000000000003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 t="s">
        <v>562</v>
      </c>
      <c r="W89" s="1" t="s">
        <v>595</v>
      </c>
      <c r="X89" s="1" t="s">
        <v>20</v>
      </c>
      <c r="Y89" s="1" t="s">
        <v>360</v>
      </c>
      <c r="Z89" s="1" t="s">
        <v>59</v>
      </c>
      <c r="AA89" s="1" t="s">
        <v>159</v>
      </c>
      <c r="AB89" s="1" t="s">
        <v>6</v>
      </c>
      <c r="AC89" s="1">
        <v>10</v>
      </c>
      <c r="AD89" s="1">
        <v>454</v>
      </c>
    </row>
    <row r="90" spans="1:33" x14ac:dyDescent="0.3">
      <c r="A90" s="1" t="s">
        <v>597</v>
      </c>
      <c r="B90" s="1">
        <v>0</v>
      </c>
      <c r="C90" s="1">
        <v>0.77669999999999995</v>
      </c>
      <c r="D90" s="1">
        <v>0.23330000000000001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 t="s">
        <v>562</v>
      </c>
      <c r="W90" s="1" t="s">
        <v>595</v>
      </c>
      <c r="X90" s="1" t="s">
        <v>20</v>
      </c>
      <c r="Y90" s="1" t="s">
        <v>360</v>
      </c>
      <c r="Z90" s="1" t="s">
        <v>59</v>
      </c>
      <c r="AA90" s="1" t="s">
        <v>159</v>
      </c>
      <c r="AB90" s="1" t="s">
        <v>6</v>
      </c>
      <c r="AC90" s="1">
        <v>10</v>
      </c>
      <c r="AD90" s="1">
        <v>501.4</v>
      </c>
    </row>
    <row r="91" spans="1:33" x14ac:dyDescent="0.3">
      <c r="A91" s="1" t="s">
        <v>598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 t="s">
        <v>562</v>
      </c>
      <c r="W91" s="1" t="s">
        <v>595</v>
      </c>
      <c r="X91" s="1" t="s">
        <v>20</v>
      </c>
      <c r="Y91" s="1" t="s">
        <v>360</v>
      </c>
      <c r="Z91" s="1" t="s">
        <v>59</v>
      </c>
      <c r="AA91" s="1" t="s">
        <v>159</v>
      </c>
      <c r="AB91" s="1" t="s">
        <v>6</v>
      </c>
      <c r="AC91" s="1">
        <v>10</v>
      </c>
      <c r="AD91" s="1">
        <v>750</v>
      </c>
    </row>
    <row r="92" spans="1:33" x14ac:dyDescent="0.3">
      <c r="A92" s="1" t="s">
        <v>599</v>
      </c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 t="s">
        <v>562</v>
      </c>
      <c r="W92" s="1" t="s">
        <v>595</v>
      </c>
      <c r="X92" s="1" t="s">
        <v>20</v>
      </c>
      <c r="Y92" s="1" t="s">
        <v>360</v>
      </c>
      <c r="Z92" s="1" t="s">
        <v>59</v>
      </c>
      <c r="AA92" s="1" t="s">
        <v>159</v>
      </c>
      <c r="AB92" s="1" t="s">
        <v>6</v>
      </c>
      <c r="AC92" s="1">
        <v>10</v>
      </c>
      <c r="AD92" s="1">
        <v>530</v>
      </c>
    </row>
    <row r="93" spans="1:33" x14ac:dyDescent="0.3">
      <c r="A93" s="1" t="s">
        <v>600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 t="s">
        <v>562</v>
      </c>
      <c r="W93" s="1" t="s">
        <v>595</v>
      </c>
      <c r="X93" s="1" t="s">
        <v>20</v>
      </c>
      <c r="Y93" s="1" t="s">
        <v>360</v>
      </c>
      <c r="Z93" s="1" t="s">
        <v>59</v>
      </c>
      <c r="AA93" s="1" t="s">
        <v>159</v>
      </c>
      <c r="AB93" s="1" t="s">
        <v>6</v>
      </c>
      <c r="AC93" s="1">
        <v>10</v>
      </c>
      <c r="AD93" s="1">
        <v>630</v>
      </c>
    </row>
    <row r="94" spans="1:33" x14ac:dyDescent="0.3">
      <c r="A94" s="1" t="s">
        <v>160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 t="s">
        <v>3</v>
      </c>
      <c r="V94" s="1" t="s">
        <v>562</v>
      </c>
      <c r="W94" s="1" t="s">
        <v>161</v>
      </c>
      <c r="X94" s="1" t="s">
        <v>318</v>
      </c>
      <c r="Y94" s="1" t="s">
        <v>162</v>
      </c>
      <c r="Z94" s="1">
        <v>5.94E-3</v>
      </c>
      <c r="AA94" s="1" t="s">
        <v>76</v>
      </c>
      <c r="AB94" s="1" t="s">
        <v>27</v>
      </c>
      <c r="AC94" s="1">
        <v>59.6</v>
      </c>
      <c r="AD94" s="1">
        <v>799</v>
      </c>
      <c r="AF94" s="1" t="s">
        <v>163</v>
      </c>
    </row>
    <row r="95" spans="1:33" x14ac:dyDescent="0.3">
      <c r="A95" s="1" t="s">
        <v>165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 t="s">
        <v>548</v>
      </c>
      <c r="W95" s="1" t="s">
        <v>601</v>
      </c>
      <c r="X95" s="1" t="s">
        <v>167</v>
      </c>
      <c r="Y95" s="1" t="s">
        <v>168</v>
      </c>
      <c r="Z95" s="1" t="s">
        <v>59</v>
      </c>
      <c r="AA95" s="1" t="s">
        <v>169</v>
      </c>
      <c r="AB95" s="1" t="s">
        <v>170</v>
      </c>
      <c r="AC95" s="1">
        <v>10</v>
      </c>
      <c r="AD95" s="1">
        <v>300</v>
      </c>
      <c r="AF95" s="1" t="s">
        <v>164</v>
      </c>
    </row>
    <row r="96" spans="1:33" x14ac:dyDescent="0.3">
      <c r="A96" s="1" t="s">
        <v>172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 t="s">
        <v>173</v>
      </c>
      <c r="V96" s="1" t="s">
        <v>562</v>
      </c>
      <c r="W96" s="1" t="s">
        <v>602</v>
      </c>
      <c r="X96" s="1" t="s">
        <v>189</v>
      </c>
      <c r="Y96" s="1" t="s">
        <v>174</v>
      </c>
      <c r="Z96" s="1" t="s">
        <v>59</v>
      </c>
      <c r="AA96" s="1" t="s">
        <v>76</v>
      </c>
      <c r="AB96" s="1" t="s">
        <v>27</v>
      </c>
      <c r="AC96" s="1">
        <v>17.600000000000001</v>
      </c>
      <c r="AD96" s="1">
        <v>250</v>
      </c>
      <c r="AF96" s="1" t="s">
        <v>175</v>
      </c>
    </row>
    <row r="97" spans="1:32" x14ac:dyDescent="0.3">
      <c r="A97" s="1" t="s">
        <v>172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 t="s">
        <v>173</v>
      </c>
      <c r="V97" s="1" t="s">
        <v>562</v>
      </c>
      <c r="W97" s="1" t="s">
        <v>602</v>
      </c>
      <c r="X97" s="1" t="s">
        <v>189</v>
      </c>
      <c r="Y97" s="1" t="s">
        <v>174</v>
      </c>
      <c r="Z97" s="1" t="s">
        <v>59</v>
      </c>
      <c r="AA97" s="1" t="s">
        <v>76</v>
      </c>
      <c r="AB97" s="1" t="s">
        <v>27</v>
      </c>
      <c r="AC97" s="1">
        <v>70.900000000000006</v>
      </c>
      <c r="AD97" s="1">
        <v>300</v>
      </c>
    </row>
    <row r="98" spans="1:32" x14ac:dyDescent="0.3">
      <c r="A98" s="1" t="s">
        <v>172</v>
      </c>
      <c r="B98" s="1">
        <v>0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 t="s">
        <v>173</v>
      </c>
      <c r="V98" s="1" t="s">
        <v>562</v>
      </c>
      <c r="W98" s="1" t="s">
        <v>602</v>
      </c>
      <c r="X98" s="1" t="s">
        <v>189</v>
      </c>
      <c r="Y98" s="1" t="s">
        <v>174</v>
      </c>
      <c r="Z98" s="1" t="s">
        <v>59</v>
      </c>
      <c r="AA98" s="1" t="s">
        <v>76</v>
      </c>
      <c r="AB98" s="1" t="s">
        <v>27</v>
      </c>
      <c r="AC98" s="1">
        <v>223.3</v>
      </c>
      <c r="AD98" s="1">
        <v>350</v>
      </c>
    </row>
    <row r="99" spans="1:32" x14ac:dyDescent="0.3">
      <c r="A99" s="1" t="s">
        <v>172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 t="s">
        <v>173</v>
      </c>
      <c r="V99" s="1" t="s">
        <v>562</v>
      </c>
      <c r="W99" s="1" t="s">
        <v>602</v>
      </c>
      <c r="X99" s="1" t="s">
        <v>189</v>
      </c>
      <c r="Y99" s="1" t="s">
        <v>174</v>
      </c>
      <c r="Z99" s="1" t="s">
        <v>59</v>
      </c>
      <c r="AA99" s="1" t="s">
        <v>76</v>
      </c>
      <c r="AB99" s="1" t="s">
        <v>27</v>
      </c>
      <c r="AC99" s="1">
        <v>401.5</v>
      </c>
      <c r="AD99" s="1">
        <v>400</v>
      </c>
    </row>
    <row r="100" spans="1:32" x14ac:dyDescent="0.3">
      <c r="A100" s="1" t="s">
        <v>603</v>
      </c>
      <c r="B100" s="1">
        <v>0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 t="s">
        <v>562</v>
      </c>
      <c r="W100" s="1" t="s">
        <v>602</v>
      </c>
      <c r="X100" s="1" t="s">
        <v>189</v>
      </c>
      <c r="Y100" s="1" t="s">
        <v>174</v>
      </c>
      <c r="Z100" s="1" t="s">
        <v>59</v>
      </c>
      <c r="AA100" s="1" t="s">
        <v>76</v>
      </c>
      <c r="AB100" s="1" t="s">
        <v>27</v>
      </c>
      <c r="AC100" s="1">
        <v>9.86</v>
      </c>
      <c r="AD100" s="1">
        <v>250</v>
      </c>
    </row>
    <row r="101" spans="1:32" x14ac:dyDescent="0.3">
      <c r="A101" s="1" t="s">
        <v>603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 t="s">
        <v>562</v>
      </c>
      <c r="W101" s="1" t="s">
        <v>602</v>
      </c>
      <c r="X101" s="1" t="s">
        <v>189</v>
      </c>
      <c r="Y101" s="1" t="s">
        <v>174</v>
      </c>
      <c r="Z101" s="1" t="s">
        <v>59</v>
      </c>
      <c r="AA101" s="1" t="s">
        <v>76</v>
      </c>
      <c r="AB101" s="1" t="s">
        <v>27</v>
      </c>
      <c r="AC101" s="1">
        <v>34.79</v>
      </c>
      <c r="AD101" s="1">
        <v>350</v>
      </c>
    </row>
    <row r="102" spans="1:32" x14ac:dyDescent="0.3">
      <c r="A102" s="1" t="s">
        <v>176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 t="s">
        <v>177</v>
      </c>
      <c r="V102" s="1" t="s">
        <v>562</v>
      </c>
      <c r="W102" s="1" t="s">
        <v>604</v>
      </c>
      <c r="X102" s="1" t="s">
        <v>18</v>
      </c>
      <c r="Y102" s="1" t="s">
        <v>179</v>
      </c>
      <c r="Z102" s="1">
        <v>29.5</v>
      </c>
      <c r="AA102" s="1" t="s">
        <v>8</v>
      </c>
      <c r="AB102" s="1" t="s">
        <v>27</v>
      </c>
      <c r="AC102" s="1">
        <v>100</v>
      </c>
      <c r="AD102" s="1">
        <v>230</v>
      </c>
      <c r="AF102" s="1" t="s">
        <v>178</v>
      </c>
    </row>
    <row r="103" spans="1:32" x14ac:dyDescent="0.3">
      <c r="A103" s="1" t="s">
        <v>180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 t="s">
        <v>181</v>
      </c>
      <c r="V103" s="1" t="s">
        <v>566</v>
      </c>
      <c r="W103" s="1" t="s">
        <v>185</v>
      </c>
      <c r="X103" s="1" t="s">
        <v>182</v>
      </c>
      <c r="Y103" s="2" t="s">
        <v>183</v>
      </c>
      <c r="Z103" s="1">
        <v>1.46</v>
      </c>
      <c r="AA103" s="1" t="s">
        <v>8</v>
      </c>
      <c r="AB103" s="1" t="s">
        <v>30</v>
      </c>
      <c r="AC103" s="1">
        <v>10</v>
      </c>
      <c r="AD103" s="1">
        <v>400</v>
      </c>
      <c r="AF103" s="1" t="s">
        <v>184</v>
      </c>
    </row>
    <row r="104" spans="1:32" x14ac:dyDescent="0.3">
      <c r="A104" s="1" t="s">
        <v>186</v>
      </c>
      <c r="B104" s="1">
        <v>0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 t="s">
        <v>566</v>
      </c>
      <c r="W104" s="1" t="s">
        <v>185</v>
      </c>
      <c r="X104" s="1" t="s">
        <v>182</v>
      </c>
      <c r="Y104" s="2" t="s">
        <v>187</v>
      </c>
      <c r="Z104" s="1">
        <v>0.34</v>
      </c>
      <c r="AA104" s="1" t="s">
        <v>8</v>
      </c>
      <c r="AB104" s="1" t="s">
        <v>30</v>
      </c>
      <c r="AC104" s="1">
        <v>10</v>
      </c>
      <c r="AD104" s="1">
        <v>470</v>
      </c>
    </row>
    <row r="105" spans="1:32" x14ac:dyDescent="0.3">
      <c r="A105" s="1" t="s">
        <v>188</v>
      </c>
      <c r="B105" s="1">
        <v>0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 t="s">
        <v>25</v>
      </c>
      <c r="V105" s="1" t="s">
        <v>562</v>
      </c>
      <c r="W105" s="1" t="s">
        <v>606</v>
      </c>
      <c r="X105" s="1" t="s">
        <v>359</v>
      </c>
      <c r="Y105" s="1" t="s">
        <v>174</v>
      </c>
      <c r="Z105" s="1">
        <v>306.39999999999998</v>
      </c>
      <c r="AA105" s="1" t="s">
        <v>190</v>
      </c>
      <c r="AB105" s="1" t="s">
        <v>27</v>
      </c>
      <c r="AC105" s="1">
        <v>21</v>
      </c>
      <c r="AD105" s="1">
        <v>250</v>
      </c>
      <c r="AF105" s="1" t="s">
        <v>191</v>
      </c>
    </row>
    <row r="106" spans="1:32" x14ac:dyDescent="0.3">
      <c r="A106" s="1" t="s">
        <v>188</v>
      </c>
      <c r="B106" s="1">
        <v>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 t="s">
        <v>25</v>
      </c>
      <c r="V106" s="1" t="s">
        <v>562</v>
      </c>
      <c r="W106" s="1" t="s">
        <v>606</v>
      </c>
      <c r="X106" s="1" t="s">
        <v>359</v>
      </c>
      <c r="Y106" s="1" t="s">
        <v>174</v>
      </c>
      <c r="Z106" s="1">
        <v>306.39999999999998</v>
      </c>
      <c r="AA106" s="1" t="s">
        <v>190</v>
      </c>
      <c r="AB106" s="1" t="s">
        <v>27</v>
      </c>
      <c r="AC106" s="1">
        <v>91</v>
      </c>
      <c r="AD106" s="1">
        <v>300</v>
      </c>
    </row>
    <row r="107" spans="1:32" x14ac:dyDescent="0.3">
      <c r="A107" s="1" t="s">
        <v>188</v>
      </c>
      <c r="B107" s="1">
        <v>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 t="s">
        <v>25</v>
      </c>
      <c r="V107" s="1" t="s">
        <v>562</v>
      </c>
      <c r="W107" s="1" t="s">
        <v>606</v>
      </c>
      <c r="X107" s="1" t="s">
        <v>359</v>
      </c>
      <c r="Y107" s="1" t="s">
        <v>174</v>
      </c>
      <c r="Z107" s="1">
        <v>306.39999999999998</v>
      </c>
      <c r="AA107" s="1" t="s">
        <v>190</v>
      </c>
      <c r="AB107" s="1" t="s">
        <v>27</v>
      </c>
      <c r="AC107" s="1">
        <v>199</v>
      </c>
      <c r="AD107" s="1">
        <v>350</v>
      </c>
    </row>
    <row r="108" spans="1:32" x14ac:dyDescent="0.3">
      <c r="A108" s="1" t="s">
        <v>605</v>
      </c>
      <c r="B108" s="1">
        <v>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 t="s">
        <v>562</v>
      </c>
      <c r="W108" s="1" t="s">
        <v>606</v>
      </c>
      <c r="X108" s="1" t="s">
        <v>59</v>
      </c>
      <c r="Y108" s="1" t="s">
        <v>174</v>
      </c>
      <c r="Z108" s="1" t="s">
        <v>59</v>
      </c>
      <c r="AA108" s="1" t="s">
        <v>190</v>
      </c>
      <c r="AB108" s="1" t="s">
        <v>27</v>
      </c>
      <c r="AC108" s="1">
        <v>20</v>
      </c>
      <c r="AD108" s="1">
        <v>350</v>
      </c>
    </row>
    <row r="109" spans="1:32" x14ac:dyDescent="0.3">
      <c r="A109" s="1" t="s">
        <v>192</v>
      </c>
      <c r="B109" s="1">
        <v>0</v>
      </c>
      <c r="C109" s="1">
        <f>39.7/(39.7+5.5)</f>
        <v>0.87831858407079644</v>
      </c>
      <c r="D109" s="1">
        <f>5.5/(39.7+5.5)</f>
        <v>0.12168141592920353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 t="s">
        <v>608</v>
      </c>
      <c r="W109" s="1" t="s">
        <v>610</v>
      </c>
      <c r="X109" s="1" t="s">
        <v>20</v>
      </c>
      <c r="Y109" s="1" t="s">
        <v>193</v>
      </c>
      <c r="Z109" s="1">
        <v>81.5</v>
      </c>
      <c r="AA109" s="1" t="s">
        <v>8</v>
      </c>
      <c r="AB109" s="1" t="s">
        <v>30</v>
      </c>
      <c r="AC109" s="1">
        <v>10</v>
      </c>
      <c r="AD109" s="1">
        <v>301</v>
      </c>
      <c r="AF109" s="1" t="s">
        <v>194</v>
      </c>
    </row>
    <row r="110" spans="1:32" x14ac:dyDescent="0.3">
      <c r="A110" s="1" t="s">
        <v>243</v>
      </c>
      <c r="B110" s="1">
        <v>0</v>
      </c>
      <c r="C110" s="1">
        <f>39.7/(39.7+5.5)</f>
        <v>0.87831858407079644</v>
      </c>
      <c r="D110" s="1">
        <f>5.5/(39.7+5.5)</f>
        <v>0.12168141592920353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 t="s">
        <v>608</v>
      </c>
      <c r="W110" s="1" t="s">
        <v>610</v>
      </c>
      <c r="X110" s="1" t="s">
        <v>20</v>
      </c>
      <c r="Y110" s="1" t="s">
        <v>193</v>
      </c>
      <c r="Z110" s="1">
        <v>105.8</v>
      </c>
      <c r="AA110" s="1" t="s">
        <v>8</v>
      </c>
      <c r="AB110" s="1" t="s">
        <v>27</v>
      </c>
      <c r="AC110" s="1">
        <v>10</v>
      </c>
      <c r="AD110" s="1">
        <v>231</v>
      </c>
    </row>
    <row r="111" spans="1:32" x14ac:dyDescent="0.3">
      <c r="A111" s="1" t="s">
        <v>607</v>
      </c>
      <c r="B111" s="1">
        <v>0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 t="s">
        <v>609</v>
      </c>
      <c r="W111" s="1" t="s">
        <v>611</v>
      </c>
      <c r="X111" s="1" t="s">
        <v>20</v>
      </c>
      <c r="Y111" s="1" t="s">
        <v>59</v>
      </c>
      <c r="Z111" s="1">
        <v>9.6</v>
      </c>
      <c r="AA111" s="1" t="s">
        <v>8</v>
      </c>
      <c r="AB111" s="1" t="s">
        <v>30</v>
      </c>
      <c r="AC111" s="1">
        <v>10</v>
      </c>
      <c r="AD111" s="1">
        <v>512</v>
      </c>
    </row>
    <row r="112" spans="1:32" x14ac:dyDescent="0.3">
      <c r="A112" s="1" t="s">
        <v>195</v>
      </c>
      <c r="B112" s="1">
        <f>6/9</f>
        <v>0.66666666666666663</v>
      </c>
      <c r="C112" s="1">
        <f>1/9</f>
        <v>0.1111111111111111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f>2/9</f>
        <v>0.22222222222222221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 t="s">
        <v>548</v>
      </c>
      <c r="W112" s="1" t="s">
        <v>612</v>
      </c>
      <c r="X112" s="1" t="s">
        <v>18</v>
      </c>
      <c r="Y112" s="1" t="s">
        <v>196</v>
      </c>
      <c r="Z112" s="1">
        <v>8.4</v>
      </c>
      <c r="AA112" s="1" t="s">
        <v>8</v>
      </c>
      <c r="AB112" s="1" t="s">
        <v>27</v>
      </c>
      <c r="AC112" s="1">
        <v>10</v>
      </c>
      <c r="AD112" s="1">
        <v>270.52</v>
      </c>
      <c r="AF112" s="1" t="s">
        <v>197</v>
      </c>
    </row>
    <row r="113" spans="1:32" x14ac:dyDescent="0.3">
      <c r="A113" s="1" t="s">
        <v>198</v>
      </c>
      <c r="B113" s="1">
        <f>3/5</f>
        <v>0.6</v>
      </c>
      <c r="C113" s="1">
        <f>2/5</f>
        <v>0.4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 t="s">
        <v>548</v>
      </c>
      <c r="W113" s="1" t="s">
        <v>612</v>
      </c>
      <c r="X113" s="1" t="s">
        <v>18</v>
      </c>
      <c r="Y113" s="1" t="s">
        <v>196</v>
      </c>
      <c r="Z113" s="1">
        <v>7.5</v>
      </c>
      <c r="AA113" s="1" t="s">
        <v>8</v>
      </c>
      <c r="AB113" s="1" t="s">
        <v>27</v>
      </c>
      <c r="AC113" s="1">
        <v>10</v>
      </c>
      <c r="AD113" s="1">
        <v>300</v>
      </c>
    </row>
    <row r="114" spans="1:32" x14ac:dyDescent="0.3">
      <c r="A114" s="1" t="s">
        <v>198</v>
      </c>
      <c r="B114" s="1">
        <v>0.5</v>
      </c>
      <c r="C114" s="1">
        <v>0.5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 t="s">
        <v>562</v>
      </c>
      <c r="W114" s="1" t="s">
        <v>214</v>
      </c>
      <c r="X114" s="1" t="s">
        <v>18</v>
      </c>
      <c r="Y114" s="1" t="s">
        <v>213</v>
      </c>
      <c r="Z114" s="1" t="s">
        <v>59</v>
      </c>
      <c r="AA114" s="1" t="s">
        <v>8</v>
      </c>
      <c r="AB114" s="1" t="s">
        <v>30</v>
      </c>
      <c r="AC114" s="1">
        <v>10</v>
      </c>
      <c r="AD114" s="1">
        <v>248</v>
      </c>
      <c r="AF114" s="1" t="s">
        <v>199</v>
      </c>
    </row>
    <row r="115" spans="1:32" x14ac:dyDescent="0.3">
      <c r="A115" s="1" t="s">
        <v>200</v>
      </c>
      <c r="B115" s="1">
        <f t="shared" ref="B115:C119" si="1">1/3</f>
        <v>0.33333333333333331</v>
      </c>
      <c r="C115" s="1">
        <f t="shared" si="1"/>
        <v>0.33333333333333331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f>1/3</f>
        <v>0.33333333333333331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 t="s">
        <v>562</v>
      </c>
      <c r="W115" s="1" t="s">
        <v>214</v>
      </c>
      <c r="X115" s="1" t="s">
        <v>18</v>
      </c>
      <c r="Y115" s="1" t="s">
        <v>213</v>
      </c>
      <c r="Z115" s="1" t="s">
        <v>59</v>
      </c>
      <c r="AA115" s="1" t="s">
        <v>8</v>
      </c>
      <c r="AB115" s="1" t="s">
        <v>30</v>
      </c>
      <c r="AC115" s="1">
        <v>10</v>
      </c>
      <c r="AD115" s="1">
        <v>201</v>
      </c>
    </row>
    <row r="116" spans="1:32" x14ac:dyDescent="0.3">
      <c r="A116" s="1" t="s">
        <v>201</v>
      </c>
      <c r="B116" s="1">
        <f t="shared" si="1"/>
        <v>0.33333333333333331</v>
      </c>
      <c r="C116" s="1">
        <f t="shared" si="1"/>
        <v>0.33333333333333331</v>
      </c>
      <c r="D116" s="1">
        <v>0</v>
      </c>
      <c r="E116" s="1">
        <v>0</v>
      </c>
      <c r="F116" s="1">
        <f>1/3</f>
        <v>0.33333333333333331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 t="s">
        <v>562</v>
      </c>
      <c r="W116" s="1" t="s">
        <v>214</v>
      </c>
      <c r="X116" s="1" t="s">
        <v>18</v>
      </c>
      <c r="Y116" s="1" t="s">
        <v>213</v>
      </c>
      <c r="Z116" s="1" t="s">
        <v>59</v>
      </c>
      <c r="AA116" s="1" t="s">
        <v>8</v>
      </c>
      <c r="AB116" s="1" t="s">
        <v>30</v>
      </c>
      <c r="AC116" s="1">
        <v>10</v>
      </c>
      <c r="AD116" s="1">
        <v>202</v>
      </c>
    </row>
    <row r="117" spans="1:32" x14ac:dyDescent="0.3">
      <c r="A117" s="1" t="s">
        <v>202</v>
      </c>
      <c r="B117" s="1">
        <f t="shared" si="1"/>
        <v>0.33333333333333331</v>
      </c>
      <c r="C117" s="1">
        <f t="shared" si="1"/>
        <v>0.33333333333333331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f>1/3</f>
        <v>0.33333333333333331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 t="s">
        <v>562</v>
      </c>
      <c r="W117" s="1" t="s">
        <v>214</v>
      </c>
      <c r="X117" s="1" t="s">
        <v>18</v>
      </c>
      <c r="Y117" s="1" t="s">
        <v>213</v>
      </c>
      <c r="Z117" s="1" t="s">
        <v>59</v>
      </c>
      <c r="AA117" s="1" t="s">
        <v>8</v>
      </c>
      <c r="AB117" s="1" t="s">
        <v>30</v>
      </c>
      <c r="AC117" s="1">
        <v>10</v>
      </c>
      <c r="AD117" s="1">
        <v>216</v>
      </c>
    </row>
    <row r="118" spans="1:32" x14ac:dyDescent="0.3">
      <c r="A118" s="1" t="s">
        <v>203</v>
      </c>
      <c r="B118" s="1">
        <f t="shared" si="1"/>
        <v>0.33333333333333331</v>
      </c>
      <c r="C118" s="1">
        <f t="shared" si="1"/>
        <v>0.33333333333333331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f>1/3</f>
        <v>0.33333333333333331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 t="s">
        <v>562</v>
      </c>
      <c r="W118" s="1" t="s">
        <v>214</v>
      </c>
      <c r="X118" s="1" t="s">
        <v>18</v>
      </c>
      <c r="Y118" s="1" t="s">
        <v>213</v>
      </c>
      <c r="Z118" s="1" t="s">
        <v>59</v>
      </c>
      <c r="AA118" s="1" t="s">
        <v>8</v>
      </c>
      <c r="AB118" s="1" t="s">
        <v>30</v>
      </c>
      <c r="AC118" s="1">
        <v>10</v>
      </c>
      <c r="AD118" s="1">
        <v>218</v>
      </c>
    </row>
    <row r="119" spans="1:32" x14ac:dyDescent="0.3">
      <c r="A119" s="1" t="s">
        <v>204</v>
      </c>
      <c r="B119" s="1">
        <f t="shared" si="1"/>
        <v>0.33333333333333331</v>
      </c>
      <c r="C119" s="1">
        <f t="shared" si="1"/>
        <v>0.33333333333333331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f>1/3</f>
        <v>0.33333333333333331</v>
      </c>
      <c r="R119" s="1">
        <v>0</v>
      </c>
      <c r="S119" s="1">
        <v>0</v>
      </c>
      <c r="T119" s="1">
        <v>0</v>
      </c>
      <c r="U119" s="1">
        <v>0</v>
      </c>
      <c r="V119" s="1" t="s">
        <v>562</v>
      </c>
      <c r="W119" s="1" t="s">
        <v>214</v>
      </c>
      <c r="X119" s="1" t="s">
        <v>18</v>
      </c>
      <c r="Y119" s="1" t="s">
        <v>213</v>
      </c>
      <c r="Z119" s="1" t="s">
        <v>59</v>
      </c>
      <c r="AA119" s="1" t="s">
        <v>8</v>
      </c>
      <c r="AB119" s="1" t="s">
        <v>30</v>
      </c>
      <c r="AC119" s="1">
        <v>10</v>
      </c>
      <c r="AD119" s="1">
        <v>224</v>
      </c>
    </row>
    <row r="120" spans="1:32" x14ac:dyDescent="0.3">
      <c r="A120" s="1" t="s">
        <v>205</v>
      </c>
      <c r="B120" s="1">
        <v>0.25</v>
      </c>
      <c r="C120" s="1">
        <v>0.25</v>
      </c>
      <c r="D120" s="1">
        <v>0</v>
      </c>
      <c r="E120" s="1">
        <v>0</v>
      </c>
      <c r="F120" s="1">
        <v>0.25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0.25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 t="s">
        <v>562</v>
      </c>
      <c r="W120" s="1" t="s">
        <v>214</v>
      </c>
      <c r="X120" s="1" t="s">
        <v>18</v>
      </c>
      <c r="Y120" s="1" t="s">
        <v>213</v>
      </c>
      <c r="Z120" s="1" t="s">
        <v>59</v>
      </c>
      <c r="AA120" s="1" t="s">
        <v>8</v>
      </c>
      <c r="AB120" s="1" t="s">
        <v>30</v>
      </c>
      <c r="AC120" s="1">
        <v>10</v>
      </c>
      <c r="AD120" s="1">
        <v>205</v>
      </c>
    </row>
    <row r="121" spans="1:32" x14ac:dyDescent="0.3">
      <c r="A121" s="1" t="s">
        <v>206</v>
      </c>
      <c r="B121" s="1">
        <v>0</v>
      </c>
      <c r="C121" s="1">
        <v>0.5</v>
      </c>
      <c r="D121" s="1">
        <v>0.5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 t="s">
        <v>562</v>
      </c>
      <c r="W121" s="1" t="s">
        <v>214</v>
      </c>
      <c r="X121" s="1" t="s">
        <v>18</v>
      </c>
      <c r="Y121" s="1" t="s">
        <v>213</v>
      </c>
      <c r="Z121" s="1" t="s">
        <v>59</v>
      </c>
      <c r="AA121" s="1" t="s">
        <v>8</v>
      </c>
      <c r="AB121" s="1" t="s">
        <v>30</v>
      </c>
      <c r="AC121" s="1">
        <v>10</v>
      </c>
      <c r="AD121" s="1">
        <v>266</v>
      </c>
    </row>
    <row r="122" spans="1:32" x14ac:dyDescent="0.3">
      <c r="A122" s="1" t="s">
        <v>207</v>
      </c>
      <c r="B122" s="1">
        <v>0</v>
      </c>
      <c r="C122" s="1">
        <f t="shared" ref="C122:D126" si="2">1/3</f>
        <v>0.33333333333333331</v>
      </c>
      <c r="D122" s="1">
        <f t="shared" si="2"/>
        <v>0.33333333333333331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f>1/3</f>
        <v>0.33333333333333331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 t="s">
        <v>562</v>
      </c>
      <c r="W122" s="1" t="s">
        <v>214</v>
      </c>
      <c r="X122" s="1" t="s">
        <v>18</v>
      </c>
      <c r="Y122" s="1" t="s">
        <v>213</v>
      </c>
      <c r="Z122" s="1" t="s">
        <v>59</v>
      </c>
      <c r="AA122" s="1" t="s">
        <v>8</v>
      </c>
      <c r="AB122" s="1" t="s">
        <v>30</v>
      </c>
      <c r="AC122" s="1">
        <v>10</v>
      </c>
      <c r="AD122" s="1">
        <v>233</v>
      </c>
    </row>
    <row r="123" spans="1:32" x14ac:dyDescent="0.3">
      <c r="A123" s="1" t="s">
        <v>208</v>
      </c>
      <c r="B123" s="1">
        <v>0</v>
      </c>
      <c r="C123" s="1">
        <f t="shared" si="2"/>
        <v>0.33333333333333331</v>
      </c>
      <c r="D123" s="1">
        <f t="shared" si="2"/>
        <v>0.33333333333333331</v>
      </c>
      <c r="E123" s="1">
        <v>0</v>
      </c>
      <c r="F123" s="1">
        <f>1/3</f>
        <v>0.33333333333333331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 t="s">
        <v>562</v>
      </c>
      <c r="W123" s="1" t="s">
        <v>214</v>
      </c>
      <c r="X123" s="1" t="s">
        <v>18</v>
      </c>
      <c r="Y123" s="1" t="s">
        <v>213</v>
      </c>
      <c r="Z123" s="1" t="s">
        <v>59</v>
      </c>
      <c r="AA123" s="1" t="s">
        <v>8</v>
      </c>
      <c r="AB123" s="1" t="s">
        <v>30</v>
      </c>
      <c r="AC123" s="1">
        <v>10</v>
      </c>
      <c r="AD123" s="1">
        <v>217</v>
      </c>
    </row>
    <row r="124" spans="1:32" x14ac:dyDescent="0.3">
      <c r="A124" s="1" t="s">
        <v>209</v>
      </c>
      <c r="B124" s="1">
        <v>0</v>
      </c>
      <c r="C124" s="1">
        <f t="shared" si="2"/>
        <v>0.33333333333333331</v>
      </c>
      <c r="D124" s="1">
        <f t="shared" si="2"/>
        <v>0.33333333333333331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f>1/3</f>
        <v>0.33333333333333331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 t="s">
        <v>562</v>
      </c>
      <c r="W124" s="1" t="s">
        <v>214</v>
      </c>
      <c r="X124" s="1" t="s">
        <v>18</v>
      </c>
      <c r="Y124" s="1" t="s">
        <v>213</v>
      </c>
      <c r="Z124" s="1" t="s">
        <v>59</v>
      </c>
      <c r="AA124" s="1" t="s">
        <v>8</v>
      </c>
      <c r="AB124" s="1" t="s">
        <v>30</v>
      </c>
      <c r="AC124" s="1">
        <v>10</v>
      </c>
      <c r="AD124" s="1">
        <v>242</v>
      </c>
    </row>
    <row r="125" spans="1:32" x14ac:dyDescent="0.3">
      <c r="A125" s="1" t="s">
        <v>210</v>
      </c>
      <c r="B125" s="1">
        <v>0</v>
      </c>
      <c r="C125" s="1">
        <f t="shared" si="2"/>
        <v>0.33333333333333331</v>
      </c>
      <c r="D125" s="1">
        <f t="shared" si="2"/>
        <v>0.33333333333333331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f>1/3</f>
        <v>0.33333333333333331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 t="s">
        <v>562</v>
      </c>
      <c r="W125" s="1" t="s">
        <v>214</v>
      </c>
      <c r="X125" s="1" t="s">
        <v>18</v>
      </c>
      <c r="Y125" s="1" t="s">
        <v>213</v>
      </c>
      <c r="Z125" s="1" t="s">
        <v>59</v>
      </c>
      <c r="AA125" s="1" t="s">
        <v>8</v>
      </c>
      <c r="AB125" s="1" t="s">
        <v>30</v>
      </c>
      <c r="AC125" s="1">
        <v>10</v>
      </c>
      <c r="AD125" s="1">
        <v>238</v>
      </c>
    </row>
    <row r="126" spans="1:32" x14ac:dyDescent="0.3">
      <c r="A126" s="1" t="s">
        <v>211</v>
      </c>
      <c r="B126" s="1">
        <v>0</v>
      </c>
      <c r="C126" s="1">
        <f t="shared" si="2"/>
        <v>0.33333333333333331</v>
      </c>
      <c r="D126" s="1">
        <f t="shared" si="2"/>
        <v>0.33333333333333331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f>1/3</f>
        <v>0.33333333333333331</v>
      </c>
      <c r="R126" s="1">
        <v>0</v>
      </c>
      <c r="S126" s="1">
        <v>0</v>
      </c>
      <c r="T126" s="1">
        <v>0</v>
      </c>
      <c r="U126" s="1">
        <v>0</v>
      </c>
      <c r="V126" s="1" t="s">
        <v>562</v>
      </c>
      <c r="W126" s="1" t="s">
        <v>214</v>
      </c>
      <c r="X126" s="1" t="s">
        <v>18</v>
      </c>
      <c r="Y126" s="1" t="s">
        <v>213</v>
      </c>
      <c r="Z126" s="1" t="s">
        <v>59</v>
      </c>
      <c r="AA126" s="1" t="s">
        <v>8</v>
      </c>
      <c r="AB126" s="1" t="s">
        <v>30</v>
      </c>
      <c r="AC126" s="1">
        <v>10</v>
      </c>
      <c r="AD126" s="1">
        <v>238</v>
      </c>
    </row>
    <row r="127" spans="1:32" x14ac:dyDescent="0.3">
      <c r="A127" s="1" t="s">
        <v>212</v>
      </c>
      <c r="B127" s="1">
        <v>0</v>
      </c>
      <c r="C127" s="1">
        <v>0.25</v>
      </c>
      <c r="D127" s="1">
        <v>0.25</v>
      </c>
      <c r="E127" s="1">
        <v>0</v>
      </c>
      <c r="F127" s="1">
        <v>0.25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0.25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 t="s">
        <v>562</v>
      </c>
      <c r="W127" s="1" t="s">
        <v>214</v>
      </c>
      <c r="X127" s="1" t="s">
        <v>18</v>
      </c>
      <c r="Y127" s="1" t="s">
        <v>213</v>
      </c>
      <c r="Z127" s="1" t="s">
        <v>59</v>
      </c>
      <c r="AA127" s="1" t="s">
        <v>8</v>
      </c>
      <c r="AB127" s="1" t="s">
        <v>30</v>
      </c>
      <c r="AC127" s="1">
        <v>10</v>
      </c>
      <c r="AD127" s="1">
        <v>212</v>
      </c>
    </row>
    <row r="128" spans="1:32" x14ac:dyDescent="0.3">
      <c r="A128" s="1" t="s">
        <v>617</v>
      </c>
      <c r="B128" s="1">
        <f>26.8/(100+26.8)</f>
        <v>0.21135646687697163</v>
      </c>
      <c r="C128" s="1">
        <f>100/(100+26.8)</f>
        <v>0.78864353312302837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 t="s">
        <v>220</v>
      </c>
      <c r="V128" s="1" t="s">
        <v>562</v>
      </c>
      <c r="W128" s="1" t="s">
        <v>614</v>
      </c>
      <c r="X128" s="1" t="s">
        <v>355</v>
      </c>
      <c r="Y128" s="1" t="s">
        <v>94</v>
      </c>
      <c r="Z128" s="1">
        <v>73.8</v>
      </c>
      <c r="AA128" s="1" t="s">
        <v>8</v>
      </c>
      <c r="AB128" s="1" t="s">
        <v>648</v>
      </c>
      <c r="AC128" s="1">
        <v>10</v>
      </c>
      <c r="AD128" s="1">
        <v>214</v>
      </c>
      <c r="AF128" s="1" t="s">
        <v>221</v>
      </c>
    </row>
    <row r="129" spans="1:32" x14ac:dyDescent="0.3">
      <c r="A129" s="1" t="s">
        <v>617</v>
      </c>
      <c r="B129" s="1">
        <f>26.8/(100+26.8)</f>
        <v>0.21135646687697163</v>
      </c>
      <c r="C129" s="1">
        <f>100/(100+26.8)</f>
        <v>0.78864353312302837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 t="s">
        <v>220</v>
      </c>
      <c r="V129" s="1" t="s">
        <v>562</v>
      </c>
      <c r="W129" s="1" t="s">
        <v>614</v>
      </c>
      <c r="X129" s="1" t="s">
        <v>355</v>
      </c>
      <c r="Y129" s="1" t="s">
        <v>94</v>
      </c>
      <c r="Z129" s="1">
        <v>73.8</v>
      </c>
      <c r="AA129" s="1" t="s">
        <v>8</v>
      </c>
      <c r="AB129" s="1" t="s">
        <v>648</v>
      </c>
      <c r="AC129" s="1">
        <v>300</v>
      </c>
      <c r="AD129" s="1">
        <v>368</v>
      </c>
    </row>
    <row r="130" spans="1:32" x14ac:dyDescent="0.3">
      <c r="A130" s="1" t="s">
        <v>615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 t="s">
        <v>220</v>
      </c>
      <c r="V130" s="1" t="s">
        <v>562</v>
      </c>
      <c r="W130" s="1" t="s">
        <v>614</v>
      </c>
      <c r="X130" s="1" t="s">
        <v>355</v>
      </c>
      <c r="Y130" s="1" t="s">
        <v>94</v>
      </c>
      <c r="Z130" s="1" t="s">
        <v>59</v>
      </c>
      <c r="AA130" s="1" t="s">
        <v>8</v>
      </c>
      <c r="AB130" s="1" t="s">
        <v>648</v>
      </c>
      <c r="AC130" s="1">
        <v>10</v>
      </c>
      <c r="AD130" s="1">
        <v>288</v>
      </c>
    </row>
    <row r="131" spans="1:32" x14ac:dyDescent="0.3">
      <c r="A131" s="1" t="s">
        <v>616</v>
      </c>
      <c r="B131" s="1">
        <v>0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 t="s">
        <v>220</v>
      </c>
      <c r="V131" s="1" t="s">
        <v>562</v>
      </c>
      <c r="W131" s="1" t="s">
        <v>614</v>
      </c>
      <c r="X131" s="1" t="s">
        <v>355</v>
      </c>
      <c r="Y131" s="1" t="s">
        <v>433</v>
      </c>
      <c r="Z131" s="1" t="s">
        <v>59</v>
      </c>
      <c r="AA131" s="1" t="s">
        <v>8</v>
      </c>
      <c r="AB131" s="1" t="s">
        <v>648</v>
      </c>
      <c r="AC131" s="1">
        <v>10</v>
      </c>
      <c r="AD131" s="1">
        <v>371</v>
      </c>
    </row>
    <row r="132" spans="1:32" x14ac:dyDescent="0.3">
      <c r="A132" s="1" t="s">
        <v>219</v>
      </c>
      <c r="B132" s="1">
        <f>26.8/(100+26.8)</f>
        <v>0.21135646687697163</v>
      </c>
      <c r="C132" s="1">
        <f>100/(100+26.8)</f>
        <v>0.78864353312302837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 t="s">
        <v>562</v>
      </c>
      <c r="W132" s="1" t="s">
        <v>614</v>
      </c>
      <c r="X132" s="1" t="s">
        <v>355</v>
      </c>
      <c r="Y132" s="1" t="s">
        <v>94</v>
      </c>
      <c r="Z132" s="1" t="s">
        <v>59</v>
      </c>
      <c r="AA132" s="1" t="s">
        <v>8</v>
      </c>
      <c r="AB132" s="1" t="s">
        <v>6</v>
      </c>
      <c r="AC132" s="1">
        <v>10</v>
      </c>
      <c r="AD132" s="1">
        <v>273</v>
      </c>
      <c r="AF132" s="1" t="s">
        <v>613</v>
      </c>
    </row>
    <row r="133" spans="1:32" x14ac:dyDescent="0.3">
      <c r="A133" s="1" t="s">
        <v>617</v>
      </c>
      <c r="B133" s="1">
        <f>3.4/(100+3.4)</f>
        <v>3.2882011605415859E-2</v>
      </c>
      <c r="C133" s="1">
        <f>100/(100+3.4)</f>
        <v>0.96711798839458407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 t="s">
        <v>220</v>
      </c>
      <c r="V133" s="1" t="s">
        <v>562</v>
      </c>
      <c r="W133" s="1" t="s">
        <v>614</v>
      </c>
      <c r="X133" s="1" t="s">
        <v>355</v>
      </c>
      <c r="Y133" s="1" t="s">
        <v>94</v>
      </c>
      <c r="Z133" s="1" t="s">
        <v>59</v>
      </c>
      <c r="AA133" s="1" t="s">
        <v>8</v>
      </c>
      <c r="AB133" s="1" t="s">
        <v>648</v>
      </c>
      <c r="AC133" s="1">
        <v>300</v>
      </c>
      <c r="AD133" s="1">
        <v>520</v>
      </c>
    </row>
    <row r="134" spans="1:32" x14ac:dyDescent="0.3">
      <c r="A134" s="1" t="s">
        <v>617</v>
      </c>
      <c r="B134" s="1">
        <f>8.9/(100+8.9)</f>
        <v>8.1726354453627179E-2</v>
      </c>
      <c r="C134" s="1">
        <f>100/(100+8.9)</f>
        <v>0.91827364554637281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 t="s">
        <v>220</v>
      </c>
      <c r="V134" s="1" t="s">
        <v>562</v>
      </c>
      <c r="W134" s="1" t="s">
        <v>614</v>
      </c>
      <c r="X134" s="1" t="s">
        <v>355</v>
      </c>
      <c r="Y134" s="1" t="s">
        <v>94</v>
      </c>
      <c r="Z134" s="1" t="s">
        <v>59</v>
      </c>
      <c r="AA134" s="1" t="s">
        <v>8</v>
      </c>
      <c r="AB134" s="1" t="s">
        <v>648</v>
      </c>
      <c r="AC134" s="1">
        <v>300</v>
      </c>
      <c r="AD134" s="1">
        <v>480</v>
      </c>
    </row>
    <row r="135" spans="1:32" x14ac:dyDescent="0.3">
      <c r="A135" s="1" t="s">
        <v>617</v>
      </c>
      <c r="B135" s="1">
        <f>13.2/(100+13.2)</f>
        <v>0.1166077738515901</v>
      </c>
      <c r="C135" s="1">
        <f>100/(100+13.2)</f>
        <v>0.88339222614840984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 t="s">
        <v>220</v>
      </c>
      <c r="V135" s="1" t="s">
        <v>562</v>
      </c>
      <c r="W135" s="1" t="s">
        <v>614</v>
      </c>
      <c r="X135" s="1" t="s">
        <v>355</v>
      </c>
      <c r="Y135" s="1" t="s">
        <v>94</v>
      </c>
      <c r="Z135" s="1" t="s">
        <v>59</v>
      </c>
      <c r="AA135" s="1" t="s">
        <v>8</v>
      </c>
      <c r="AB135" s="1" t="s">
        <v>648</v>
      </c>
      <c r="AC135" s="1">
        <v>300</v>
      </c>
      <c r="AD135" s="1">
        <v>437.75</v>
      </c>
    </row>
    <row r="136" spans="1:32" x14ac:dyDescent="0.3">
      <c r="A136" s="1" t="s">
        <v>617</v>
      </c>
      <c r="B136" s="1">
        <f>20.5/(100+20.5)</f>
        <v>0.17012448132780084</v>
      </c>
      <c r="C136" s="1">
        <f>100/(100+20.5)</f>
        <v>0.82987551867219922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 t="s">
        <v>220</v>
      </c>
      <c r="V136" s="1" t="s">
        <v>562</v>
      </c>
      <c r="W136" s="1" t="s">
        <v>614</v>
      </c>
      <c r="X136" s="1" t="s">
        <v>355</v>
      </c>
      <c r="Y136" s="1" t="s">
        <v>94</v>
      </c>
      <c r="Z136" s="1" t="s">
        <v>59</v>
      </c>
      <c r="AA136" s="1" t="s">
        <v>8</v>
      </c>
      <c r="AB136" s="1" t="s">
        <v>648</v>
      </c>
      <c r="AC136" s="1">
        <v>300</v>
      </c>
      <c r="AD136" s="1">
        <v>400.39</v>
      </c>
    </row>
    <row r="137" spans="1:32" x14ac:dyDescent="0.3">
      <c r="A137" s="1" t="s">
        <v>618</v>
      </c>
      <c r="B137" s="1">
        <f>26.8/(100+26.8)</f>
        <v>0.21135646687697163</v>
      </c>
      <c r="C137" s="1">
        <f>100/(100+26.8)</f>
        <v>0.78864353312302837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 t="s">
        <v>562</v>
      </c>
      <c r="W137" s="1" t="s">
        <v>614</v>
      </c>
      <c r="X137" s="1" t="s">
        <v>355</v>
      </c>
      <c r="Y137" s="1" t="s">
        <v>94</v>
      </c>
      <c r="Z137" s="1" t="s">
        <v>59</v>
      </c>
      <c r="AA137" s="1" t="s">
        <v>8</v>
      </c>
      <c r="AB137" s="1" t="s">
        <v>27</v>
      </c>
      <c r="AC137" s="1">
        <v>300</v>
      </c>
      <c r="AD137" s="1">
        <v>395.34</v>
      </c>
    </row>
    <row r="138" spans="1:32" x14ac:dyDescent="0.3">
      <c r="A138" s="1" t="s">
        <v>222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 t="s">
        <v>548</v>
      </c>
      <c r="W138" s="1" t="s">
        <v>620</v>
      </c>
      <c r="X138" s="1" t="s">
        <v>619</v>
      </c>
      <c r="Y138" s="1" t="s">
        <v>94</v>
      </c>
      <c r="Z138" s="1">
        <v>0.42</v>
      </c>
      <c r="AA138" s="1" t="s">
        <v>8</v>
      </c>
      <c r="AB138" s="1" t="s">
        <v>27</v>
      </c>
      <c r="AC138" s="1">
        <v>10</v>
      </c>
      <c r="AD138" s="1">
        <v>286</v>
      </c>
      <c r="AF138" s="1" t="s">
        <v>223</v>
      </c>
    </row>
    <row r="139" spans="1:32" x14ac:dyDescent="0.3">
      <c r="A139" s="1" t="s">
        <v>222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 t="s">
        <v>548</v>
      </c>
      <c r="W139" s="1" t="s">
        <v>620</v>
      </c>
      <c r="X139" s="1" t="s">
        <v>619</v>
      </c>
      <c r="Y139" s="1" t="s">
        <v>94</v>
      </c>
      <c r="Z139" s="1">
        <v>0.42</v>
      </c>
      <c r="AA139" s="1" t="s">
        <v>8</v>
      </c>
      <c r="AB139" s="1" t="s">
        <v>27</v>
      </c>
      <c r="AC139" s="1">
        <v>100</v>
      </c>
      <c r="AD139" s="1">
        <v>316</v>
      </c>
    </row>
    <row r="140" spans="1:32" x14ac:dyDescent="0.3">
      <c r="A140" s="1" t="s">
        <v>328</v>
      </c>
      <c r="B140" s="1">
        <v>0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 t="s">
        <v>548</v>
      </c>
      <c r="W140" s="1" t="s">
        <v>620</v>
      </c>
      <c r="X140" s="1" t="s">
        <v>619</v>
      </c>
      <c r="Y140" s="1" t="s">
        <v>59</v>
      </c>
      <c r="Z140" s="1" t="s">
        <v>59</v>
      </c>
      <c r="AA140" s="1" t="s">
        <v>46</v>
      </c>
      <c r="AB140" s="1" t="s">
        <v>323</v>
      </c>
      <c r="AC140" s="1">
        <v>10</v>
      </c>
      <c r="AD140" s="1">
        <v>322</v>
      </c>
    </row>
    <row r="141" spans="1:32" x14ac:dyDescent="0.3">
      <c r="A141" s="1" t="s">
        <v>329</v>
      </c>
      <c r="B141" s="1">
        <v>0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 t="s">
        <v>548</v>
      </c>
      <c r="W141" s="1" t="s">
        <v>620</v>
      </c>
      <c r="X141" s="1" t="s">
        <v>619</v>
      </c>
      <c r="Y141" s="1" t="s">
        <v>59</v>
      </c>
      <c r="Z141" s="1" t="s">
        <v>59</v>
      </c>
      <c r="AA141" s="1" t="s">
        <v>46</v>
      </c>
      <c r="AB141" s="1" t="s">
        <v>330</v>
      </c>
      <c r="AC141" s="1">
        <v>10</v>
      </c>
      <c r="AD141" s="1">
        <v>358</v>
      </c>
    </row>
    <row r="142" spans="1:32" x14ac:dyDescent="0.3">
      <c r="A142" s="1" t="s">
        <v>621</v>
      </c>
      <c r="B142" s="1">
        <v>0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 t="s">
        <v>548</v>
      </c>
      <c r="W142" s="1" t="s">
        <v>620</v>
      </c>
      <c r="X142" s="1" t="s">
        <v>619</v>
      </c>
      <c r="Y142" s="1" t="s">
        <v>94</v>
      </c>
      <c r="Z142" s="1" t="s">
        <v>59</v>
      </c>
      <c r="AA142" s="1" t="s">
        <v>8</v>
      </c>
      <c r="AB142" s="1" t="s">
        <v>27</v>
      </c>
      <c r="AC142" s="1">
        <v>100</v>
      </c>
      <c r="AD142" s="1">
        <v>335</v>
      </c>
    </row>
    <row r="143" spans="1:32" x14ac:dyDescent="0.3">
      <c r="A143" s="1" t="s">
        <v>622</v>
      </c>
      <c r="B143" s="1">
        <v>0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 t="s">
        <v>548</v>
      </c>
      <c r="W143" s="1" t="s">
        <v>620</v>
      </c>
      <c r="X143" s="1" t="s">
        <v>619</v>
      </c>
      <c r="Y143" s="1" t="s">
        <v>94</v>
      </c>
      <c r="Z143" s="1" t="s">
        <v>59</v>
      </c>
      <c r="AA143" s="1" t="s">
        <v>8</v>
      </c>
      <c r="AB143" s="1" t="s">
        <v>27</v>
      </c>
      <c r="AC143" s="1">
        <v>100</v>
      </c>
      <c r="AD143" s="1">
        <v>321</v>
      </c>
    </row>
    <row r="144" spans="1:32" x14ac:dyDescent="0.3">
      <c r="A144" s="1" t="s">
        <v>623</v>
      </c>
      <c r="B144" s="1">
        <v>0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 t="s">
        <v>548</v>
      </c>
      <c r="W144" s="1" t="s">
        <v>620</v>
      </c>
      <c r="X144" s="1" t="s">
        <v>619</v>
      </c>
      <c r="Y144" s="1" t="s">
        <v>94</v>
      </c>
      <c r="Z144" s="1" t="s">
        <v>59</v>
      </c>
      <c r="AA144" s="1" t="s">
        <v>8</v>
      </c>
      <c r="AB144" s="1" t="s">
        <v>27</v>
      </c>
      <c r="AC144" s="1">
        <v>100</v>
      </c>
      <c r="AD144" s="1">
        <v>320</v>
      </c>
    </row>
    <row r="145" spans="1:32" x14ac:dyDescent="0.3">
      <c r="A145" s="1" t="s">
        <v>624</v>
      </c>
      <c r="B145" s="1">
        <v>0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 t="s">
        <v>548</v>
      </c>
      <c r="W145" s="1" t="s">
        <v>620</v>
      </c>
      <c r="X145" s="1" t="s">
        <v>619</v>
      </c>
      <c r="Y145" s="1" t="s">
        <v>94</v>
      </c>
      <c r="Z145" s="1" t="s">
        <v>59</v>
      </c>
      <c r="AA145" s="1" t="s">
        <v>8</v>
      </c>
      <c r="AB145" s="1" t="s">
        <v>27</v>
      </c>
      <c r="AC145" s="1">
        <v>100</v>
      </c>
      <c r="AD145" s="1">
        <v>320</v>
      </c>
    </row>
    <row r="146" spans="1:32" x14ac:dyDescent="0.3">
      <c r="A146" s="1" t="s">
        <v>625</v>
      </c>
      <c r="B146" s="1">
        <v>0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 t="s">
        <v>548</v>
      </c>
      <c r="W146" s="1" t="s">
        <v>620</v>
      </c>
      <c r="X146" s="1" t="s">
        <v>619</v>
      </c>
      <c r="Y146" s="1" t="s">
        <v>94</v>
      </c>
      <c r="Z146" s="1" t="s">
        <v>59</v>
      </c>
      <c r="AA146" s="1" t="s">
        <v>8</v>
      </c>
      <c r="AB146" s="1" t="s">
        <v>27</v>
      </c>
      <c r="AC146" s="1">
        <v>100</v>
      </c>
      <c r="AD146" s="1">
        <v>334</v>
      </c>
    </row>
    <row r="147" spans="1:32" x14ac:dyDescent="0.3">
      <c r="A147" s="1" t="s">
        <v>626</v>
      </c>
      <c r="B147" s="1">
        <v>0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 t="s">
        <v>548</v>
      </c>
      <c r="W147" s="1" t="s">
        <v>620</v>
      </c>
      <c r="X147" s="1" t="s">
        <v>619</v>
      </c>
      <c r="Y147" s="1" t="s">
        <v>94</v>
      </c>
      <c r="Z147" s="1" t="s">
        <v>59</v>
      </c>
      <c r="AA147" s="1" t="s">
        <v>8</v>
      </c>
      <c r="AB147" s="1" t="s">
        <v>27</v>
      </c>
      <c r="AC147" s="1">
        <v>100</v>
      </c>
      <c r="AD147" s="1">
        <v>339</v>
      </c>
    </row>
    <row r="148" spans="1:32" x14ac:dyDescent="0.3">
      <c r="A148" s="1" t="s">
        <v>224</v>
      </c>
      <c r="B148" s="1">
        <v>0</v>
      </c>
      <c r="C148" s="1">
        <f>7/8</f>
        <v>0.875</v>
      </c>
      <c r="D148" s="1">
        <f>1/8</f>
        <v>0.125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 t="s">
        <v>562</v>
      </c>
      <c r="W148" s="1" t="s">
        <v>627</v>
      </c>
      <c r="X148" s="1" t="s">
        <v>592</v>
      </c>
      <c r="Y148" s="1" t="s">
        <v>226</v>
      </c>
      <c r="Z148" s="1">
        <v>111.82</v>
      </c>
      <c r="AA148" s="1" t="s">
        <v>8</v>
      </c>
      <c r="AB148" s="1" t="s">
        <v>30</v>
      </c>
      <c r="AC148" s="1">
        <v>10</v>
      </c>
      <c r="AD148" s="1">
        <v>250</v>
      </c>
      <c r="AF148" s="1" t="s">
        <v>227</v>
      </c>
    </row>
    <row r="149" spans="1:32" x14ac:dyDescent="0.3">
      <c r="A149" s="1" t="s">
        <v>225</v>
      </c>
      <c r="B149" s="1">
        <v>0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 t="s">
        <v>562</v>
      </c>
      <c r="W149" s="1" t="s">
        <v>627</v>
      </c>
      <c r="X149" s="1" t="s">
        <v>592</v>
      </c>
      <c r="Y149" s="1" t="s">
        <v>94</v>
      </c>
      <c r="Z149" s="1">
        <v>0.72</v>
      </c>
      <c r="AA149" s="1" t="s">
        <v>8</v>
      </c>
      <c r="AB149" s="1" t="s">
        <v>30</v>
      </c>
      <c r="AC149" s="1">
        <v>10</v>
      </c>
      <c r="AD149" s="1">
        <v>418</v>
      </c>
    </row>
    <row r="150" spans="1:32" x14ac:dyDescent="0.3">
      <c r="A150" s="1" t="s">
        <v>228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 t="s">
        <v>229</v>
      </c>
      <c r="V150" s="1" t="s">
        <v>562</v>
      </c>
      <c r="W150" s="1" t="s">
        <v>628</v>
      </c>
      <c r="X150" s="1" t="s">
        <v>20</v>
      </c>
      <c r="Y150" s="1" t="s">
        <v>231</v>
      </c>
      <c r="Z150" s="1" t="s">
        <v>59</v>
      </c>
      <c r="AA150" s="1" t="s">
        <v>8</v>
      </c>
      <c r="AB150" s="1" t="s">
        <v>6</v>
      </c>
      <c r="AC150" s="1">
        <v>10</v>
      </c>
      <c r="AD150" s="1">
        <v>206</v>
      </c>
      <c r="AF150" s="1" t="s">
        <v>230</v>
      </c>
    </row>
    <row r="151" spans="1:32" x14ac:dyDescent="0.3">
      <c r="A151" s="1" t="s">
        <v>228</v>
      </c>
      <c r="B151" s="1">
        <v>0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 t="s">
        <v>229</v>
      </c>
      <c r="V151" s="1" t="s">
        <v>562</v>
      </c>
      <c r="W151" s="1" t="s">
        <v>628</v>
      </c>
      <c r="X151" s="1" t="s">
        <v>20</v>
      </c>
      <c r="Y151" s="1" t="s">
        <v>94</v>
      </c>
      <c r="Z151" s="1" t="s">
        <v>59</v>
      </c>
      <c r="AA151" s="1" t="s">
        <v>8</v>
      </c>
      <c r="AB151" s="1" t="s">
        <v>6</v>
      </c>
      <c r="AC151" s="1">
        <v>50</v>
      </c>
      <c r="AD151" s="1">
        <v>267</v>
      </c>
    </row>
    <row r="152" spans="1:32" x14ac:dyDescent="0.3">
      <c r="A152" s="1" t="s">
        <v>228</v>
      </c>
      <c r="B152" s="1">
        <v>0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 t="s">
        <v>229</v>
      </c>
      <c r="V152" s="1" t="s">
        <v>562</v>
      </c>
      <c r="W152" s="1" t="s">
        <v>628</v>
      </c>
      <c r="X152" s="1" t="s">
        <v>20</v>
      </c>
      <c r="Y152" s="1" t="s">
        <v>59</v>
      </c>
      <c r="Z152" s="1" t="s">
        <v>59</v>
      </c>
      <c r="AA152" s="1" t="s">
        <v>8</v>
      </c>
      <c r="AB152" s="1" t="s">
        <v>27</v>
      </c>
      <c r="AC152" s="1">
        <v>100</v>
      </c>
      <c r="AD152" s="1">
        <v>216</v>
      </c>
    </row>
    <row r="153" spans="1:32" x14ac:dyDescent="0.3">
      <c r="A153" s="1" t="s">
        <v>232</v>
      </c>
      <c r="B153" s="1">
        <v>0</v>
      </c>
      <c r="C153" s="1">
        <v>0.24</v>
      </c>
      <c r="D153" s="1">
        <v>0.76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 t="s">
        <v>561</v>
      </c>
      <c r="W153" s="1" t="s">
        <v>629</v>
      </c>
      <c r="X153" s="1" t="s">
        <v>355</v>
      </c>
      <c r="Y153" s="1" t="s">
        <v>233</v>
      </c>
      <c r="Z153" s="1">
        <v>6.12</v>
      </c>
      <c r="AA153" s="1" t="s">
        <v>8</v>
      </c>
      <c r="AB153" s="1" t="s">
        <v>27</v>
      </c>
      <c r="AC153" s="1">
        <v>50</v>
      </c>
      <c r="AD153" s="1">
        <v>280</v>
      </c>
      <c r="AF153" s="1" t="s">
        <v>234</v>
      </c>
    </row>
    <row r="154" spans="1:32" x14ac:dyDescent="0.3">
      <c r="A154" s="1" t="s">
        <v>235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 t="s">
        <v>562</v>
      </c>
      <c r="W154" s="1" t="s">
        <v>630</v>
      </c>
      <c r="X154" s="1" t="s">
        <v>355</v>
      </c>
      <c r="Y154" s="1" t="s">
        <v>59</v>
      </c>
      <c r="Z154" s="1">
        <v>5.72</v>
      </c>
      <c r="AA154" s="1" t="s">
        <v>8</v>
      </c>
      <c r="AB154" s="1" t="s">
        <v>27</v>
      </c>
      <c r="AC154" s="1">
        <v>50</v>
      </c>
      <c r="AD154" s="1">
        <v>560</v>
      </c>
    </row>
    <row r="155" spans="1:32" x14ac:dyDescent="0.3">
      <c r="A155" s="1" t="s">
        <v>236</v>
      </c>
      <c r="B155" s="1">
        <v>0</v>
      </c>
      <c r="C155" s="1">
        <v>0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 t="s">
        <v>562</v>
      </c>
      <c r="W155" s="1" t="s">
        <v>630</v>
      </c>
      <c r="X155" s="1" t="s">
        <v>359</v>
      </c>
      <c r="Y155" s="1" t="s">
        <v>59</v>
      </c>
      <c r="Z155" s="1">
        <v>2.78</v>
      </c>
      <c r="AA155" s="1" t="s">
        <v>8</v>
      </c>
      <c r="AB155" s="1" t="s">
        <v>27</v>
      </c>
      <c r="AC155" s="1">
        <v>50</v>
      </c>
      <c r="AD155" s="1">
        <v>420</v>
      </c>
    </row>
    <row r="156" spans="1:32" x14ac:dyDescent="0.3">
      <c r="A156" s="1" t="s">
        <v>237</v>
      </c>
      <c r="B156" s="1">
        <v>0</v>
      </c>
      <c r="C156" s="1">
        <v>0.7</v>
      </c>
      <c r="D156" s="1">
        <v>0.3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 t="s">
        <v>561</v>
      </c>
      <c r="W156" s="1" t="s">
        <v>629</v>
      </c>
      <c r="X156" s="1" t="s">
        <v>355</v>
      </c>
      <c r="Y156" s="1" t="s">
        <v>233</v>
      </c>
      <c r="Z156" s="1" t="s">
        <v>59</v>
      </c>
      <c r="AA156" s="1" t="s">
        <v>8</v>
      </c>
      <c r="AB156" s="1" t="s">
        <v>27</v>
      </c>
      <c r="AC156" s="1">
        <v>50</v>
      </c>
      <c r="AD156" s="1">
        <v>282</v>
      </c>
    </row>
    <row r="157" spans="1:32" x14ac:dyDescent="0.3">
      <c r="A157" s="1" t="s">
        <v>238</v>
      </c>
      <c r="B157" s="1">
        <v>0</v>
      </c>
      <c r="C157" s="1">
        <v>0.32</v>
      </c>
      <c r="D157" s="1">
        <v>0.68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 t="s">
        <v>561</v>
      </c>
      <c r="W157" s="1" t="s">
        <v>629</v>
      </c>
      <c r="X157" s="1" t="s">
        <v>355</v>
      </c>
      <c r="Y157" s="1" t="s">
        <v>233</v>
      </c>
      <c r="Z157" s="1" t="s">
        <v>59</v>
      </c>
      <c r="AA157" s="1" t="s">
        <v>8</v>
      </c>
      <c r="AB157" s="1" t="s">
        <v>27</v>
      </c>
      <c r="AC157" s="1">
        <v>50</v>
      </c>
      <c r="AD157" s="1">
        <v>312.8</v>
      </c>
    </row>
    <row r="158" spans="1:32" x14ac:dyDescent="0.3">
      <c r="A158" s="1" t="s">
        <v>241</v>
      </c>
      <c r="B158" s="1">
        <f>14.6/(17+14.6+4.2)</f>
        <v>0.40782122905027929</v>
      </c>
      <c r="C158" s="1">
        <f>17/(17+14.6+4.2)</f>
        <v>0.47486033519553067</v>
      </c>
      <c r="D158" s="1">
        <f>4.2/(17+14.6+4.2)</f>
        <v>0.11731843575418993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 t="s">
        <v>632</v>
      </c>
      <c r="W158" s="1" t="s">
        <v>631</v>
      </c>
      <c r="X158" s="1" t="s">
        <v>242</v>
      </c>
      <c r="Y158" s="1" t="s">
        <v>240</v>
      </c>
      <c r="Z158" s="1">
        <v>0.47</v>
      </c>
      <c r="AA158" s="1" t="s">
        <v>8</v>
      </c>
      <c r="AB158" s="1" t="s">
        <v>648</v>
      </c>
      <c r="AC158" s="1">
        <v>10</v>
      </c>
      <c r="AD158" s="1">
        <v>260</v>
      </c>
      <c r="AF158" s="1" t="s">
        <v>239</v>
      </c>
    </row>
    <row r="159" spans="1:32" x14ac:dyDescent="0.3">
      <c r="A159" s="1" t="s">
        <v>24</v>
      </c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 t="s">
        <v>634</v>
      </c>
      <c r="W159" s="1" t="s">
        <v>633</v>
      </c>
      <c r="X159" s="1" t="s">
        <v>18</v>
      </c>
      <c r="Y159" s="1" t="s">
        <v>244</v>
      </c>
      <c r="Z159" s="1">
        <v>43.43</v>
      </c>
      <c r="AA159" s="1" t="s">
        <v>8</v>
      </c>
      <c r="AB159" s="1" t="s">
        <v>30</v>
      </c>
      <c r="AC159" s="1">
        <v>10</v>
      </c>
      <c r="AD159" s="1">
        <v>253</v>
      </c>
      <c r="AF159" s="1" t="s">
        <v>245</v>
      </c>
    </row>
    <row r="160" spans="1:32" x14ac:dyDescent="0.3">
      <c r="A160" s="1" t="s">
        <v>246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 t="s">
        <v>548</v>
      </c>
      <c r="W160" s="1" t="s">
        <v>636</v>
      </c>
      <c r="X160" s="1" t="s">
        <v>18</v>
      </c>
      <c r="Y160" s="1" t="s">
        <v>250</v>
      </c>
      <c r="Z160" s="1">
        <v>22.6</v>
      </c>
      <c r="AA160" s="1" t="s">
        <v>8</v>
      </c>
      <c r="AB160" s="1" t="s">
        <v>27</v>
      </c>
      <c r="AC160" s="1">
        <v>10</v>
      </c>
      <c r="AD160" s="1">
        <v>275</v>
      </c>
      <c r="AF160" s="1" t="s">
        <v>251</v>
      </c>
    </row>
    <row r="161" spans="1:32" x14ac:dyDescent="0.3">
      <c r="A161" s="1" t="s">
        <v>246</v>
      </c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 t="s">
        <v>548</v>
      </c>
      <c r="W161" s="1" t="s">
        <v>636</v>
      </c>
      <c r="X161" s="1" t="s">
        <v>18</v>
      </c>
      <c r="Y161" s="1" t="s">
        <v>250</v>
      </c>
      <c r="Z161" s="1">
        <v>22.6</v>
      </c>
      <c r="AA161" s="1" t="s">
        <v>8</v>
      </c>
      <c r="AB161" s="1" t="s">
        <v>27</v>
      </c>
      <c r="AC161" s="1">
        <v>200</v>
      </c>
      <c r="AD161" s="1">
        <v>340</v>
      </c>
    </row>
    <row r="162" spans="1:32" x14ac:dyDescent="0.3">
      <c r="A162" s="1" t="s">
        <v>247</v>
      </c>
      <c r="B162" s="1">
        <v>0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 t="s">
        <v>548</v>
      </c>
      <c r="W162" s="1" t="s">
        <v>635</v>
      </c>
      <c r="X162" s="1" t="s">
        <v>248</v>
      </c>
      <c r="Y162" s="1" t="s">
        <v>249</v>
      </c>
      <c r="Z162" s="1">
        <v>4.5999999999999996</v>
      </c>
      <c r="AA162" s="1" t="s">
        <v>8</v>
      </c>
      <c r="AB162" s="1" t="s">
        <v>27</v>
      </c>
      <c r="AC162" s="1">
        <v>10</v>
      </c>
      <c r="AD162" s="1">
        <v>304</v>
      </c>
    </row>
    <row r="163" spans="1:32" x14ac:dyDescent="0.3">
      <c r="A163" s="1" t="s">
        <v>253</v>
      </c>
      <c r="B163" s="1">
        <v>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 t="s">
        <v>562</v>
      </c>
      <c r="W163" s="1" t="s">
        <v>252</v>
      </c>
      <c r="X163" s="1" t="s">
        <v>18</v>
      </c>
      <c r="Y163" s="1" t="s">
        <v>267</v>
      </c>
      <c r="Z163" s="1">
        <v>1.27</v>
      </c>
      <c r="AA163" s="1" t="s">
        <v>8</v>
      </c>
      <c r="AB163" s="1" t="s">
        <v>27</v>
      </c>
      <c r="AC163" s="1">
        <v>50</v>
      </c>
      <c r="AD163" s="1">
        <v>529.07000000000005</v>
      </c>
      <c r="AF163" s="1" t="s">
        <v>260</v>
      </c>
    </row>
    <row r="164" spans="1:32" x14ac:dyDescent="0.3">
      <c r="A164" s="1" t="s">
        <v>254</v>
      </c>
      <c r="B164" s="1">
        <f>13.49/(13.49+14.12)</f>
        <v>0.48859109018471569</v>
      </c>
      <c r="C164" s="1">
        <f>14.12/(13.49+14.12)</f>
        <v>0.51140890981528431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 t="s">
        <v>562</v>
      </c>
      <c r="W164" s="1" t="s">
        <v>258</v>
      </c>
      <c r="X164" s="1" t="s">
        <v>18</v>
      </c>
      <c r="Y164" s="1" t="s">
        <v>267</v>
      </c>
      <c r="Z164" s="1">
        <v>2.91</v>
      </c>
      <c r="AA164" s="1" t="s">
        <v>8</v>
      </c>
      <c r="AB164" s="1" t="s">
        <v>27</v>
      </c>
      <c r="AC164" s="1">
        <v>50</v>
      </c>
      <c r="AD164" s="1">
        <v>340</v>
      </c>
    </row>
    <row r="165" spans="1:32" x14ac:dyDescent="0.3">
      <c r="A165" s="1" t="s">
        <v>255</v>
      </c>
      <c r="B165" s="1">
        <f>5.32/(5.32+15.2)</f>
        <v>0.2592592592592593</v>
      </c>
      <c r="C165" s="1">
        <f>15.2/(5.32+15.2)</f>
        <v>0.7407407407407407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 t="s">
        <v>562</v>
      </c>
      <c r="W165" s="1" t="s">
        <v>258</v>
      </c>
      <c r="X165" s="1" t="s">
        <v>18</v>
      </c>
      <c r="Y165" s="1" t="s">
        <v>267</v>
      </c>
      <c r="Z165" s="1">
        <v>1.39</v>
      </c>
      <c r="AA165" s="1" t="s">
        <v>8</v>
      </c>
      <c r="AB165" s="1" t="s">
        <v>27</v>
      </c>
      <c r="AC165" s="1">
        <v>50</v>
      </c>
      <c r="AD165" s="1">
        <v>352.61</v>
      </c>
    </row>
    <row r="166" spans="1:32" x14ac:dyDescent="0.3">
      <c r="A166" s="1" t="s">
        <v>256</v>
      </c>
      <c r="B166" s="1">
        <f>3.81/(3.81+19.01)</f>
        <v>0.16695880806310254</v>
      </c>
      <c r="C166" s="1">
        <f>19.01/(3.81+19.01)</f>
        <v>0.83304119193689752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 t="s">
        <v>562</v>
      </c>
      <c r="W166" s="1" t="s">
        <v>258</v>
      </c>
      <c r="X166" s="1" t="s">
        <v>18</v>
      </c>
      <c r="Y166" s="1" t="s">
        <v>267</v>
      </c>
      <c r="Z166" s="1">
        <v>2.35</v>
      </c>
      <c r="AA166" s="1" t="s">
        <v>8</v>
      </c>
      <c r="AB166" s="1" t="s">
        <v>27</v>
      </c>
      <c r="AC166" s="1">
        <v>50</v>
      </c>
      <c r="AD166" s="1">
        <v>373.62</v>
      </c>
    </row>
    <row r="167" spans="1:32" x14ac:dyDescent="0.3">
      <c r="A167" s="1" t="s">
        <v>257</v>
      </c>
      <c r="B167" s="1">
        <v>0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 t="s">
        <v>562</v>
      </c>
      <c r="W167" s="1" t="s">
        <v>258</v>
      </c>
      <c r="X167" s="1" t="s">
        <v>18</v>
      </c>
      <c r="Y167" s="1" t="s">
        <v>266</v>
      </c>
      <c r="Z167" s="1">
        <v>1.93</v>
      </c>
      <c r="AA167" s="1" t="s">
        <v>8</v>
      </c>
      <c r="AB167" s="1" t="s">
        <v>27</v>
      </c>
      <c r="AC167" s="1">
        <v>50</v>
      </c>
      <c r="AD167" s="1">
        <v>340</v>
      </c>
    </row>
    <row r="168" spans="1:32" x14ac:dyDescent="0.3">
      <c r="A168" s="1" t="s">
        <v>261</v>
      </c>
      <c r="B168" s="1">
        <f>0.69/(0.69+0.84)</f>
        <v>0.45098039215686275</v>
      </c>
      <c r="C168" s="1">
        <f>0.84/(0.69+0.84)</f>
        <v>0.5490196078431373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 t="s">
        <v>562</v>
      </c>
      <c r="W168" s="1" t="s">
        <v>252</v>
      </c>
      <c r="X168" s="1" t="s">
        <v>18</v>
      </c>
      <c r="Y168" s="1" t="s">
        <v>267</v>
      </c>
      <c r="Z168" s="1">
        <v>2.2000000000000002</v>
      </c>
      <c r="AA168" s="1" t="s">
        <v>8</v>
      </c>
      <c r="AB168" s="1" t="s">
        <v>27</v>
      </c>
      <c r="AC168" s="1">
        <v>50</v>
      </c>
      <c r="AD168" s="1">
        <v>388.49</v>
      </c>
    </row>
    <row r="169" spans="1:32" ht="15" customHeight="1" x14ac:dyDescent="0.3">
      <c r="A169" s="1" t="s">
        <v>262</v>
      </c>
      <c r="B169" s="1">
        <f>0.46/(0.46+0.76)</f>
        <v>0.37704918032786888</v>
      </c>
      <c r="C169" s="1">
        <f>0.76/(0.46+0.76)</f>
        <v>0.62295081967213117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 t="s">
        <v>562</v>
      </c>
      <c r="W169" s="1" t="s">
        <v>259</v>
      </c>
      <c r="X169" s="1" t="s">
        <v>18</v>
      </c>
      <c r="Y169" s="1" t="s">
        <v>267</v>
      </c>
      <c r="Z169" s="1">
        <v>3.1</v>
      </c>
      <c r="AA169" s="1" t="s">
        <v>8</v>
      </c>
      <c r="AB169" s="1" t="s">
        <v>27</v>
      </c>
      <c r="AC169" s="1">
        <v>50</v>
      </c>
      <c r="AD169" s="1">
        <v>300</v>
      </c>
    </row>
    <row r="170" spans="1:32" x14ac:dyDescent="0.3">
      <c r="A170" s="1" t="s">
        <v>263</v>
      </c>
      <c r="B170" s="1">
        <f>0.46/(0.46+0.83)</f>
        <v>0.35658914728682173</v>
      </c>
      <c r="C170" s="1">
        <f>0.83/(0.46+0.83)</f>
        <v>0.64341085271317822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 t="s">
        <v>562</v>
      </c>
      <c r="W170" s="1" t="s">
        <v>259</v>
      </c>
      <c r="X170" s="1" t="s">
        <v>18</v>
      </c>
      <c r="Y170" s="1" t="s">
        <v>267</v>
      </c>
      <c r="Z170" s="1">
        <v>2.8</v>
      </c>
      <c r="AA170" s="1" t="s">
        <v>8</v>
      </c>
      <c r="AB170" s="1" t="s">
        <v>27</v>
      </c>
      <c r="AC170" s="1">
        <v>50</v>
      </c>
      <c r="AD170" s="1">
        <v>329.5</v>
      </c>
    </row>
    <row r="171" spans="1:32" x14ac:dyDescent="0.3">
      <c r="A171" s="1" t="s">
        <v>264</v>
      </c>
      <c r="B171" s="1">
        <f>0.51/(0.51+0.77)</f>
        <v>0.3984375</v>
      </c>
      <c r="C171" s="1">
        <f>0.77/(0.51+0.77)</f>
        <v>0.6015625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 t="s">
        <v>562</v>
      </c>
      <c r="W171" s="1" t="s">
        <v>259</v>
      </c>
      <c r="X171" s="1" t="s">
        <v>18</v>
      </c>
      <c r="Y171" s="1" t="s">
        <v>267</v>
      </c>
      <c r="Z171" s="1">
        <v>2.6</v>
      </c>
      <c r="AA171" s="1" t="s">
        <v>8</v>
      </c>
      <c r="AB171" s="1" t="s">
        <v>27</v>
      </c>
      <c r="AC171" s="1">
        <v>50</v>
      </c>
      <c r="AD171" s="1">
        <v>354.78</v>
      </c>
    </row>
    <row r="172" spans="1:32" x14ac:dyDescent="0.3">
      <c r="A172" s="1" t="s">
        <v>265</v>
      </c>
      <c r="B172" s="1">
        <f>0.41/(0.41+0.66)</f>
        <v>0.38317757009345788</v>
      </c>
      <c r="C172" s="1">
        <f>0.66/(0.41+0.66)</f>
        <v>0.61682242990654201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 t="s">
        <v>562</v>
      </c>
      <c r="W172" s="1" t="s">
        <v>259</v>
      </c>
      <c r="X172" s="1" t="s">
        <v>18</v>
      </c>
      <c r="Y172" s="1" t="s">
        <v>266</v>
      </c>
      <c r="Z172" s="1">
        <v>3.1</v>
      </c>
      <c r="AA172" s="1" t="s">
        <v>8</v>
      </c>
      <c r="AB172" s="1" t="s">
        <v>27</v>
      </c>
      <c r="AC172" s="1">
        <v>50</v>
      </c>
      <c r="AD172" s="1">
        <v>367.42</v>
      </c>
    </row>
    <row r="173" spans="1:32" x14ac:dyDescent="0.3">
      <c r="A173" s="1" t="s">
        <v>268</v>
      </c>
      <c r="B173" s="1">
        <v>0</v>
      </c>
      <c r="C173" s="1">
        <f>1/(1+1.02+0.7)</f>
        <v>0.36764705882352944</v>
      </c>
      <c r="D173" s="1">
        <f>1.02/(1+1.02+0.7)</f>
        <v>0.37500000000000006</v>
      </c>
      <c r="E173" s="1">
        <v>0</v>
      </c>
      <c r="F173" s="1">
        <f>0.7/(1+1.02+0.7)</f>
        <v>0.25735294117647062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 t="s">
        <v>562</v>
      </c>
      <c r="W173" s="1" t="s">
        <v>271</v>
      </c>
      <c r="X173" s="1" t="s">
        <v>18</v>
      </c>
      <c r="Y173" s="1" t="s">
        <v>269</v>
      </c>
      <c r="Z173" s="1" t="s">
        <v>59</v>
      </c>
      <c r="AA173" s="1" t="s">
        <v>8</v>
      </c>
      <c r="AB173" s="1" t="s">
        <v>270</v>
      </c>
      <c r="AC173" s="1">
        <v>10</v>
      </c>
      <c r="AD173" s="1">
        <v>191</v>
      </c>
      <c r="AF173" s="1" t="s">
        <v>275</v>
      </c>
    </row>
    <row r="174" spans="1:32" x14ac:dyDescent="0.3">
      <c r="A174" s="1" t="s">
        <v>268</v>
      </c>
      <c r="B174" s="1">
        <v>0</v>
      </c>
      <c r="C174" s="1">
        <f>1/(1+1.02+0.7)</f>
        <v>0.36764705882352944</v>
      </c>
      <c r="D174" s="1">
        <f>1.02/(1+1.02+0.7)</f>
        <v>0.37500000000000006</v>
      </c>
      <c r="E174" s="1">
        <v>0</v>
      </c>
      <c r="F174" s="1">
        <f>0.7/(1+1.02+0.7)</f>
        <v>0.25735294117647062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 t="s">
        <v>562</v>
      </c>
      <c r="W174" s="1" t="s">
        <v>271</v>
      </c>
      <c r="X174" s="1" t="s">
        <v>18</v>
      </c>
      <c r="Y174" s="1" t="s">
        <v>269</v>
      </c>
      <c r="Z174" s="1" t="s">
        <v>59</v>
      </c>
      <c r="AA174" s="1" t="s">
        <v>8</v>
      </c>
      <c r="AB174" s="1" t="s">
        <v>6</v>
      </c>
      <c r="AC174" s="1">
        <v>10</v>
      </c>
      <c r="AD174" s="1">
        <v>223</v>
      </c>
    </row>
    <row r="175" spans="1:32" x14ac:dyDescent="0.3">
      <c r="A175" s="1" t="s">
        <v>272</v>
      </c>
      <c r="B175" s="1">
        <v>0</v>
      </c>
      <c r="C175" s="1">
        <v>0.5</v>
      </c>
      <c r="D175" s="1">
        <v>0.5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 t="s">
        <v>562</v>
      </c>
      <c r="W175" s="1" t="s">
        <v>271</v>
      </c>
      <c r="X175" s="1" t="s">
        <v>18</v>
      </c>
      <c r="Y175" s="1" t="s">
        <v>59</v>
      </c>
      <c r="Z175" s="1" t="s">
        <v>59</v>
      </c>
      <c r="AA175" s="1" t="s">
        <v>8</v>
      </c>
      <c r="AB175" s="1" t="s">
        <v>270</v>
      </c>
      <c r="AC175" s="1">
        <v>10</v>
      </c>
      <c r="AD175" s="1">
        <v>215</v>
      </c>
    </row>
    <row r="176" spans="1:32" x14ac:dyDescent="0.3">
      <c r="A176" s="1" t="s">
        <v>272</v>
      </c>
      <c r="B176" s="1">
        <v>0</v>
      </c>
      <c r="C176" s="1">
        <v>0.5</v>
      </c>
      <c r="D176" s="1">
        <v>0.5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 t="s">
        <v>562</v>
      </c>
      <c r="W176" s="1" t="s">
        <v>271</v>
      </c>
      <c r="X176" s="1" t="s">
        <v>18</v>
      </c>
      <c r="Y176" s="1" t="s">
        <v>59</v>
      </c>
      <c r="Z176" s="1" t="s">
        <v>59</v>
      </c>
      <c r="AA176" s="1" t="s">
        <v>8</v>
      </c>
      <c r="AB176" s="1" t="s">
        <v>6</v>
      </c>
      <c r="AC176" s="1">
        <v>10</v>
      </c>
      <c r="AD176" s="1">
        <v>277</v>
      </c>
    </row>
    <row r="177" spans="1:32" x14ac:dyDescent="0.3">
      <c r="A177" s="1" t="s">
        <v>273</v>
      </c>
      <c r="B177" s="1">
        <v>0</v>
      </c>
      <c r="C177" s="1">
        <f>1/(1+1.02+0.7)</f>
        <v>0.36764705882352944</v>
      </c>
      <c r="D177" s="1">
        <f>1.02/(1+1.02+0.7)</f>
        <v>0.37500000000000006</v>
      </c>
      <c r="E177" s="1">
        <v>0</v>
      </c>
      <c r="F177" s="1">
        <f>0.7/(1+1.02+0.7)</f>
        <v>0.25735294117647062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 t="s">
        <v>561</v>
      </c>
      <c r="W177" s="1" t="s">
        <v>274</v>
      </c>
      <c r="X177" s="1" t="s">
        <v>20</v>
      </c>
      <c r="Y177" s="1" t="s">
        <v>59</v>
      </c>
      <c r="Z177" s="1" t="s">
        <v>59</v>
      </c>
      <c r="AA177" s="1" t="s">
        <v>8</v>
      </c>
      <c r="AB177" s="1" t="s">
        <v>270</v>
      </c>
      <c r="AC177" s="1">
        <v>10</v>
      </c>
      <c r="AD177" s="1">
        <v>232</v>
      </c>
    </row>
    <row r="178" spans="1:32" x14ac:dyDescent="0.3">
      <c r="A178" s="1" t="s">
        <v>273</v>
      </c>
      <c r="B178" s="1">
        <v>0</v>
      </c>
      <c r="C178" s="1">
        <f>1/(1+1.02+0.7)</f>
        <v>0.36764705882352944</v>
      </c>
      <c r="D178" s="1">
        <f>1.02/(1+1.02+0.7)</f>
        <v>0.37500000000000006</v>
      </c>
      <c r="E178" s="1">
        <v>0</v>
      </c>
      <c r="F178" s="1">
        <f>0.7/(1+1.02+0.7)</f>
        <v>0.25735294117647062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 t="s">
        <v>561</v>
      </c>
      <c r="W178" s="1" t="s">
        <v>274</v>
      </c>
      <c r="X178" s="1" t="s">
        <v>20</v>
      </c>
      <c r="Y178" s="1" t="s">
        <v>59</v>
      </c>
      <c r="Z178" s="1" t="s">
        <v>59</v>
      </c>
      <c r="AA178" s="1" t="s">
        <v>8</v>
      </c>
      <c r="AB178" s="1" t="s">
        <v>6</v>
      </c>
      <c r="AC178" s="1">
        <v>10</v>
      </c>
      <c r="AD178" s="1">
        <v>301</v>
      </c>
    </row>
    <row r="179" spans="1:32" x14ac:dyDescent="0.3">
      <c r="A179" s="1" t="s">
        <v>276</v>
      </c>
      <c r="B179" s="1">
        <v>0</v>
      </c>
      <c r="C179" s="1">
        <v>0.5</v>
      </c>
      <c r="D179" s="1">
        <v>0.5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 t="s">
        <v>637</v>
      </c>
      <c r="W179" s="1" t="s">
        <v>639</v>
      </c>
      <c r="X179" s="1" t="s">
        <v>18</v>
      </c>
      <c r="Y179" s="1" t="s">
        <v>266</v>
      </c>
      <c r="Z179" s="1">
        <v>17.5</v>
      </c>
      <c r="AA179" s="1" t="s">
        <v>8</v>
      </c>
      <c r="AB179" s="1" t="s">
        <v>27</v>
      </c>
      <c r="AC179" s="1">
        <v>20</v>
      </c>
      <c r="AD179" s="1">
        <v>220</v>
      </c>
      <c r="AF179" s="1" t="s">
        <v>278</v>
      </c>
    </row>
    <row r="180" spans="1:32" x14ac:dyDescent="0.3">
      <c r="A180" s="1" t="s">
        <v>276</v>
      </c>
      <c r="B180" s="1">
        <v>0</v>
      </c>
      <c r="C180" s="1">
        <v>0.5</v>
      </c>
      <c r="D180" s="1">
        <v>0.5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 t="s">
        <v>637</v>
      </c>
      <c r="W180" s="1" t="s">
        <v>639</v>
      </c>
      <c r="X180" s="1" t="s">
        <v>18</v>
      </c>
      <c r="Y180" s="1" t="s">
        <v>266</v>
      </c>
      <c r="Z180" s="1" t="s">
        <v>59</v>
      </c>
      <c r="AA180" s="1" t="s">
        <v>8</v>
      </c>
      <c r="AB180" s="1" t="s">
        <v>6</v>
      </c>
      <c r="AC180" s="1">
        <v>10</v>
      </c>
      <c r="AD180" s="1">
        <v>290</v>
      </c>
    </row>
    <row r="181" spans="1:32" x14ac:dyDescent="0.3">
      <c r="A181" s="1" t="s">
        <v>24</v>
      </c>
      <c r="B181" s="1">
        <v>0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 t="s">
        <v>638</v>
      </c>
      <c r="W181" s="1" t="s">
        <v>639</v>
      </c>
      <c r="X181" s="1" t="s">
        <v>59</v>
      </c>
      <c r="Y181" s="1" t="s">
        <v>277</v>
      </c>
      <c r="Z181" s="1">
        <v>13.7</v>
      </c>
      <c r="AA181" s="1" t="s">
        <v>8</v>
      </c>
      <c r="AB181" s="1" t="s">
        <v>27</v>
      </c>
      <c r="AC181" s="1">
        <v>20</v>
      </c>
      <c r="AD181" s="1">
        <v>260</v>
      </c>
    </row>
    <row r="182" spans="1:32" x14ac:dyDescent="0.3">
      <c r="A182" s="1" t="s">
        <v>24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 t="s">
        <v>638</v>
      </c>
      <c r="W182" s="1" t="s">
        <v>639</v>
      </c>
      <c r="X182" s="1" t="s">
        <v>59</v>
      </c>
      <c r="Y182" s="1" t="s">
        <v>277</v>
      </c>
      <c r="Z182" s="1" t="s">
        <v>59</v>
      </c>
      <c r="AA182" s="1" t="s">
        <v>8</v>
      </c>
      <c r="AB182" s="1" t="s">
        <v>6</v>
      </c>
      <c r="AC182" s="1">
        <v>10</v>
      </c>
      <c r="AD182" s="1">
        <v>356.25</v>
      </c>
    </row>
    <row r="183" spans="1:32" x14ac:dyDescent="0.3">
      <c r="A183" s="1" t="s">
        <v>640</v>
      </c>
      <c r="B183" s="1">
        <v>0</v>
      </c>
      <c r="C183" s="1">
        <v>0.25</v>
      </c>
      <c r="D183" s="1">
        <v>0.75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 t="s">
        <v>637</v>
      </c>
      <c r="W183" s="1" t="s">
        <v>639</v>
      </c>
      <c r="X183" s="1" t="s">
        <v>18</v>
      </c>
      <c r="Y183" s="1" t="s">
        <v>266</v>
      </c>
      <c r="Z183" s="1" t="s">
        <v>59</v>
      </c>
      <c r="AA183" s="1" t="s">
        <v>8</v>
      </c>
      <c r="AB183" s="1" t="s">
        <v>27</v>
      </c>
      <c r="AC183" s="1">
        <v>20</v>
      </c>
      <c r="AD183" s="1">
        <v>248</v>
      </c>
    </row>
    <row r="184" spans="1:32" x14ac:dyDescent="0.3">
      <c r="A184" s="1" t="s">
        <v>641</v>
      </c>
      <c r="B184" s="1">
        <v>0</v>
      </c>
      <c r="C184" s="1">
        <v>0.75</v>
      </c>
      <c r="D184" s="1">
        <v>0.25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 t="s">
        <v>637</v>
      </c>
      <c r="W184" s="1" t="s">
        <v>639</v>
      </c>
      <c r="X184" s="1" t="s">
        <v>18</v>
      </c>
      <c r="Y184" s="1" t="s">
        <v>266</v>
      </c>
      <c r="Z184" s="1" t="s">
        <v>59</v>
      </c>
      <c r="AA184" s="1" t="s">
        <v>8</v>
      </c>
      <c r="AB184" s="1" t="s">
        <v>27</v>
      </c>
      <c r="AC184" s="1">
        <v>20</v>
      </c>
      <c r="AD184" s="1">
        <v>235</v>
      </c>
    </row>
    <row r="185" spans="1:32" x14ac:dyDescent="0.3">
      <c r="A185" s="1" t="s">
        <v>279</v>
      </c>
      <c r="B185" s="1">
        <v>0</v>
      </c>
      <c r="C185" s="1">
        <v>0.28499999999999998</v>
      </c>
      <c r="D185" s="1">
        <v>0.71499999999999997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 t="s">
        <v>562</v>
      </c>
      <c r="W185" s="1" t="s">
        <v>280</v>
      </c>
      <c r="X185" s="1" t="s">
        <v>20</v>
      </c>
      <c r="Y185" s="1" t="s">
        <v>94</v>
      </c>
      <c r="Z185" s="1" t="s">
        <v>59</v>
      </c>
      <c r="AA185" s="1" t="s">
        <v>8</v>
      </c>
      <c r="AB185" s="1" t="s">
        <v>27</v>
      </c>
      <c r="AC185" s="1">
        <v>10</v>
      </c>
      <c r="AD185" s="1">
        <v>211</v>
      </c>
      <c r="AF185" s="1" t="s">
        <v>281</v>
      </c>
    </row>
    <row r="186" spans="1:32" x14ac:dyDescent="0.3">
      <c r="A186" s="1" t="s">
        <v>282</v>
      </c>
      <c r="B186" s="1">
        <v>0.42485982411930162</v>
      </c>
      <c r="C186" s="1">
        <v>0.47472334731302424</v>
      </c>
      <c r="D186" s="1">
        <v>0.10041682856767395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 t="s">
        <v>286</v>
      </c>
      <c r="V186" s="1" t="s">
        <v>562</v>
      </c>
      <c r="W186" s="1" t="s">
        <v>287</v>
      </c>
      <c r="X186" s="1" t="s">
        <v>18</v>
      </c>
      <c r="Y186" s="1" t="s">
        <v>288</v>
      </c>
      <c r="Z186" s="1">
        <v>29.4</v>
      </c>
      <c r="AA186" s="1" t="s">
        <v>8</v>
      </c>
      <c r="AB186" s="1" t="s">
        <v>27</v>
      </c>
      <c r="AC186" s="1">
        <v>10</v>
      </c>
      <c r="AD186" s="1">
        <v>214</v>
      </c>
      <c r="AF186" s="1" t="s">
        <v>303</v>
      </c>
    </row>
    <row r="187" spans="1:32" x14ac:dyDescent="0.3">
      <c r="A187" s="1" t="s">
        <v>282</v>
      </c>
      <c r="B187" s="1">
        <v>0.42485982411930162</v>
      </c>
      <c r="C187" s="1">
        <v>0.47472334731302424</v>
      </c>
      <c r="D187" s="1">
        <v>0.10041682856767395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 t="s">
        <v>286</v>
      </c>
      <c r="V187" s="1" t="s">
        <v>562</v>
      </c>
      <c r="W187" s="1" t="s">
        <v>287</v>
      </c>
      <c r="X187" s="1" t="s">
        <v>18</v>
      </c>
      <c r="Y187" s="1" t="s">
        <v>288</v>
      </c>
      <c r="Z187" s="1">
        <v>29.4</v>
      </c>
      <c r="AA187" s="1" t="s">
        <v>8</v>
      </c>
      <c r="AB187" s="1" t="s">
        <v>27</v>
      </c>
      <c r="AC187" s="1">
        <v>50</v>
      </c>
      <c r="AD187" s="1">
        <v>237</v>
      </c>
    </row>
    <row r="188" spans="1:32" x14ac:dyDescent="0.3">
      <c r="A188" s="1" t="s">
        <v>282</v>
      </c>
      <c r="B188" s="1">
        <v>0.42485982411930162</v>
      </c>
      <c r="C188" s="1">
        <v>0.47472334731302424</v>
      </c>
      <c r="D188" s="1">
        <v>0.10041682856767395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 t="s">
        <v>286</v>
      </c>
      <c r="V188" s="1" t="s">
        <v>562</v>
      </c>
      <c r="W188" s="1" t="s">
        <v>287</v>
      </c>
      <c r="X188" s="1" t="s">
        <v>18</v>
      </c>
      <c r="Y188" s="1" t="s">
        <v>288</v>
      </c>
      <c r="Z188" s="1">
        <v>29.4</v>
      </c>
      <c r="AA188" s="1" t="s">
        <v>8</v>
      </c>
      <c r="AB188" s="1" t="s">
        <v>27</v>
      </c>
      <c r="AC188" s="1">
        <v>100</v>
      </c>
      <c r="AD188" s="1">
        <v>254</v>
      </c>
    </row>
    <row r="189" spans="1:32" x14ac:dyDescent="0.3">
      <c r="A189" s="1" t="s">
        <v>290</v>
      </c>
      <c r="B189" s="1">
        <v>0.42485982411930162</v>
      </c>
      <c r="C189" s="1">
        <v>0.47472334731302424</v>
      </c>
      <c r="D189" s="1">
        <v>0.10041682856767395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 t="s">
        <v>562</v>
      </c>
      <c r="W189" s="1" t="s">
        <v>287</v>
      </c>
      <c r="X189" s="1" t="s">
        <v>18</v>
      </c>
      <c r="Y189" s="1" t="s">
        <v>289</v>
      </c>
      <c r="Z189" s="1">
        <v>22.9</v>
      </c>
      <c r="AA189" s="1" t="s">
        <v>8</v>
      </c>
      <c r="AB189" s="1" t="s">
        <v>27</v>
      </c>
      <c r="AC189" s="1">
        <v>10</v>
      </c>
      <c r="AD189" s="1">
        <v>233</v>
      </c>
    </row>
    <row r="190" spans="1:32" x14ac:dyDescent="0.3">
      <c r="A190" s="1" t="s">
        <v>290</v>
      </c>
      <c r="B190" s="1">
        <v>0.42485982411930162</v>
      </c>
      <c r="C190" s="1">
        <v>0.47472334731302424</v>
      </c>
      <c r="D190" s="1">
        <v>0.10041682856767395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 t="s">
        <v>562</v>
      </c>
      <c r="W190" s="1" t="s">
        <v>287</v>
      </c>
      <c r="X190" s="1" t="s">
        <v>18</v>
      </c>
      <c r="Y190" s="1" t="s">
        <v>289</v>
      </c>
      <c r="Z190" s="1">
        <v>22.9</v>
      </c>
      <c r="AA190" s="1" t="s">
        <v>8</v>
      </c>
      <c r="AB190" s="1" t="s">
        <v>27</v>
      </c>
      <c r="AC190" s="1">
        <v>50</v>
      </c>
      <c r="AD190" s="1">
        <v>253</v>
      </c>
    </row>
    <row r="191" spans="1:32" x14ac:dyDescent="0.3">
      <c r="A191" s="1" t="s">
        <v>290</v>
      </c>
      <c r="B191" s="1">
        <v>0.42485982411930162</v>
      </c>
      <c r="C191" s="1">
        <v>0.47472334731302424</v>
      </c>
      <c r="D191" s="1">
        <v>0.10041682856767395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 t="s">
        <v>562</v>
      </c>
      <c r="W191" s="1" t="s">
        <v>287</v>
      </c>
      <c r="X191" s="1" t="s">
        <v>18</v>
      </c>
      <c r="Y191" s="1" t="s">
        <v>289</v>
      </c>
      <c r="Z191" s="1">
        <v>22.9</v>
      </c>
      <c r="AA191" s="1" t="s">
        <v>8</v>
      </c>
      <c r="AB191" s="1" t="s">
        <v>27</v>
      </c>
      <c r="AC191" s="1">
        <v>100</v>
      </c>
      <c r="AD191" s="1">
        <v>356</v>
      </c>
    </row>
    <row r="192" spans="1:32" x14ac:dyDescent="0.3">
      <c r="A192" s="1" t="s">
        <v>291</v>
      </c>
      <c r="B192" s="1">
        <v>1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 t="s">
        <v>562</v>
      </c>
      <c r="W192" s="1" t="s">
        <v>287</v>
      </c>
      <c r="X192" s="1" t="s">
        <v>59</v>
      </c>
      <c r="Y192" s="1" t="s">
        <v>59</v>
      </c>
      <c r="Z192" s="1" t="s">
        <v>59</v>
      </c>
      <c r="AA192" s="1" t="s">
        <v>8</v>
      </c>
      <c r="AB192" s="1" t="s">
        <v>27</v>
      </c>
      <c r="AC192" s="1">
        <v>10</v>
      </c>
      <c r="AD192" s="1">
        <v>373</v>
      </c>
    </row>
    <row r="193" spans="1:30" x14ac:dyDescent="0.3">
      <c r="A193" s="1" t="s">
        <v>291</v>
      </c>
      <c r="B193" s="1">
        <v>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 t="s">
        <v>562</v>
      </c>
      <c r="W193" s="1" t="s">
        <v>287</v>
      </c>
      <c r="X193" s="1" t="s">
        <v>59</v>
      </c>
      <c r="Y193" s="1" t="s">
        <v>59</v>
      </c>
      <c r="Z193" s="1" t="s">
        <v>59</v>
      </c>
      <c r="AA193" s="1" t="s">
        <v>8</v>
      </c>
      <c r="AB193" s="1" t="s">
        <v>27</v>
      </c>
      <c r="AC193" s="1">
        <v>50</v>
      </c>
      <c r="AD193" s="1">
        <v>481</v>
      </c>
    </row>
    <row r="194" spans="1:30" x14ac:dyDescent="0.3">
      <c r="A194" s="1" t="s">
        <v>291</v>
      </c>
      <c r="B194" s="1">
        <v>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 t="s">
        <v>562</v>
      </c>
      <c r="W194" s="1" t="s">
        <v>287</v>
      </c>
      <c r="X194" s="1" t="s">
        <v>59</v>
      </c>
      <c r="Y194" s="1" t="s">
        <v>59</v>
      </c>
      <c r="Z194" s="1" t="s">
        <v>59</v>
      </c>
      <c r="AA194" s="1" t="s">
        <v>8</v>
      </c>
      <c r="AB194" s="1" t="s">
        <v>27</v>
      </c>
      <c r="AC194" s="1">
        <v>100</v>
      </c>
      <c r="AD194" s="1">
        <v>576</v>
      </c>
    </row>
    <row r="195" spans="1:30" x14ac:dyDescent="0.3">
      <c r="A195" s="1" t="s">
        <v>292</v>
      </c>
      <c r="B195" s="1">
        <v>1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 t="s">
        <v>286</v>
      </c>
      <c r="V195" s="1" t="s">
        <v>562</v>
      </c>
      <c r="W195" s="1" t="s">
        <v>287</v>
      </c>
      <c r="X195" s="1" t="s">
        <v>59</v>
      </c>
      <c r="Y195" s="1" t="s">
        <v>59</v>
      </c>
      <c r="Z195" s="1" t="s">
        <v>59</v>
      </c>
      <c r="AA195" s="1" t="s">
        <v>8</v>
      </c>
      <c r="AB195" s="1" t="s">
        <v>27</v>
      </c>
      <c r="AC195" s="1">
        <v>10</v>
      </c>
      <c r="AD195" s="1">
        <v>286</v>
      </c>
    </row>
    <row r="196" spans="1:30" x14ac:dyDescent="0.3">
      <c r="A196" s="1" t="s">
        <v>292</v>
      </c>
      <c r="B196" s="1">
        <v>1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 t="s">
        <v>286</v>
      </c>
      <c r="V196" s="1" t="s">
        <v>562</v>
      </c>
      <c r="W196" s="1" t="s">
        <v>287</v>
      </c>
      <c r="X196" s="1" t="s">
        <v>59</v>
      </c>
      <c r="Y196" s="1" t="s">
        <v>59</v>
      </c>
      <c r="Z196" s="1" t="s">
        <v>59</v>
      </c>
      <c r="AA196" s="1" t="s">
        <v>8</v>
      </c>
      <c r="AB196" s="1" t="s">
        <v>27</v>
      </c>
      <c r="AC196" s="1">
        <v>50</v>
      </c>
      <c r="AD196" s="1">
        <v>383</v>
      </c>
    </row>
    <row r="197" spans="1:30" x14ac:dyDescent="0.3">
      <c r="A197" s="1" t="s">
        <v>292</v>
      </c>
      <c r="B197" s="1">
        <v>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 t="s">
        <v>286</v>
      </c>
      <c r="V197" s="1" t="s">
        <v>562</v>
      </c>
      <c r="W197" s="1" t="s">
        <v>287</v>
      </c>
      <c r="X197" s="1" t="s">
        <v>59</v>
      </c>
      <c r="Y197" s="1" t="s">
        <v>59</v>
      </c>
      <c r="Z197" s="1" t="s">
        <v>59</v>
      </c>
      <c r="AA197" s="1" t="s">
        <v>8</v>
      </c>
      <c r="AB197" s="1" t="s">
        <v>27</v>
      </c>
      <c r="AC197" s="1">
        <v>100</v>
      </c>
      <c r="AD197" s="1">
        <v>473</v>
      </c>
    </row>
    <row r="198" spans="1:30" x14ac:dyDescent="0.3">
      <c r="A198" s="1" t="s">
        <v>293</v>
      </c>
      <c r="B198" s="1">
        <v>0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 t="s">
        <v>562</v>
      </c>
      <c r="W198" s="1" t="s">
        <v>287</v>
      </c>
      <c r="X198" s="1" t="s">
        <v>59</v>
      </c>
      <c r="Y198" s="1" t="s">
        <v>59</v>
      </c>
      <c r="Z198" s="1" t="s">
        <v>59</v>
      </c>
      <c r="AA198" s="1" t="s">
        <v>8</v>
      </c>
      <c r="AB198" s="1" t="s">
        <v>27</v>
      </c>
      <c r="AC198" s="1">
        <v>10</v>
      </c>
      <c r="AD198" s="1">
        <v>298</v>
      </c>
    </row>
    <row r="199" spans="1:30" x14ac:dyDescent="0.3">
      <c r="A199" s="1" t="s">
        <v>293</v>
      </c>
      <c r="B199" s="1">
        <v>0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 t="s">
        <v>562</v>
      </c>
      <c r="W199" s="1" t="s">
        <v>287</v>
      </c>
      <c r="X199" s="1" t="s">
        <v>59</v>
      </c>
      <c r="Y199" s="1" t="s">
        <v>59</v>
      </c>
      <c r="Z199" s="1" t="s">
        <v>59</v>
      </c>
      <c r="AA199" s="1" t="s">
        <v>8</v>
      </c>
      <c r="AB199" s="1" t="s">
        <v>27</v>
      </c>
      <c r="AC199" s="1">
        <v>50</v>
      </c>
      <c r="AD199" s="1">
        <v>382</v>
      </c>
    </row>
    <row r="200" spans="1:30" x14ac:dyDescent="0.3">
      <c r="A200" s="1" t="s">
        <v>293</v>
      </c>
      <c r="B200" s="1">
        <v>0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 t="s">
        <v>562</v>
      </c>
      <c r="W200" s="1" t="s">
        <v>287</v>
      </c>
      <c r="X200" s="1" t="s">
        <v>59</v>
      </c>
      <c r="Y200" s="1" t="s">
        <v>59</v>
      </c>
      <c r="Z200" s="1" t="s">
        <v>59</v>
      </c>
      <c r="AA200" s="1" t="s">
        <v>8</v>
      </c>
      <c r="AB200" s="1" t="s">
        <v>27</v>
      </c>
      <c r="AC200" s="1">
        <v>100</v>
      </c>
      <c r="AD200" s="1">
        <v>449</v>
      </c>
    </row>
    <row r="201" spans="1:30" x14ac:dyDescent="0.3">
      <c r="A201" s="1" t="s">
        <v>294</v>
      </c>
      <c r="B201" s="1">
        <v>0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 t="s">
        <v>286</v>
      </c>
      <c r="V201" s="1" t="s">
        <v>562</v>
      </c>
      <c r="W201" s="1" t="s">
        <v>287</v>
      </c>
      <c r="X201" s="1" t="s">
        <v>59</v>
      </c>
      <c r="Y201" s="1" t="s">
        <v>59</v>
      </c>
      <c r="Z201" s="1" t="s">
        <v>59</v>
      </c>
      <c r="AA201" s="1" t="s">
        <v>8</v>
      </c>
      <c r="AB201" s="1" t="s">
        <v>27</v>
      </c>
      <c r="AC201" s="1">
        <v>10</v>
      </c>
      <c r="AD201" s="1">
        <v>223</v>
      </c>
    </row>
    <row r="202" spans="1:30" x14ac:dyDescent="0.3">
      <c r="A202" s="1" t="s">
        <v>294</v>
      </c>
      <c r="B202" s="1">
        <v>0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 t="s">
        <v>286</v>
      </c>
      <c r="V202" s="1" t="s">
        <v>562</v>
      </c>
      <c r="W202" s="1" t="s">
        <v>287</v>
      </c>
      <c r="X202" s="1" t="s">
        <v>59</v>
      </c>
      <c r="Y202" s="1" t="s">
        <v>59</v>
      </c>
      <c r="Z202" s="1" t="s">
        <v>59</v>
      </c>
      <c r="AA202" s="1" t="s">
        <v>8</v>
      </c>
      <c r="AB202" s="1" t="s">
        <v>27</v>
      </c>
      <c r="AC202" s="1">
        <v>50</v>
      </c>
      <c r="AD202" s="1">
        <v>274</v>
      </c>
    </row>
    <row r="203" spans="1:30" x14ac:dyDescent="0.3">
      <c r="A203" s="1" t="s">
        <v>294</v>
      </c>
      <c r="B203" s="1">
        <v>0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 t="s">
        <v>286</v>
      </c>
      <c r="V203" s="1" t="s">
        <v>562</v>
      </c>
      <c r="W203" s="1" t="s">
        <v>287</v>
      </c>
      <c r="X203" s="1" t="s">
        <v>59</v>
      </c>
      <c r="Y203" s="1" t="s">
        <v>59</v>
      </c>
      <c r="Z203" s="1" t="s">
        <v>59</v>
      </c>
      <c r="AA203" s="1" t="s">
        <v>8</v>
      </c>
      <c r="AB203" s="1" t="s">
        <v>27</v>
      </c>
      <c r="AC203" s="1">
        <v>100</v>
      </c>
      <c r="AD203" s="1">
        <v>324</v>
      </c>
    </row>
    <row r="204" spans="1:30" x14ac:dyDescent="0.3">
      <c r="A204" s="1" t="s">
        <v>295</v>
      </c>
      <c r="B204" s="1">
        <v>0</v>
      </c>
      <c r="C204" s="1">
        <v>0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 t="s">
        <v>562</v>
      </c>
      <c r="W204" s="1" t="s">
        <v>287</v>
      </c>
      <c r="X204" s="1" t="s">
        <v>59</v>
      </c>
      <c r="Y204" s="1" t="s">
        <v>59</v>
      </c>
      <c r="Z204" s="1" t="s">
        <v>59</v>
      </c>
      <c r="AA204" s="1" t="s">
        <v>8</v>
      </c>
      <c r="AB204" s="1" t="s">
        <v>27</v>
      </c>
      <c r="AC204" s="1">
        <v>10</v>
      </c>
      <c r="AD204" s="1">
        <v>290</v>
      </c>
    </row>
    <row r="205" spans="1:30" x14ac:dyDescent="0.3">
      <c r="A205" s="1" t="s">
        <v>295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 t="s">
        <v>562</v>
      </c>
      <c r="W205" s="1" t="s">
        <v>287</v>
      </c>
      <c r="X205" s="1" t="s">
        <v>59</v>
      </c>
      <c r="Y205" s="1" t="s">
        <v>59</v>
      </c>
      <c r="Z205" s="1" t="s">
        <v>59</v>
      </c>
      <c r="AA205" s="1" t="s">
        <v>8</v>
      </c>
      <c r="AB205" s="1" t="s">
        <v>27</v>
      </c>
      <c r="AC205" s="1">
        <v>50</v>
      </c>
      <c r="AD205" s="1">
        <v>355</v>
      </c>
    </row>
    <row r="206" spans="1:30" x14ac:dyDescent="0.3">
      <c r="A206" s="1" t="s">
        <v>295</v>
      </c>
      <c r="B206" s="1">
        <v>0</v>
      </c>
      <c r="C206" s="1">
        <v>0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 t="s">
        <v>562</v>
      </c>
      <c r="W206" s="1" t="s">
        <v>287</v>
      </c>
      <c r="X206" s="1" t="s">
        <v>59</v>
      </c>
      <c r="Y206" s="1" t="s">
        <v>59</v>
      </c>
      <c r="Z206" s="1" t="s">
        <v>59</v>
      </c>
      <c r="AA206" s="1" t="s">
        <v>8</v>
      </c>
      <c r="AB206" s="1" t="s">
        <v>27</v>
      </c>
      <c r="AC206" s="1">
        <v>100</v>
      </c>
      <c r="AD206" s="1">
        <v>417</v>
      </c>
    </row>
    <row r="207" spans="1:30" x14ac:dyDescent="0.3">
      <c r="A207" s="1" t="s">
        <v>296</v>
      </c>
      <c r="B207" s="1">
        <v>0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 t="s">
        <v>286</v>
      </c>
      <c r="V207" s="1" t="s">
        <v>562</v>
      </c>
      <c r="W207" s="1" t="s">
        <v>287</v>
      </c>
      <c r="X207" s="1" t="s">
        <v>59</v>
      </c>
      <c r="Y207" s="1" t="s">
        <v>59</v>
      </c>
      <c r="Z207" s="1" t="s">
        <v>59</v>
      </c>
      <c r="AA207" s="1" t="s">
        <v>8</v>
      </c>
      <c r="AB207" s="1" t="s">
        <v>27</v>
      </c>
      <c r="AC207" s="1">
        <v>10</v>
      </c>
      <c r="AD207" s="1">
        <v>290</v>
      </c>
    </row>
    <row r="208" spans="1:30" x14ac:dyDescent="0.3">
      <c r="A208" s="1" t="s">
        <v>296</v>
      </c>
      <c r="B208" s="1">
        <v>0</v>
      </c>
      <c r="C208" s="1">
        <v>0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 t="s">
        <v>286</v>
      </c>
      <c r="V208" s="1" t="s">
        <v>562</v>
      </c>
      <c r="W208" s="1" t="s">
        <v>287</v>
      </c>
      <c r="X208" s="1" t="s">
        <v>59</v>
      </c>
      <c r="Y208" s="1" t="s">
        <v>59</v>
      </c>
      <c r="Z208" s="1" t="s">
        <v>59</v>
      </c>
      <c r="AA208" s="1" t="s">
        <v>8</v>
      </c>
      <c r="AB208" s="1" t="s">
        <v>27</v>
      </c>
      <c r="AC208" s="1">
        <v>50</v>
      </c>
      <c r="AD208" s="1">
        <v>353</v>
      </c>
    </row>
    <row r="209" spans="1:30" x14ac:dyDescent="0.3">
      <c r="A209" s="1" t="s">
        <v>296</v>
      </c>
      <c r="B209" s="1">
        <v>0</v>
      </c>
      <c r="C209" s="1">
        <v>0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 t="s">
        <v>286</v>
      </c>
      <c r="V209" s="1" t="s">
        <v>562</v>
      </c>
      <c r="W209" s="1" t="s">
        <v>287</v>
      </c>
      <c r="X209" s="1" t="s">
        <v>59</v>
      </c>
      <c r="Y209" s="1" t="s">
        <v>59</v>
      </c>
      <c r="Z209" s="1" t="s">
        <v>59</v>
      </c>
      <c r="AA209" s="1" t="s">
        <v>8</v>
      </c>
      <c r="AB209" s="1" t="s">
        <v>27</v>
      </c>
      <c r="AC209" s="1">
        <v>100</v>
      </c>
      <c r="AD209" s="1">
        <v>415</v>
      </c>
    </row>
    <row r="210" spans="1:30" x14ac:dyDescent="0.3">
      <c r="A210" s="1" t="s">
        <v>297</v>
      </c>
      <c r="B210" s="1">
        <v>0.47228520676174418</v>
      </c>
      <c r="C210" s="1">
        <v>0.52771479323825576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 t="s">
        <v>562</v>
      </c>
      <c r="W210" s="1" t="s">
        <v>287</v>
      </c>
      <c r="X210" s="1" t="s">
        <v>59</v>
      </c>
      <c r="Y210" s="1" t="s">
        <v>59</v>
      </c>
      <c r="Z210" s="1" t="s">
        <v>59</v>
      </c>
      <c r="AA210" s="1" t="s">
        <v>8</v>
      </c>
      <c r="AB210" s="1" t="s">
        <v>27</v>
      </c>
      <c r="AC210" s="1">
        <v>10</v>
      </c>
      <c r="AD210" s="1">
        <v>223</v>
      </c>
    </row>
    <row r="211" spans="1:30" x14ac:dyDescent="0.3">
      <c r="A211" s="1" t="s">
        <v>297</v>
      </c>
      <c r="B211" s="1">
        <v>0.47228520676174418</v>
      </c>
      <c r="C211" s="1">
        <v>0.52771479323825576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 t="s">
        <v>562</v>
      </c>
      <c r="W211" s="1" t="s">
        <v>287</v>
      </c>
      <c r="X211" s="1" t="s">
        <v>59</v>
      </c>
      <c r="Y211" s="1" t="s">
        <v>59</v>
      </c>
      <c r="Z211" s="1" t="s">
        <v>59</v>
      </c>
      <c r="AA211" s="1" t="s">
        <v>8</v>
      </c>
      <c r="AB211" s="1" t="s">
        <v>27</v>
      </c>
      <c r="AC211" s="1">
        <v>50</v>
      </c>
      <c r="AD211" s="1">
        <v>264</v>
      </c>
    </row>
    <row r="212" spans="1:30" x14ac:dyDescent="0.3">
      <c r="A212" s="1" t="s">
        <v>297</v>
      </c>
      <c r="B212" s="1">
        <v>0.47228520676174418</v>
      </c>
      <c r="C212" s="1">
        <v>0.52771479323825576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 t="s">
        <v>562</v>
      </c>
      <c r="W212" s="1" t="s">
        <v>287</v>
      </c>
      <c r="X212" s="1" t="s">
        <v>59</v>
      </c>
      <c r="Y212" s="1" t="s">
        <v>59</v>
      </c>
      <c r="Z212" s="1" t="s">
        <v>59</v>
      </c>
      <c r="AA212" s="1" t="s">
        <v>8</v>
      </c>
      <c r="AB212" s="1" t="s">
        <v>27</v>
      </c>
      <c r="AC212" s="1">
        <v>100</v>
      </c>
      <c r="AD212" s="1">
        <v>316</v>
      </c>
    </row>
    <row r="213" spans="1:30" x14ac:dyDescent="0.3">
      <c r="A213" s="1" t="s">
        <v>298</v>
      </c>
      <c r="B213" s="1">
        <v>0.47228520676174418</v>
      </c>
      <c r="C213" s="1">
        <v>0.52771479323825576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 t="s">
        <v>286</v>
      </c>
      <c r="V213" s="1" t="s">
        <v>562</v>
      </c>
      <c r="W213" s="1" t="s">
        <v>287</v>
      </c>
      <c r="X213" s="1" t="s">
        <v>59</v>
      </c>
      <c r="Y213" s="1" t="s">
        <v>59</v>
      </c>
      <c r="Z213" s="1" t="s">
        <v>59</v>
      </c>
      <c r="AA213" s="1" t="s">
        <v>8</v>
      </c>
      <c r="AB213" s="1" t="s">
        <v>27</v>
      </c>
      <c r="AC213" s="1">
        <v>10</v>
      </c>
      <c r="AD213" s="1">
        <v>223</v>
      </c>
    </row>
    <row r="214" spans="1:30" x14ac:dyDescent="0.3">
      <c r="A214" s="1" t="s">
        <v>298</v>
      </c>
      <c r="B214" s="1">
        <v>0.47228520676174418</v>
      </c>
      <c r="C214" s="1">
        <v>0.52771479323825576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 t="s">
        <v>286</v>
      </c>
      <c r="V214" s="1" t="s">
        <v>562</v>
      </c>
      <c r="W214" s="1" t="s">
        <v>287</v>
      </c>
      <c r="X214" s="1" t="s">
        <v>59</v>
      </c>
      <c r="Y214" s="1" t="s">
        <v>59</v>
      </c>
      <c r="Z214" s="1" t="s">
        <v>59</v>
      </c>
      <c r="AA214" s="1" t="s">
        <v>8</v>
      </c>
      <c r="AB214" s="1" t="s">
        <v>27</v>
      </c>
      <c r="AC214" s="1">
        <v>50</v>
      </c>
      <c r="AD214" s="1">
        <v>253</v>
      </c>
    </row>
    <row r="215" spans="1:30" x14ac:dyDescent="0.3">
      <c r="A215" s="1" t="s">
        <v>298</v>
      </c>
      <c r="B215" s="1">
        <v>0.47228520676174418</v>
      </c>
      <c r="C215" s="1">
        <v>0.52771479323825576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 t="s">
        <v>286</v>
      </c>
      <c r="V215" s="1" t="s">
        <v>562</v>
      </c>
      <c r="W215" s="1" t="s">
        <v>287</v>
      </c>
      <c r="X215" s="1" t="s">
        <v>59</v>
      </c>
      <c r="Y215" s="1" t="s">
        <v>59</v>
      </c>
      <c r="Z215" s="1" t="s">
        <v>59</v>
      </c>
      <c r="AA215" s="1" t="s">
        <v>8</v>
      </c>
      <c r="AB215" s="1" t="s">
        <v>27</v>
      </c>
      <c r="AC215" s="1">
        <v>100</v>
      </c>
      <c r="AD215" s="1">
        <v>310</v>
      </c>
    </row>
    <row r="216" spans="1:30" x14ac:dyDescent="0.3">
      <c r="A216" s="1" t="s">
        <v>299</v>
      </c>
      <c r="B216" s="1">
        <v>0</v>
      </c>
      <c r="C216" s="1">
        <v>0.82540460086289735</v>
      </c>
      <c r="D216" s="1">
        <v>0.1745953991371027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 t="s">
        <v>562</v>
      </c>
      <c r="W216" s="1" t="s">
        <v>287</v>
      </c>
      <c r="X216" s="1" t="s">
        <v>59</v>
      </c>
      <c r="Y216" s="1" t="s">
        <v>59</v>
      </c>
      <c r="Z216" s="1" t="s">
        <v>59</v>
      </c>
      <c r="AA216" s="1" t="s">
        <v>8</v>
      </c>
      <c r="AB216" s="1" t="s">
        <v>27</v>
      </c>
      <c r="AC216" s="1">
        <v>10</v>
      </c>
      <c r="AD216" s="1">
        <v>287</v>
      </c>
    </row>
    <row r="217" spans="1:30" x14ac:dyDescent="0.3">
      <c r="A217" s="1" t="s">
        <v>299</v>
      </c>
      <c r="B217" s="1">
        <v>0</v>
      </c>
      <c r="C217" s="1">
        <v>0.82540460086289735</v>
      </c>
      <c r="D217" s="1">
        <v>0.1745953991371027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 t="s">
        <v>562</v>
      </c>
      <c r="W217" s="1" t="s">
        <v>287</v>
      </c>
      <c r="X217" s="1" t="s">
        <v>59</v>
      </c>
      <c r="Y217" s="1" t="s">
        <v>59</v>
      </c>
      <c r="Z217" s="1" t="s">
        <v>59</v>
      </c>
      <c r="AA217" s="1" t="s">
        <v>8</v>
      </c>
      <c r="AB217" s="1" t="s">
        <v>27</v>
      </c>
      <c r="AC217" s="1">
        <v>50</v>
      </c>
      <c r="AD217" s="1">
        <v>340</v>
      </c>
    </row>
    <row r="218" spans="1:30" x14ac:dyDescent="0.3">
      <c r="A218" s="1" t="s">
        <v>299</v>
      </c>
      <c r="B218" s="1">
        <v>0</v>
      </c>
      <c r="C218" s="1">
        <v>0.82540460086289735</v>
      </c>
      <c r="D218" s="1">
        <v>0.1745953991371027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 t="s">
        <v>562</v>
      </c>
      <c r="W218" s="1" t="s">
        <v>287</v>
      </c>
      <c r="X218" s="1" t="s">
        <v>59</v>
      </c>
      <c r="Y218" s="1" t="s">
        <v>59</v>
      </c>
      <c r="Z218" s="1" t="s">
        <v>59</v>
      </c>
      <c r="AA218" s="1" t="s">
        <v>8</v>
      </c>
      <c r="AB218" s="1" t="s">
        <v>27</v>
      </c>
      <c r="AC218" s="1">
        <v>100</v>
      </c>
      <c r="AD218" s="1">
        <v>384</v>
      </c>
    </row>
    <row r="219" spans="1:30" x14ac:dyDescent="0.3">
      <c r="A219" s="1" t="s">
        <v>300</v>
      </c>
      <c r="B219" s="1">
        <v>0</v>
      </c>
      <c r="C219" s="1">
        <v>0.82540460086289735</v>
      </c>
      <c r="D219" s="1">
        <v>0.1745953991371027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 t="s">
        <v>286</v>
      </c>
      <c r="V219" s="1" t="s">
        <v>562</v>
      </c>
      <c r="W219" s="1" t="s">
        <v>287</v>
      </c>
      <c r="X219" s="1" t="s">
        <v>59</v>
      </c>
      <c r="Y219" s="1" t="s">
        <v>59</v>
      </c>
      <c r="Z219" s="1" t="s">
        <v>59</v>
      </c>
      <c r="AA219" s="1" t="s">
        <v>8</v>
      </c>
      <c r="AB219" s="1" t="s">
        <v>27</v>
      </c>
      <c r="AC219" s="1">
        <v>10</v>
      </c>
      <c r="AD219" s="1">
        <v>223</v>
      </c>
    </row>
    <row r="220" spans="1:30" x14ac:dyDescent="0.3">
      <c r="A220" s="1" t="s">
        <v>300</v>
      </c>
      <c r="B220" s="1">
        <v>0</v>
      </c>
      <c r="C220" s="1">
        <v>0.82540460086289735</v>
      </c>
      <c r="D220" s="1">
        <v>0.1745953991371027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 t="s">
        <v>286</v>
      </c>
      <c r="V220" s="1" t="s">
        <v>562</v>
      </c>
      <c r="W220" s="1" t="s">
        <v>287</v>
      </c>
      <c r="X220" s="1" t="s">
        <v>59</v>
      </c>
      <c r="Y220" s="1" t="s">
        <v>59</v>
      </c>
      <c r="Z220" s="1" t="s">
        <v>59</v>
      </c>
      <c r="AA220" s="1" t="s">
        <v>8</v>
      </c>
      <c r="AB220" s="1" t="s">
        <v>27</v>
      </c>
      <c r="AC220" s="1">
        <v>50</v>
      </c>
      <c r="AD220" s="1">
        <v>275</v>
      </c>
    </row>
    <row r="221" spans="1:30" x14ac:dyDescent="0.3">
      <c r="A221" s="1" t="s">
        <v>300</v>
      </c>
      <c r="B221" s="1">
        <v>0</v>
      </c>
      <c r="C221" s="1">
        <v>0.82540460086289735</v>
      </c>
      <c r="D221" s="1">
        <v>0.1745953991371027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 t="s">
        <v>286</v>
      </c>
      <c r="V221" s="1" t="s">
        <v>562</v>
      </c>
      <c r="W221" s="1" t="s">
        <v>287</v>
      </c>
      <c r="X221" s="1" t="s">
        <v>59</v>
      </c>
      <c r="Y221" s="1" t="s">
        <v>59</v>
      </c>
      <c r="Z221" s="1" t="s">
        <v>59</v>
      </c>
      <c r="AA221" s="1" t="s">
        <v>8</v>
      </c>
      <c r="AB221" s="1" t="s">
        <v>27</v>
      </c>
      <c r="AC221" s="1">
        <v>100</v>
      </c>
      <c r="AD221" s="1">
        <v>296</v>
      </c>
    </row>
    <row r="222" spans="1:30" x14ac:dyDescent="0.3">
      <c r="A222" s="1" t="s">
        <v>301</v>
      </c>
      <c r="B222" s="1">
        <v>0.80883058850225609</v>
      </c>
      <c r="C222" s="1">
        <v>0</v>
      </c>
      <c r="D222" s="1">
        <v>0.19116941149774391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 t="s">
        <v>562</v>
      </c>
      <c r="W222" s="1" t="s">
        <v>287</v>
      </c>
      <c r="X222" s="1" t="s">
        <v>59</v>
      </c>
      <c r="Y222" s="1" t="s">
        <v>59</v>
      </c>
      <c r="Z222" s="1" t="s">
        <v>59</v>
      </c>
      <c r="AA222" s="1" t="s">
        <v>8</v>
      </c>
      <c r="AB222" s="1" t="s">
        <v>27</v>
      </c>
      <c r="AC222" s="1">
        <v>10</v>
      </c>
      <c r="AD222" s="1">
        <v>304</v>
      </c>
    </row>
    <row r="223" spans="1:30" x14ac:dyDescent="0.3">
      <c r="A223" s="1" t="s">
        <v>301</v>
      </c>
      <c r="B223" s="1">
        <v>0.80883058850225609</v>
      </c>
      <c r="C223" s="1">
        <v>0</v>
      </c>
      <c r="D223" s="1">
        <v>0.19116941149774391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 t="s">
        <v>562</v>
      </c>
      <c r="W223" s="1" t="s">
        <v>287</v>
      </c>
      <c r="X223" s="1" t="s">
        <v>59</v>
      </c>
      <c r="Y223" s="1" t="s">
        <v>59</v>
      </c>
      <c r="Z223" s="1" t="s">
        <v>59</v>
      </c>
      <c r="AA223" s="1" t="s">
        <v>8</v>
      </c>
      <c r="AB223" s="1" t="s">
        <v>27</v>
      </c>
      <c r="AC223" s="1">
        <v>50</v>
      </c>
      <c r="AD223" s="1">
        <v>404</v>
      </c>
    </row>
    <row r="224" spans="1:30" x14ac:dyDescent="0.3">
      <c r="A224" s="1" t="s">
        <v>301</v>
      </c>
      <c r="B224" s="1">
        <v>0.80883058850225609</v>
      </c>
      <c r="C224" s="1">
        <v>0</v>
      </c>
      <c r="D224" s="1">
        <v>0.19116941149774391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 t="s">
        <v>562</v>
      </c>
      <c r="W224" s="1" t="s">
        <v>287</v>
      </c>
      <c r="X224" s="1" t="s">
        <v>59</v>
      </c>
      <c r="Y224" s="1" t="s">
        <v>59</v>
      </c>
      <c r="Z224" s="1" t="s">
        <v>59</v>
      </c>
      <c r="AA224" s="1" t="s">
        <v>8</v>
      </c>
      <c r="AB224" s="1" t="s">
        <v>27</v>
      </c>
      <c r="AC224" s="1">
        <v>100</v>
      </c>
      <c r="AD224" s="1">
        <v>488</v>
      </c>
    </row>
    <row r="225" spans="1:32" x14ac:dyDescent="0.3">
      <c r="A225" s="1" t="s">
        <v>302</v>
      </c>
      <c r="B225" s="1">
        <v>0.80883058850225609</v>
      </c>
      <c r="C225" s="1">
        <v>0</v>
      </c>
      <c r="D225" s="1">
        <v>0.19116941149774391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 t="s">
        <v>286</v>
      </c>
      <c r="V225" s="1" t="s">
        <v>562</v>
      </c>
      <c r="W225" s="1" t="s">
        <v>287</v>
      </c>
      <c r="X225" s="1" t="s">
        <v>59</v>
      </c>
      <c r="Y225" s="1" t="s">
        <v>59</v>
      </c>
      <c r="Z225" s="1" t="s">
        <v>59</v>
      </c>
      <c r="AA225" s="1" t="s">
        <v>8</v>
      </c>
      <c r="AB225" s="1" t="s">
        <v>27</v>
      </c>
      <c r="AC225" s="1">
        <v>10</v>
      </c>
      <c r="AD225" s="1">
        <v>274</v>
      </c>
    </row>
    <row r="226" spans="1:32" x14ac:dyDescent="0.3">
      <c r="A226" s="1" t="s">
        <v>302</v>
      </c>
      <c r="B226" s="1">
        <v>0.80883058850225609</v>
      </c>
      <c r="C226" s="1">
        <v>0</v>
      </c>
      <c r="D226" s="1">
        <v>0.19116941149774391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 t="s">
        <v>286</v>
      </c>
      <c r="V226" s="1" t="s">
        <v>562</v>
      </c>
      <c r="W226" s="1" t="s">
        <v>287</v>
      </c>
      <c r="X226" s="1" t="s">
        <v>59</v>
      </c>
      <c r="Y226" s="1" t="s">
        <v>59</v>
      </c>
      <c r="Z226" s="1" t="s">
        <v>59</v>
      </c>
      <c r="AA226" s="1" t="s">
        <v>8</v>
      </c>
      <c r="AB226" s="1" t="s">
        <v>27</v>
      </c>
      <c r="AC226" s="1">
        <v>50</v>
      </c>
      <c r="AD226" s="1">
        <v>345</v>
      </c>
    </row>
    <row r="227" spans="1:32" x14ac:dyDescent="0.3">
      <c r="A227" s="1" t="s">
        <v>302</v>
      </c>
      <c r="B227" s="1">
        <v>0.80883058850225609</v>
      </c>
      <c r="C227" s="1">
        <v>0</v>
      </c>
      <c r="D227" s="1">
        <v>0.19116941149774391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 t="s">
        <v>286</v>
      </c>
      <c r="V227" s="1" t="s">
        <v>562</v>
      </c>
      <c r="W227" s="1" t="s">
        <v>287</v>
      </c>
      <c r="X227" s="1" t="s">
        <v>59</v>
      </c>
      <c r="Y227" s="1" t="s">
        <v>59</v>
      </c>
      <c r="Z227" s="1" t="s">
        <v>59</v>
      </c>
      <c r="AA227" s="1" t="s">
        <v>8</v>
      </c>
      <c r="AB227" s="1" t="s">
        <v>27</v>
      </c>
      <c r="AC227" s="1">
        <v>100</v>
      </c>
      <c r="AD227" s="1">
        <v>416</v>
      </c>
    </row>
    <row r="228" spans="1:32" x14ac:dyDescent="0.3">
      <c r="A228" s="4" t="s">
        <v>644</v>
      </c>
      <c r="B228" s="1">
        <v>0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 t="s">
        <v>304</v>
      </c>
      <c r="V228" s="1" t="s">
        <v>562</v>
      </c>
      <c r="W228" s="1" t="s">
        <v>646</v>
      </c>
      <c r="X228" s="1" t="s">
        <v>242</v>
      </c>
      <c r="Y228" s="1" t="s">
        <v>306</v>
      </c>
      <c r="Z228" s="1" t="s">
        <v>59</v>
      </c>
      <c r="AA228" s="1" t="s">
        <v>8</v>
      </c>
      <c r="AB228" s="1" t="s">
        <v>45</v>
      </c>
      <c r="AC228" s="1">
        <v>10</v>
      </c>
      <c r="AD228" s="1">
        <v>296.51</v>
      </c>
      <c r="AF228" s="1" t="s">
        <v>307</v>
      </c>
    </row>
    <row r="229" spans="1:32" x14ac:dyDescent="0.3">
      <c r="A229" s="4" t="s">
        <v>643</v>
      </c>
      <c r="B229" s="1">
        <v>0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 t="s">
        <v>304</v>
      </c>
      <c r="V229" s="1" t="s">
        <v>562</v>
      </c>
      <c r="W229" s="1" t="s">
        <v>305</v>
      </c>
      <c r="X229" s="1" t="s">
        <v>242</v>
      </c>
      <c r="Y229" s="1" t="s">
        <v>306</v>
      </c>
      <c r="Z229" s="1">
        <v>0.26</v>
      </c>
      <c r="AA229" s="1" t="s">
        <v>8</v>
      </c>
      <c r="AB229" s="1" t="s">
        <v>45</v>
      </c>
      <c r="AC229" s="1">
        <v>10</v>
      </c>
      <c r="AD229" s="1">
        <v>255</v>
      </c>
    </row>
    <row r="230" spans="1:32" x14ac:dyDescent="0.3">
      <c r="A230" s="4" t="s">
        <v>645</v>
      </c>
      <c r="B230" s="1">
        <v>0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 t="s">
        <v>304</v>
      </c>
      <c r="V230" s="1" t="s">
        <v>562</v>
      </c>
      <c r="W230" s="1" t="s">
        <v>647</v>
      </c>
      <c r="X230" s="1" t="s">
        <v>242</v>
      </c>
      <c r="Y230" s="1" t="s">
        <v>306</v>
      </c>
      <c r="Z230" s="1" t="s">
        <v>59</v>
      </c>
      <c r="AA230" s="1" t="s">
        <v>8</v>
      </c>
      <c r="AB230" s="1" t="s">
        <v>45</v>
      </c>
      <c r="AC230" s="1">
        <v>10</v>
      </c>
      <c r="AD230" s="1">
        <v>269.64999999999998</v>
      </c>
    </row>
    <row r="231" spans="1:32" x14ac:dyDescent="0.3">
      <c r="A231" s="4" t="s">
        <v>642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 t="s">
        <v>562</v>
      </c>
      <c r="W231" s="1" t="s">
        <v>305</v>
      </c>
      <c r="X231" s="1" t="s">
        <v>242</v>
      </c>
      <c r="Y231" s="1" t="s">
        <v>306</v>
      </c>
      <c r="Z231" s="1">
        <v>0.191</v>
      </c>
      <c r="AA231" s="1" t="s">
        <v>8</v>
      </c>
      <c r="AB231" s="1" t="s">
        <v>45</v>
      </c>
      <c r="AC231" s="1">
        <v>10</v>
      </c>
      <c r="AD231" s="1">
        <v>349</v>
      </c>
    </row>
    <row r="232" spans="1:32" x14ac:dyDescent="0.3">
      <c r="A232" s="1" t="s">
        <v>308</v>
      </c>
      <c r="B232" s="1">
        <f>0.98/(6.56+0.98)</f>
        <v>0.12997347480106103</v>
      </c>
      <c r="C232" s="1">
        <f>6.56/(6.56+0.98)</f>
        <v>0.87002652519893908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 t="s">
        <v>309</v>
      </c>
      <c r="V232" s="1" t="s">
        <v>562</v>
      </c>
      <c r="W232" s="1" t="s">
        <v>650</v>
      </c>
      <c r="X232" s="1" t="s">
        <v>649</v>
      </c>
      <c r="Y232" s="1" t="s">
        <v>306</v>
      </c>
      <c r="Z232" s="1">
        <v>12</v>
      </c>
      <c r="AA232" s="1" t="s">
        <v>8</v>
      </c>
      <c r="AB232" s="1" t="s">
        <v>648</v>
      </c>
      <c r="AC232" s="1">
        <v>10</v>
      </c>
      <c r="AD232" s="1">
        <v>260</v>
      </c>
      <c r="AF232" s="1" t="s">
        <v>311</v>
      </c>
    </row>
    <row r="233" spans="1:32" x14ac:dyDescent="0.3">
      <c r="A233" s="1" t="s">
        <v>219</v>
      </c>
      <c r="B233" s="1">
        <f>0.89/(0.89+5.69)</f>
        <v>0.13525835866261399</v>
      </c>
      <c r="C233" s="1">
        <f>5.69/(0.89+5.69)</f>
        <v>0.86474164133738607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 t="s">
        <v>562</v>
      </c>
      <c r="W233" s="1" t="s">
        <v>650</v>
      </c>
      <c r="X233" s="1" t="s">
        <v>649</v>
      </c>
      <c r="Y233" s="1" t="s">
        <v>213</v>
      </c>
      <c r="Z233" s="1">
        <v>8</v>
      </c>
      <c r="AA233" s="1" t="s">
        <v>8</v>
      </c>
      <c r="AB233" s="1" t="s">
        <v>648</v>
      </c>
      <c r="AC233" s="1">
        <v>10</v>
      </c>
      <c r="AD233" s="1">
        <v>279</v>
      </c>
    </row>
    <row r="234" spans="1:32" x14ac:dyDescent="0.3">
      <c r="A234" s="1" t="s">
        <v>313</v>
      </c>
      <c r="B234" s="1">
        <v>0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 t="s">
        <v>562</v>
      </c>
      <c r="W234" s="1" t="s">
        <v>316</v>
      </c>
      <c r="X234" s="1" t="s">
        <v>318</v>
      </c>
      <c r="Y234" s="1" t="s">
        <v>59</v>
      </c>
      <c r="Z234" s="1">
        <f>(0.0523-0.79707)*1000/(15.87571-206.98955)</f>
        <v>3.8969966800939164</v>
      </c>
      <c r="AA234" s="1" t="s">
        <v>8</v>
      </c>
      <c r="AB234" s="1" t="s">
        <v>315</v>
      </c>
      <c r="AC234" s="1">
        <v>2</v>
      </c>
      <c r="AD234" s="1">
        <v>433.53</v>
      </c>
      <c r="AF234" s="1" t="s">
        <v>312</v>
      </c>
    </row>
    <row r="235" spans="1:32" x14ac:dyDescent="0.3">
      <c r="A235" s="1" t="s">
        <v>313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 t="s">
        <v>562</v>
      </c>
      <c r="W235" s="1" t="s">
        <v>316</v>
      </c>
      <c r="X235" s="1" t="s">
        <v>318</v>
      </c>
      <c r="Y235" s="1" t="s">
        <v>59</v>
      </c>
      <c r="Z235" s="1">
        <f>(0.0523-0.79707)*1000/(15.87571-206.98955)</f>
        <v>3.8969966800939164</v>
      </c>
      <c r="AA235" s="1" t="s">
        <v>8</v>
      </c>
      <c r="AB235" s="1" t="s">
        <v>315</v>
      </c>
      <c r="AC235" s="1">
        <v>10</v>
      </c>
      <c r="AD235" s="1">
        <v>600</v>
      </c>
    </row>
    <row r="236" spans="1:32" x14ac:dyDescent="0.3">
      <c r="A236" s="1" t="s">
        <v>314</v>
      </c>
      <c r="B236" s="1">
        <v>0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 t="s">
        <v>562</v>
      </c>
      <c r="W236" s="1" t="s">
        <v>317</v>
      </c>
      <c r="X236" s="1" t="s">
        <v>319</v>
      </c>
      <c r="Y236" s="1" t="s">
        <v>59</v>
      </c>
      <c r="Z236" s="1">
        <f>(0.02788-1.32111)*1000/(24.94251-204.01173)</f>
        <v>7.2219558447844916</v>
      </c>
      <c r="AA236" s="1" t="s">
        <v>8</v>
      </c>
      <c r="AB236" s="1" t="s">
        <v>315</v>
      </c>
      <c r="AC236" s="1">
        <v>2</v>
      </c>
      <c r="AD236" s="1">
        <v>456.12</v>
      </c>
    </row>
    <row r="237" spans="1:32" x14ac:dyDescent="0.3">
      <c r="A237" s="1" t="s">
        <v>313</v>
      </c>
      <c r="B237" s="1">
        <v>0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 t="s">
        <v>561</v>
      </c>
      <c r="W237" s="1" t="s">
        <v>651</v>
      </c>
      <c r="X237" s="1" t="s">
        <v>318</v>
      </c>
      <c r="Y237" s="1" t="s">
        <v>59</v>
      </c>
      <c r="Z237" s="1">
        <f>(0.0523-0.79707)*1000/(15.87571-206.98955)</f>
        <v>3.8969966800939164</v>
      </c>
      <c r="AA237" s="1" t="s">
        <v>8</v>
      </c>
      <c r="AB237" s="1" t="s">
        <v>315</v>
      </c>
      <c r="AC237" s="1">
        <v>10</v>
      </c>
      <c r="AD237" s="1">
        <v>620.66999999999996</v>
      </c>
    </row>
    <row r="238" spans="1:32" x14ac:dyDescent="0.3">
      <c r="A238" s="1" t="s">
        <v>313</v>
      </c>
      <c r="B238" s="1">
        <v>0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 t="s">
        <v>561</v>
      </c>
      <c r="W238" s="1" t="s">
        <v>652</v>
      </c>
      <c r="X238" s="1" t="s">
        <v>318</v>
      </c>
      <c r="Y238" s="1" t="s">
        <v>59</v>
      </c>
      <c r="Z238" s="1">
        <f>(0.0523-0.79707)*1000/(15.87571-206.98955)</f>
        <v>3.8969966800939164</v>
      </c>
      <c r="AA238" s="1" t="s">
        <v>8</v>
      </c>
      <c r="AB238" s="1" t="s">
        <v>315</v>
      </c>
      <c r="AC238" s="1">
        <v>10</v>
      </c>
      <c r="AD238" s="1">
        <v>540.44000000000005</v>
      </c>
    </row>
    <row r="239" spans="1:32" x14ac:dyDescent="0.3">
      <c r="A239" s="1" t="s">
        <v>313</v>
      </c>
      <c r="B239" s="1">
        <v>0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 t="s">
        <v>561</v>
      </c>
      <c r="W239" s="1" t="s">
        <v>653</v>
      </c>
      <c r="X239" s="1" t="s">
        <v>318</v>
      </c>
      <c r="Y239" s="1" t="s">
        <v>59</v>
      </c>
      <c r="Z239" s="1">
        <f>(0.0523-0.79707)*1000/(15.87571-206.98955)</f>
        <v>3.8969966800939164</v>
      </c>
      <c r="AA239" s="1" t="s">
        <v>8</v>
      </c>
      <c r="AB239" s="1" t="s">
        <v>315</v>
      </c>
      <c r="AC239" s="1">
        <v>10</v>
      </c>
      <c r="AD239" s="1">
        <v>481.08</v>
      </c>
    </row>
    <row r="240" spans="1:32" x14ac:dyDescent="0.3">
      <c r="A240" s="4" t="s">
        <v>320</v>
      </c>
      <c r="B240" s="1">
        <v>0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 t="s">
        <v>321</v>
      </c>
      <c r="V240" s="1" t="s">
        <v>562</v>
      </c>
      <c r="W240" s="1" t="s">
        <v>326</v>
      </c>
      <c r="X240" s="1" t="s">
        <v>18</v>
      </c>
      <c r="Y240" s="1" t="s">
        <v>322</v>
      </c>
      <c r="Z240" s="1">
        <v>64</v>
      </c>
      <c r="AA240" s="1" t="s">
        <v>8</v>
      </c>
      <c r="AB240" s="1" t="s">
        <v>323</v>
      </c>
      <c r="AC240" s="1">
        <v>10</v>
      </c>
      <c r="AD240" s="1">
        <v>250</v>
      </c>
      <c r="AF240" s="1" t="s">
        <v>327</v>
      </c>
    </row>
    <row r="241" spans="1:32" x14ac:dyDescent="0.3">
      <c r="A241" s="1" t="s">
        <v>325</v>
      </c>
      <c r="B241" s="1">
        <v>0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 t="s">
        <v>562</v>
      </c>
      <c r="W241" s="1" t="s">
        <v>654</v>
      </c>
      <c r="X241" s="1" t="s">
        <v>18</v>
      </c>
      <c r="Y241" s="1" t="s">
        <v>324</v>
      </c>
      <c r="Z241" s="1">
        <v>0.28999999999999998</v>
      </c>
      <c r="AA241" s="1" t="s">
        <v>8</v>
      </c>
      <c r="AB241" s="1" t="s">
        <v>6</v>
      </c>
      <c r="AC241" s="1">
        <v>10</v>
      </c>
      <c r="AD241" s="1">
        <v>550</v>
      </c>
    </row>
    <row r="242" spans="1:32" x14ac:dyDescent="0.3">
      <c r="A242" s="1" t="s">
        <v>468</v>
      </c>
      <c r="B242" s="1">
        <v>0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 t="s">
        <v>562</v>
      </c>
      <c r="W242" s="1" t="s">
        <v>326</v>
      </c>
      <c r="X242" s="1" t="s">
        <v>59</v>
      </c>
      <c r="Y242" s="1" t="s">
        <v>433</v>
      </c>
      <c r="Z242" s="1">
        <v>42</v>
      </c>
      <c r="AA242" s="1" t="s">
        <v>8</v>
      </c>
      <c r="AB242" s="1" t="s">
        <v>323</v>
      </c>
      <c r="AC242" s="1">
        <v>10</v>
      </c>
      <c r="AD242" s="1">
        <v>420</v>
      </c>
    </row>
    <row r="243" spans="1:32" x14ac:dyDescent="0.3">
      <c r="A243" s="1" t="s">
        <v>331</v>
      </c>
      <c r="B243" s="1">
        <v>0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 t="s">
        <v>548</v>
      </c>
      <c r="W243" s="1" t="s">
        <v>332</v>
      </c>
      <c r="X243" s="1" t="s">
        <v>18</v>
      </c>
      <c r="Y243" s="1" t="s">
        <v>147</v>
      </c>
      <c r="Z243" s="1">
        <v>0.78759999999999997</v>
      </c>
      <c r="AA243" s="1" t="s">
        <v>8</v>
      </c>
      <c r="AB243" s="1" t="s">
        <v>333</v>
      </c>
      <c r="AC243" s="1">
        <v>10</v>
      </c>
      <c r="AD243" s="1">
        <v>428</v>
      </c>
      <c r="AF243" s="1" t="s">
        <v>334</v>
      </c>
    </row>
    <row r="244" spans="1:32" x14ac:dyDescent="0.3">
      <c r="A244" s="1" t="s">
        <v>655</v>
      </c>
      <c r="B244" s="1">
        <v>0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 t="s">
        <v>562</v>
      </c>
      <c r="W244" s="1" t="s">
        <v>332</v>
      </c>
      <c r="X244" s="1" t="s">
        <v>18</v>
      </c>
      <c r="Y244" s="1" t="s">
        <v>147</v>
      </c>
      <c r="Z244" s="1">
        <v>9.6000000000000002E-2</v>
      </c>
      <c r="AA244" s="1" t="s">
        <v>8</v>
      </c>
      <c r="AB244" s="1" t="s">
        <v>333</v>
      </c>
      <c r="AC244" s="1">
        <v>10</v>
      </c>
      <c r="AD244" s="1">
        <v>499</v>
      </c>
    </row>
    <row r="245" spans="1:32" x14ac:dyDescent="0.3">
      <c r="A245" s="1" t="s">
        <v>656</v>
      </c>
      <c r="B245" s="1">
        <v>0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 t="s">
        <v>548</v>
      </c>
      <c r="W245" s="1" t="s">
        <v>661</v>
      </c>
      <c r="X245" s="1" t="s">
        <v>18</v>
      </c>
      <c r="Y245" s="1" t="s">
        <v>147</v>
      </c>
      <c r="Z245" s="1">
        <v>0.58640000000000003</v>
      </c>
      <c r="AA245" s="1" t="s">
        <v>46</v>
      </c>
      <c r="AB245" s="1" t="s">
        <v>333</v>
      </c>
      <c r="AC245" s="1">
        <v>10</v>
      </c>
      <c r="AD245" s="1">
        <v>471.25</v>
      </c>
    </row>
    <row r="246" spans="1:32" x14ac:dyDescent="0.3">
      <c r="A246" s="1" t="s">
        <v>657</v>
      </c>
      <c r="B246" s="1">
        <v>0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 t="s">
        <v>548</v>
      </c>
      <c r="W246" s="1" t="s">
        <v>662</v>
      </c>
      <c r="X246" s="1" t="s">
        <v>18</v>
      </c>
      <c r="Y246" s="1" t="s">
        <v>147</v>
      </c>
      <c r="Z246" s="1" t="s">
        <v>59</v>
      </c>
      <c r="AA246" s="1" t="s">
        <v>46</v>
      </c>
      <c r="AB246" s="1" t="s">
        <v>333</v>
      </c>
      <c r="AC246" s="1">
        <v>10</v>
      </c>
      <c r="AD246" s="1">
        <v>450</v>
      </c>
    </row>
    <row r="247" spans="1:32" x14ac:dyDescent="0.3">
      <c r="A247" s="1" t="s">
        <v>658</v>
      </c>
      <c r="B247" s="1">
        <v>0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 t="s">
        <v>548</v>
      </c>
      <c r="W247" s="1" t="s">
        <v>663</v>
      </c>
      <c r="X247" s="1" t="s">
        <v>18</v>
      </c>
      <c r="Y247" s="1" t="s">
        <v>147</v>
      </c>
      <c r="Z247" s="1" t="s">
        <v>59</v>
      </c>
      <c r="AA247" s="1" t="s">
        <v>46</v>
      </c>
      <c r="AB247" s="1" t="s">
        <v>333</v>
      </c>
      <c r="AC247" s="1">
        <v>10</v>
      </c>
      <c r="AD247" s="1">
        <v>447</v>
      </c>
    </row>
    <row r="248" spans="1:32" x14ac:dyDescent="0.3">
      <c r="A248" s="1" t="s">
        <v>659</v>
      </c>
      <c r="B248" s="1">
        <v>0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 t="s">
        <v>548</v>
      </c>
      <c r="W248" s="1" t="s">
        <v>317</v>
      </c>
      <c r="X248" s="1" t="s">
        <v>18</v>
      </c>
      <c r="Y248" s="1" t="s">
        <v>147</v>
      </c>
      <c r="Z248" s="1" t="s">
        <v>59</v>
      </c>
      <c r="AA248" s="1" t="s">
        <v>46</v>
      </c>
      <c r="AB248" s="1" t="s">
        <v>333</v>
      </c>
      <c r="AC248" s="1">
        <v>10</v>
      </c>
      <c r="AD248" s="1">
        <v>446.58</v>
      </c>
    </row>
    <row r="249" spans="1:32" x14ac:dyDescent="0.3">
      <c r="A249" s="1" t="s">
        <v>660</v>
      </c>
      <c r="B249" s="1">
        <v>0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 t="s">
        <v>548</v>
      </c>
      <c r="W249" s="1" t="s">
        <v>664</v>
      </c>
      <c r="X249" s="1" t="s">
        <v>18</v>
      </c>
      <c r="Y249" s="1" t="s">
        <v>147</v>
      </c>
      <c r="Z249" s="1">
        <v>0.158</v>
      </c>
      <c r="AA249" s="1" t="s">
        <v>46</v>
      </c>
      <c r="AB249" s="1" t="s">
        <v>333</v>
      </c>
      <c r="AC249" s="1">
        <v>10</v>
      </c>
      <c r="AD249" s="1">
        <v>485.41</v>
      </c>
    </row>
    <row r="250" spans="1:32" x14ac:dyDescent="0.3">
      <c r="A250" s="1" t="s">
        <v>313</v>
      </c>
      <c r="B250" s="1">
        <v>0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 t="s">
        <v>562</v>
      </c>
      <c r="W250" s="1" t="s">
        <v>345</v>
      </c>
      <c r="X250" s="1" t="s">
        <v>95</v>
      </c>
      <c r="Y250" s="1" t="s">
        <v>346</v>
      </c>
      <c r="Z250" s="1">
        <v>2.94</v>
      </c>
      <c r="AA250" s="1" t="s">
        <v>8</v>
      </c>
      <c r="AB250" s="1" t="s">
        <v>27</v>
      </c>
      <c r="AC250" s="1">
        <v>10</v>
      </c>
      <c r="AD250" s="1">
        <v>281</v>
      </c>
      <c r="AF250" s="1" t="s">
        <v>340</v>
      </c>
    </row>
    <row r="251" spans="1:32" x14ac:dyDescent="0.3">
      <c r="A251" s="1" t="s">
        <v>335</v>
      </c>
      <c r="B251" s="1">
        <v>0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 t="s">
        <v>562</v>
      </c>
      <c r="W251" s="1" t="s">
        <v>345</v>
      </c>
      <c r="X251" s="1" t="s">
        <v>154</v>
      </c>
      <c r="Y251" s="1" t="s">
        <v>347</v>
      </c>
      <c r="Z251" s="1">
        <v>4.76</v>
      </c>
      <c r="AA251" s="1" t="s">
        <v>8</v>
      </c>
      <c r="AB251" s="1" t="s">
        <v>27</v>
      </c>
      <c r="AC251" s="1">
        <v>10</v>
      </c>
      <c r="AD251" s="1">
        <v>223</v>
      </c>
    </row>
    <row r="252" spans="1:32" x14ac:dyDescent="0.3">
      <c r="A252" s="1" t="s">
        <v>336</v>
      </c>
      <c r="B252" s="1">
        <v>0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 t="s">
        <v>562</v>
      </c>
      <c r="W252" s="1" t="s">
        <v>345</v>
      </c>
      <c r="X252" s="1" t="s">
        <v>341</v>
      </c>
      <c r="Y252" s="1" t="s">
        <v>348</v>
      </c>
      <c r="Z252" s="1">
        <v>3.73</v>
      </c>
      <c r="AA252" s="1" t="s">
        <v>8</v>
      </c>
      <c r="AB252" s="1" t="s">
        <v>27</v>
      </c>
      <c r="AC252" s="1">
        <v>10</v>
      </c>
      <c r="AD252" s="1">
        <v>292</v>
      </c>
    </row>
    <row r="253" spans="1:32" x14ac:dyDescent="0.3">
      <c r="A253" s="1" t="s">
        <v>337</v>
      </c>
      <c r="B253" s="1">
        <v>0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 t="s">
        <v>562</v>
      </c>
      <c r="W253" s="1" t="s">
        <v>345</v>
      </c>
      <c r="X253" s="1" t="s">
        <v>342</v>
      </c>
      <c r="Y253" s="1" t="s">
        <v>349</v>
      </c>
      <c r="Z253" s="1">
        <v>8.08</v>
      </c>
      <c r="AA253" s="1" t="s">
        <v>8</v>
      </c>
      <c r="AB253" s="1" t="s">
        <v>27</v>
      </c>
      <c r="AC253" s="1">
        <v>10</v>
      </c>
      <c r="AD253" s="1">
        <v>250</v>
      </c>
    </row>
    <row r="254" spans="1:32" x14ac:dyDescent="0.3">
      <c r="A254" s="1" t="s">
        <v>338</v>
      </c>
      <c r="B254" s="1">
        <v>0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 t="s">
        <v>562</v>
      </c>
      <c r="W254" s="1" t="s">
        <v>345</v>
      </c>
      <c r="X254" s="1" t="s">
        <v>343</v>
      </c>
      <c r="Y254" s="1" t="s">
        <v>350</v>
      </c>
      <c r="Z254" s="1">
        <v>14.68</v>
      </c>
      <c r="AA254" s="1" t="s">
        <v>8</v>
      </c>
      <c r="AB254" s="1" t="s">
        <v>27</v>
      </c>
      <c r="AC254" s="1">
        <v>10</v>
      </c>
      <c r="AD254" s="1">
        <v>223</v>
      </c>
    </row>
    <row r="255" spans="1:32" x14ac:dyDescent="0.3">
      <c r="A255" s="1" t="s">
        <v>339</v>
      </c>
      <c r="B255" s="1">
        <v>0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 t="s">
        <v>562</v>
      </c>
      <c r="W255" s="1" t="s">
        <v>345</v>
      </c>
      <c r="X255" s="1" t="s">
        <v>344</v>
      </c>
      <c r="Y255" s="1" t="s">
        <v>351</v>
      </c>
      <c r="Z255" s="1">
        <v>22.39</v>
      </c>
      <c r="AA255" s="1" t="s">
        <v>8</v>
      </c>
      <c r="AB255" s="1" t="s">
        <v>27</v>
      </c>
      <c r="AC255" s="1">
        <v>10</v>
      </c>
      <c r="AD255" s="1">
        <v>180</v>
      </c>
    </row>
    <row r="256" spans="1:32" x14ac:dyDescent="0.3">
      <c r="A256" s="1" t="s">
        <v>352</v>
      </c>
      <c r="B256" s="1">
        <v>0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 t="s">
        <v>353</v>
      </c>
      <c r="V256" s="1" t="s">
        <v>665</v>
      </c>
      <c r="W256" s="1" t="s">
        <v>667</v>
      </c>
      <c r="X256" s="1" t="s">
        <v>355</v>
      </c>
      <c r="Y256" s="1" t="s">
        <v>349</v>
      </c>
      <c r="Z256" s="1">
        <v>0.85</v>
      </c>
      <c r="AA256" s="1" t="s">
        <v>8</v>
      </c>
      <c r="AB256" s="1" t="s">
        <v>27</v>
      </c>
      <c r="AC256" s="1">
        <v>10</v>
      </c>
      <c r="AD256" s="1">
        <v>197</v>
      </c>
      <c r="AF256" s="1" t="s">
        <v>354</v>
      </c>
    </row>
    <row r="257" spans="1:32" x14ac:dyDescent="0.3">
      <c r="A257" s="1" t="s">
        <v>352</v>
      </c>
      <c r="B257" s="1">
        <v>0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 t="s">
        <v>353</v>
      </c>
      <c r="V257" s="1" t="s">
        <v>665</v>
      </c>
      <c r="W257" s="1" t="s">
        <v>667</v>
      </c>
      <c r="X257" s="1" t="s">
        <v>355</v>
      </c>
      <c r="Y257" s="1" t="s">
        <v>349</v>
      </c>
      <c r="Z257" s="1" t="s">
        <v>59</v>
      </c>
      <c r="AA257" s="1" t="s">
        <v>8</v>
      </c>
      <c r="AB257" s="1" t="s">
        <v>315</v>
      </c>
      <c r="AC257" s="1">
        <v>10</v>
      </c>
      <c r="AD257" s="1">
        <v>273</v>
      </c>
    </row>
    <row r="258" spans="1:32" x14ac:dyDescent="0.3">
      <c r="A258" s="1" t="s">
        <v>356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 t="s">
        <v>562</v>
      </c>
      <c r="W258" s="1" t="s">
        <v>666</v>
      </c>
      <c r="X258" s="1" t="s">
        <v>355</v>
      </c>
      <c r="Y258" s="1" t="s">
        <v>59</v>
      </c>
      <c r="Z258" s="1">
        <v>0.45</v>
      </c>
      <c r="AA258" s="1" t="s">
        <v>8</v>
      </c>
      <c r="AB258" s="1" t="s">
        <v>27</v>
      </c>
      <c r="AC258" s="1">
        <v>10</v>
      </c>
      <c r="AD258" s="1">
        <v>310</v>
      </c>
    </row>
    <row r="259" spans="1:32" x14ac:dyDescent="0.3">
      <c r="A259" s="1" t="s">
        <v>357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 t="s">
        <v>562</v>
      </c>
      <c r="W259" s="1" t="s">
        <v>358</v>
      </c>
      <c r="X259" s="1" t="s">
        <v>359</v>
      </c>
      <c r="Y259" s="1" t="s">
        <v>360</v>
      </c>
      <c r="Z259" s="1" t="s">
        <v>59</v>
      </c>
      <c r="AA259" s="1" t="s">
        <v>159</v>
      </c>
      <c r="AB259" s="1" t="s">
        <v>30</v>
      </c>
      <c r="AC259" s="1">
        <v>2</v>
      </c>
      <c r="AD259" s="1">
        <v>446.91</v>
      </c>
      <c r="AF259" s="1" t="s">
        <v>361</v>
      </c>
    </row>
    <row r="260" spans="1:32" x14ac:dyDescent="0.3">
      <c r="A260" s="1" t="s">
        <v>668</v>
      </c>
      <c r="B260" s="1">
        <v>1.2E-2</v>
      </c>
      <c r="C260" s="1">
        <v>0.98799999999999999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 t="s">
        <v>562</v>
      </c>
      <c r="W260" s="1" t="s">
        <v>358</v>
      </c>
      <c r="X260" s="1" t="s">
        <v>359</v>
      </c>
      <c r="Y260" s="1" t="s">
        <v>360</v>
      </c>
      <c r="Z260" s="1" t="s">
        <v>59</v>
      </c>
      <c r="AA260" s="1" t="s">
        <v>159</v>
      </c>
      <c r="AB260" s="1" t="s">
        <v>30</v>
      </c>
      <c r="AC260" s="1">
        <v>2</v>
      </c>
      <c r="AD260" s="1">
        <v>348.38</v>
      </c>
    </row>
    <row r="261" spans="1:32" x14ac:dyDescent="0.3">
      <c r="A261" s="1" t="s">
        <v>669</v>
      </c>
      <c r="B261" s="1">
        <v>4.0000000000000001E-3</v>
      </c>
      <c r="C261" s="1">
        <v>0.996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 t="s">
        <v>562</v>
      </c>
      <c r="W261" s="1" t="s">
        <v>358</v>
      </c>
      <c r="X261" s="1" t="s">
        <v>359</v>
      </c>
      <c r="Y261" s="1" t="s">
        <v>360</v>
      </c>
      <c r="Z261" s="1" t="s">
        <v>59</v>
      </c>
      <c r="AA261" s="1" t="s">
        <v>159</v>
      </c>
      <c r="AB261" s="1" t="s">
        <v>30</v>
      </c>
      <c r="AC261" s="1">
        <v>2</v>
      </c>
      <c r="AD261" s="1">
        <v>397.06</v>
      </c>
    </row>
    <row r="262" spans="1:32" x14ac:dyDescent="0.3">
      <c r="A262" s="1" t="s">
        <v>670</v>
      </c>
      <c r="B262" s="1">
        <v>8.9999999999999993E-3</v>
      </c>
      <c r="C262" s="1">
        <v>0.99099999999999999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 t="s">
        <v>562</v>
      </c>
      <c r="W262" s="1" t="s">
        <v>358</v>
      </c>
      <c r="X262" s="1" t="s">
        <v>359</v>
      </c>
      <c r="Y262" s="1" t="s">
        <v>360</v>
      </c>
      <c r="Z262" s="1" t="s">
        <v>59</v>
      </c>
      <c r="AA262" s="1" t="s">
        <v>159</v>
      </c>
      <c r="AB262" s="1" t="s">
        <v>30</v>
      </c>
      <c r="AC262" s="1">
        <v>2</v>
      </c>
      <c r="AD262" s="1">
        <v>346.83</v>
      </c>
    </row>
    <row r="263" spans="1:32" x14ac:dyDescent="0.3">
      <c r="A263" s="1" t="s">
        <v>671</v>
      </c>
      <c r="B263" s="1">
        <v>2.9000000000000001E-2</v>
      </c>
      <c r="C263" s="1">
        <v>0.97099999999999997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 t="s">
        <v>562</v>
      </c>
      <c r="W263" s="1" t="s">
        <v>358</v>
      </c>
      <c r="X263" s="1" t="s">
        <v>359</v>
      </c>
      <c r="Y263" s="1" t="s">
        <v>360</v>
      </c>
      <c r="Z263" s="1" t="s">
        <v>59</v>
      </c>
      <c r="AA263" s="1" t="s">
        <v>159</v>
      </c>
      <c r="AB263" s="1" t="s">
        <v>30</v>
      </c>
      <c r="AC263" s="1">
        <v>2</v>
      </c>
      <c r="AD263" s="1">
        <v>325.89999999999998</v>
      </c>
    </row>
    <row r="264" spans="1:32" x14ac:dyDescent="0.3">
      <c r="A264" s="1" t="s">
        <v>362</v>
      </c>
      <c r="B264" s="1">
        <v>0</v>
      </c>
      <c r="C264" s="1">
        <v>0.83</v>
      </c>
      <c r="D264" s="1">
        <v>0</v>
      </c>
      <c r="E264" s="1">
        <v>0.17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 t="s">
        <v>562</v>
      </c>
      <c r="W264" s="1" t="s">
        <v>367</v>
      </c>
      <c r="X264" s="1" t="s">
        <v>368</v>
      </c>
      <c r="Y264" s="1" t="s">
        <v>369</v>
      </c>
      <c r="Z264" s="1">
        <f>0.196/2</f>
        <v>9.8000000000000004E-2</v>
      </c>
      <c r="AA264" s="1" t="s">
        <v>8</v>
      </c>
      <c r="AB264" s="1" t="s">
        <v>6</v>
      </c>
      <c r="AC264" s="1">
        <v>2</v>
      </c>
      <c r="AD264" s="1">
        <v>335.8</v>
      </c>
      <c r="AF264" s="1" t="s">
        <v>366</v>
      </c>
    </row>
    <row r="265" spans="1:32" x14ac:dyDescent="0.3">
      <c r="A265" s="1" t="s">
        <v>363</v>
      </c>
      <c r="B265" s="1">
        <v>0</v>
      </c>
      <c r="C265" s="1">
        <v>0.75</v>
      </c>
      <c r="D265" s="1">
        <v>0</v>
      </c>
      <c r="E265" s="1">
        <v>0.25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 t="s">
        <v>562</v>
      </c>
      <c r="W265" s="1" t="s">
        <v>367</v>
      </c>
      <c r="X265" s="1" t="s">
        <v>368</v>
      </c>
      <c r="Y265" s="1" t="s">
        <v>369</v>
      </c>
      <c r="Z265" s="1">
        <f>0.208/2</f>
        <v>0.104</v>
      </c>
      <c r="AA265" s="1" t="s">
        <v>8</v>
      </c>
      <c r="AB265" s="1" t="s">
        <v>6</v>
      </c>
      <c r="AC265" s="1">
        <v>2</v>
      </c>
      <c r="AD265" s="1">
        <v>325</v>
      </c>
    </row>
    <row r="266" spans="1:32" x14ac:dyDescent="0.3">
      <c r="A266" s="1" t="s">
        <v>364</v>
      </c>
      <c r="B266" s="1">
        <v>0</v>
      </c>
      <c r="C266" s="1">
        <v>0.5</v>
      </c>
      <c r="D266" s="1">
        <v>0</v>
      </c>
      <c r="E266" s="1">
        <v>0.5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 t="s">
        <v>562</v>
      </c>
      <c r="W266" s="1" t="s">
        <v>367</v>
      </c>
      <c r="X266" s="1" t="s">
        <v>368</v>
      </c>
      <c r="Y266" s="1" t="s">
        <v>369</v>
      </c>
      <c r="Z266" s="1">
        <f>0.274/2</f>
        <v>0.13700000000000001</v>
      </c>
      <c r="AA266" s="1" t="s">
        <v>8</v>
      </c>
      <c r="AB266" s="1" t="s">
        <v>6</v>
      </c>
      <c r="AC266" s="1">
        <v>1</v>
      </c>
      <c r="AD266" s="1">
        <v>292</v>
      </c>
    </row>
    <row r="267" spans="1:32" x14ac:dyDescent="0.3">
      <c r="A267" s="1" t="s">
        <v>364</v>
      </c>
      <c r="B267" s="1">
        <v>0</v>
      </c>
      <c r="C267" s="1">
        <v>0.5</v>
      </c>
      <c r="D267" s="1">
        <v>0</v>
      </c>
      <c r="E267" s="1">
        <v>0.5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 t="s">
        <v>562</v>
      </c>
      <c r="W267" s="1" t="s">
        <v>367</v>
      </c>
      <c r="X267" s="1" t="s">
        <v>368</v>
      </c>
      <c r="Y267" s="1" t="s">
        <v>369</v>
      </c>
      <c r="Z267" s="1">
        <f>0.274/2</f>
        <v>0.13700000000000001</v>
      </c>
      <c r="AA267" s="1" t="s">
        <v>8</v>
      </c>
      <c r="AB267" s="1" t="s">
        <v>6</v>
      </c>
      <c r="AC267" s="1">
        <v>2</v>
      </c>
      <c r="AD267" s="1">
        <v>314</v>
      </c>
    </row>
    <row r="268" spans="1:32" x14ac:dyDescent="0.3">
      <c r="A268" s="1" t="s">
        <v>364</v>
      </c>
      <c r="B268" s="1">
        <v>0</v>
      </c>
      <c r="C268" s="1">
        <v>0.5</v>
      </c>
      <c r="D268" s="1">
        <v>0</v>
      </c>
      <c r="E268" s="1">
        <v>0.5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 t="s">
        <v>562</v>
      </c>
      <c r="W268" s="1" t="s">
        <v>367</v>
      </c>
      <c r="X268" s="1" t="s">
        <v>368</v>
      </c>
      <c r="Y268" s="1" t="s">
        <v>369</v>
      </c>
      <c r="Z268" s="1">
        <f>0.274/2</f>
        <v>0.13700000000000001</v>
      </c>
      <c r="AA268" s="1" t="s">
        <v>8</v>
      </c>
      <c r="AB268" s="1" t="s">
        <v>6</v>
      </c>
      <c r="AC268" s="1">
        <v>12.5</v>
      </c>
      <c r="AD268" s="1">
        <v>400</v>
      </c>
    </row>
    <row r="269" spans="1:32" x14ac:dyDescent="0.3">
      <c r="A269" s="1" t="s">
        <v>365</v>
      </c>
      <c r="B269" s="1">
        <v>0</v>
      </c>
      <c r="C269" s="1">
        <v>0.25</v>
      </c>
      <c r="D269" s="1">
        <v>0</v>
      </c>
      <c r="E269" s="1">
        <v>0.75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 t="s">
        <v>562</v>
      </c>
      <c r="W269" s="1" t="s">
        <v>367</v>
      </c>
      <c r="X269" s="1" t="s">
        <v>368</v>
      </c>
      <c r="Y269" s="1" t="s">
        <v>369</v>
      </c>
      <c r="Z269" s="1">
        <f>0.174/2</f>
        <v>8.6999999999999994E-2</v>
      </c>
      <c r="AA269" s="1" t="s">
        <v>8</v>
      </c>
      <c r="AB269" s="1" t="s">
        <v>6</v>
      </c>
      <c r="AC269" s="1">
        <v>2</v>
      </c>
      <c r="AD269" s="1">
        <v>336.4</v>
      </c>
    </row>
    <row r="270" spans="1:32" x14ac:dyDescent="0.3">
      <c r="A270" s="1" t="s">
        <v>325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 t="s">
        <v>562</v>
      </c>
      <c r="W270" s="1" t="s">
        <v>367</v>
      </c>
      <c r="X270" s="1" t="s">
        <v>673</v>
      </c>
      <c r="Y270" s="1" t="s">
        <v>369</v>
      </c>
      <c r="Z270" s="1" t="s">
        <v>59</v>
      </c>
      <c r="AA270" s="1" t="s">
        <v>8</v>
      </c>
      <c r="AB270" s="1" t="s">
        <v>6</v>
      </c>
      <c r="AC270" s="1">
        <v>2</v>
      </c>
      <c r="AD270" s="1">
        <v>456</v>
      </c>
    </row>
    <row r="271" spans="1:32" x14ac:dyDescent="0.3">
      <c r="A271" s="1" t="s">
        <v>672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 t="s">
        <v>562</v>
      </c>
      <c r="W271" s="1" t="s">
        <v>367</v>
      </c>
      <c r="X271" s="1" t="s">
        <v>18</v>
      </c>
      <c r="Y271" s="1" t="s">
        <v>369</v>
      </c>
      <c r="Z271" s="1" t="s">
        <v>59</v>
      </c>
      <c r="AA271" s="1" t="s">
        <v>8</v>
      </c>
      <c r="AB271" s="1" t="s">
        <v>6</v>
      </c>
      <c r="AC271" s="1">
        <v>2</v>
      </c>
      <c r="AD271" s="1">
        <v>425.07</v>
      </c>
    </row>
    <row r="272" spans="1:32" x14ac:dyDescent="0.3">
      <c r="A272" s="1" t="s">
        <v>219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 t="s">
        <v>562</v>
      </c>
      <c r="W272" s="1" t="s">
        <v>371</v>
      </c>
      <c r="X272" s="1" t="s">
        <v>18</v>
      </c>
      <c r="Y272" s="1" t="s">
        <v>349</v>
      </c>
      <c r="Z272" s="1" t="s">
        <v>59</v>
      </c>
      <c r="AA272" s="1" t="s">
        <v>370</v>
      </c>
      <c r="AB272" s="1" t="s">
        <v>315</v>
      </c>
      <c r="AC272" s="1">
        <v>1</v>
      </c>
      <c r="AD272" s="1">
        <v>415.81</v>
      </c>
      <c r="AF272" s="1" t="s">
        <v>372</v>
      </c>
    </row>
    <row r="273" spans="1:32" x14ac:dyDescent="0.3">
      <c r="A273" s="1" t="s">
        <v>219</v>
      </c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 t="s">
        <v>562</v>
      </c>
      <c r="W273" s="1" t="s">
        <v>371</v>
      </c>
      <c r="X273" s="1" t="s">
        <v>18</v>
      </c>
      <c r="Y273" s="1" t="s">
        <v>349</v>
      </c>
      <c r="Z273" s="1" t="s">
        <v>59</v>
      </c>
      <c r="AA273" s="1" t="s">
        <v>370</v>
      </c>
      <c r="AB273" s="1" t="s">
        <v>315</v>
      </c>
      <c r="AC273" s="1">
        <v>10</v>
      </c>
      <c r="AD273" s="1">
        <v>473.57</v>
      </c>
    </row>
    <row r="274" spans="1:32" x14ac:dyDescent="0.3">
      <c r="A274" s="1" t="s">
        <v>219</v>
      </c>
      <c r="B274" s="1">
        <v>0.75</v>
      </c>
      <c r="C274" s="1">
        <v>0.25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 t="s">
        <v>562</v>
      </c>
      <c r="W274" s="1" t="s">
        <v>371</v>
      </c>
      <c r="X274" s="1" t="s">
        <v>18</v>
      </c>
      <c r="Y274" s="1" t="s">
        <v>349</v>
      </c>
      <c r="Z274" s="1" t="s">
        <v>59</v>
      </c>
      <c r="AA274" s="1" t="s">
        <v>370</v>
      </c>
      <c r="AB274" s="1" t="s">
        <v>315</v>
      </c>
      <c r="AC274" s="1">
        <v>1</v>
      </c>
      <c r="AD274" s="1">
        <v>397.12</v>
      </c>
    </row>
    <row r="275" spans="1:32" x14ac:dyDescent="0.3">
      <c r="A275" s="1" t="s">
        <v>219</v>
      </c>
      <c r="B275" s="1">
        <v>0.75</v>
      </c>
      <c r="C275" s="1">
        <v>0.25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 t="s">
        <v>562</v>
      </c>
      <c r="W275" s="1" t="s">
        <v>371</v>
      </c>
      <c r="X275" s="1" t="s">
        <v>18</v>
      </c>
      <c r="Y275" s="1" t="s">
        <v>349</v>
      </c>
      <c r="Z275" s="1" t="s">
        <v>59</v>
      </c>
      <c r="AA275" s="1" t="s">
        <v>370</v>
      </c>
      <c r="AB275" s="1" t="s">
        <v>315</v>
      </c>
      <c r="AC275" s="1">
        <v>10</v>
      </c>
      <c r="AD275" s="1">
        <v>461.77</v>
      </c>
    </row>
    <row r="276" spans="1:32" x14ac:dyDescent="0.3">
      <c r="A276" s="1" t="s">
        <v>219</v>
      </c>
      <c r="B276" s="1">
        <v>0.8347</v>
      </c>
      <c r="C276" s="1">
        <f>1-0.8347</f>
        <v>0.1653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 t="s">
        <v>562</v>
      </c>
      <c r="W276" s="1" t="s">
        <v>371</v>
      </c>
      <c r="X276" s="1" t="s">
        <v>18</v>
      </c>
      <c r="Y276" s="1" t="s">
        <v>349</v>
      </c>
      <c r="Z276" s="1" t="s">
        <v>59</v>
      </c>
      <c r="AA276" s="1" t="s">
        <v>370</v>
      </c>
      <c r="AB276" s="1" t="s">
        <v>315</v>
      </c>
      <c r="AC276" s="1">
        <v>1</v>
      </c>
      <c r="AD276" s="1">
        <v>387.39</v>
      </c>
    </row>
    <row r="277" spans="1:32" x14ac:dyDescent="0.3">
      <c r="A277" s="1" t="s">
        <v>219</v>
      </c>
      <c r="B277" s="1">
        <v>0.8347</v>
      </c>
      <c r="C277" s="1">
        <f>1-0.8347</f>
        <v>0.1653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 t="s">
        <v>562</v>
      </c>
      <c r="W277" s="1" t="s">
        <v>371</v>
      </c>
      <c r="X277" s="1" t="s">
        <v>18</v>
      </c>
      <c r="Y277" s="1" t="s">
        <v>349</v>
      </c>
      <c r="Z277" s="1" t="s">
        <v>59</v>
      </c>
      <c r="AA277" s="1" t="s">
        <v>370</v>
      </c>
      <c r="AB277" s="1" t="s">
        <v>315</v>
      </c>
      <c r="AC277" s="1">
        <v>10</v>
      </c>
      <c r="AD277" s="1">
        <v>450.59</v>
      </c>
    </row>
    <row r="278" spans="1:32" x14ac:dyDescent="0.3">
      <c r="A278" s="1" t="s">
        <v>219</v>
      </c>
      <c r="B278" s="1">
        <v>0.875</v>
      </c>
      <c r="C278" s="1">
        <v>0.125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 t="s">
        <v>562</v>
      </c>
      <c r="W278" s="1" t="s">
        <v>371</v>
      </c>
      <c r="X278" s="1" t="s">
        <v>18</v>
      </c>
      <c r="Y278" s="1" t="s">
        <v>349</v>
      </c>
      <c r="Z278" s="1" t="s">
        <v>59</v>
      </c>
      <c r="AA278" s="1" t="s">
        <v>370</v>
      </c>
      <c r="AB278" s="1" t="s">
        <v>315</v>
      </c>
      <c r="AC278" s="1">
        <v>1</v>
      </c>
      <c r="AD278" s="1">
        <v>379.73</v>
      </c>
    </row>
    <row r="279" spans="1:32" x14ac:dyDescent="0.3">
      <c r="A279" s="1" t="s">
        <v>219</v>
      </c>
      <c r="B279" s="1">
        <v>0.875</v>
      </c>
      <c r="C279" s="1">
        <v>0.125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 t="s">
        <v>562</v>
      </c>
      <c r="W279" s="1" t="s">
        <v>371</v>
      </c>
      <c r="X279" s="1" t="s">
        <v>18</v>
      </c>
      <c r="Y279" s="1" t="s">
        <v>349</v>
      </c>
      <c r="Z279" s="1" t="s">
        <v>59</v>
      </c>
      <c r="AA279" s="1" t="s">
        <v>370</v>
      </c>
      <c r="AB279" s="1" t="s">
        <v>315</v>
      </c>
      <c r="AC279" s="1">
        <v>10</v>
      </c>
      <c r="AD279" s="1">
        <v>441.61</v>
      </c>
    </row>
    <row r="280" spans="1:32" x14ac:dyDescent="0.3">
      <c r="A280" s="1" t="s">
        <v>219</v>
      </c>
      <c r="B280" s="1">
        <v>0.9</v>
      </c>
      <c r="C280" s="1">
        <v>0.1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 t="s">
        <v>562</v>
      </c>
      <c r="W280" s="1" t="s">
        <v>371</v>
      </c>
      <c r="X280" s="1" t="s">
        <v>18</v>
      </c>
      <c r="Y280" s="1" t="s">
        <v>349</v>
      </c>
      <c r="Z280" s="1" t="s">
        <v>59</v>
      </c>
      <c r="AA280" s="1" t="s">
        <v>370</v>
      </c>
      <c r="AB280" s="1" t="s">
        <v>315</v>
      </c>
      <c r="AC280" s="1">
        <v>1</v>
      </c>
      <c r="AD280" s="1">
        <v>370.56</v>
      </c>
    </row>
    <row r="281" spans="1:32" x14ac:dyDescent="0.3">
      <c r="A281" s="1" t="s">
        <v>219</v>
      </c>
      <c r="B281" s="1">
        <v>0.9</v>
      </c>
      <c r="C281" s="1">
        <v>0.1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 t="s">
        <v>562</v>
      </c>
      <c r="W281" s="1" t="s">
        <v>371</v>
      </c>
      <c r="X281" s="1" t="s">
        <v>18</v>
      </c>
      <c r="Y281" s="1" t="s">
        <v>349</v>
      </c>
      <c r="Z281" s="1" t="s">
        <v>59</v>
      </c>
      <c r="AA281" s="1" t="s">
        <v>370</v>
      </c>
      <c r="AB281" s="1" t="s">
        <v>315</v>
      </c>
      <c r="AC281" s="1">
        <v>10</v>
      </c>
      <c r="AD281" s="1">
        <v>435.82</v>
      </c>
    </row>
    <row r="282" spans="1:32" x14ac:dyDescent="0.3">
      <c r="A282" s="1" t="s">
        <v>219</v>
      </c>
      <c r="B282" s="1">
        <v>0.92300000000000004</v>
      </c>
      <c r="C282" s="1">
        <f>1-0.923</f>
        <v>7.6999999999999957E-2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 t="s">
        <v>562</v>
      </c>
      <c r="W282" s="1" t="s">
        <v>371</v>
      </c>
      <c r="X282" s="1" t="s">
        <v>18</v>
      </c>
      <c r="Y282" s="1" t="s">
        <v>349</v>
      </c>
      <c r="Z282" s="1" t="s">
        <v>59</v>
      </c>
      <c r="AA282" s="1" t="s">
        <v>370</v>
      </c>
      <c r="AB282" s="1" t="s">
        <v>315</v>
      </c>
      <c r="AC282" s="1">
        <v>1</v>
      </c>
      <c r="AD282" s="1">
        <v>366.63</v>
      </c>
    </row>
    <row r="283" spans="1:32" x14ac:dyDescent="0.3">
      <c r="A283" s="1" t="s">
        <v>219</v>
      </c>
      <c r="B283" s="1">
        <v>0.92300000000000004</v>
      </c>
      <c r="C283" s="1">
        <f>1-0.923</f>
        <v>7.6999999999999957E-2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 t="s">
        <v>562</v>
      </c>
      <c r="W283" s="1" t="s">
        <v>371</v>
      </c>
      <c r="X283" s="1" t="s">
        <v>18</v>
      </c>
      <c r="Y283" s="1" t="s">
        <v>349</v>
      </c>
      <c r="Z283" s="1" t="s">
        <v>59</v>
      </c>
      <c r="AA283" s="1" t="s">
        <v>370</v>
      </c>
      <c r="AB283" s="1" t="s">
        <v>315</v>
      </c>
      <c r="AC283" s="1">
        <v>10</v>
      </c>
      <c r="AD283" s="1">
        <v>428.71</v>
      </c>
    </row>
    <row r="284" spans="1:32" x14ac:dyDescent="0.3">
      <c r="A284" s="1" t="s">
        <v>219</v>
      </c>
      <c r="B284" s="1">
        <v>0.93779999999999997</v>
      </c>
      <c r="C284" s="1">
        <f>1-0.9378</f>
        <v>6.2200000000000033E-2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 t="s">
        <v>562</v>
      </c>
      <c r="W284" s="1" t="s">
        <v>371</v>
      </c>
      <c r="X284" s="1" t="s">
        <v>18</v>
      </c>
      <c r="Y284" s="1" t="s">
        <v>349</v>
      </c>
      <c r="Z284" s="1" t="s">
        <v>59</v>
      </c>
      <c r="AA284" s="1" t="s">
        <v>370</v>
      </c>
      <c r="AB284" s="1" t="s">
        <v>315</v>
      </c>
      <c r="AC284" s="1">
        <v>1</v>
      </c>
      <c r="AD284" s="1">
        <v>359.92</v>
      </c>
    </row>
    <row r="285" spans="1:32" x14ac:dyDescent="0.3">
      <c r="A285" s="1" t="s">
        <v>219</v>
      </c>
      <c r="B285" s="1">
        <v>0.93779999999999997</v>
      </c>
      <c r="C285" s="1">
        <f>1-0.9378</f>
        <v>6.2200000000000033E-2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 t="s">
        <v>562</v>
      </c>
      <c r="W285" s="1" t="s">
        <v>371</v>
      </c>
      <c r="X285" s="1" t="s">
        <v>18</v>
      </c>
      <c r="Y285" s="1" t="s">
        <v>349</v>
      </c>
      <c r="Z285" s="1" t="s">
        <v>59</v>
      </c>
      <c r="AA285" s="1" t="s">
        <v>370</v>
      </c>
      <c r="AB285" s="1" t="s">
        <v>315</v>
      </c>
      <c r="AC285" s="1">
        <v>10</v>
      </c>
      <c r="AD285" s="1">
        <v>426.45</v>
      </c>
    </row>
    <row r="286" spans="1:32" x14ac:dyDescent="0.3">
      <c r="A286" s="1" t="s">
        <v>219</v>
      </c>
      <c r="B286" s="1">
        <v>0.94750000000000001</v>
      </c>
      <c r="C286" s="1">
        <f>1-0.9475</f>
        <v>5.2499999999999991E-2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 t="s">
        <v>562</v>
      </c>
      <c r="W286" s="1" t="s">
        <v>371</v>
      </c>
      <c r="X286" s="1" t="s">
        <v>18</v>
      </c>
      <c r="Y286" s="1" t="s">
        <v>349</v>
      </c>
      <c r="Z286" s="1" t="s">
        <v>59</v>
      </c>
      <c r="AA286" s="1" t="s">
        <v>370</v>
      </c>
      <c r="AB286" s="1" t="s">
        <v>315</v>
      </c>
      <c r="AC286" s="1">
        <v>1</v>
      </c>
      <c r="AD286" s="1">
        <v>343.44</v>
      </c>
    </row>
    <row r="287" spans="1:32" x14ac:dyDescent="0.3">
      <c r="A287" s="1" t="s">
        <v>219</v>
      </c>
      <c r="B287" s="1">
        <v>0.94750000000000001</v>
      </c>
      <c r="C287" s="1">
        <f>1-0.9475</f>
        <v>5.2499999999999991E-2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 t="s">
        <v>562</v>
      </c>
      <c r="W287" s="1" t="s">
        <v>371</v>
      </c>
      <c r="X287" s="1" t="s">
        <v>18</v>
      </c>
      <c r="Y287" s="1" t="s">
        <v>349</v>
      </c>
      <c r="Z287" s="1" t="s">
        <v>59</v>
      </c>
      <c r="AA287" s="1" t="s">
        <v>370</v>
      </c>
      <c r="AB287" s="1" t="s">
        <v>315</v>
      </c>
      <c r="AC287" s="1">
        <v>10</v>
      </c>
      <c r="AD287" s="1">
        <v>414.85</v>
      </c>
    </row>
    <row r="288" spans="1:32" x14ac:dyDescent="0.3">
      <c r="A288" s="1" t="s">
        <v>373</v>
      </c>
      <c r="B288" s="1">
        <v>0</v>
      </c>
      <c r="C288" s="1">
        <v>0</v>
      </c>
      <c r="D288" s="1">
        <f>10/(10+3.5)</f>
        <v>0.7407407407407407</v>
      </c>
      <c r="E288" s="1">
        <f>3.5/(10+3.5)</f>
        <v>0.25925925925925924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 t="s">
        <v>562</v>
      </c>
      <c r="W288" s="1" t="s">
        <v>376</v>
      </c>
      <c r="X288" s="1" t="s">
        <v>18</v>
      </c>
      <c r="Y288" s="1" t="s">
        <v>375</v>
      </c>
      <c r="Z288" s="1">
        <v>75.87</v>
      </c>
      <c r="AA288" s="1" t="s">
        <v>8</v>
      </c>
      <c r="AB288" s="1" t="s">
        <v>6</v>
      </c>
      <c r="AC288" s="1">
        <v>10</v>
      </c>
      <c r="AD288" s="1">
        <v>250</v>
      </c>
      <c r="AF288" s="1" t="s">
        <v>374</v>
      </c>
    </row>
    <row r="289" spans="1:32" x14ac:dyDescent="0.3">
      <c r="A289" s="1" t="s">
        <v>373</v>
      </c>
      <c r="B289" s="1">
        <v>0</v>
      </c>
      <c r="C289" s="1">
        <v>0</v>
      </c>
      <c r="D289" s="1">
        <f>10/(10+3.5)</f>
        <v>0.7407407407407407</v>
      </c>
      <c r="E289" s="1">
        <f>3.5/(10+3.5)</f>
        <v>0.25925925925925924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 t="s">
        <v>562</v>
      </c>
      <c r="W289" s="1" t="s">
        <v>376</v>
      </c>
      <c r="X289" s="1" t="s">
        <v>18</v>
      </c>
      <c r="Y289" s="1" t="s">
        <v>375</v>
      </c>
      <c r="Z289" s="1">
        <v>75.87</v>
      </c>
      <c r="AA289" s="1" t="s">
        <v>8</v>
      </c>
      <c r="AB289" s="1" t="s">
        <v>270</v>
      </c>
      <c r="AC289" s="1">
        <v>10</v>
      </c>
      <c r="AD289" s="1">
        <v>215</v>
      </c>
    </row>
    <row r="290" spans="1:32" x14ac:dyDescent="0.3">
      <c r="A290" s="1" t="s">
        <v>373</v>
      </c>
      <c r="B290" s="1">
        <v>0</v>
      </c>
      <c r="C290" s="1">
        <v>0</v>
      </c>
      <c r="D290" s="1">
        <f>10/11</f>
        <v>0.90909090909090906</v>
      </c>
      <c r="E290" s="1">
        <f>1/11</f>
        <v>9.0909090909090912E-2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 t="s">
        <v>562</v>
      </c>
      <c r="W290" s="1" t="s">
        <v>376</v>
      </c>
      <c r="X290" s="1" t="s">
        <v>189</v>
      </c>
      <c r="Y290" s="1" t="s">
        <v>375</v>
      </c>
      <c r="Z290" s="1" t="s">
        <v>59</v>
      </c>
      <c r="AA290" s="1" t="s">
        <v>8</v>
      </c>
      <c r="AB290" s="1" t="s">
        <v>6</v>
      </c>
      <c r="AC290" s="1">
        <v>10</v>
      </c>
      <c r="AD290" s="1">
        <v>267.14</v>
      </c>
    </row>
    <row r="291" spans="1:32" x14ac:dyDescent="0.3">
      <c r="A291" s="1" t="s">
        <v>373</v>
      </c>
      <c r="B291" s="1">
        <v>0</v>
      </c>
      <c r="C291" s="1">
        <v>0</v>
      </c>
      <c r="D291" s="1">
        <f>10/15</f>
        <v>0.66666666666666663</v>
      </c>
      <c r="E291" s="1">
        <f>5/15</f>
        <v>0.33333333333333331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 t="s">
        <v>562</v>
      </c>
      <c r="W291" s="1" t="s">
        <v>376</v>
      </c>
      <c r="X291" s="1" t="s">
        <v>18</v>
      </c>
      <c r="Y291" s="1" t="s">
        <v>375</v>
      </c>
      <c r="Z291" s="1" t="s">
        <v>59</v>
      </c>
      <c r="AA291" s="1" t="s">
        <v>8</v>
      </c>
      <c r="AB291" s="1" t="s">
        <v>6</v>
      </c>
      <c r="AC291" s="1">
        <v>10</v>
      </c>
      <c r="AD291" s="1">
        <v>281.17</v>
      </c>
    </row>
    <row r="292" spans="1:32" x14ac:dyDescent="0.3">
      <c r="A292" s="1" t="s">
        <v>373</v>
      </c>
      <c r="B292" s="1">
        <v>0</v>
      </c>
      <c r="C292" s="1">
        <v>0</v>
      </c>
      <c r="D292" s="1">
        <f>10/17</f>
        <v>0.58823529411764708</v>
      </c>
      <c r="E292" s="1">
        <f>7/17</f>
        <v>0.41176470588235292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 t="s">
        <v>562</v>
      </c>
      <c r="W292" s="1" t="s">
        <v>376</v>
      </c>
      <c r="X292" s="1" t="s">
        <v>18</v>
      </c>
      <c r="Y292" s="1" t="s">
        <v>375</v>
      </c>
      <c r="Z292" s="1" t="s">
        <v>59</v>
      </c>
      <c r="AA292" s="1" t="s">
        <v>8</v>
      </c>
      <c r="AB292" s="1" t="s">
        <v>6</v>
      </c>
      <c r="AC292" s="1">
        <v>10</v>
      </c>
      <c r="AD292" s="1">
        <v>286.08999999999997</v>
      </c>
    </row>
    <row r="293" spans="1:32" x14ac:dyDescent="0.3">
      <c r="A293" s="1" t="s">
        <v>377</v>
      </c>
      <c r="B293" s="1">
        <v>0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 t="s">
        <v>378</v>
      </c>
      <c r="V293" s="1" t="s">
        <v>562</v>
      </c>
      <c r="W293" s="1" t="s">
        <v>381</v>
      </c>
      <c r="X293" s="1" t="s">
        <v>20</v>
      </c>
      <c r="Y293" s="1" t="s">
        <v>380</v>
      </c>
      <c r="Z293" s="1">
        <v>42.5</v>
      </c>
      <c r="AA293" s="1" t="s">
        <v>8</v>
      </c>
      <c r="AB293" s="1" t="s">
        <v>27</v>
      </c>
      <c r="AC293" s="1">
        <v>10</v>
      </c>
      <c r="AD293" s="1">
        <v>208</v>
      </c>
      <c r="AF293" s="1" t="s">
        <v>379</v>
      </c>
    </row>
    <row r="294" spans="1:32" x14ac:dyDescent="0.3">
      <c r="A294" s="1" t="s">
        <v>377</v>
      </c>
      <c r="B294" s="1">
        <v>0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 t="s">
        <v>378</v>
      </c>
      <c r="V294" s="1" t="s">
        <v>562</v>
      </c>
      <c r="W294" s="1" t="s">
        <v>381</v>
      </c>
      <c r="X294" s="1" t="s">
        <v>20</v>
      </c>
      <c r="Y294" s="1" t="s">
        <v>380</v>
      </c>
      <c r="Z294" s="1">
        <v>42.5</v>
      </c>
      <c r="AA294" s="1" t="s">
        <v>8</v>
      </c>
      <c r="AB294" s="1" t="s">
        <v>27</v>
      </c>
      <c r="AC294" s="1">
        <v>100</v>
      </c>
      <c r="AD294" s="1">
        <v>247</v>
      </c>
    </row>
    <row r="295" spans="1:32" x14ac:dyDescent="0.3">
      <c r="A295" s="1" t="s">
        <v>24</v>
      </c>
      <c r="B295" s="1">
        <v>0</v>
      </c>
      <c r="C295" s="1">
        <v>0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 t="s">
        <v>674</v>
      </c>
      <c r="W295" s="1" t="s">
        <v>676</v>
      </c>
      <c r="X295" s="1" t="s">
        <v>355</v>
      </c>
      <c r="Y295" s="1" t="s">
        <v>266</v>
      </c>
      <c r="Z295" s="1" t="s">
        <v>59</v>
      </c>
      <c r="AA295" s="1" t="s">
        <v>8</v>
      </c>
      <c r="AB295" s="1" t="s">
        <v>6</v>
      </c>
      <c r="AC295" s="1">
        <v>10</v>
      </c>
      <c r="AD295" s="1">
        <v>396</v>
      </c>
      <c r="AF295" s="1" t="s">
        <v>384</v>
      </c>
    </row>
    <row r="296" spans="1:32" x14ac:dyDescent="0.3">
      <c r="A296" s="1" t="s">
        <v>24</v>
      </c>
      <c r="B296" s="1">
        <v>0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 t="s">
        <v>383</v>
      </c>
      <c r="V296" s="1" t="s">
        <v>674</v>
      </c>
      <c r="W296" s="1" t="s">
        <v>676</v>
      </c>
      <c r="X296" s="1" t="s">
        <v>355</v>
      </c>
      <c r="Y296" s="1" t="s">
        <v>266</v>
      </c>
      <c r="Z296" s="1" t="s">
        <v>59</v>
      </c>
      <c r="AA296" s="1" t="s">
        <v>8</v>
      </c>
      <c r="AB296" s="1" t="s">
        <v>6</v>
      </c>
      <c r="AC296" s="1">
        <v>10</v>
      </c>
      <c r="AD296" s="1">
        <v>330</v>
      </c>
    </row>
    <row r="297" spans="1:32" x14ac:dyDescent="0.3">
      <c r="A297" s="1" t="s">
        <v>24</v>
      </c>
      <c r="B297" s="1">
        <v>0</v>
      </c>
      <c r="C297" s="1">
        <v>0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 t="s">
        <v>383</v>
      </c>
      <c r="V297" s="1" t="s">
        <v>674</v>
      </c>
      <c r="W297" s="1" t="s">
        <v>676</v>
      </c>
      <c r="X297" s="1" t="s">
        <v>355</v>
      </c>
      <c r="Y297" s="1" t="s">
        <v>266</v>
      </c>
      <c r="Z297" s="1" t="s">
        <v>59</v>
      </c>
      <c r="AA297" s="1" t="s">
        <v>8</v>
      </c>
      <c r="AB297" s="1" t="s">
        <v>6</v>
      </c>
      <c r="AC297" s="1">
        <v>21.5</v>
      </c>
      <c r="AD297" s="1">
        <v>350</v>
      </c>
    </row>
    <row r="298" spans="1:32" x14ac:dyDescent="0.3">
      <c r="A298" s="1" t="s">
        <v>24</v>
      </c>
      <c r="B298" s="1">
        <v>0</v>
      </c>
      <c r="C298" s="1">
        <v>0</v>
      </c>
      <c r="D298" s="1">
        <v>1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 t="s">
        <v>562</v>
      </c>
      <c r="W298" s="1" t="s">
        <v>675</v>
      </c>
      <c r="X298" s="1" t="s">
        <v>18</v>
      </c>
      <c r="Y298" s="1" t="s">
        <v>382</v>
      </c>
      <c r="Z298" s="1" t="s">
        <v>59</v>
      </c>
      <c r="AA298" s="1" t="s">
        <v>8</v>
      </c>
      <c r="AB298" s="1" t="s">
        <v>6</v>
      </c>
      <c r="AC298" s="1">
        <v>10</v>
      </c>
      <c r="AD298" s="1">
        <v>315</v>
      </c>
    </row>
    <row r="299" spans="1:32" x14ac:dyDescent="0.3">
      <c r="A299" s="1" t="s">
        <v>392</v>
      </c>
      <c r="B299" s="1">
        <v>0</v>
      </c>
      <c r="C299" s="1">
        <v>0</v>
      </c>
      <c r="D299" s="1">
        <v>0.57799999999999996</v>
      </c>
      <c r="E299" s="1">
        <v>0</v>
      </c>
      <c r="F299" s="1">
        <v>0</v>
      </c>
      <c r="G299" s="1">
        <v>0</v>
      </c>
      <c r="H299" s="1">
        <v>0.42199999999999999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 t="s">
        <v>548</v>
      </c>
      <c r="W299" s="1" t="s">
        <v>397</v>
      </c>
      <c r="X299" s="1" t="s">
        <v>189</v>
      </c>
      <c r="Y299" s="1" t="s">
        <v>94</v>
      </c>
      <c r="Z299" s="1" t="s">
        <v>59</v>
      </c>
      <c r="AA299" s="1" t="s">
        <v>8</v>
      </c>
      <c r="AB299" s="1" t="s">
        <v>388</v>
      </c>
      <c r="AC299" s="1">
        <v>10</v>
      </c>
      <c r="AD299" s="1">
        <v>256</v>
      </c>
      <c r="AF299" s="1" t="s">
        <v>386</v>
      </c>
    </row>
    <row r="300" spans="1:32" x14ac:dyDescent="0.3">
      <c r="A300" s="1" t="s">
        <v>393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 t="s">
        <v>548</v>
      </c>
      <c r="W300" s="1" t="s">
        <v>397</v>
      </c>
      <c r="X300" s="1" t="s">
        <v>189</v>
      </c>
      <c r="Y300" s="1" t="s">
        <v>94</v>
      </c>
      <c r="Z300" s="1" t="s">
        <v>59</v>
      </c>
      <c r="AA300" s="1" t="s">
        <v>8</v>
      </c>
      <c r="AB300" s="1" t="s">
        <v>389</v>
      </c>
      <c r="AC300" s="1">
        <v>10</v>
      </c>
      <c r="AD300" s="1">
        <v>298</v>
      </c>
    </row>
    <row r="301" spans="1:32" x14ac:dyDescent="0.3">
      <c r="A301" s="1" t="s">
        <v>394</v>
      </c>
      <c r="B301" s="1">
        <v>0</v>
      </c>
      <c r="C301" s="1">
        <v>0</v>
      </c>
      <c r="D301" s="1">
        <f>32.6/(9.31+32.6)</f>
        <v>0.7778573132903841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f>9.31/(9.31+32.6)</f>
        <v>0.22214268670961584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 t="s">
        <v>548</v>
      </c>
      <c r="W301" s="1" t="s">
        <v>397</v>
      </c>
      <c r="X301" s="1" t="s">
        <v>189</v>
      </c>
      <c r="Y301" s="1" t="s">
        <v>94</v>
      </c>
      <c r="Z301" s="1" t="s">
        <v>59</v>
      </c>
      <c r="AA301" s="1" t="s">
        <v>8</v>
      </c>
      <c r="AB301" s="1" t="s">
        <v>390</v>
      </c>
      <c r="AC301" s="1">
        <v>10</v>
      </c>
      <c r="AD301" s="1">
        <v>322</v>
      </c>
    </row>
    <row r="302" spans="1:32" x14ac:dyDescent="0.3">
      <c r="A302" s="1" t="s">
        <v>395</v>
      </c>
      <c r="B302" s="1">
        <v>0</v>
      </c>
      <c r="C302" s="1">
        <v>0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 t="s">
        <v>548</v>
      </c>
      <c r="W302" s="1" t="s">
        <v>397</v>
      </c>
      <c r="X302" s="1" t="s">
        <v>189</v>
      </c>
      <c r="Y302" s="1" t="s">
        <v>94</v>
      </c>
      <c r="Z302" s="1" t="s">
        <v>59</v>
      </c>
      <c r="AA302" s="1" t="s">
        <v>8</v>
      </c>
      <c r="AB302" s="1" t="s">
        <v>391</v>
      </c>
      <c r="AC302" s="1">
        <v>10</v>
      </c>
      <c r="AD302" s="1">
        <v>303</v>
      </c>
    </row>
    <row r="303" spans="1:32" s="6" customFormat="1" x14ac:dyDescent="0.3">
      <c r="A303" s="6" t="s">
        <v>398</v>
      </c>
      <c r="B303" s="6">
        <f>11.88/(11.88+11.37+0.17)</f>
        <v>0.50725875320239111</v>
      </c>
      <c r="C303" s="6">
        <f>11.37/(11.88+11.37+0.17)</f>
        <v>0.48548249359521767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f>0.17/(11.88+11.37+0.17)</f>
        <v>7.2587532023911184E-3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 t="s">
        <v>677</v>
      </c>
      <c r="W303" s="6" t="s">
        <v>399</v>
      </c>
      <c r="X303" s="6" t="s">
        <v>18</v>
      </c>
      <c r="Y303" s="6" t="s">
        <v>400</v>
      </c>
      <c r="Z303" s="6" t="s">
        <v>59</v>
      </c>
      <c r="AA303" s="6" t="s">
        <v>8</v>
      </c>
      <c r="AB303" s="6" t="s">
        <v>401</v>
      </c>
      <c r="AC303" s="6">
        <v>10</v>
      </c>
      <c r="AD303" s="6">
        <v>250</v>
      </c>
      <c r="AF303" s="6" t="s">
        <v>402</v>
      </c>
    </row>
    <row r="304" spans="1:32" x14ac:dyDescent="0.3">
      <c r="A304" s="1" t="s">
        <v>678</v>
      </c>
      <c r="B304" s="1" t="s">
        <v>59</v>
      </c>
      <c r="C304" s="1" t="s">
        <v>59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 t="s">
        <v>562</v>
      </c>
      <c r="W304" s="1" t="s">
        <v>399</v>
      </c>
      <c r="X304" s="1" t="s">
        <v>59</v>
      </c>
      <c r="Y304" s="1" t="s">
        <v>59</v>
      </c>
      <c r="Z304" s="1" t="s">
        <v>59</v>
      </c>
      <c r="AA304" s="1" t="s">
        <v>8</v>
      </c>
      <c r="AB304" s="1" t="s">
        <v>401</v>
      </c>
      <c r="AC304" s="1">
        <v>10</v>
      </c>
      <c r="AD304" s="1">
        <v>294</v>
      </c>
    </row>
    <row r="305" spans="1:32" x14ac:dyDescent="0.3">
      <c r="A305" s="1" t="s">
        <v>678</v>
      </c>
      <c r="B305" s="1" t="s">
        <v>59</v>
      </c>
      <c r="C305" s="1" t="s">
        <v>59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 t="s">
        <v>562</v>
      </c>
      <c r="W305" s="1" t="s">
        <v>399</v>
      </c>
      <c r="X305" s="1" t="s">
        <v>59</v>
      </c>
      <c r="Y305" s="1" t="s">
        <v>59</v>
      </c>
      <c r="Z305" s="1" t="s">
        <v>59</v>
      </c>
      <c r="AA305" s="1" t="s">
        <v>8</v>
      </c>
      <c r="AB305" s="1" t="s">
        <v>401</v>
      </c>
      <c r="AC305" s="1">
        <v>2</v>
      </c>
      <c r="AD305" s="1">
        <v>266.5</v>
      </c>
    </row>
    <row r="306" spans="1:32" x14ac:dyDescent="0.3">
      <c r="A306" s="1" t="s">
        <v>678</v>
      </c>
      <c r="B306" s="1" t="s">
        <v>59</v>
      </c>
      <c r="C306" s="1" t="s">
        <v>59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 t="s">
        <v>562</v>
      </c>
      <c r="W306" s="1" t="s">
        <v>399</v>
      </c>
      <c r="X306" s="1" t="s">
        <v>59</v>
      </c>
      <c r="Y306" s="1" t="s">
        <v>59</v>
      </c>
      <c r="Z306" s="1" t="s">
        <v>59</v>
      </c>
      <c r="AA306" s="1" t="s">
        <v>679</v>
      </c>
      <c r="AB306" s="1" t="s">
        <v>401</v>
      </c>
      <c r="AC306" s="1">
        <v>2</v>
      </c>
      <c r="AD306" s="1">
        <v>276.08</v>
      </c>
    </row>
    <row r="307" spans="1:32" x14ac:dyDescent="0.3">
      <c r="A307" s="1" t="s">
        <v>678</v>
      </c>
      <c r="B307" s="1" t="s">
        <v>59</v>
      </c>
      <c r="C307" s="1" t="s">
        <v>59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 t="s">
        <v>562</v>
      </c>
      <c r="W307" s="1" t="s">
        <v>399</v>
      </c>
      <c r="X307" s="1" t="s">
        <v>59</v>
      </c>
      <c r="Y307" s="1" t="s">
        <v>59</v>
      </c>
      <c r="Z307" s="1" t="s">
        <v>59</v>
      </c>
      <c r="AA307" s="1" t="s">
        <v>680</v>
      </c>
      <c r="AB307" s="1" t="s">
        <v>401</v>
      </c>
      <c r="AC307" s="1">
        <v>2</v>
      </c>
      <c r="AD307" s="1">
        <v>276.08</v>
      </c>
    </row>
    <row r="308" spans="1:32" x14ac:dyDescent="0.3">
      <c r="A308" s="1" t="s">
        <v>678</v>
      </c>
      <c r="B308" s="1" t="s">
        <v>59</v>
      </c>
      <c r="C308" s="1" t="s">
        <v>59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 t="s">
        <v>562</v>
      </c>
      <c r="W308" s="1" t="s">
        <v>399</v>
      </c>
      <c r="X308" s="1" t="s">
        <v>59</v>
      </c>
      <c r="Y308" s="1" t="s">
        <v>59</v>
      </c>
      <c r="Z308" s="1" t="s">
        <v>59</v>
      </c>
      <c r="AA308" s="1" t="s">
        <v>681</v>
      </c>
      <c r="AB308" s="1" t="s">
        <v>401</v>
      </c>
      <c r="AC308" s="1">
        <v>2</v>
      </c>
      <c r="AD308" s="1">
        <v>285.67</v>
      </c>
    </row>
    <row r="309" spans="1:32" x14ac:dyDescent="0.3">
      <c r="A309" s="1" t="s">
        <v>24</v>
      </c>
      <c r="B309" s="1">
        <v>0</v>
      </c>
      <c r="C309" s="1">
        <v>0</v>
      </c>
      <c r="D309" s="1">
        <v>1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 t="s">
        <v>403</v>
      </c>
      <c r="V309" s="1" t="s">
        <v>684</v>
      </c>
      <c r="W309" s="1" t="s">
        <v>682</v>
      </c>
      <c r="X309" s="1" t="s">
        <v>59</v>
      </c>
      <c r="Y309" s="1" t="s">
        <v>90</v>
      </c>
      <c r="Z309" s="1">
        <v>365.5</v>
      </c>
      <c r="AA309" s="1" t="s">
        <v>8</v>
      </c>
      <c r="AB309" s="1" t="s">
        <v>323</v>
      </c>
      <c r="AC309" s="1">
        <v>10</v>
      </c>
      <c r="AD309" s="1">
        <v>257</v>
      </c>
      <c r="AF309" s="1" t="s">
        <v>404</v>
      </c>
    </row>
    <row r="310" spans="1:32" x14ac:dyDescent="0.3">
      <c r="A310" s="1" t="s">
        <v>405</v>
      </c>
      <c r="B310" s="1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 t="s">
        <v>309</v>
      </c>
      <c r="V310" s="1" t="s">
        <v>562</v>
      </c>
      <c r="W310" s="1" t="s">
        <v>412</v>
      </c>
      <c r="X310" s="1" t="s">
        <v>415</v>
      </c>
      <c r="Y310" s="1" t="s">
        <v>94</v>
      </c>
      <c r="Z310" s="1" t="s">
        <v>59</v>
      </c>
      <c r="AA310" s="1" t="s">
        <v>159</v>
      </c>
      <c r="AB310" s="1" t="s">
        <v>413</v>
      </c>
      <c r="AC310" s="1">
        <v>10</v>
      </c>
      <c r="AD310" s="1">
        <v>411</v>
      </c>
      <c r="AF310" s="1" t="s">
        <v>414</v>
      </c>
    </row>
    <row r="311" spans="1:32" x14ac:dyDescent="0.3">
      <c r="A311" s="1" t="s">
        <v>406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 t="s">
        <v>309</v>
      </c>
      <c r="V311" s="1" t="s">
        <v>562</v>
      </c>
      <c r="W311" s="1" t="s">
        <v>412</v>
      </c>
      <c r="X311" s="1" t="s">
        <v>415</v>
      </c>
      <c r="Y311" s="1" t="s">
        <v>94</v>
      </c>
      <c r="Z311" s="1" t="s">
        <v>59</v>
      </c>
      <c r="AA311" s="1" t="s">
        <v>159</v>
      </c>
      <c r="AB311" s="1" t="s">
        <v>413</v>
      </c>
      <c r="AC311" s="1">
        <v>10</v>
      </c>
      <c r="AD311" s="1">
        <v>415</v>
      </c>
    </row>
    <row r="312" spans="1:32" x14ac:dyDescent="0.3">
      <c r="A312" s="1" t="s">
        <v>407</v>
      </c>
      <c r="B312" s="1">
        <v>0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 t="s">
        <v>309</v>
      </c>
      <c r="V312" s="1" t="s">
        <v>562</v>
      </c>
      <c r="W312" s="1" t="s">
        <v>412</v>
      </c>
      <c r="X312" s="1" t="s">
        <v>415</v>
      </c>
      <c r="Y312" s="1" t="s">
        <v>416</v>
      </c>
      <c r="Z312" s="1" t="s">
        <v>59</v>
      </c>
      <c r="AA312" s="1" t="s">
        <v>159</v>
      </c>
      <c r="AB312" s="1" t="s">
        <v>413</v>
      </c>
      <c r="AC312" s="1">
        <v>10</v>
      </c>
      <c r="AD312" s="1">
        <v>561</v>
      </c>
    </row>
    <row r="313" spans="1:32" x14ac:dyDescent="0.3">
      <c r="A313" s="1" t="s">
        <v>408</v>
      </c>
      <c r="B313" s="1">
        <v>0.43</v>
      </c>
      <c r="C313" s="1">
        <v>0</v>
      </c>
      <c r="D313" s="1">
        <v>0.56999999999999995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 t="s">
        <v>309</v>
      </c>
      <c r="V313" s="1" t="s">
        <v>562</v>
      </c>
      <c r="W313" s="1" t="s">
        <v>412</v>
      </c>
      <c r="X313" s="1" t="s">
        <v>415</v>
      </c>
      <c r="Y313" s="1" t="s">
        <v>94</v>
      </c>
      <c r="Z313" s="1" t="s">
        <v>59</v>
      </c>
      <c r="AA313" s="1" t="s">
        <v>159</v>
      </c>
      <c r="AB313" s="1" t="s">
        <v>413</v>
      </c>
      <c r="AC313" s="1">
        <v>10</v>
      </c>
      <c r="AD313" s="1">
        <v>408</v>
      </c>
    </row>
    <row r="314" spans="1:32" x14ac:dyDescent="0.3">
      <c r="A314" s="1" t="s">
        <v>409</v>
      </c>
      <c r="B314" s="1">
        <v>0.44</v>
      </c>
      <c r="C314" s="1">
        <v>0.56000000000000005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 t="s">
        <v>309</v>
      </c>
      <c r="V314" s="1" t="s">
        <v>562</v>
      </c>
      <c r="W314" s="1" t="s">
        <v>412</v>
      </c>
      <c r="X314" s="1" t="s">
        <v>415</v>
      </c>
      <c r="Y314" s="1" t="s">
        <v>416</v>
      </c>
      <c r="Z314" s="1" t="s">
        <v>59</v>
      </c>
      <c r="AA314" s="1" t="s">
        <v>159</v>
      </c>
      <c r="AB314" s="1" t="s">
        <v>413</v>
      </c>
      <c r="AC314" s="1">
        <v>10</v>
      </c>
      <c r="AD314" s="1">
        <v>342</v>
      </c>
    </row>
    <row r="315" spans="1:32" x14ac:dyDescent="0.3">
      <c r="A315" s="1" t="s">
        <v>410</v>
      </c>
      <c r="B315" s="1">
        <v>0</v>
      </c>
      <c r="C315" s="1">
        <v>0.5</v>
      </c>
      <c r="D315" s="1">
        <v>0.5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 t="s">
        <v>309</v>
      </c>
      <c r="V315" s="1" t="s">
        <v>562</v>
      </c>
      <c r="W315" s="1" t="s">
        <v>412</v>
      </c>
      <c r="X315" s="1" t="s">
        <v>415</v>
      </c>
      <c r="Y315" s="1" t="s">
        <v>416</v>
      </c>
      <c r="Z315" s="1" t="s">
        <v>59</v>
      </c>
      <c r="AA315" s="1" t="s">
        <v>159</v>
      </c>
      <c r="AB315" s="1" t="s">
        <v>413</v>
      </c>
      <c r="AC315" s="1">
        <v>10</v>
      </c>
      <c r="AD315" s="1">
        <v>438</v>
      </c>
    </row>
    <row r="316" spans="1:32" x14ac:dyDescent="0.3">
      <c r="A316" s="1" t="s">
        <v>411</v>
      </c>
      <c r="B316" s="1">
        <v>0.33</v>
      </c>
      <c r="C316" s="1">
        <v>0.33</v>
      </c>
      <c r="D316" s="1">
        <v>0.34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 t="s">
        <v>309</v>
      </c>
      <c r="V316" s="1" t="s">
        <v>562</v>
      </c>
      <c r="W316" s="1" t="s">
        <v>412</v>
      </c>
      <c r="X316" s="1" t="s">
        <v>415</v>
      </c>
      <c r="Y316" s="1" t="s">
        <v>416</v>
      </c>
      <c r="Z316" s="1" t="s">
        <v>59</v>
      </c>
      <c r="AA316" s="1" t="s">
        <v>159</v>
      </c>
      <c r="AB316" s="1" t="s">
        <v>413</v>
      </c>
      <c r="AC316" s="1">
        <v>10</v>
      </c>
      <c r="AD316" s="1">
        <v>332</v>
      </c>
    </row>
    <row r="317" spans="1:32" x14ac:dyDescent="0.3">
      <c r="A317" s="1" t="s">
        <v>418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 t="s">
        <v>638</v>
      </c>
      <c r="W317" s="1" t="s">
        <v>421</v>
      </c>
      <c r="X317" s="1" t="s">
        <v>359</v>
      </c>
      <c r="Y317" s="1" t="s">
        <v>420</v>
      </c>
      <c r="Z317" s="1">
        <v>54.6</v>
      </c>
      <c r="AA317" s="1" t="s">
        <v>8</v>
      </c>
      <c r="AB317" s="1" t="s">
        <v>6</v>
      </c>
      <c r="AC317" s="1">
        <v>10</v>
      </c>
      <c r="AD317" s="1">
        <v>277</v>
      </c>
      <c r="AF317" s="1" t="s">
        <v>417</v>
      </c>
    </row>
    <row r="318" spans="1:32" x14ac:dyDescent="0.3">
      <c r="A318" s="1" t="s">
        <v>418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 t="s">
        <v>638</v>
      </c>
      <c r="W318" s="1" t="s">
        <v>421</v>
      </c>
      <c r="X318" s="1" t="s">
        <v>359</v>
      </c>
      <c r="Y318" s="1" t="s">
        <v>349</v>
      </c>
      <c r="Z318" s="1" t="s">
        <v>59</v>
      </c>
      <c r="AA318" s="1" t="s">
        <v>8</v>
      </c>
      <c r="AB318" s="1" t="s">
        <v>323</v>
      </c>
      <c r="AC318" s="1">
        <v>10</v>
      </c>
      <c r="AD318" s="1">
        <v>245</v>
      </c>
    </row>
    <row r="319" spans="1:32" x14ac:dyDescent="0.3">
      <c r="A319" s="1" t="s">
        <v>419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 t="s">
        <v>638</v>
      </c>
      <c r="W319" s="1" t="s">
        <v>422</v>
      </c>
      <c r="X319" s="1" t="s">
        <v>359</v>
      </c>
      <c r="Y319" s="1" t="s">
        <v>349</v>
      </c>
      <c r="Z319" s="1">
        <v>49.1</v>
      </c>
      <c r="AA319" s="1" t="s">
        <v>8</v>
      </c>
      <c r="AB319" s="1" t="s">
        <v>6</v>
      </c>
      <c r="AC319" s="1">
        <v>10</v>
      </c>
      <c r="AD319" s="1">
        <v>300</v>
      </c>
    </row>
    <row r="320" spans="1:32" x14ac:dyDescent="0.3">
      <c r="A320" s="1" t="s">
        <v>683</v>
      </c>
      <c r="B320" s="1">
        <v>0</v>
      </c>
      <c r="C320" s="1">
        <v>0.5</v>
      </c>
      <c r="D320" s="1">
        <v>0.5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 t="s">
        <v>684</v>
      </c>
      <c r="W320" s="1" t="s">
        <v>589</v>
      </c>
      <c r="X320" s="1" t="s">
        <v>59</v>
      </c>
      <c r="Y320" s="1" t="s">
        <v>349</v>
      </c>
      <c r="Z320" s="1" t="s">
        <v>59</v>
      </c>
      <c r="AA320" s="1" t="s">
        <v>8</v>
      </c>
      <c r="AB320" s="1" t="s">
        <v>424</v>
      </c>
      <c r="AC320" s="1">
        <v>10</v>
      </c>
      <c r="AD320" s="1">
        <v>212</v>
      </c>
      <c r="AF320" s="1" t="s">
        <v>423</v>
      </c>
    </row>
    <row r="321" spans="1:32" x14ac:dyDescent="0.3">
      <c r="A321" s="1" t="s">
        <v>683</v>
      </c>
      <c r="B321" s="1">
        <v>0</v>
      </c>
      <c r="C321" s="1">
        <v>0.5</v>
      </c>
      <c r="D321" s="1">
        <v>0.5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 t="s">
        <v>684</v>
      </c>
      <c r="W321" s="1" t="s">
        <v>589</v>
      </c>
      <c r="X321" s="1" t="s">
        <v>59</v>
      </c>
      <c r="Y321" s="1" t="s">
        <v>349</v>
      </c>
      <c r="Z321" s="1" t="s">
        <v>59</v>
      </c>
      <c r="AA321" s="1" t="s">
        <v>8</v>
      </c>
      <c r="AB321" s="1" t="s">
        <v>424</v>
      </c>
      <c r="AC321" s="1">
        <v>100</v>
      </c>
      <c r="AD321" s="1">
        <v>264</v>
      </c>
    </row>
    <row r="322" spans="1:32" x14ac:dyDescent="0.3">
      <c r="A322" s="1" t="s">
        <v>425</v>
      </c>
      <c r="B322" s="1">
        <v>0</v>
      </c>
      <c r="C322" s="1">
        <v>0.1</v>
      </c>
      <c r="D322" s="1">
        <v>0.9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 t="s">
        <v>426</v>
      </c>
      <c r="V322" s="1" t="s">
        <v>685</v>
      </c>
      <c r="W322" s="1" t="s">
        <v>430</v>
      </c>
      <c r="X322" s="1" t="s">
        <v>319</v>
      </c>
      <c r="Y322" s="1" t="s">
        <v>349</v>
      </c>
      <c r="Z322" s="1" t="s">
        <v>59</v>
      </c>
      <c r="AA322" s="1" t="s">
        <v>427</v>
      </c>
      <c r="AB322" s="1" t="s">
        <v>429</v>
      </c>
      <c r="AC322" s="1">
        <v>10</v>
      </c>
      <c r="AD322" s="1">
        <v>325.58</v>
      </c>
      <c r="AF322" s="1" t="s">
        <v>428</v>
      </c>
    </row>
    <row r="323" spans="1:32" x14ac:dyDescent="0.3">
      <c r="A323" s="1" t="s">
        <v>432</v>
      </c>
      <c r="B323" s="1">
        <v>0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 t="s">
        <v>403</v>
      </c>
      <c r="V323" s="1" t="s">
        <v>562</v>
      </c>
      <c r="W323" s="1" t="s">
        <v>431</v>
      </c>
      <c r="X323" s="1" t="s">
        <v>18</v>
      </c>
      <c r="Y323" s="1" t="s">
        <v>433</v>
      </c>
      <c r="Z323" s="1">
        <v>39.6</v>
      </c>
      <c r="AA323" s="1" t="s">
        <v>8</v>
      </c>
      <c r="AB323" s="1" t="s">
        <v>489</v>
      </c>
      <c r="AC323" s="1">
        <v>20</v>
      </c>
      <c r="AD323" s="1">
        <v>254</v>
      </c>
    </row>
    <row r="324" spans="1:32" x14ac:dyDescent="0.3">
      <c r="A324" s="1" t="s">
        <v>435</v>
      </c>
      <c r="B324" s="1">
        <f>15/16</f>
        <v>0.9375</v>
      </c>
      <c r="C324" s="1">
        <f>1/16</f>
        <v>6.25E-2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 t="s">
        <v>686</v>
      </c>
      <c r="W324" s="1" t="s">
        <v>696</v>
      </c>
      <c r="X324" s="1" t="s">
        <v>359</v>
      </c>
      <c r="Y324" s="1" t="s">
        <v>436</v>
      </c>
      <c r="Z324" s="1">
        <v>1.48</v>
      </c>
      <c r="AA324" s="1" t="s">
        <v>8</v>
      </c>
      <c r="AB324" s="1" t="s">
        <v>424</v>
      </c>
      <c r="AC324" s="1">
        <v>10</v>
      </c>
      <c r="AD324" s="1">
        <v>196</v>
      </c>
      <c r="AF324" s="1" t="s">
        <v>434</v>
      </c>
    </row>
    <row r="325" spans="1:32" x14ac:dyDescent="0.3">
      <c r="A325" s="1" t="s">
        <v>435</v>
      </c>
      <c r="B325" s="1">
        <f>15/16</f>
        <v>0.9375</v>
      </c>
      <c r="C325" s="1">
        <f>1/16</f>
        <v>6.25E-2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 t="s">
        <v>686</v>
      </c>
      <c r="W325" s="1" t="s">
        <v>696</v>
      </c>
      <c r="X325" s="1" t="s">
        <v>359</v>
      </c>
      <c r="Y325" s="1" t="s">
        <v>436</v>
      </c>
      <c r="Z325" s="1">
        <v>1.48</v>
      </c>
      <c r="AA325" s="1" t="s">
        <v>8</v>
      </c>
      <c r="AB325" s="1" t="s">
        <v>424</v>
      </c>
      <c r="AC325" s="1">
        <v>50</v>
      </c>
      <c r="AD325" s="1">
        <v>245</v>
      </c>
    </row>
    <row r="326" spans="1:32" x14ac:dyDescent="0.3">
      <c r="A326" s="1" t="s">
        <v>435</v>
      </c>
      <c r="B326" s="1">
        <f>15/16</f>
        <v>0.9375</v>
      </c>
      <c r="C326" s="1">
        <f>1/16</f>
        <v>6.25E-2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 t="s">
        <v>686</v>
      </c>
      <c r="W326" s="1" t="s">
        <v>696</v>
      </c>
      <c r="X326" s="1" t="s">
        <v>359</v>
      </c>
      <c r="Y326" s="1" t="s">
        <v>436</v>
      </c>
      <c r="Z326" s="1">
        <v>1.48</v>
      </c>
      <c r="AA326" s="1" t="s">
        <v>8</v>
      </c>
      <c r="AB326" s="1" t="s">
        <v>424</v>
      </c>
      <c r="AC326" s="1">
        <v>100</v>
      </c>
      <c r="AD326" s="1">
        <v>257</v>
      </c>
    </row>
    <row r="327" spans="1:32" x14ac:dyDescent="0.3">
      <c r="A327" s="1" t="s">
        <v>437</v>
      </c>
      <c r="B327" s="1">
        <v>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 t="s">
        <v>686</v>
      </c>
      <c r="W327" s="1" t="s">
        <v>696</v>
      </c>
      <c r="X327" s="1" t="s">
        <v>359</v>
      </c>
      <c r="Y327" s="1" t="s">
        <v>436</v>
      </c>
      <c r="Z327" s="1">
        <v>1.61</v>
      </c>
      <c r="AA327" s="1" t="s">
        <v>8</v>
      </c>
      <c r="AB327" s="1" t="s">
        <v>424</v>
      </c>
      <c r="AC327" s="1">
        <v>10</v>
      </c>
      <c r="AD327" s="1">
        <v>327</v>
      </c>
    </row>
    <row r="328" spans="1:32" x14ac:dyDescent="0.3">
      <c r="A328" s="1" t="s">
        <v>437</v>
      </c>
      <c r="B328" s="1">
        <v>1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 t="s">
        <v>686</v>
      </c>
      <c r="W328" s="1" t="s">
        <v>696</v>
      </c>
      <c r="X328" s="1" t="s">
        <v>359</v>
      </c>
      <c r="Y328" s="1" t="s">
        <v>436</v>
      </c>
      <c r="Z328" s="1">
        <v>1.61</v>
      </c>
      <c r="AA328" s="1" t="s">
        <v>8</v>
      </c>
      <c r="AB328" s="1" t="s">
        <v>424</v>
      </c>
      <c r="AC328" s="1">
        <v>50</v>
      </c>
      <c r="AD328" s="1">
        <v>400</v>
      </c>
    </row>
    <row r="329" spans="1:32" x14ac:dyDescent="0.3">
      <c r="A329" s="1" t="s">
        <v>437</v>
      </c>
      <c r="B329" s="1">
        <v>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 t="s">
        <v>686</v>
      </c>
      <c r="W329" s="1" t="s">
        <v>696</v>
      </c>
      <c r="X329" s="1" t="s">
        <v>359</v>
      </c>
      <c r="Y329" s="1" t="s">
        <v>436</v>
      </c>
      <c r="Z329" s="1">
        <v>1.61</v>
      </c>
      <c r="AA329" s="1" t="s">
        <v>8</v>
      </c>
      <c r="AB329" s="1" t="s">
        <v>424</v>
      </c>
      <c r="AC329" s="1">
        <v>100</v>
      </c>
      <c r="AD329" s="1">
        <v>446</v>
      </c>
    </row>
    <row r="330" spans="1:32" x14ac:dyDescent="0.3">
      <c r="A330" s="1" t="s">
        <v>438</v>
      </c>
      <c r="B330" s="1">
        <f>15/16</f>
        <v>0.9375</v>
      </c>
      <c r="C330" s="1">
        <f>1/16</f>
        <v>6.25E-2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 t="s">
        <v>686</v>
      </c>
      <c r="W330" s="1" t="s">
        <v>440</v>
      </c>
      <c r="X330" s="1" t="s">
        <v>441</v>
      </c>
      <c r="Y330" s="1" t="s">
        <v>436</v>
      </c>
      <c r="Z330" s="1">
        <v>1.79</v>
      </c>
      <c r="AA330" s="1" t="s">
        <v>8</v>
      </c>
      <c r="AB330" s="1" t="s">
        <v>424</v>
      </c>
      <c r="AC330" s="1">
        <v>10</v>
      </c>
      <c r="AD330" s="1">
        <v>243</v>
      </c>
    </row>
    <row r="331" spans="1:32" x14ac:dyDescent="0.3">
      <c r="A331" s="1" t="s">
        <v>438</v>
      </c>
      <c r="B331" s="1">
        <f>15/16</f>
        <v>0.9375</v>
      </c>
      <c r="C331" s="1">
        <f>1/16</f>
        <v>6.25E-2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 t="s">
        <v>686</v>
      </c>
      <c r="W331" s="1" t="s">
        <v>440</v>
      </c>
      <c r="X331" s="1" t="s">
        <v>441</v>
      </c>
      <c r="Y331" s="1" t="s">
        <v>436</v>
      </c>
      <c r="Z331" s="1">
        <v>1.79</v>
      </c>
      <c r="AA331" s="1" t="s">
        <v>8</v>
      </c>
      <c r="AB331" s="1" t="s">
        <v>424</v>
      </c>
      <c r="AC331" s="1">
        <v>50</v>
      </c>
      <c r="AD331" s="1">
        <v>281</v>
      </c>
    </row>
    <row r="332" spans="1:32" x14ac:dyDescent="0.3">
      <c r="A332" s="1" t="s">
        <v>438</v>
      </c>
      <c r="B332" s="1">
        <f>15/16</f>
        <v>0.9375</v>
      </c>
      <c r="C332" s="1">
        <f>1/16</f>
        <v>6.25E-2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 t="s">
        <v>686</v>
      </c>
      <c r="W332" s="1" t="s">
        <v>440</v>
      </c>
      <c r="X332" s="1" t="s">
        <v>441</v>
      </c>
      <c r="Y332" s="1" t="s">
        <v>436</v>
      </c>
      <c r="Z332" s="1">
        <v>1.79</v>
      </c>
      <c r="AA332" s="1" t="s">
        <v>8</v>
      </c>
      <c r="AB332" s="1" t="s">
        <v>424</v>
      </c>
      <c r="AC332" s="1">
        <v>100</v>
      </c>
      <c r="AD332" s="1">
        <v>301</v>
      </c>
    </row>
    <row r="333" spans="1:32" x14ac:dyDescent="0.3">
      <c r="A333" s="1" t="s">
        <v>439</v>
      </c>
      <c r="B333" s="1">
        <v>1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 t="s">
        <v>686</v>
      </c>
      <c r="W333" s="1" t="s">
        <v>440</v>
      </c>
      <c r="X333" s="1" t="s">
        <v>441</v>
      </c>
      <c r="Y333" s="1" t="s">
        <v>436</v>
      </c>
      <c r="Z333" s="1">
        <v>1.83</v>
      </c>
      <c r="AA333" s="1" t="s">
        <v>8</v>
      </c>
      <c r="AB333" s="1" t="s">
        <v>424</v>
      </c>
      <c r="AC333" s="1">
        <v>10</v>
      </c>
      <c r="AD333" s="1">
        <v>342</v>
      </c>
    </row>
    <row r="334" spans="1:32" x14ac:dyDescent="0.3">
      <c r="A334" s="1" t="s">
        <v>439</v>
      </c>
      <c r="B334" s="1">
        <v>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 t="s">
        <v>686</v>
      </c>
      <c r="W334" s="1" t="s">
        <v>440</v>
      </c>
      <c r="X334" s="1" t="s">
        <v>441</v>
      </c>
      <c r="Y334" s="1" t="s">
        <v>436</v>
      </c>
      <c r="Z334" s="1">
        <v>1.83</v>
      </c>
      <c r="AA334" s="1" t="s">
        <v>8</v>
      </c>
      <c r="AB334" s="1" t="s">
        <v>424</v>
      </c>
      <c r="AC334" s="1">
        <v>50</v>
      </c>
      <c r="AD334" s="1">
        <v>428</v>
      </c>
    </row>
    <row r="335" spans="1:32" x14ac:dyDescent="0.3">
      <c r="A335" s="1" t="s">
        <v>439</v>
      </c>
      <c r="B335" s="1">
        <v>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 t="s">
        <v>686</v>
      </c>
      <c r="W335" s="1" t="s">
        <v>440</v>
      </c>
      <c r="X335" s="1" t="s">
        <v>441</v>
      </c>
      <c r="Y335" s="1" t="s">
        <v>436</v>
      </c>
      <c r="Z335" s="1">
        <v>1.83</v>
      </c>
      <c r="AA335" s="1" t="s">
        <v>8</v>
      </c>
      <c r="AB335" s="1" t="s">
        <v>424</v>
      </c>
      <c r="AC335" s="1">
        <v>100</v>
      </c>
      <c r="AD335" s="1">
        <v>485</v>
      </c>
    </row>
    <row r="336" spans="1:32" x14ac:dyDescent="0.3">
      <c r="A336" s="1" t="s">
        <v>444</v>
      </c>
      <c r="B336" s="1">
        <f>0.14/1.14</f>
        <v>0.12280701754385967</v>
      </c>
      <c r="C336" s="1">
        <f>1/1.14</f>
        <v>0.87719298245614041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 t="s">
        <v>561</v>
      </c>
      <c r="W336" s="1" t="s">
        <v>310</v>
      </c>
      <c r="X336" s="1" t="s">
        <v>359</v>
      </c>
      <c r="Y336" s="1" t="s">
        <v>443</v>
      </c>
      <c r="Z336" s="1" t="s">
        <v>59</v>
      </c>
      <c r="AA336" s="1" t="s">
        <v>8</v>
      </c>
      <c r="AB336" s="1" t="s">
        <v>424</v>
      </c>
      <c r="AC336" s="1">
        <v>10</v>
      </c>
      <c r="AD336" s="1">
        <v>247</v>
      </c>
      <c r="AF336" s="1" t="s">
        <v>442</v>
      </c>
    </row>
    <row r="337" spans="1:32" x14ac:dyDescent="0.3">
      <c r="A337" s="1" t="s">
        <v>444</v>
      </c>
      <c r="B337" s="1">
        <f>0.14/1.14</f>
        <v>0.12280701754385967</v>
      </c>
      <c r="C337" s="1">
        <f>1/1.14</f>
        <v>0.87719298245614041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 t="s">
        <v>561</v>
      </c>
      <c r="W337" s="1" t="s">
        <v>310</v>
      </c>
      <c r="X337" s="1" t="s">
        <v>359</v>
      </c>
      <c r="Y337" s="1" t="s">
        <v>443</v>
      </c>
      <c r="Z337" s="1" t="s">
        <v>59</v>
      </c>
      <c r="AA337" s="1" t="s">
        <v>8</v>
      </c>
      <c r="AB337" s="1" t="s">
        <v>424</v>
      </c>
      <c r="AC337" s="1">
        <v>100</v>
      </c>
      <c r="AD337" s="1">
        <v>289</v>
      </c>
    </row>
    <row r="338" spans="1:32" x14ac:dyDescent="0.3">
      <c r="A338" s="1" t="s">
        <v>444</v>
      </c>
      <c r="B338" s="1">
        <f>0.09/1.09</f>
        <v>8.2568807339449532E-2</v>
      </c>
      <c r="C338" s="1">
        <f>1/1.09</f>
        <v>0.9174311926605504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 t="s">
        <v>561</v>
      </c>
      <c r="W338" s="1" t="s">
        <v>310</v>
      </c>
      <c r="X338" s="1" t="s">
        <v>359</v>
      </c>
      <c r="Y338" s="1" t="s">
        <v>443</v>
      </c>
      <c r="Z338" s="1" t="s">
        <v>59</v>
      </c>
      <c r="AA338" s="1" t="s">
        <v>8</v>
      </c>
      <c r="AB338" s="1" t="s">
        <v>424</v>
      </c>
      <c r="AC338" s="1">
        <v>10</v>
      </c>
      <c r="AD338" s="1">
        <v>277.3</v>
      </c>
    </row>
    <row r="339" spans="1:32" x14ac:dyDescent="0.3">
      <c r="A339" s="1" t="s">
        <v>444</v>
      </c>
      <c r="B339" s="1">
        <f>0.09/1.09</f>
        <v>8.2568807339449532E-2</v>
      </c>
      <c r="C339" s="1">
        <f>1/1.09</f>
        <v>0.9174311926605504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 t="s">
        <v>561</v>
      </c>
      <c r="W339" s="1" t="s">
        <v>310</v>
      </c>
      <c r="X339" s="1" t="s">
        <v>359</v>
      </c>
      <c r="Y339" s="1" t="s">
        <v>443</v>
      </c>
      <c r="Z339" s="1" t="s">
        <v>59</v>
      </c>
      <c r="AA339" s="1" t="s">
        <v>8</v>
      </c>
      <c r="AB339" s="1" t="s">
        <v>424</v>
      </c>
      <c r="AC339" s="1">
        <v>100</v>
      </c>
      <c r="AD339" s="1">
        <v>329</v>
      </c>
    </row>
    <row r="340" spans="1:32" x14ac:dyDescent="0.3">
      <c r="A340" s="1" t="s">
        <v>335</v>
      </c>
      <c r="B340" s="1">
        <v>0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 t="s">
        <v>562</v>
      </c>
      <c r="W340" s="1" t="s">
        <v>520</v>
      </c>
      <c r="X340" s="1" t="s">
        <v>359</v>
      </c>
      <c r="Y340" s="1" t="s">
        <v>443</v>
      </c>
      <c r="Z340" s="1" t="s">
        <v>59</v>
      </c>
      <c r="AA340" s="1" t="s">
        <v>8</v>
      </c>
      <c r="AB340" s="1" t="s">
        <v>424</v>
      </c>
      <c r="AC340" s="1">
        <v>10</v>
      </c>
      <c r="AD340" s="1">
        <v>400</v>
      </c>
    </row>
    <row r="341" spans="1:32" x14ac:dyDescent="0.3">
      <c r="A341" s="1" t="s">
        <v>687</v>
      </c>
      <c r="B341" s="1" t="s">
        <v>59</v>
      </c>
      <c r="C341" s="1" t="s">
        <v>59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 t="s">
        <v>561</v>
      </c>
      <c r="W341" s="1" t="s">
        <v>310</v>
      </c>
      <c r="X341" s="1" t="s">
        <v>573</v>
      </c>
      <c r="Y341" s="1" t="s">
        <v>59</v>
      </c>
      <c r="Z341" s="1" t="s">
        <v>59</v>
      </c>
      <c r="AA341" s="1" t="s">
        <v>8</v>
      </c>
      <c r="AB341" s="1" t="s">
        <v>424</v>
      </c>
      <c r="AC341" s="1">
        <v>10</v>
      </c>
      <c r="AD341" s="1">
        <v>277</v>
      </c>
    </row>
    <row r="342" spans="1:32" x14ac:dyDescent="0.3">
      <c r="A342" s="1" t="s">
        <v>314</v>
      </c>
      <c r="B342" s="1">
        <v>0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 t="s">
        <v>674</v>
      </c>
      <c r="W342" s="1" t="s">
        <v>688</v>
      </c>
      <c r="X342" s="1" t="s">
        <v>573</v>
      </c>
      <c r="Y342" s="1" t="s">
        <v>59</v>
      </c>
      <c r="Z342" s="1" t="s">
        <v>59</v>
      </c>
      <c r="AA342" s="1" t="s">
        <v>8</v>
      </c>
      <c r="AB342" s="1" t="s">
        <v>424</v>
      </c>
      <c r="AC342" s="1">
        <v>10</v>
      </c>
      <c r="AD342" s="1">
        <v>434</v>
      </c>
    </row>
    <row r="343" spans="1:32" x14ac:dyDescent="0.3">
      <c r="A343" s="1" t="s">
        <v>395</v>
      </c>
      <c r="B343" s="1" t="s">
        <v>59</v>
      </c>
      <c r="C343" s="1">
        <v>0</v>
      </c>
      <c r="D343" s="1" t="s">
        <v>59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 t="s">
        <v>561</v>
      </c>
      <c r="W343" s="1" t="s">
        <v>310</v>
      </c>
      <c r="X343" s="1" t="s">
        <v>59</v>
      </c>
      <c r="Y343" s="1" t="s">
        <v>59</v>
      </c>
      <c r="Z343" s="1" t="s">
        <v>59</v>
      </c>
      <c r="AA343" s="1" t="s">
        <v>8</v>
      </c>
      <c r="AB343" s="1" t="s">
        <v>424</v>
      </c>
      <c r="AC343" s="1">
        <v>10</v>
      </c>
      <c r="AD343" s="1">
        <v>369</v>
      </c>
    </row>
    <row r="344" spans="1:32" x14ac:dyDescent="0.3">
      <c r="A344" s="1" t="s">
        <v>24</v>
      </c>
      <c r="B344" s="1">
        <v>0</v>
      </c>
      <c r="C344" s="1">
        <v>0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 t="s">
        <v>562</v>
      </c>
      <c r="W344" s="1" t="s">
        <v>689</v>
      </c>
      <c r="X344" s="1" t="s">
        <v>59</v>
      </c>
      <c r="Y344" s="1" t="s">
        <v>59</v>
      </c>
      <c r="Z344" s="1" t="s">
        <v>59</v>
      </c>
      <c r="AA344" s="1" t="s">
        <v>8</v>
      </c>
      <c r="AB344" s="1" t="s">
        <v>424</v>
      </c>
      <c r="AC344" s="1">
        <v>10</v>
      </c>
      <c r="AD344" s="1">
        <v>439</v>
      </c>
    </row>
    <row r="345" spans="1:32" x14ac:dyDescent="0.3">
      <c r="A345" s="1" t="s">
        <v>446</v>
      </c>
      <c r="B345" s="1">
        <f>5/6</f>
        <v>0.83333333333333337</v>
      </c>
      <c r="C345" s="1">
        <v>0</v>
      </c>
      <c r="D345" s="1">
        <f>1/6</f>
        <v>0.16666666666666666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 t="s">
        <v>562</v>
      </c>
      <c r="W345" s="1" t="s">
        <v>694</v>
      </c>
      <c r="X345" s="1" t="s">
        <v>20</v>
      </c>
      <c r="Y345" s="1" t="s">
        <v>94</v>
      </c>
      <c r="Z345" s="1" t="s">
        <v>59</v>
      </c>
      <c r="AA345" s="1" t="s">
        <v>8</v>
      </c>
      <c r="AB345" s="1" t="s">
        <v>6</v>
      </c>
      <c r="AC345" s="1">
        <v>10</v>
      </c>
      <c r="AD345" s="1">
        <v>474.36</v>
      </c>
      <c r="AF345" s="1" t="s">
        <v>445</v>
      </c>
    </row>
    <row r="346" spans="1:32" x14ac:dyDescent="0.3">
      <c r="A346" s="1" t="s">
        <v>448</v>
      </c>
      <c r="B346" s="1">
        <v>0.875</v>
      </c>
      <c r="C346" s="1">
        <f>1/8</f>
        <v>0.125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 t="s">
        <v>562</v>
      </c>
      <c r="W346" s="1" t="s">
        <v>694</v>
      </c>
      <c r="X346" s="1" t="s">
        <v>20</v>
      </c>
      <c r="Y346" s="1" t="s">
        <v>94</v>
      </c>
      <c r="Z346" s="1" t="s">
        <v>59</v>
      </c>
      <c r="AA346" s="1" t="s">
        <v>8</v>
      </c>
      <c r="AB346" s="1" t="s">
        <v>6</v>
      </c>
      <c r="AC346" s="1">
        <v>10</v>
      </c>
      <c r="AD346" s="1">
        <v>505.91</v>
      </c>
    </row>
    <row r="347" spans="1:32" x14ac:dyDescent="0.3">
      <c r="A347" s="1" t="s">
        <v>447</v>
      </c>
      <c r="B347" s="1">
        <f>5/6</f>
        <v>0.83333333333333337</v>
      </c>
      <c r="C347" s="1">
        <f>1/6</f>
        <v>0.16666666666666666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 t="s">
        <v>562</v>
      </c>
      <c r="W347" s="1" t="s">
        <v>694</v>
      </c>
      <c r="X347" s="1" t="s">
        <v>20</v>
      </c>
      <c r="Y347" s="1" t="s">
        <v>94</v>
      </c>
      <c r="Z347" s="1" t="s">
        <v>59</v>
      </c>
      <c r="AA347" s="1" t="s">
        <v>8</v>
      </c>
      <c r="AB347" s="1" t="s">
        <v>6</v>
      </c>
      <c r="AC347" s="1">
        <v>10</v>
      </c>
      <c r="AD347" s="1">
        <v>476.12</v>
      </c>
    </row>
    <row r="348" spans="1:32" x14ac:dyDescent="0.3">
      <c r="A348" s="1" t="s">
        <v>690</v>
      </c>
      <c r="B348" s="1">
        <f>5/6</f>
        <v>0.83333333333333337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f>1/6</f>
        <v>0.16666666666666666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 t="s">
        <v>562</v>
      </c>
      <c r="W348" s="1" t="s">
        <v>694</v>
      </c>
      <c r="X348" s="1" t="s">
        <v>20</v>
      </c>
      <c r="Y348" s="1" t="s">
        <v>94</v>
      </c>
      <c r="Z348" s="1" t="s">
        <v>59</v>
      </c>
      <c r="AA348" s="1" t="s">
        <v>8</v>
      </c>
      <c r="AB348" s="1" t="s">
        <v>6</v>
      </c>
      <c r="AC348" s="1">
        <v>2</v>
      </c>
      <c r="AD348" s="1">
        <v>433.22</v>
      </c>
    </row>
    <row r="349" spans="1:32" x14ac:dyDescent="0.3">
      <c r="A349" s="1" t="s">
        <v>691</v>
      </c>
      <c r="B349" s="1">
        <v>0.75</v>
      </c>
      <c r="C349" s="1">
        <v>0.25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 t="s">
        <v>562</v>
      </c>
      <c r="W349" s="1" t="s">
        <v>694</v>
      </c>
      <c r="X349" s="1" t="s">
        <v>20</v>
      </c>
      <c r="Y349" s="1" t="s">
        <v>94</v>
      </c>
      <c r="Z349" s="1" t="s">
        <v>59</v>
      </c>
      <c r="AA349" s="1" t="s">
        <v>8</v>
      </c>
      <c r="AB349" s="1" t="s">
        <v>6</v>
      </c>
      <c r="AC349" s="1">
        <v>2</v>
      </c>
      <c r="AD349" s="1">
        <v>419.42</v>
      </c>
    </row>
    <row r="350" spans="1:32" x14ac:dyDescent="0.3">
      <c r="A350" s="1" t="s">
        <v>692</v>
      </c>
      <c r="B350" s="1">
        <v>0.83333333333333337</v>
      </c>
      <c r="C350" s="1">
        <v>0.16666666666666666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 t="s">
        <v>321</v>
      </c>
      <c r="V350" s="1" t="s">
        <v>562</v>
      </c>
      <c r="W350" s="1" t="s">
        <v>694</v>
      </c>
      <c r="X350" s="1" t="s">
        <v>20</v>
      </c>
      <c r="Y350" s="1" t="s">
        <v>94</v>
      </c>
      <c r="Z350" s="1" t="s">
        <v>59</v>
      </c>
      <c r="AA350" s="1" t="s">
        <v>8</v>
      </c>
      <c r="AB350" s="1" t="s">
        <v>6</v>
      </c>
      <c r="AC350" s="1">
        <v>10</v>
      </c>
      <c r="AD350" s="1">
        <v>286</v>
      </c>
    </row>
    <row r="351" spans="1:32" x14ac:dyDescent="0.3">
      <c r="A351" s="1" t="s">
        <v>449</v>
      </c>
      <c r="B351" s="1">
        <v>0.83333333333333337</v>
      </c>
      <c r="C351" s="1">
        <v>0.16666666666666666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 t="s">
        <v>321</v>
      </c>
      <c r="V351" s="1" t="s">
        <v>562</v>
      </c>
      <c r="W351" s="1" t="s">
        <v>694</v>
      </c>
      <c r="X351" s="1" t="s">
        <v>20</v>
      </c>
      <c r="Y351" s="1" t="s">
        <v>94</v>
      </c>
      <c r="Z351" s="1" t="s">
        <v>59</v>
      </c>
      <c r="AA351" s="1" t="s">
        <v>8</v>
      </c>
      <c r="AB351" s="1" t="s">
        <v>6</v>
      </c>
      <c r="AC351" s="1">
        <v>10</v>
      </c>
      <c r="AD351" s="1">
        <v>278</v>
      </c>
    </row>
    <row r="352" spans="1:32" x14ac:dyDescent="0.3">
      <c r="A352" s="1" t="s">
        <v>693</v>
      </c>
      <c r="B352" s="1">
        <v>0.83333333333333337</v>
      </c>
      <c r="C352" s="1">
        <v>0.16666666666666666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 t="s">
        <v>321</v>
      </c>
      <c r="V352" s="1" t="s">
        <v>562</v>
      </c>
      <c r="W352" s="1" t="s">
        <v>694</v>
      </c>
      <c r="X352" s="1" t="s">
        <v>20</v>
      </c>
      <c r="Y352" s="1" t="s">
        <v>94</v>
      </c>
      <c r="Z352" s="1" t="s">
        <v>59</v>
      </c>
      <c r="AA352" s="1" t="s">
        <v>8</v>
      </c>
      <c r="AB352" s="1" t="s">
        <v>6</v>
      </c>
      <c r="AC352" s="1">
        <v>10</v>
      </c>
      <c r="AD352" s="1">
        <v>285</v>
      </c>
    </row>
    <row r="353" spans="1:32" x14ac:dyDescent="0.3">
      <c r="A353" s="1" t="s">
        <v>451</v>
      </c>
      <c r="B353" s="1">
        <v>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 t="s">
        <v>695</v>
      </c>
      <c r="W353" s="1" t="s">
        <v>697</v>
      </c>
      <c r="X353" s="1" t="s">
        <v>355</v>
      </c>
      <c r="Y353" s="1" t="s">
        <v>452</v>
      </c>
      <c r="Z353" s="1">
        <v>2.34</v>
      </c>
      <c r="AA353" s="1" t="s">
        <v>8</v>
      </c>
      <c r="AB353" s="1" t="s">
        <v>424</v>
      </c>
      <c r="AC353" s="1">
        <v>10</v>
      </c>
      <c r="AD353" s="1">
        <v>266</v>
      </c>
      <c r="AF353" s="1" t="s">
        <v>450</v>
      </c>
    </row>
    <row r="354" spans="1:32" x14ac:dyDescent="0.3">
      <c r="A354" s="1" t="s">
        <v>451</v>
      </c>
      <c r="B354" s="1">
        <v>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 t="s">
        <v>695</v>
      </c>
      <c r="W354" s="1" t="s">
        <v>697</v>
      </c>
      <c r="X354" s="1" t="s">
        <v>355</v>
      </c>
      <c r="Y354" s="1" t="s">
        <v>452</v>
      </c>
      <c r="Z354" s="1">
        <v>2.34</v>
      </c>
      <c r="AA354" s="1" t="s">
        <v>8</v>
      </c>
      <c r="AB354" s="1" t="s">
        <v>424</v>
      </c>
      <c r="AC354" s="1">
        <v>80</v>
      </c>
      <c r="AD354" s="1">
        <v>400</v>
      </c>
    </row>
    <row r="355" spans="1:32" x14ac:dyDescent="0.3">
      <c r="A355" s="1" t="s">
        <v>453</v>
      </c>
      <c r="B355" s="1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 t="s">
        <v>562</v>
      </c>
      <c r="W355" s="1" t="s">
        <v>310</v>
      </c>
      <c r="X355" s="1" t="s">
        <v>59</v>
      </c>
      <c r="Y355" s="1" t="s">
        <v>34</v>
      </c>
      <c r="Z355" s="1">
        <v>10.9</v>
      </c>
      <c r="AA355" s="1" t="s">
        <v>8</v>
      </c>
      <c r="AB355" s="1" t="s">
        <v>424</v>
      </c>
      <c r="AC355" s="1">
        <v>10</v>
      </c>
      <c r="AD355" s="1">
        <v>339</v>
      </c>
      <c r="AF355" s="1" t="s">
        <v>467</v>
      </c>
    </row>
    <row r="356" spans="1:32" x14ac:dyDescent="0.3">
      <c r="A356" s="1" t="s">
        <v>454</v>
      </c>
      <c r="B356" s="1">
        <v>0.9</v>
      </c>
      <c r="C356" s="1">
        <v>0.1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 t="s">
        <v>562</v>
      </c>
      <c r="W356" s="1" t="s">
        <v>310</v>
      </c>
      <c r="X356" s="1" t="s">
        <v>59</v>
      </c>
      <c r="Y356" s="1" t="s">
        <v>34</v>
      </c>
      <c r="Z356" s="1">
        <v>46.9</v>
      </c>
      <c r="AA356" s="1" t="s">
        <v>8</v>
      </c>
      <c r="AB356" s="1" t="s">
        <v>424</v>
      </c>
      <c r="AC356" s="1">
        <v>10</v>
      </c>
      <c r="AD356" s="1">
        <v>263</v>
      </c>
    </row>
    <row r="357" spans="1:32" x14ac:dyDescent="0.3">
      <c r="A357" s="1" t="s">
        <v>455</v>
      </c>
      <c r="B357" s="1">
        <v>0.8</v>
      </c>
      <c r="C357" s="1">
        <v>0.2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 t="s">
        <v>562</v>
      </c>
      <c r="W357" s="1" t="s">
        <v>466</v>
      </c>
      <c r="X357" s="1" t="s">
        <v>59</v>
      </c>
      <c r="Y357" s="1" t="s">
        <v>34</v>
      </c>
      <c r="Z357" s="1">
        <v>20.9</v>
      </c>
      <c r="AA357" s="1" t="s">
        <v>8</v>
      </c>
      <c r="AB357" s="1" t="s">
        <v>424</v>
      </c>
      <c r="AC357" s="1">
        <v>10</v>
      </c>
      <c r="AD357" s="1">
        <v>266</v>
      </c>
    </row>
    <row r="358" spans="1:32" x14ac:dyDescent="0.3">
      <c r="A358" s="1" t="s">
        <v>456</v>
      </c>
      <c r="B358" s="1">
        <v>0.7</v>
      </c>
      <c r="C358" s="1">
        <v>0.3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 t="s">
        <v>562</v>
      </c>
      <c r="W358" s="1" t="s">
        <v>466</v>
      </c>
      <c r="X358" s="1" t="s">
        <v>59</v>
      </c>
      <c r="Y358" s="1" t="s">
        <v>34</v>
      </c>
      <c r="Z358" s="1">
        <v>20.9</v>
      </c>
      <c r="AA358" s="1" t="s">
        <v>8</v>
      </c>
      <c r="AB358" s="1" t="s">
        <v>424</v>
      </c>
      <c r="AC358" s="1">
        <v>10</v>
      </c>
      <c r="AD358" s="1">
        <v>271</v>
      </c>
    </row>
    <row r="359" spans="1:32" x14ac:dyDescent="0.3">
      <c r="A359" s="1" t="s">
        <v>457</v>
      </c>
      <c r="B359" s="1">
        <v>0.9</v>
      </c>
      <c r="C359" s="1">
        <v>0</v>
      </c>
      <c r="D359" s="1">
        <v>0.1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 t="s">
        <v>562</v>
      </c>
      <c r="W359" s="1" t="s">
        <v>466</v>
      </c>
      <c r="X359" s="1" t="s">
        <v>59</v>
      </c>
      <c r="Y359" s="1" t="s">
        <v>34</v>
      </c>
      <c r="Z359" s="1">
        <v>63.4</v>
      </c>
      <c r="AA359" s="1" t="s">
        <v>8</v>
      </c>
      <c r="AB359" s="1" t="s">
        <v>424</v>
      </c>
      <c r="AC359" s="1">
        <v>10</v>
      </c>
      <c r="AD359" s="1">
        <v>302</v>
      </c>
    </row>
    <row r="360" spans="1:32" x14ac:dyDescent="0.3">
      <c r="A360" s="1" t="s">
        <v>698</v>
      </c>
      <c r="B360" s="1">
        <v>0.8</v>
      </c>
      <c r="C360" s="1">
        <v>0.1</v>
      </c>
      <c r="D360" s="1">
        <v>0.1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 t="s">
        <v>562</v>
      </c>
      <c r="W360" s="1" t="s">
        <v>466</v>
      </c>
      <c r="X360" s="1" t="s">
        <v>59</v>
      </c>
      <c r="Y360" s="1" t="s">
        <v>34</v>
      </c>
      <c r="Z360" s="1">
        <v>24.2</v>
      </c>
      <c r="AA360" s="1" t="s">
        <v>8</v>
      </c>
      <c r="AB360" s="1" t="s">
        <v>424</v>
      </c>
      <c r="AC360" s="1">
        <v>10</v>
      </c>
      <c r="AD360" s="1">
        <v>241</v>
      </c>
    </row>
    <row r="361" spans="1:32" x14ac:dyDescent="0.3">
      <c r="A361" s="1" t="s">
        <v>699</v>
      </c>
      <c r="B361" s="1">
        <v>0.7</v>
      </c>
      <c r="C361" s="1">
        <v>0.1</v>
      </c>
      <c r="D361" s="1">
        <v>0.2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 t="s">
        <v>562</v>
      </c>
      <c r="W361" s="1" t="s">
        <v>466</v>
      </c>
      <c r="X361" s="1" t="s">
        <v>59</v>
      </c>
      <c r="Y361" s="1" t="s">
        <v>34</v>
      </c>
      <c r="Z361" s="1">
        <v>24.4</v>
      </c>
      <c r="AA361" s="1" t="s">
        <v>8</v>
      </c>
      <c r="AB361" s="1" t="s">
        <v>424</v>
      </c>
      <c r="AC361" s="1">
        <v>10</v>
      </c>
      <c r="AD361" s="1">
        <v>256</v>
      </c>
    </row>
    <row r="362" spans="1:32" x14ac:dyDescent="0.3">
      <c r="A362" s="1" t="s">
        <v>700</v>
      </c>
      <c r="B362" s="1">
        <v>0.6</v>
      </c>
      <c r="C362" s="1">
        <v>0.1</v>
      </c>
      <c r="D362" s="1">
        <v>0.3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 t="s">
        <v>562</v>
      </c>
      <c r="W362" s="1" t="s">
        <v>466</v>
      </c>
      <c r="X362" s="1" t="s">
        <v>59</v>
      </c>
      <c r="Y362" s="1" t="s">
        <v>34</v>
      </c>
      <c r="Z362" s="1">
        <v>22.8</v>
      </c>
      <c r="AA362" s="1" t="s">
        <v>8</v>
      </c>
      <c r="AB362" s="1" t="s">
        <v>424</v>
      </c>
      <c r="AC362" s="1">
        <v>10</v>
      </c>
      <c r="AD362" s="1">
        <v>237</v>
      </c>
    </row>
    <row r="363" spans="1:32" x14ac:dyDescent="0.3">
      <c r="A363" s="1" t="s">
        <v>458</v>
      </c>
      <c r="B363" s="1">
        <v>0.8</v>
      </c>
      <c r="C363" s="1">
        <v>0</v>
      </c>
      <c r="D363" s="1">
        <v>0.2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 t="s">
        <v>562</v>
      </c>
      <c r="W363" s="1" t="s">
        <v>466</v>
      </c>
      <c r="X363" s="1" t="s">
        <v>59</v>
      </c>
      <c r="Y363" s="1" t="s">
        <v>34</v>
      </c>
      <c r="Z363" s="1">
        <v>55.8</v>
      </c>
      <c r="AA363" s="1" t="s">
        <v>8</v>
      </c>
      <c r="AB363" s="1" t="s">
        <v>424</v>
      </c>
      <c r="AC363" s="1">
        <v>10</v>
      </c>
      <c r="AD363" s="1">
        <v>319</v>
      </c>
    </row>
    <row r="364" spans="1:32" x14ac:dyDescent="0.3">
      <c r="A364" s="1" t="s">
        <v>459</v>
      </c>
      <c r="B364" s="1">
        <v>0.7</v>
      </c>
      <c r="C364" s="1">
        <v>0.1</v>
      </c>
      <c r="D364" s="1">
        <v>0.2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 t="s">
        <v>562</v>
      </c>
      <c r="W364" s="1" t="s">
        <v>466</v>
      </c>
      <c r="X364" s="1" t="s">
        <v>59</v>
      </c>
      <c r="Y364" s="1" t="s">
        <v>34</v>
      </c>
      <c r="Z364" s="1">
        <v>16.399999999999999</v>
      </c>
      <c r="AA364" s="1" t="s">
        <v>8</v>
      </c>
      <c r="AB364" s="1" t="s">
        <v>424</v>
      </c>
      <c r="AC364" s="1">
        <v>10</v>
      </c>
      <c r="AD364" s="1">
        <v>258</v>
      </c>
    </row>
    <row r="365" spans="1:32" x14ac:dyDescent="0.3">
      <c r="A365" s="1" t="s">
        <v>460</v>
      </c>
      <c r="B365" s="1">
        <v>0.6</v>
      </c>
      <c r="C365" s="1">
        <v>0.2</v>
      </c>
      <c r="D365" s="1">
        <v>0.2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 t="s">
        <v>562</v>
      </c>
      <c r="W365" s="1" t="s">
        <v>466</v>
      </c>
      <c r="X365" s="1" t="s">
        <v>59</v>
      </c>
      <c r="Y365" s="1" t="s">
        <v>34</v>
      </c>
      <c r="Z365" s="1">
        <v>15.8</v>
      </c>
      <c r="AA365" s="1" t="s">
        <v>8</v>
      </c>
      <c r="AB365" s="1" t="s">
        <v>424</v>
      </c>
      <c r="AC365" s="1">
        <v>10</v>
      </c>
      <c r="AD365" s="1">
        <v>291</v>
      </c>
    </row>
    <row r="366" spans="1:32" x14ac:dyDescent="0.3">
      <c r="A366" s="1" t="s">
        <v>461</v>
      </c>
      <c r="B366" s="1">
        <v>0.5</v>
      </c>
      <c r="C366" s="1">
        <v>0.3</v>
      </c>
      <c r="D366" s="1">
        <v>0.2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 t="s">
        <v>562</v>
      </c>
      <c r="W366" s="1" t="s">
        <v>466</v>
      </c>
      <c r="X366" s="1" t="s">
        <v>59</v>
      </c>
      <c r="Y366" s="1" t="s">
        <v>34</v>
      </c>
      <c r="Z366" s="1">
        <v>14.8</v>
      </c>
      <c r="AA366" s="1" t="s">
        <v>8</v>
      </c>
      <c r="AB366" s="1" t="s">
        <v>424</v>
      </c>
      <c r="AC366" s="1">
        <v>10</v>
      </c>
      <c r="AD366" s="1">
        <v>296</v>
      </c>
    </row>
    <row r="367" spans="1:32" x14ac:dyDescent="0.3">
      <c r="A367" s="1" t="s">
        <v>462</v>
      </c>
      <c r="B367" s="1">
        <v>0.7</v>
      </c>
      <c r="C367" s="1">
        <v>0</v>
      </c>
      <c r="D367" s="1">
        <v>0.3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 t="s">
        <v>562</v>
      </c>
      <c r="W367" s="1" t="s">
        <v>466</v>
      </c>
      <c r="X367" s="1" t="s">
        <v>59</v>
      </c>
      <c r="Y367" s="1" t="s">
        <v>34</v>
      </c>
      <c r="Z367" s="1">
        <v>80.7</v>
      </c>
      <c r="AA367" s="1" t="s">
        <v>8</v>
      </c>
      <c r="AB367" s="1" t="s">
        <v>424</v>
      </c>
      <c r="AC367" s="1">
        <v>10</v>
      </c>
      <c r="AD367" s="1">
        <v>357</v>
      </c>
    </row>
    <row r="368" spans="1:32" x14ac:dyDescent="0.3">
      <c r="A368" s="1" t="s">
        <v>463</v>
      </c>
      <c r="B368" s="1">
        <v>0.6</v>
      </c>
      <c r="C368" s="1">
        <v>0.1</v>
      </c>
      <c r="D368" s="1">
        <v>0.3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 t="s">
        <v>562</v>
      </c>
      <c r="W368" s="1" t="s">
        <v>466</v>
      </c>
      <c r="X368" s="1" t="s">
        <v>59</v>
      </c>
      <c r="Y368" s="1" t="s">
        <v>34</v>
      </c>
      <c r="Z368" s="1">
        <v>19.399999999999999</v>
      </c>
      <c r="AA368" s="1" t="s">
        <v>8</v>
      </c>
      <c r="AB368" s="1" t="s">
        <v>424</v>
      </c>
      <c r="AC368" s="1">
        <v>10</v>
      </c>
      <c r="AD368" s="1">
        <v>294</v>
      </c>
    </row>
    <row r="369" spans="1:32" x14ac:dyDescent="0.3">
      <c r="A369" s="1" t="s">
        <v>464</v>
      </c>
      <c r="B369" s="1">
        <v>0.5</v>
      </c>
      <c r="C369" s="1">
        <v>0.2</v>
      </c>
      <c r="D369" s="1">
        <v>0.3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 t="s">
        <v>562</v>
      </c>
      <c r="W369" s="1" t="s">
        <v>466</v>
      </c>
      <c r="X369" s="1" t="s">
        <v>59</v>
      </c>
      <c r="Y369" s="1" t="s">
        <v>34</v>
      </c>
      <c r="Z369" s="1">
        <v>20.100000000000001</v>
      </c>
      <c r="AA369" s="1" t="s">
        <v>8</v>
      </c>
      <c r="AB369" s="1" t="s">
        <v>424</v>
      </c>
      <c r="AC369" s="1">
        <v>10</v>
      </c>
      <c r="AD369" s="1">
        <v>303</v>
      </c>
    </row>
    <row r="370" spans="1:32" x14ac:dyDescent="0.3">
      <c r="A370" s="1" t="s">
        <v>465</v>
      </c>
      <c r="B370" s="1">
        <v>0.4</v>
      </c>
      <c r="C370" s="1">
        <v>0.3</v>
      </c>
      <c r="D370" s="1">
        <v>0.3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 t="s">
        <v>562</v>
      </c>
      <c r="W370" s="1" t="s">
        <v>466</v>
      </c>
      <c r="X370" s="1" t="s">
        <v>59</v>
      </c>
      <c r="Y370" s="1" t="s">
        <v>34</v>
      </c>
      <c r="Z370" s="1">
        <v>15.8</v>
      </c>
      <c r="AA370" s="1" t="s">
        <v>8</v>
      </c>
      <c r="AB370" s="1" t="s">
        <v>424</v>
      </c>
      <c r="AC370" s="1">
        <v>10</v>
      </c>
      <c r="AD370" s="1">
        <v>279</v>
      </c>
    </row>
    <row r="371" spans="1:32" x14ac:dyDescent="0.3">
      <c r="A371" s="1" t="s">
        <v>468</v>
      </c>
      <c r="B371" s="1">
        <v>0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 t="s">
        <v>562</v>
      </c>
      <c r="W371" s="1" t="s">
        <v>471</v>
      </c>
      <c r="X371" s="1" t="s">
        <v>469</v>
      </c>
      <c r="Y371" s="1" t="s">
        <v>349</v>
      </c>
      <c r="Z371" s="1">
        <v>2.23</v>
      </c>
      <c r="AA371" s="1" t="s">
        <v>8</v>
      </c>
      <c r="AB371" s="1" t="s">
        <v>323</v>
      </c>
      <c r="AC371" s="1">
        <v>10</v>
      </c>
      <c r="AD371" s="1">
        <v>377</v>
      </c>
      <c r="AF371" s="1" t="s">
        <v>470</v>
      </c>
    </row>
    <row r="372" spans="1:32" x14ac:dyDescent="0.3">
      <c r="A372" s="1" t="s">
        <v>474</v>
      </c>
      <c r="B372" s="1">
        <f>1/2.18</f>
        <v>0.4587155963302752</v>
      </c>
      <c r="C372" s="1">
        <f>1.18/2.18</f>
        <v>0.54128440366972475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 t="s">
        <v>473</v>
      </c>
      <c r="V372" s="1" t="s">
        <v>561</v>
      </c>
      <c r="W372" s="1" t="s">
        <v>701</v>
      </c>
      <c r="X372" s="1" t="s">
        <v>134</v>
      </c>
      <c r="Y372" s="1" t="s">
        <v>94</v>
      </c>
      <c r="Z372" s="1">
        <v>3.3</v>
      </c>
      <c r="AA372" s="1" t="s">
        <v>8</v>
      </c>
      <c r="AB372" s="1" t="s">
        <v>472</v>
      </c>
      <c r="AC372" s="1">
        <v>10</v>
      </c>
      <c r="AD372" s="1">
        <v>215</v>
      </c>
      <c r="AF372" s="1" t="s">
        <v>475</v>
      </c>
    </row>
    <row r="373" spans="1:32" x14ac:dyDescent="0.3">
      <c r="A373" s="1" t="s">
        <v>474</v>
      </c>
      <c r="B373" s="1">
        <f>1/2.18</f>
        <v>0.4587155963302752</v>
      </c>
      <c r="C373" s="1">
        <f>1.18/2.18</f>
        <v>0.54128440366972475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 t="s">
        <v>473</v>
      </c>
      <c r="V373" s="1" t="s">
        <v>561</v>
      </c>
      <c r="W373" s="1" t="s">
        <v>701</v>
      </c>
      <c r="X373" s="1" t="s">
        <v>134</v>
      </c>
      <c r="Y373" s="1" t="s">
        <v>94</v>
      </c>
      <c r="Z373" s="1">
        <v>3.3</v>
      </c>
      <c r="AA373" s="1" t="s">
        <v>8</v>
      </c>
      <c r="AB373" s="1" t="s">
        <v>472</v>
      </c>
      <c r="AC373" s="1">
        <v>100</v>
      </c>
      <c r="AD373" s="1">
        <v>270</v>
      </c>
    </row>
    <row r="374" spans="1:32" x14ac:dyDescent="0.3">
      <c r="A374" s="1" t="s">
        <v>702</v>
      </c>
      <c r="B374" s="1" t="s">
        <v>59</v>
      </c>
      <c r="C374" s="1" t="s">
        <v>59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 t="s">
        <v>473</v>
      </c>
      <c r="V374" s="1" t="s">
        <v>686</v>
      </c>
      <c r="W374" s="1" t="s">
        <v>706</v>
      </c>
      <c r="X374" s="1" t="s">
        <v>18</v>
      </c>
      <c r="Y374" s="1" t="s">
        <v>94</v>
      </c>
      <c r="Z374" s="1">
        <v>3.2</v>
      </c>
      <c r="AA374" s="1" t="s">
        <v>8</v>
      </c>
      <c r="AB374" s="1" t="s">
        <v>472</v>
      </c>
      <c r="AC374" s="1">
        <v>100</v>
      </c>
      <c r="AD374" s="1">
        <v>314.5</v>
      </c>
    </row>
    <row r="375" spans="1:32" x14ac:dyDescent="0.3">
      <c r="A375" s="1" t="s">
        <v>703</v>
      </c>
      <c r="B375" s="1" t="s">
        <v>59</v>
      </c>
      <c r="C375" s="1" t="s">
        <v>59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 t="s">
        <v>473</v>
      </c>
      <c r="V375" s="1" t="s">
        <v>686</v>
      </c>
      <c r="W375" s="1" t="s">
        <v>706</v>
      </c>
      <c r="X375" s="1" t="s">
        <v>18</v>
      </c>
      <c r="Y375" s="1" t="s">
        <v>94</v>
      </c>
      <c r="Z375" s="1">
        <v>4.0999999999999996</v>
      </c>
      <c r="AA375" s="1" t="s">
        <v>8</v>
      </c>
      <c r="AB375" s="1" t="s">
        <v>472</v>
      </c>
      <c r="AC375" s="1">
        <v>100</v>
      </c>
      <c r="AD375" s="1">
        <v>290</v>
      </c>
    </row>
    <row r="376" spans="1:32" x14ac:dyDescent="0.3">
      <c r="A376" s="1" t="s">
        <v>704</v>
      </c>
      <c r="B376" s="1" t="s">
        <v>59</v>
      </c>
      <c r="C376" s="1" t="s">
        <v>59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 t="s">
        <v>473</v>
      </c>
      <c r="V376" s="1" t="s">
        <v>686</v>
      </c>
      <c r="W376" s="1" t="s">
        <v>706</v>
      </c>
      <c r="X376" s="1" t="s">
        <v>18</v>
      </c>
      <c r="Y376" s="1" t="s">
        <v>94</v>
      </c>
      <c r="Z376" s="1">
        <v>8.5</v>
      </c>
      <c r="AA376" s="1" t="s">
        <v>8</v>
      </c>
      <c r="AB376" s="1" t="s">
        <v>472</v>
      </c>
      <c r="AC376" s="1">
        <v>100</v>
      </c>
      <c r="AD376" s="1">
        <v>300</v>
      </c>
    </row>
    <row r="377" spans="1:32" x14ac:dyDescent="0.3">
      <c r="A377" s="1" t="s">
        <v>705</v>
      </c>
      <c r="B377" s="1" t="s">
        <v>59</v>
      </c>
      <c r="C377" s="1" t="s">
        <v>59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 t="s">
        <v>473</v>
      </c>
      <c r="V377" s="1" t="s">
        <v>561</v>
      </c>
      <c r="W377" s="1" t="s">
        <v>707</v>
      </c>
      <c r="X377" s="1" t="s">
        <v>134</v>
      </c>
      <c r="Y377" s="1" t="s">
        <v>94</v>
      </c>
      <c r="Z377" s="1">
        <v>3</v>
      </c>
      <c r="AA377" s="1" t="s">
        <v>8</v>
      </c>
      <c r="AB377" s="1" t="s">
        <v>472</v>
      </c>
      <c r="AC377" s="1">
        <v>100</v>
      </c>
      <c r="AD377" s="1">
        <v>279</v>
      </c>
    </row>
    <row r="378" spans="1:32" x14ac:dyDescent="0.3">
      <c r="A378" s="1" t="s">
        <v>477</v>
      </c>
      <c r="B378" s="1">
        <v>0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 t="s">
        <v>378</v>
      </c>
      <c r="V378" s="1" t="s">
        <v>562</v>
      </c>
      <c r="W378" s="1" t="s">
        <v>708</v>
      </c>
      <c r="X378" s="1" t="s">
        <v>59</v>
      </c>
      <c r="Y378" s="1" t="s">
        <v>349</v>
      </c>
      <c r="Z378" s="1">
        <v>0.188</v>
      </c>
      <c r="AA378" s="1" t="s">
        <v>8</v>
      </c>
      <c r="AB378" s="1" t="s">
        <v>6</v>
      </c>
      <c r="AC378" s="1">
        <v>10</v>
      </c>
      <c r="AD378" s="1">
        <v>174</v>
      </c>
      <c r="AF378" s="1" t="s">
        <v>476</v>
      </c>
    </row>
    <row r="379" spans="1:32" x14ac:dyDescent="0.3">
      <c r="A379" s="1" t="s">
        <v>709</v>
      </c>
      <c r="B379" s="1">
        <v>0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 t="s">
        <v>378</v>
      </c>
      <c r="V379" s="1" t="s">
        <v>562</v>
      </c>
      <c r="W379" s="1" t="s">
        <v>708</v>
      </c>
      <c r="X379" s="1" t="s">
        <v>59</v>
      </c>
      <c r="Y379" s="1" t="s">
        <v>349</v>
      </c>
      <c r="Z379" s="1">
        <v>0.11</v>
      </c>
      <c r="AA379" s="1" t="s">
        <v>8</v>
      </c>
      <c r="AB379" s="1" t="s">
        <v>6</v>
      </c>
      <c r="AC379" s="1">
        <v>10</v>
      </c>
      <c r="AD379" s="1">
        <v>185</v>
      </c>
    </row>
    <row r="380" spans="1:32" x14ac:dyDescent="0.3">
      <c r="A380" s="1" t="s">
        <v>479</v>
      </c>
      <c r="B380" s="1">
        <v>0.9</v>
      </c>
      <c r="C380" s="1">
        <v>0</v>
      </c>
      <c r="D380" s="1">
        <v>0</v>
      </c>
      <c r="E380" s="1">
        <v>0</v>
      </c>
      <c r="F380" s="1">
        <v>0</v>
      </c>
      <c r="G380" s="1">
        <v>0.1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 t="s">
        <v>548</v>
      </c>
      <c r="W380" s="1" t="s">
        <v>710</v>
      </c>
      <c r="X380" s="1" t="s">
        <v>480</v>
      </c>
      <c r="Y380" s="1" t="s">
        <v>266</v>
      </c>
      <c r="Z380" s="1" t="s">
        <v>59</v>
      </c>
      <c r="AA380" s="1" t="s">
        <v>159</v>
      </c>
      <c r="AB380" s="1" t="s">
        <v>315</v>
      </c>
      <c r="AC380" s="1">
        <v>10</v>
      </c>
      <c r="AD380" s="1">
        <v>346</v>
      </c>
      <c r="AF380" s="1" t="s">
        <v>478</v>
      </c>
    </row>
    <row r="381" spans="1:32" x14ac:dyDescent="0.3">
      <c r="A381" s="1" t="s">
        <v>481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 t="s">
        <v>548</v>
      </c>
      <c r="W381" s="1" t="s">
        <v>710</v>
      </c>
      <c r="X381" s="1" t="s">
        <v>480</v>
      </c>
      <c r="Y381" s="1" t="s">
        <v>266</v>
      </c>
      <c r="Z381" s="1" t="s">
        <v>59</v>
      </c>
      <c r="AA381" s="1" t="s">
        <v>159</v>
      </c>
      <c r="AB381" s="1" t="s">
        <v>315</v>
      </c>
      <c r="AC381" s="1">
        <v>10</v>
      </c>
      <c r="AD381" s="1">
        <v>371</v>
      </c>
    </row>
    <row r="382" spans="1:32" s="6" customFormat="1" x14ac:dyDescent="0.3">
      <c r="A382" s="6" t="s">
        <v>482</v>
      </c>
      <c r="B382" s="6">
        <f>8/19</f>
        <v>0.42105263157894735</v>
      </c>
      <c r="C382" s="6">
        <f>1/19</f>
        <v>5.2631578947368418E-2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f>10/19</f>
        <v>0.52631578947368418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 t="s">
        <v>548</v>
      </c>
      <c r="W382" s="6" t="s">
        <v>484</v>
      </c>
      <c r="X382" s="6" t="s">
        <v>18</v>
      </c>
      <c r="Y382" s="6" t="s">
        <v>483</v>
      </c>
      <c r="Z382" s="6">
        <v>0.52</v>
      </c>
      <c r="AA382" s="6" t="s">
        <v>8</v>
      </c>
      <c r="AB382" s="6" t="s">
        <v>6</v>
      </c>
      <c r="AC382" s="6">
        <v>10</v>
      </c>
      <c r="AD382" s="6">
        <v>224</v>
      </c>
      <c r="AF382" s="6" t="s">
        <v>485</v>
      </c>
    </row>
    <row r="383" spans="1:32" s="6" customFormat="1" x14ac:dyDescent="0.3">
      <c r="A383" s="6" t="s">
        <v>482</v>
      </c>
      <c r="B383" s="6">
        <f>8/19</f>
        <v>0.42105263157894735</v>
      </c>
      <c r="C383" s="6">
        <f>1/19</f>
        <v>5.2631578947368418E-2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f>10/19</f>
        <v>0.52631578947368418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 t="s">
        <v>548</v>
      </c>
      <c r="W383" s="6" t="s">
        <v>484</v>
      </c>
      <c r="X383" s="6" t="s">
        <v>18</v>
      </c>
      <c r="Y383" s="6" t="s">
        <v>483</v>
      </c>
      <c r="Z383" s="6" t="s">
        <v>59</v>
      </c>
      <c r="AA383" s="6" t="s">
        <v>8</v>
      </c>
      <c r="AB383" s="6" t="s">
        <v>27</v>
      </c>
      <c r="AC383" s="6">
        <v>10</v>
      </c>
      <c r="AD383" s="6">
        <v>181</v>
      </c>
    </row>
    <row r="384" spans="1:32" x14ac:dyDescent="0.3">
      <c r="A384" s="1" t="s">
        <v>487</v>
      </c>
      <c r="B384" s="1">
        <f>1.73/7.73</f>
        <v>0.22380336351875807</v>
      </c>
      <c r="C384" s="1">
        <f>6/7.73</f>
        <v>0.77619663648124182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 t="s">
        <v>561</v>
      </c>
      <c r="W384" s="1" t="s">
        <v>491</v>
      </c>
      <c r="X384" s="1" t="s">
        <v>490</v>
      </c>
      <c r="Y384" s="1" t="s">
        <v>94</v>
      </c>
      <c r="Z384" s="1">
        <v>2.2200000000000002</v>
      </c>
      <c r="AA384" s="1" t="s">
        <v>8</v>
      </c>
      <c r="AB384" s="1" t="s">
        <v>488</v>
      </c>
      <c r="AC384" s="1">
        <v>10</v>
      </c>
      <c r="AD384" s="1">
        <v>256</v>
      </c>
      <c r="AF384" s="1" t="s">
        <v>486</v>
      </c>
    </row>
    <row r="385" spans="1:32" x14ac:dyDescent="0.3">
      <c r="A385" s="1" t="s">
        <v>219</v>
      </c>
      <c r="B385" s="1">
        <v>0.25</v>
      </c>
      <c r="C385" s="1">
        <v>0.75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 t="s">
        <v>562</v>
      </c>
      <c r="W385" s="1" t="s">
        <v>493</v>
      </c>
      <c r="X385" s="1" t="s">
        <v>490</v>
      </c>
      <c r="Y385" s="1" t="s">
        <v>94</v>
      </c>
      <c r="Z385" s="1" t="s">
        <v>59</v>
      </c>
      <c r="AA385" s="1" t="s">
        <v>8</v>
      </c>
      <c r="AB385" s="1" t="s">
        <v>424</v>
      </c>
      <c r="AC385" s="1">
        <v>10</v>
      </c>
      <c r="AD385" s="1">
        <v>239</v>
      </c>
      <c r="AF385" s="1" t="s">
        <v>492</v>
      </c>
    </row>
    <row r="386" spans="1:32" x14ac:dyDescent="0.3">
      <c r="A386" s="4" t="s">
        <v>494</v>
      </c>
      <c r="B386" s="1">
        <v>0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 t="s">
        <v>495</v>
      </c>
      <c r="V386" s="1" t="s">
        <v>548</v>
      </c>
      <c r="W386" s="1" t="s">
        <v>497</v>
      </c>
      <c r="X386" s="1" t="s">
        <v>59</v>
      </c>
      <c r="Y386" s="1" t="s">
        <v>496</v>
      </c>
      <c r="Z386" s="1">
        <f>1270.75*40/1000</f>
        <v>50.83</v>
      </c>
      <c r="AA386" s="1" t="s">
        <v>8</v>
      </c>
      <c r="AB386" s="1" t="s">
        <v>27</v>
      </c>
      <c r="AC386" s="1">
        <v>10</v>
      </c>
      <c r="AD386" s="1">
        <v>187</v>
      </c>
      <c r="AF386" s="1" t="s">
        <v>498</v>
      </c>
    </row>
    <row r="387" spans="1:32" x14ac:dyDescent="0.3">
      <c r="A387" s="4" t="s">
        <v>494</v>
      </c>
      <c r="B387" s="1">
        <v>0</v>
      </c>
      <c r="C387" s="1">
        <v>1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 t="s">
        <v>495</v>
      </c>
      <c r="V387" s="1" t="s">
        <v>548</v>
      </c>
      <c r="W387" s="1" t="s">
        <v>497</v>
      </c>
      <c r="X387" s="1" t="s">
        <v>59</v>
      </c>
      <c r="Y387" s="1" t="s">
        <v>496</v>
      </c>
      <c r="Z387" s="1">
        <f>1270.75*40/1000</f>
        <v>50.83</v>
      </c>
      <c r="AA387" s="1" t="s">
        <v>8</v>
      </c>
      <c r="AB387" s="1" t="s">
        <v>27</v>
      </c>
      <c r="AC387" s="1">
        <v>100</v>
      </c>
      <c r="AD387" s="1">
        <v>231</v>
      </c>
    </row>
    <row r="388" spans="1:32" x14ac:dyDescent="0.3">
      <c r="A388" s="4" t="s">
        <v>494</v>
      </c>
      <c r="B388" s="1">
        <v>0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 t="s">
        <v>495</v>
      </c>
      <c r="V388" s="1" t="s">
        <v>548</v>
      </c>
      <c r="W388" s="1" t="s">
        <v>497</v>
      </c>
      <c r="X388" s="1" t="s">
        <v>59</v>
      </c>
      <c r="Y388" s="1" t="s">
        <v>496</v>
      </c>
      <c r="Z388" s="1">
        <f>1270.75*40/1000</f>
        <v>50.83</v>
      </c>
      <c r="AA388" s="1" t="s">
        <v>8</v>
      </c>
      <c r="AB388" s="1" t="s">
        <v>27</v>
      </c>
      <c r="AC388" s="1">
        <v>200</v>
      </c>
      <c r="AD388" s="1">
        <v>241</v>
      </c>
    </row>
    <row r="389" spans="1:32" x14ac:dyDescent="0.3">
      <c r="A389" s="4" t="s">
        <v>494</v>
      </c>
      <c r="B389" s="1">
        <v>0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 t="s">
        <v>495</v>
      </c>
      <c r="V389" s="1" t="s">
        <v>548</v>
      </c>
      <c r="W389" s="1" t="s">
        <v>711</v>
      </c>
      <c r="X389" s="1" t="s">
        <v>59</v>
      </c>
      <c r="Y389" s="1" t="s">
        <v>496</v>
      </c>
      <c r="Z389" s="1">
        <f>1141*40/1000</f>
        <v>45.64</v>
      </c>
      <c r="AA389" s="1" t="s">
        <v>8</v>
      </c>
      <c r="AB389" s="1" t="s">
        <v>27</v>
      </c>
      <c r="AC389" s="1">
        <v>10</v>
      </c>
      <c r="AD389" s="1">
        <v>258.93</v>
      </c>
    </row>
    <row r="390" spans="1:32" x14ac:dyDescent="0.3">
      <c r="A390" s="4" t="s">
        <v>494</v>
      </c>
      <c r="B390" s="1">
        <v>0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 t="s">
        <v>495</v>
      </c>
      <c r="V390" s="1" t="s">
        <v>548</v>
      </c>
      <c r="W390" s="1" t="s">
        <v>712</v>
      </c>
      <c r="X390" s="1" t="s">
        <v>59</v>
      </c>
      <c r="Y390" s="1" t="s">
        <v>496</v>
      </c>
      <c r="Z390" s="1">
        <f>1153.75*40/1000</f>
        <v>46.15</v>
      </c>
      <c r="AA390" s="1" t="s">
        <v>8</v>
      </c>
      <c r="AB390" s="1" t="s">
        <v>27</v>
      </c>
      <c r="AC390" s="1">
        <v>10</v>
      </c>
      <c r="AD390" s="1">
        <v>258.60000000000002</v>
      </c>
    </row>
    <row r="391" spans="1:32" x14ac:dyDescent="0.3">
      <c r="A391" s="4" t="s">
        <v>494</v>
      </c>
      <c r="B391" s="1">
        <v>0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 t="s">
        <v>495</v>
      </c>
      <c r="V391" s="1" t="s">
        <v>548</v>
      </c>
      <c r="W391" s="1" t="s">
        <v>713</v>
      </c>
      <c r="X391" s="1" t="s">
        <v>59</v>
      </c>
      <c r="Y391" s="1" t="s">
        <v>496</v>
      </c>
      <c r="Z391" s="1">
        <f>1192*40/1000</f>
        <v>47.68</v>
      </c>
      <c r="AA391" s="1" t="s">
        <v>8</v>
      </c>
      <c r="AB391" s="1" t="s">
        <v>27</v>
      </c>
      <c r="AC391" s="1">
        <v>10</v>
      </c>
      <c r="AD391" s="1">
        <v>215</v>
      </c>
    </row>
    <row r="392" spans="1:32" x14ac:dyDescent="0.3">
      <c r="A392" s="4" t="s">
        <v>494</v>
      </c>
      <c r="B392" s="1">
        <v>0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 t="s">
        <v>495</v>
      </c>
      <c r="V392" s="1" t="s">
        <v>548</v>
      </c>
      <c r="W392" s="1" t="s">
        <v>714</v>
      </c>
      <c r="X392" s="1" t="s">
        <v>59</v>
      </c>
      <c r="Y392" s="1" t="s">
        <v>496</v>
      </c>
      <c r="Z392" s="1">
        <f>1243.75*40/1000</f>
        <v>49.75</v>
      </c>
      <c r="AA392" s="1" t="s">
        <v>8</v>
      </c>
      <c r="AB392" s="1" t="s">
        <v>27</v>
      </c>
      <c r="AC392" s="1">
        <v>10</v>
      </c>
      <c r="AD392" s="1">
        <v>217.32</v>
      </c>
    </row>
    <row r="393" spans="1:32" x14ac:dyDescent="0.3">
      <c r="A393" s="4" t="s">
        <v>494</v>
      </c>
      <c r="B393" s="1">
        <v>0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 t="s">
        <v>495</v>
      </c>
      <c r="V393" s="1" t="s">
        <v>548</v>
      </c>
      <c r="W393" s="1" t="s">
        <v>715</v>
      </c>
      <c r="X393" s="1" t="s">
        <v>59</v>
      </c>
      <c r="Y393" s="1" t="s">
        <v>496</v>
      </c>
      <c r="Z393" s="1">
        <f>1193.75*40/1000</f>
        <v>47.75</v>
      </c>
      <c r="AA393" s="1" t="s">
        <v>8</v>
      </c>
      <c r="AB393" s="1" t="s">
        <v>27</v>
      </c>
      <c r="AC393" s="1">
        <v>10</v>
      </c>
      <c r="AD393" s="1">
        <v>233.54</v>
      </c>
    </row>
    <row r="394" spans="1:32" x14ac:dyDescent="0.3">
      <c r="A394" s="1" t="s">
        <v>500</v>
      </c>
      <c r="B394" s="1">
        <v>0</v>
      </c>
      <c r="C394" s="1">
        <v>0.46400000000000002</v>
      </c>
      <c r="D394" s="1">
        <v>0.48199999999999998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5.3999999999999999E-2</v>
      </c>
      <c r="S394" s="1">
        <v>0</v>
      </c>
      <c r="T394" s="1">
        <v>0</v>
      </c>
      <c r="U394" s="1">
        <v>0</v>
      </c>
      <c r="V394" s="1" t="s">
        <v>562</v>
      </c>
      <c r="W394" s="1" t="s">
        <v>502</v>
      </c>
      <c r="X394" s="1" t="s">
        <v>18</v>
      </c>
      <c r="Y394" s="1" t="s">
        <v>94</v>
      </c>
      <c r="Z394" s="1">
        <v>4.75</v>
      </c>
      <c r="AA394" s="1" t="s">
        <v>8</v>
      </c>
      <c r="AB394" s="1" t="s">
        <v>6</v>
      </c>
      <c r="AC394" s="1">
        <v>10</v>
      </c>
      <c r="AD394" s="1">
        <v>305</v>
      </c>
      <c r="AF394" s="1" t="s">
        <v>499</v>
      </c>
    </row>
    <row r="395" spans="1:32" x14ac:dyDescent="0.3">
      <c r="A395" s="1" t="s">
        <v>500</v>
      </c>
      <c r="B395" s="1">
        <v>0</v>
      </c>
      <c r="C395" s="1">
        <v>0.46400000000000002</v>
      </c>
      <c r="D395" s="1">
        <v>0.48199999999999998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5.3999999999999999E-2</v>
      </c>
      <c r="S395" s="1">
        <v>0</v>
      </c>
      <c r="T395" s="1">
        <v>0</v>
      </c>
      <c r="U395" s="1">
        <v>0</v>
      </c>
      <c r="V395" s="1" t="s">
        <v>562</v>
      </c>
      <c r="W395" s="1" t="s">
        <v>502</v>
      </c>
      <c r="X395" s="1" t="s">
        <v>18</v>
      </c>
      <c r="Y395" s="1" t="s">
        <v>94</v>
      </c>
      <c r="Z395" s="1">
        <v>4.75</v>
      </c>
      <c r="AA395" s="1" t="s">
        <v>8</v>
      </c>
      <c r="AB395" s="1" t="s">
        <v>6</v>
      </c>
      <c r="AC395" s="1">
        <v>50</v>
      </c>
      <c r="AD395" s="1">
        <v>369</v>
      </c>
    </row>
    <row r="396" spans="1:32" x14ac:dyDescent="0.3">
      <c r="A396" s="1" t="s">
        <v>503</v>
      </c>
      <c r="B396" s="1">
        <v>0</v>
      </c>
      <c r="C396" s="1">
        <v>0</v>
      </c>
      <c r="D396" s="1">
        <v>0.871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0.129</v>
      </c>
      <c r="S396" s="1">
        <v>0</v>
      </c>
      <c r="T396" s="1">
        <v>0</v>
      </c>
      <c r="U396" s="1">
        <v>0</v>
      </c>
      <c r="V396" s="1" t="s">
        <v>562</v>
      </c>
      <c r="W396" s="1" t="s">
        <v>502</v>
      </c>
      <c r="X396" s="1" t="s">
        <v>59</v>
      </c>
      <c r="Y396" s="1" t="s">
        <v>94</v>
      </c>
      <c r="Z396" s="1">
        <v>3.9</v>
      </c>
      <c r="AA396" s="1" t="s">
        <v>8</v>
      </c>
      <c r="AB396" s="1" t="s">
        <v>6</v>
      </c>
      <c r="AC396" s="1">
        <v>10</v>
      </c>
      <c r="AD396" s="1">
        <v>387</v>
      </c>
    </row>
    <row r="397" spans="1:32" x14ac:dyDescent="0.3">
      <c r="A397" s="1" t="s">
        <v>504</v>
      </c>
      <c r="B397" s="1">
        <v>0</v>
      </c>
      <c r="C397" s="1">
        <v>0.95199999999999996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4.8000000000000001E-2</v>
      </c>
      <c r="S397" s="1">
        <v>0</v>
      </c>
      <c r="T397" s="1">
        <v>0</v>
      </c>
      <c r="U397" s="1">
        <v>0</v>
      </c>
      <c r="V397" s="1" t="s">
        <v>562</v>
      </c>
      <c r="W397" s="1" t="s">
        <v>502</v>
      </c>
      <c r="X397" s="1" t="s">
        <v>59</v>
      </c>
      <c r="Y397" s="1" t="s">
        <v>94</v>
      </c>
      <c r="Z397" s="1">
        <v>2.9</v>
      </c>
      <c r="AA397" s="1" t="s">
        <v>8</v>
      </c>
      <c r="AB397" s="1" t="s">
        <v>6</v>
      </c>
      <c r="AC397" s="1">
        <v>10</v>
      </c>
      <c r="AD397" s="1">
        <v>418</v>
      </c>
    </row>
    <row r="398" spans="1:32" x14ac:dyDescent="0.3">
      <c r="A398" s="1" t="s">
        <v>505</v>
      </c>
      <c r="B398" s="1">
        <v>0</v>
      </c>
      <c r="C398" s="1">
        <v>0.48099999999999998</v>
      </c>
      <c r="D398" s="1">
        <v>0.51900000000000002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 t="s">
        <v>562</v>
      </c>
      <c r="W398" s="1" t="s">
        <v>502</v>
      </c>
      <c r="X398" s="1" t="s">
        <v>59</v>
      </c>
      <c r="Y398" s="1" t="s">
        <v>94</v>
      </c>
      <c r="Z398" s="1">
        <v>2.25</v>
      </c>
      <c r="AA398" s="1" t="s">
        <v>8</v>
      </c>
      <c r="AB398" s="1" t="s">
        <v>6</v>
      </c>
      <c r="AC398" s="1">
        <v>10</v>
      </c>
      <c r="AD398" s="1">
        <v>373</v>
      </c>
    </row>
    <row r="399" spans="1:32" x14ac:dyDescent="0.3">
      <c r="A399" s="1" t="s">
        <v>506</v>
      </c>
      <c r="B399" s="1" t="s">
        <v>59</v>
      </c>
      <c r="C399" s="1" t="s">
        <v>59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0.04</v>
      </c>
      <c r="T399" s="1">
        <v>0</v>
      </c>
      <c r="U399" s="1">
        <v>0</v>
      </c>
      <c r="V399" s="1" t="s">
        <v>561</v>
      </c>
      <c r="W399" s="1" t="s">
        <v>717</v>
      </c>
      <c r="X399" s="1" t="s">
        <v>189</v>
      </c>
      <c r="Y399" s="1" t="s">
        <v>94</v>
      </c>
      <c r="Z399" s="1">
        <v>10.5</v>
      </c>
      <c r="AA399" s="1" t="s">
        <v>8</v>
      </c>
      <c r="AB399" s="1" t="s">
        <v>424</v>
      </c>
      <c r="AC399" s="1">
        <v>10</v>
      </c>
      <c r="AD399" s="1">
        <v>220</v>
      </c>
      <c r="AF399" s="1" t="s">
        <v>509</v>
      </c>
    </row>
    <row r="400" spans="1:32" x14ac:dyDescent="0.3">
      <c r="A400" s="1" t="s">
        <v>507</v>
      </c>
      <c r="B400" s="1" t="s">
        <v>59</v>
      </c>
      <c r="C400" s="1" t="s">
        <v>59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 t="s">
        <v>686</v>
      </c>
      <c r="W400" s="1" t="s">
        <v>716</v>
      </c>
      <c r="X400" s="1" t="s">
        <v>59</v>
      </c>
      <c r="Y400" s="1" t="s">
        <v>94</v>
      </c>
      <c r="Z400" s="1">
        <v>0.51</v>
      </c>
      <c r="AA400" s="1" t="s">
        <v>8</v>
      </c>
      <c r="AB400" s="1" t="s">
        <v>424</v>
      </c>
      <c r="AC400" s="1">
        <v>10</v>
      </c>
      <c r="AD400" s="1">
        <v>240</v>
      </c>
    </row>
    <row r="401" spans="1:32" x14ac:dyDescent="0.3">
      <c r="A401" s="1" t="s">
        <v>510</v>
      </c>
      <c r="B401" s="1">
        <v>0</v>
      </c>
      <c r="C401" s="1">
        <v>0.3</v>
      </c>
      <c r="D401" s="1">
        <v>0.7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 t="s">
        <v>321</v>
      </c>
      <c r="V401" s="1" t="s">
        <v>718</v>
      </c>
      <c r="W401" s="1" t="s">
        <v>512</v>
      </c>
      <c r="X401" s="1" t="s">
        <v>20</v>
      </c>
      <c r="Y401" s="1" t="s">
        <v>349</v>
      </c>
      <c r="Z401" s="1" t="s">
        <v>59</v>
      </c>
      <c r="AA401" s="1" t="s">
        <v>8</v>
      </c>
      <c r="AB401" s="1" t="s">
        <v>30</v>
      </c>
      <c r="AC401" s="1">
        <v>10</v>
      </c>
      <c r="AD401" s="1">
        <v>243</v>
      </c>
      <c r="AF401" s="1" t="s">
        <v>514</v>
      </c>
    </row>
    <row r="402" spans="1:32" x14ac:dyDescent="0.3">
      <c r="A402" s="1" t="s">
        <v>510</v>
      </c>
      <c r="B402" s="1">
        <v>0</v>
      </c>
      <c r="C402" s="1">
        <v>0.3</v>
      </c>
      <c r="D402" s="1">
        <v>0.7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 t="s">
        <v>321</v>
      </c>
      <c r="V402" s="1" t="s">
        <v>718</v>
      </c>
      <c r="W402" s="1" t="s">
        <v>512</v>
      </c>
      <c r="X402" s="1" t="s">
        <v>20</v>
      </c>
      <c r="Y402" s="1" t="s">
        <v>349</v>
      </c>
      <c r="Z402" s="1" t="s">
        <v>59</v>
      </c>
      <c r="AA402" s="1" t="s">
        <v>511</v>
      </c>
      <c r="AB402" s="1" t="s">
        <v>30</v>
      </c>
      <c r="AC402" s="1">
        <v>10</v>
      </c>
      <c r="AD402" s="1">
        <v>500</v>
      </c>
    </row>
    <row r="403" spans="1:32" x14ac:dyDescent="0.3">
      <c r="A403" s="1" t="s">
        <v>513</v>
      </c>
      <c r="B403" s="1">
        <v>0</v>
      </c>
      <c r="C403" s="1">
        <v>0.3</v>
      </c>
      <c r="D403" s="1">
        <v>0.7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 t="s">
        <v>321</v>
      </c>
      <c r="V403" s="1" t="s">
        <v>562</v>
      </c>
      <c r="W403" s="1" t="s">
        <v>59</v>
      </c>
      <c r="X403" s="1" t="s">
        <v>59</v>
      </c>
      <c r="Y403" s="1" t="s">
        <v>59</v>
      </c>
      <c r="Z403" s="1">
        <v>63.5</v>
      </c>
      <c r="AA403" s="1" t="s">
        <v>8</v>
      </c>
      <c r="AB403" s="1" t="s">
        <v>30</v>
      </c>
      <c r="AC403" s="1">
        <v>10</v>
      </c>
      <c r="AD403" s="1">
        <v>279</v>
      </c>
    </row>
    <row r="404" spans="1:32" x14ac:dyDescent="0.3">
      <c r="A404" s="1" t="s">
        <v>719</v>
      </c>
      <c r="B404" s="1">
        <v>0</v>
      </c>
      <c r="C404" s="1">
        <v>0</v>
      </c>
      <c r="D404" s="1">
        <v>1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 t="s">
        <v>321</v>
      </c>
      <c r="V404" s="1" t="s">
        <v>718</v>
      </c>
      <c r="W404" s="1" t="s">
        <v>512</v>
      </c>
      <c r="X404" s="1" t="s">
        <v>20</v>
      </c>
      <c r="Y404" s="1" t="s">
        <v>349</v>
      </c>
      <c r="Z404" s="1" t="s">
        <v>59</v>
      </c>
      <c r="AA404" s="1" t="s">
        <v>8</v>
      </c>
      <c r="AB404" s="1" t="s">
        <v>30</v>
      </c>
      <c r="AC404" s="1">
        <v>10</v>
      </c>
      <c r="AD404" s="1">
        <v>309</v>
      </c>
    </row>
    <row r="405" spans="1:32" x14ac:dyDescent="0.3">
      <c r="A405" s="1" t="s">
        <v>721</v>
      </c>
      <c r="B405" s="1">
        <v>0</v>
      </c>
      <c r="C405" s="1">
        <v>0.1</v>
      </c>
      <c r="D405" s="1">
        <v>0.9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 t="s">
        <v>321</v>
      </c>
      <c r="V405" s="1" t="s">
        <v>718</v>
      </c>
      <c r="W405" s="1" t="s">
        <v>512</v>
      </c>
      <c r="X405" s="1" t="s">
        <v>20</v>
      </c>
      <c r="Y405" s="1" t="s">
        <v>349</v>
      </c>
      <c r="Z405" s="1" t="s">
        <v>59</v>
      </c>
      <c r="AA405" s="1" t="s">
        <v>8</v>
      </c>
      <c r="AB405" s="1" t="s">
        <v>30</v>
      </c>
      <c r="AC405" s="1">
        <v>10</v>
      </c>
      <c r="AD405" s="1">
        <v>252.84</v>
      </c>
    </row>
    <row r="406" spans="1:32" x14ac:dyDescent="0.3">
      <c r="A406" s="1" t="s">
        <v>722</v>
      </c>
      <c r="B406" s="1">
        <v>0</v>
      </c>
      <c r="C406" s="1">
        <v>0.2</v>
      </c>
      <c r="D406" s="1">
        <v>0.8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 t="s">
        <v>321</v>
      </c>
      <c r="V406" s="1" t="s">
        <v>718</v>
      </c>
      <c r="W406" s="1" t="s">
        <v>512</v>
      </c>
      <c r="X406" s="1" t="s">
        <v>20</v>
      </c>
      <c r="Y406" s="1" t="s">
        <v>349</v>
      </c>
      <c r="Z406" s="1" t="s">
        <v>59</v>
      </c>
      <c r="AA406" s="1" t="s">
        <v>8</v>
      </c>
      <c r="AB406" s="1" t="s">
        <v>30</v>
      </c>
      <c r="AC406" s="1">
        <v>10</v>
      </c>
      <c r="AD406" s="1">
        <v>247.6</v>
      </c>
    </row>
    <row r="407" spans="1:32" x14ac:dyDescent="0.3">
      <c r="A407" s="1" t="s">
        <v>723</v>
      </c>
      <c r="B407" s="1">
        <v>0</v>
      </c>
      <c r="C407" s="1">
        <v>0.4</v>
      </c>
      <c r="D407" s="1">
        <v>0.6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 t="s">
        <v>321</v>
      </c>
      <c r="V407" s="1" t="s">
        <v>718</v>
      </c>
      <c r="W407" s="1" t="s">
        <v>512</v>
      </c>
      <c r="X407" s="1" t="s">
        <v>20</v>
      </c>
      <c r="Y407" s="1" t="s">
        <v>349</v>
      </c>
      <c r="Z407" s="1" t="s">
        <v>59</v>
      </c>
      <c r="AA407" s="1" t="s">
        <v>8</v>
      </c>
      <c r="AB407" s="1" t="s">
        <v>30</v>
      </c>
      <c r="AC407" s="1">
        <v>10</v>
      </c>
      <c r="AD407" s="1">
        <v>243.11</v>
      </c>
    </row>
    <row r="408" spans="1:32" x14ac:dyDescent="0.3">
      <c r="A408" s="1" t="s">
        <v>720</v>
      </c>
      <c r="B408" s="1">
        <v>0</v>
      </c>
      <c r="C408" s="1">
        <v>0.5</v>
      </c>
      <c r="D408" s="1">
        <v>0.5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 t="s">
        <v>321</v>
      </c>
      <c r="V408" s="1" t="s">
        <v>718</v>
      </c>
      <c r="W408" s="1" t="s">
        <v>512</v>
      </c>
      <c r="X408" s="1" t="s">
        <v>20</v>
      </c>
      <c r="Y408" s="1" t="s">
        <v>349</v>
      </c>
      <c r="Z408" s="1" t="s">
        <v>59</v>
      </c>
      <c r="AA408" s="1" t="s">
        <v>8</v>
      </c>
      <c r="AB408" s="1" t="s">
        <v>30</v>
      </c>
      <c r="AC408" s="1">
        <v>10</v>
      </c>
      <c r="AD408" s="1">
        <v>255.09</v>
      </c>
    </row>
    <row r="409" spans="1:32" x14ac:dyDescent="0.3">
      <c r="A409" s="1" t="s">
        <v>517</v>
      </c>
      <c r="B409" s="1">
        <v>0</v>
      </c>
      <c r="C409" s="1">
        <v>0.96173469387755106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3.8265306122449001E-2</v>
      </c>
      <c r="U409" s="1">
        <v>0</v>
      </c>
      <c r="V409" s="1" t="s">
        <v>724</v>
      </c>
      <c r="W409" s="1" t="s">
        <v>518</v>
      </c>
      <c r="X409" s="1" t="s">
        <v>469</v>
      </c>
      <c r="Y409" s="1" t="s">
        <v>94</v>
      </c>
      <c r="Z409" s="1">
        <v>1.22</v>
      </c>
      <c r="AA409" s="1" t="s">
        <v>8</v>
      </c>
      <c r="AB409" s="1" t="s">
        <v>519</v>
      </c>
      <c r="AC409" s="1">
        <v>10</v>
      </c>
      <c r="AD409" s="1">
        <v>287</v>
      </c>
      <c r="AF409" s="1" t="s">
        <v>516</v>
      </c>
    </row>
    <row r="410" spans="1:32" x14ac:dyDescent="0.3">
      <c r="A410" s="1" t="s">
        <v>517</v>
      </c>
      <c r="B410" s="1">
        <v>0</v>
      </c>
      <c r="C410" s="1">
        <v>0.96173469387755106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3.8265306122449001E-2</v>
      </c>
      <c r="U410" s="1">
        <v>0</v>
      </c>
      <c r="V410" s="1" t="s">
        <v>724</v>
      </c>
      <c r="W410" s="1" t="s">
        <v>518</v>
      </c>
      <c r="X410" s="1" t="s">
        <v>469</v>
      </c>
      <c r="Y410" s="1" t="s">
        <v>94</v>
      </c>
      <c r="Z410" s="1">
        <v>1.22</v>
      </c>
      <c r="AA410" s="1" t="s">
        <v>8</v>
      </c>
      <c r="AB410" s="1" t="s">
        <v>519</v>
      </c>
      <c r="AC410" s="1">
        <v>100</v>
      </c>
      <c r="AD410" s="1">
        <v>364</v>
      </c>
    </row>
    <row r="411" spans="1:32" x14ac:dyDescent="0.3">
      <c r="A411" s="1" t="s">
        <v>468</v>
      </c>
      <c r="B411" s="1">
        <v>0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 t="s">
        <v>562</v>
      </c>
      <c r="W411" s="1" t="s">
        <v>520</v>
      </c>
      <c r="X411" s="1" t="s">
        <v>59</v>
      </c>
      <c r="Y411" s="1" t="s">
        <v>360</v>
      </c>
      <c r="Z411" s="1">
        <v>0.68</v>
      </c>
      <c r="AA411" s="1" t="s">
        <v>8</v>
      </c>
      <c r="AB411" s="1" t="s">
        <v>323</v>
      </c>
      <c r="AC411" s="1">
        <v>10</v>
      </c>
      <c r="AD411" s="1">
        <v>450.7</v>
      </c>
    </row>
    <row r="412" spans="1:32" x14ac:dyDescent="0.3">
      <c r="A412" s="1" t="s">
        <v>521</v>
      </c>
      <c r="B412" s="1">
        <v>0</v>
      </c>
      <c r="C412" s="1" t="s">
        <v>59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 t="s">
        <v>59</v>
      </c>
      <c r="U412" s="1">
        <v>0</v>
      </c>
      <c r="V412" s="1" t="s">
        <v>561</v>
      </c>
      <c r="W412" s="1" t="s">
        <v>522</v>
      </c>
      <c r="X412" s="1" t="s">
        <v>59</v>
      </c>
      <c r="Y412" s="1" t="s">
        <v>360</v>
      </c>
      <c r="Z412" s="1">
        <v>0.68</v>
      </c>
      <c r="AA412" s="1" t="s">
        <v>8</v>
      </c>
      <c r="AB412" s="1" t="s">
        <v>323</v>
      </c>
      <c r="AC412" s="1">
        <v>10</v>
      </c>
      <c r="AD412" s="1">
        <v>414.1</v>
      </c>
    </row>
    <row r="413" spans="1:32" x14ac:dyDescent="0.3">
      <c r="A413" s="1" t="s">
        <v>523</v>
      </c>
      <c r="B413" s="1" t="s">
        <v>59</v>
      </c>
      <c r="C413" s="1" t="s">
        <v>59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 t="s">
        <v>59</v>
      </c>
      <c r="U413" s="1">
        <v>0</v>
      </c>
      <c r="V413" s="1" t="s">
        <v>725</v>
      </c>
      <c r="W413" s="1" t="s">
        <v>518</v>
      </c>
      <c r="X413" s="1" t="s">
        <v>469</v>
      </c>
      <c r="Y413" s="1" t="s">
        <v>94</v>
      </c>
      <c r="Z413" s="1" t="s">
        <v>59</v>
      </c>
      <c r="AA413" s="1" t="s">
        <v>8</v>
      </c>
      <c r="AB413" s="1" t="s">
        <v>519</v>
      </c>
      <c r="AC413" s="1">
        <v>10</v>
      </c>
      <c r="AD413" s="1">
        <v>222</v>
      </c>
    </row>
    <row r="414" spans="1:32" x14ac:dyDescent="0.3">
      <c r="A414" s="1" t="s">
        <v>523</v>
      </c>
      <c r="B414" s="1" t="s">
        <v>59</v>
      </c>
      <c r="C414" s="1" t="s">
        <v>59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 t="s">
        <v>59</v>
      </c>
      <c r="U414" s="1">
        <v>0</v>
      </c>
      <c r="V414" s="1" t="s">
        <v>725</v>
      </c>
      <c r="W414" s="1" t="s">
        <v>518</v>
      </c>
      <c r="X414" s="1" t="s">
        <v>469</v>
      </c>
      <c r="Y414" s="1" t="s">
        <v>94</v>
      </c>
      <c r="Z414" s="1" t="s">
        <v>59</v>
      </c>
      <c r="AA414" s="1" t="s">
        <v>8</v>
      </c>
      <c r="AB414" s="1" t="s">
        <v>519</v>
      </c>
      <c r="AC414" s="1">
        <v>50</v>
      </c>
      <c r="AD414" s="1">
        <v>261</v>
      </c>
    </row>
    <row r="415" spans="1:32" x14ac:dyDescent="0.3">
      <c r="A415" s="1" t="s">
        <v>523</v>
      </c>
      <c r="B415" s="1" t="s">
        <v>59</v>
      </c>
      <c r="C415" s="1" t="s">
        <v>59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 t="s">
        <v>59</v>
      </c>
      <c r="U415" s="1">
        <v>0</v>
      </c>
      <c r="V415" s="1" t="s">
        <v>725</v>
      </c>
      <c r="W415" s="1" t="s">
        <v>518</v>
      </c>
      <c r="X415" s="1" t="s">
        <v>469</v>
      </c>
      <c r="Y415" s="1" t="s">
        <v>94</v>
      </c>
      <c r="Z415" s="1" t="s">
        <v>59</v>
      </c>
      <c r="AA415" s="1" t="s">
        <v>8</v>
      </c>
      <c r="AB415" s="1" t="s">
        <v>519</v>
      </c>
      <c r="AC415" s="1">
        <v>100</v>
      </c>
      <c r="AD415" s="1">
        <v>279</v>
      </c>
    </row>
    <row r="416" spans="1:32" x14ac:dyDescent="0.3">
      <c r="A416" s="1" t="s">
        <v>325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 t="s">
        <v>726</v>
      </c>
      <c r="W416" s="1" t="s">
        <v>524</v>
      </c>
      <c r="X416" s="1" t="s">
        <v>355</v>
      </c>
      <c r="Y416" s="1" t="s">
        <v>349</v>
      </c>
      <c r="Z416" s="1" t="s">
        <v>59</v>
      </c>
      <c r="AA416" s="1" t="s">
        <v>159</v>
      </c>
      <c r="AB416" s="1" t="s">
        <v>424</v>
      </c>
      <c r="AC416" s="1">
        <v>10</v>
      </c>
      <c r="AD416" s="1">
        <v>390</v>
      </c>
      <c r="AF416" s="1" t="s">
        <v>525</v>
      </c>
    </row>
    <row r="417" spans="1:32" x14ac:dyDescent="0.3">
      <c r="A417" s="1" t="s">
        <v>325</v>
      </c>
      <c r="B417" s="1">
        <v>0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 t="s">
        <v>726</v>
      </c>
      <c r="W417" s="1" t="s">
        <v>524</v>
      </c>
      <c r="X417" s="1" t="s">
        <v>355</v>
      </c>
      <c r="Y417" s="1" t="s">
        <v>349</v>
      </c>
      <c r="Z417" s="1" t="s">
        <v>59</v>
      </c>
      <c r="AA417" s="1" t="s">
        <v>159</v>
      </c>
      <c r="AB417" s="1" t="s">
        <v>424</v>
      </c>
      <c r="AC417" s="1">
        <v>20</v>
      </c>
      <c r="AD417" s="1">
        <v>485</v>
      </c>
    </row>
    <row r="418" spans="1:32" x14ac:dyDescent="0.3">
      <c r="A418" s="1" t="s">
        <v>325</v>
      </c>
      <c r="B418" s="1">
        <v>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 t="s">
        <v>726</v>
      </c>
      <c r="W418" s="1" t="s">
        <v>524</v>
      </c>
      <c r="X418" s="1" t="s">
        <v>355</v>
      </c>
      <c r="Y418" s="1" t="s">
        <v>349</v>
      </c>
      <c r="Z418" s="1" t="s">
        <v>59</v>
      </c>
      <c r="AA418" s="1" t="s">
        <v>8</v>
      </c>
      <c r="AB418" s="1" t="s">
        <v>424</v>
      </c>
      <c r="AC418" s="1">
        <v>100</v>
      </c>
      <c r="AD418" s="1">
        <v>470</v>
      </c>
    </row>
    <row r="419" spans="1:32" x14ac:dyDescent="0.3">
      <c r="A419" s="1" t="s">
        <v>527</v>
      </c>
      <c r="B419" s="1">
        <v>0.74</v>
      </c>
      <c r="C419" s="1">
        <v>0.36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 t="s">
        <v>548</v>
      </c>
      <c r="W419" s="1" t="s">
        <v>529</v>
      </c>
      <c r="X419" s="1" t="s">
        <v>18</v>
      </c>
      <c r="Y419" s="1" t="s">
        <v>94</v>
      </c>
      <c r="Z419" s="1" t="s">
        <v>59</v>
      </c>
      <c r="AA419" s="1" t="s">
        <v>8</v>
      </c>
      <c r="AB419" s="1" t="s">
        <v>424</v>
      </c>
      <c r="AC419" s="1">
        <v>240</v>
      </c>
      <c r="AD419" s="1">
        <v>270</v>
      </c>
      <c r="AF419" s="1" t="s">
        <v>526</v>
      </c>
    </row>
    <row r="420" spans="1:32" x14ac:dyDescent="0.3">
      <c r="A420" s="1" t="s">
        <v>528</v>
      </c>
      <c r="B420" s="1">
        <v>0.74</v>
      </c>
      <c r="C420" s="1">
        <v>0.36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 t="s">
        <v>562</v>
      </c>
      <c r="W420" s="1" t="s">
        <v>530</v>
      </c>
      <c r="X420" s="1" t="s">
        <v>18</v>
      </c>
      <c r="Y420" s="1" t="s">
        <v>94</v>
      </c>
      <c r="Z420" s="1" t="s">
        <v>59</v>
      </c>
      <c r="AA420" s="1" t="s">
        <v>8</v>
      </c>
      <c r="AB420" s="1" t="s">
        <v>424</v>
      </c>
      <c r="AC420" s="1">
        <v>100</v>
      </c>
      <c r="AD420" s="1">
        <v>270</v>
      </c>
    </row>
    <row r="421" spans="1:32" x14ac:dyDescent="0.3">
      <c r="A421" s="1" t="s">
        <v>531</v>
      </c>
      <c r="B421" s="1">
        <v>0.74</v>
      </c>
      <c r="C421" s="1">
        <v>0.36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 t="s">
        <v>548</v>
      </c>
      <c r="W421" s="1" t="s">
        <v>529</v>
      </c>
      <c r="X421" s="1" t="s">
        <v>18</v>
      </c>
      <c r="Y421" s="1" t="s">
        <v>94</v>
      </c>
      <c r="Z421" s="1" t="s">
        <v>59</v>
      </c>
      <c r="AA421" s="1" t="s">
        <v>8</v>
      </c>
      <c r="AB421" s="1" t="s">
        <v>6</v>
      </c>
      <c r="AC421" s="1">
        <v>15</v>
      </c>
      <c r="AD421" s="1">
        <v>300</v>
      </c>
    </row>
    <row r="422" spans="1:32" x14ac:dyDescent="0.3">
      <c r="A422" s="1" t="s">
        <v>528</v>
      </c>
      <c r="B422" s="1">
        <v>0.74</v>
      </c>
      <c r="C422" s="1">
        <v>0.36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 t="s">
        <v>562</v>
      </c>
      <c r="W422" s="1" t="s">
        <v>530</v>
      </c>
      <c r="X422" s="1" t="s">
        <v>18</v>
      </c>
      <c r="Y422" s="1" t="s">
        <v>94</v>
      </c>
      <c r="Z422" s="1" t="s">
        <v>59</v>
      </c>
      <c r="AA422" s="1" t="s">
        <v>8</v>
      </c>
      <c r="AB422" s="1" t="s">
        <v>6</v>
      </c>
      <c r="AC422" s="1">
        <v>15</v>
      </c>
      <c r="AD422" s="1">
        <v>370</v>
      </c>
    </row>
    <row r="423" spans="1:32" x14ac:dyDescent="0.3">
      <c r="A423" s="1" t="s">
        <v>532</v>
      </c>
      <c r="B423" s="1">
        <v>0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 t="s">
        <v>562</v>
      </c>
      <c r="W423" s="1" t="s">
        <v>537</v>
      </c>
      <c r="X423" s="1" t="s">
        <v>18</v>
      </c>
      <c r="Y423" s="1" t="s">
        <v>94</v>
      </c>
      <c r="Z423" s="1" t="s">
        <v>59</v>
      </c>
      <c r="AA423" s="1" t="s">
        <v>8</v>
      </c>
      <c r="AB423" s="1" t="s">
        <v>424</v>
      </c>
      <c r="AC423" s="1">
        <v>10</v>
      </c>
      <c r="AD423" s="1">
        <v>300</v>
      </c>
      <c r="AF423" s="1" t="s">
        <v>541</v>
      </c>
    </row>
    <row r="424" spans="1:32" x14ac:dyDescent="0.3">
      <c r="A424" s="1" t="s">
        <v>533</v>
      </c>
      <c r="B424" s="1">
        <v>0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 t="s">
        <v>561</v>
      </c>
      <c r="W424" s="1" t="s">
        <v>538</v>
      </c>
      <c r="X424" s="1" t="s">
        <v>18</v>
      </c>
      <c r="Y424" s="1" t="s">
        <v>94</v>
      </c>
      <c r="Z424" s="1" t="s">
        <v>59</v>
      </c>
      <c r="AA424" s="1" t="s">
        <v>8</v>
      </c>
      <c r="AB424" s="1" t="s">
        <v>424</v>
      </c>
      <c r="AC424" s="1">
        <v>10</v>
      </c>
      <c r="AD424" s="1">
        <v>296</v>
      </c>
    </row>
    <row r="425" spans="1:32" x14ac:dyDescent="0.3">
      <c r="A425" s="1" t="s">
        <v>534</v>
      </c>
      <c r="B425" s="1">
        <v>0</v>
      </c>
      <c r="C425" s="1">
        <v>1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 t="s">
        <v>561</v>
      </c>
      <c r="W425" s="1" t="s">
        <v>539</v>
      </c>
      <c r="X425" s="1" t="s">
        <v>18</v>
      </c>
      <c r="Y425" s="1" t="s">
        <v>94</v>
      </c>
      <c r="Z425" s="1" t="s">
        <v>59</v>
      </c>
      <c r="AA425" s="1" t="s">
        <v>8</v>
      </c>
      <c r="AB425" s="1" t="s">
        <v>424</v>
      </c>
      <c r="AC425" s="1">
        <v>10</v>
      </c>
      <c r="AD425" s="1">
        <v>290</v>
      </c>
    </row>
    <row r="426" spans="1:32" x14ac:dyDescent="0.3">
      <c r="A426" s="1" t="s">
        <v>535</v>
      </c>
      <c r="B426" s="1">
        <v>0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 t="s">
        <v>561</v>
      </c>
      <c r="W426" s="1" t="s">
        <v>540</v>
      </c>
      <c r="X426" s="1" t="s">
        <v>355</v>
      </c>
      <c r="Y426" s="1" t="s">
        <v>349</v>
      </c>
      <c r="Z426" s="1" t="s">
        <v>59</v>
      </c>
      <c r="AA426" s="1" t="s">
        <v>8</v>
      </c>
      <c r="AB426" s="1" t="s">
        <v>424</v>
      </c>
      <c r="AC426" s="1">
        <v>10</v>
      </c>
      <c r="AD426" s="1">
        <v>370</v>
      </c>
    </row>
    <row r="427" spans="1:32" x14ac:dyDescent="0.3">
      <c r="A427" s="1" t="s">
        <v>536</v>
      </c>
      <c r="B427" s="1">
        <v>0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 t="s">
        <v>561</v>
      </c>
      <c r="W427" s="1" t="s">
        <v>41</v>
      </c>
      <c r="X427" s="1" t="s">
        <v>355</v>
      </c>
      <c r="Y427" s="1" t="s">
        <v>349</v>
      </c>
      <c r="Z427" s="1" t="s">
        <v>59</v>
      </c>
      <c r="AA427" s="1" t="s">
        <v>8</v>
      </c>
      <c r="AB427" s="1" t="s">
        <v>424</v>
      </c>
      <c r="AC427" s="1">
        <v>10</v>
      </c>
      <c r="AD427" s="1">
        <v>315</v>
      </c>
    </row>
    <row r="428" spans="1:32" x14ac:dyDescent="0.3">
      <c r="A428" s="1" t="s">
        <v>542</v>
      </c>
      <c r="B428" s="1">
        <v>0.9</v>
      </c>
      <c r="C428" s="1">
        <v>0.1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 t="s">
        <v>548</v>
      </c>
      <c r="W428" s="1" t="s">
        <v>543</v>
      </c>
      <c r="X428" s="1" t="s">
        <v>20</v>
      </c>
      <c r="Y428" s="1" t="s">
        <v>349</v>
      </c>
      <c r="Z428" s="1">
        <v>2.1000000000000001E-2</v>
      </c>
      <c r="AA428" s="1" t="s">
        <v>169</v>
      </c>
      <c r="AB428" s="1" t="s">
        <v>170</v>
      </c>
      <c r="AC428" s="1">
        <v>10</v>
      </c>
      <c r="AD428" s="1">
        <v>297</v>
      </c>
      <c r="AF428" s="1" t="s">
        <v>544</v>
      </c>
    </row>
    <row r="429" spans="1:32" x14ac:dyDescent="0.3">
      <c r="A429" s="1" t="s">
        <v>545</v>
      </c>
      <c r="B429" s="1">
        <v>1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 t="s">
        <v>548</v>
      </c>
      <c r="W429" s="1" t="s">
        <v>543</v>
      </c>
      <c r="X429" s="1" t="s">
        <v>20</v>
      </c>
      <c r="Y429" s="1" t="s">
        <v>349</v>
      </c>
      <c r="Z429" s="1" t="s">
        <v>59</v>
      </c>
      <c r="AA429" s="1" t="s">
        <v>169</v>
      </c>
      <c r="AB429" s="1" t="s">
        <v>170</v>
      </c>
      <c r="AC429" s="1">
        <v>1</v>
      </c>
      <c r="AD429" s="1">
        <v>280</v>
      </c>
      <c r="AF429" s="1" t="s">
        <v>546</v>
      </c>
    </row>
    <row r="430" spans="1:32" x14ac:dyDescent="0.3">
      <c r="A430" s="1" t="s">
        <v>195</v>
      </c>
      <c r="B430" s="1">
        <v>0.25</v>
      </c>
      <c r="C430" s="1">
        <v>0.25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0.5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 t="s">
        <v>548</v>
      </c>
      <c r="W430" s="1" t="s">
        <v>543</v>
      </c>
      <c r="X430" s="1" t="s">
        <v>18</v>
      </c>
      <c r="Y430" s="1" t="s">
        <v>549</v>
      </c>
      <c r="Z430" s="1">
        <v>4.1000000000000002E-2</v>
      </c>
      <c r="AA430" s="1" t="s">
        <v>159</v>
      </c>
      <c r="AB430" s="1" t="s">
        <v>6</v>
      </c>
      <c r="AC430" s="1">
        <v>10</v>
      </c>
      <c r="AD430" s="1">
        <v>490</v>
      </c>
      <c r="AF430" s="1" t="s">
        <v>550</v>
      </c>
    </row>
    <row r="431" spans="1:32" x14ac:dyDescent="0.3">
      <c r="A431" s="1" t="s">
        <v>551</v>
      </c>
      <c r="B431" s="1">
        <v>0</v>
      </c>
      <c r="C431" s="1">
        <f>1/3</f>
        <v>0.33333333333333331</v>
      </c>
      <c r="D431" s="1">
        <f>1/3</f>
        <v>0.33333333333333331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f>1/3</f>
        <v>0.33333333333333331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 t="s">
        <v>548</v>
      </c>
      <c r="W431" s="1" t="s">
        <v>543</v>
      </c>
      <c r="X431" s="1" t="s">
        <v>18</v>
      </c>
      <c r="Y431" s="1" t="s">
        <v>549</v>
      </c>
      <c r="Z431" s="1">
        <v>5.0999999999999997E-2</v>
      </c>
      <c r="AA431" s="1" t="s">
        <v>159</v>
      </c>
      <c r="AB431" s="1" t="s">
        <v>6</v>
      </c>
      <c r="AC431" s="1">
        <v>10</v>
      </c>
      <c r="AD431" s="1">
        <v>480</v>
      </c>
    </row>
    <row r="432" spans="1:32" x14ac:dyDescent="0.3">
      <c r="A432" s="1" t="s">
        <v>195</v>
      </c>
      <c r="B432" s="1">
        <v>0.25</v>
      </c>
      <c r="C432" s="1">
        <v>0.25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0.5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 t="s">
        <v>548</v>
      </c>
      <c r="W432" s="1" t="s">
        <v>543</v>
      </c>
      <c r="X432" s="1" t="s">
        <v>18</v>
      </c>
      <c r="Y432" s="1" t="s">
        <v>549</v>
      </c>
      <c r="Z432" s="1" t="s">
        <v>59</v>
      </c>
      <c r="AA432" s="1" t="s">
        <v>159</v>
      </c>
      <c r="AB432" s="1" t="s">
        <v>424</v>
      </c>
      <c r="AC432" s="1">
        <v>10</v>
      </c>
      <c r="AD432" s="1">
        <v>290</v>
      </c>
    </row>
    <row r="433" spans="1:32" x14ac:dyDescent="0.3">
      <c r="A433" s="1" t="s">
        <v>198</v>
      </c>
      <c r="B433" s="1">
        <v>0.5</v>
      </c>
      <c r="C433" s="1">
        <v>0.5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 t="s">
        <v>548</v>
      </c>
      <c r="W433" s="1" t="s">
        <v>543</v>
      </c>
      <c r="X433" s="1" t="s">
        <v>20</v>
      </c>
      <c r="Y433" s="1" t="s">
        <v>349</v>
      </c>
      <c r="Z433" s="1">
        <v>3.1E-2</v>
      </c>
      <c r="AA433" s="1" t="s">
        <v>159</v>
      </c>
      <c r="AB433" s="1" t="s">
        <v>6</v>
      </c>
      <c r="AC433" s="1">
        <v>2</v>
      </c>
      <c r="AD433" s="1">
        <v>472.02</v>
      </c>
    </row>
    <row r="434" spans="1:32" x14ac:dyDescent="0.3">
      <c r="A434" s="1" t="s">
        <v>727</v>
      </c>
      <c r="B434" s="1" t="s">
        <v>59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 t="s">
        <v>59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 t="s">
        <v>548</v>
      </c>
      <c r="W434" s="1" t="s">
        <v>543</v>
      </c>
      <c r="X434" s="1" t="s">
        <v>59</v>
      </c>
      <c r="Y434" s="1" t="s">
        <v>59</v>
      </c>
      <c r="Z434" s="1" t="s">
        <v>59</v>
      </c>
      <c r="AA434" s="1" t="s">
        <v>159</v>
      </c>
      <c r="AB434" s="1" t="s">
        <v>6</v>
      </c>
      <c r="AC434" s="1">
        <v>1.05</v>
      </c>
      <c r="AD434" s="1">
        <v>480.72</v>
      </c>
    </row>
    <row r="435" spans="1:32" x14ac:dyDescent="0.3">
      <c r="A435" s="1" t="s">
        <v>505</v>
      </c>
      <c r="B435" s="1">
        <v>0</v>
      </c>
      <c r="C435" s="1">
        <v>0.5</v>
      </c>
      <c r="D435" s="1">
        <v>0.5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 t="s">
        <v>548</v>
      </c>
      <c r="W435" s="1" t="s">
        <v>543</v>
      </c>
      <c r="X435" s="1" t="s">
        <v>20</v>
      </c>
      <c r="Y435" s="1" t="s">
        <v>349</v>
      </c>
      <c r="Z435" s="1">
        <v>0.04</v>
      </c>
      <c r="AA435" s="1" t="s">
        <v>159</v>
      </c>
      <c r="AB435" s="1" t="s">
        <v>6</v>
      </c>
      <c r="AC435" s="1">
        <v>2</v>
      </c>
      <c r="AD435" s="1">
        <v>432.2</v>
      </c>
    </row>
    <row r="436" spans="1:32" x14ac:dyDescent="0.3">
      <c r="A436" s="1" t="s">
        <v>729</v>
      </c>
      <c r="B436" s="1">
        <v>0</v>
      </c>
      <c r="C436" s="1">
        <v>0</v>
      </c>
      <c r="D436" s="1" t="s">
        <v>59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 t="s">
        <v>59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 t="s">
        <v>548</v>
      </c>
      <c r="W436" s="1" t="s">
        <v>543</v>
      </c>
      <c r="X436" s="1" t="s">
        <v>59</v>
      </c>
      <c r="Y436" s="1" t="s">
        <v>59</v>
      </c>
      <c r="Z436" s="1" t="s">
        <v>59</v>
      </c>
      <c r="AA436" s="1" t="s">
        <v>159</v>
      </c>
      <c r="AB436" s="1" t="s">
        <v>6</v>
      </c>
      <c r="AC436" s="1">
        <v>2</v>
      </c>
      <c r="AD436" s="1">
        <v>468.51</v>
      </c>
    </row>
    <row r="437" spans="1:32" x14ac:dyDescent="0.3">
      <c r="A437" s="1" t="s">
        <v>728</v>
      </c>
      <c r="B437" s="1">
        <v>0</v>
      </c>
      <c r="C437" s="1" t="s">
        <v>59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 t="s">
        <v>59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 t="s">
        <v>548</v>
      </c>
      <c r="W437" s="1" t="s">
        <v>543</v>
      </c>
      <c r="X437" s="1" t="s">
        <v>59</v>
      </c>
      <c r="Y437" s="1" t="s">
        <v>59</v>
      </c>
      <c r="Z437" s="1" t="s">
        <v>59</v>
      </c>
      <c r="AA437" s="1" t="s">
        <v>159</v>
      </c>
      <c r="AB437" s="1" t="s">
        <v>6</v>
      </c>
      <c r="AC437" s="1">
        <v>0.16500000000000001</v>
      </c>
      <c r="AD437" s="1">
        <v>490.21</v>
      </c>
    </row>
    <row r="438" spans="1:32" x14ac:dyDescent="0.3">
      <c r="A438" s="1" t="s">
        <v>552</v>
      </c>
      <c r="B438" s="1">
        <f>49.14/(49.14+0.53+0.03)</f>
        <v>0.98873239436619709</v>
      </c>
      <c r="C438" s="1">
        <f>0.53/(49.14+0.53+0.03)</f>
        <v>1.0663983903420523E-2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f>0.03/(49.14+0.53+0.03)</f>
        <v>6.0362173038229375E-4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 t="s">
        <v>553</v>
      </c>
      <c r="W438" s="1" t="s">
        <v>730</v>
      </c>
      <c r="X438" s="1" t="s">
        <v>154</v>
      </c>
      <c r="Y438" s="1" t="s">
        <v>94</v>
      </c>
      <c r="Z438" s="1">
        <v>1.3740000000000001</v>
      </c>
      <c r="AA438" s="1" t="s">
        <v>8</v>
      </c>
      <c r="AB438" s="1" t="s">
        <v>424</v>
      </c>
      <c r="AC438" s="1">
        <v>100</v>
      </c>
      <c r="AD438" s="1">
        <v>260</v>
      </c>
      <c r="AF438" s="1" t="s">
        <v>554</v>
      </c>
    </row>
    <row r="439" spans="1:32" x14ac:dyDescent="0.3">
      <c r="A439" s="1" t="s">
        <v>198</v>
      </c>
      <c r="B439" s="1" t="s">
        <v>59</v>
      </c>
      <c r="C439" s="1" t="s">
        <v>59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 t="s">
        <v>553</v>
      </c>
      <c r="W439" s="1" t="s">
        <v>730</v>
      </c>
      <c r="X439" s="1" t="s">
        <v>167</v>
      </c>
      <c r="Y439" s="1" t="s">
        <v>94</v>
      </c>
      <c r="Z439" s="1">
        <v>0.88400000000000001</v>
      </c>
      <c r="AA439" s="1" t="s">
        <v>8</v>
      </c>
      <c r="AB439" s="1" t="s">
        <v>424</v>
      </c>
      <c r="AC439" s="1">
        <v>100</v>
      </c>
      <c r="AD439" s="1">
        <v>295</v>
      </c>
    </row>
    <row r="440" spans="1:32" x14ac:dyDescent="0.3">
      <c r="A440" s="1" t="s">
        <v>551</v>
      </c>
      <c r="B440" s="1">
        <v>0</v>
      </c>
      <c r="C440" s="1">
        <f>2/7</f>
        <v>0.2857142857142857</v>
      </c>
      <c r="D440" s="1">
        <f>3/7</f>
        <v>0.42857142857142855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f>2/7</f>
        <v>0.2857142857142857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 t="s">
        <v>548</v>
      </c>
      <c r="W440" s="1" t="s">
        <v>731</v>
      </c>
      <c r="X440" s="1" t="s">
        <v>18</v>
      </c>
      <c r="Y440" s="1" t="s">
        <v>349</v>
      </c>
      <c r="Z440" s="1">
        <v>1.2965</v>
      </c>
      <c r="AA440" s="1" t="s">
        <v>8</v>
      </c>
      <c r="AB440" s="1" t="s">
        <v>424</v>
      </c>
      <c r="AC440" s="1">
        <v>10</v>
      </c>
      <c r="AD440" s="1">
        <v>230</v>
      </c>
      <c r="AF440" s="1" t="s">
        <v>555</v>
      </c>
    </row>
    <row r="441" spans="1:32" x14ac:dyDescent="0.3">
      <c r="A441" s="1" t="s">
        <v>551</v>
      </c>
      <c r="B441" s="1">
        <v>0</v>
      </c>
      <c r="C441" s="1">
        <f>2/7</f>
        <v>0.2857142857142857</v>
      </c>
      <c r="D441" s="1">
        <f>3/7</f>
        <v>0.42857142857142855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f>2/7</f>
        <v>0.2857142857142857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 t="s">
        <v>548</v>
      </c>
      <c r="W441" s="1" t="s">
        <v>731</v>
      </c>
      <c r="X441" s="1" t="s">
        <v>18</v>
      </c>
      <c r="Y441" s="1" t="s">
        <v>349</v>
      </c>
      <c r="Z441" s="1">
        <v>1.2965</v>
      </c>
      <c r="AA441" s="1" t="s">
        <v>8</v>
      </c>
      <c r="AB441" s="1" t="s">
        <v>424</v>
      </c>
      <c r="AC441" s="1">
        <v>100</v>
      </c>
      <c r="AD441" s="1">
        <v>270</v>
      </c>
    </row>
    <row r="442" spans="1:32" x14ac:dyDescent="0.3">
      <c r="A442" s="1" t="s">
        <v>556</v>
      </c>
      <c r="B442" s="1">
        <v>0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 t="s">
        <v>557</v>
      </c>
      <c r="V442" s="1" t="s">
        <v>558</v>
      </c>
      <c r="W442" s="1" t="s">
        <v>559</v>
      </c>
      <c r="X442" s="1" t="s">
        <v>359</v>
      </c>
      <c r="Y442" s="1" t="s">
        <v>349</v>
      </c>
      <c r="Z442" s="1">
        <v>101</v>
      </c>
      <c r="AA442" s="1" t="s">
        <v>8</v>
      </c>
      <c r="AB442" s="1" t="s">
        <v>6</v>
      </c>
      <c r="AC442" s="1">
        <v>10</v>
      </c>
      <c r="AD442" s="1">
        <v>310</v>
      </c>
      <c r="AF442" s="1" t="s">
        <v>560</v>
      </c>
    </row>
    <row r="443" spans="1:32" x14ac:dyDescent="0.3">
      <c r="A443" s="1" t="s">
        <v>325</v>
      </c>
      <c r="B443" s="1">
        <v>0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 t="s">
        <v>558</v>
      </c>
      <c r="W443" s="1" t="s">
        <v>559</v>
      </c>
      <c r="X443" s="1" t="s">
        <v>359</v>
      </c>
      <c r="Y443" s="1" t="s">
        <v>349</v>
      </c>
      <c r="Z443" s="1">
        <v>70</v>
      </c>
      <c r="AA443" s="1" t="s">
        <v>8</v>
      </c>
      <c r="AB443" s="1" t="s">
        <v>6</v>
      </c>
      <c r="AC443" s="1">
        <v>10</v>
      </c>
      <c r="AD443" s="1">
        <v>400</v>
      </c>
    </row>
  </sheetData>
  <mergeCells count="1">
    <mergeCell ref="X27:X33"/>
  </mergeCells>
  <phoneticPr fontId="1" type="noConversion"/>
  <hyperlinks>
    <hyperlink ref="A240" r:id="rId1" xr:uid="{A3C6DB56-54C0-43E1-A646-E9457A3ACE97}"/>
    <hyperlink ref="A386" r:id="rId2" xr:uid="{8CCFE0FA-08AC-43E5-82D2-4712B72EE9A2}"/>
    <hyperlink ref="A387" r:id="rId3" xr:uid="{0EA6BC43-5532-42AC-BC4E-68989E18DE38}"/>
    <hyperlink ref="A388" r:id="rId4" xr:uid="{EC86DD67-6962-4589-84AF-CCF38E267B98}"/>
    <hyperlink ref="A231" r:id="rId5" xr:uid="{97D112A9-8CAC-400D-9CFD-40263DF7852E}"/>
    <hyperlink ref="A228" r:id="rId6" xr:uid="{6EE593F2-4C95-4551-AD1D-0918780CBB53}"/>
    <hyperlink ref="A229" r:id="rId7" xr:uid="{153DB2FB-A783-4ABC-9E77-8BACC7F0BC21}"/>
    <hyperlink ref="A230" r:id="rId8" xr:uid="{AAE18E27-6454-4CF2-8809-DAAE4E8B72E6}"/>
    <hyperlink ref="A389" r:id="rId9" xr:uid="{67AEAD86-BC2C-4B59-8163-2D780EDEEA3E}"/>
    <hyperlink ref="A390" r:id="rId10" xr:uid="{2EA0F222-305F-477D-AB52-30CD21ACD680}"/>
    <hyperlink ref="A393" r:id="rId11" xr:uid="{BC92C4D3-90FA-4D7B-923F-1B143C8722C1}"/>
    <hyperlink ref="A391" r:id="rId12" xr:uid="{D34DB9F9-284F-41B5-8038-35DBE38F58D3}"/>
    <hyperlink ref="A392" r:id="rId13" xr:uid="{DB5A2A95-AE95-471C-800A-5D761937506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B8AE-C95D-48AE-8826-03FDFD19ADCF}">
  <dimension ref="A1:K3"/>
  <sheetViews>
    <sheetView workbookViewId="0">
      <selection activeCell="K3" sqref="K3"/>
    </sheetView>
  </sheetViews>
  <sheetFormatPr defaultRowHeight="14" x14ac:dyDescent="0.3"/>
  <sheetData>
    <row r="1" spans="1:11" ht="15.5" x14ac:dyDescent="0.35">
      <c r="A1" s="3" t="s">
        <v>283</v>
      </c>
      <c r="B1">
        <v>278.01</v>
      </c>
      <c r="C1">
        <v>1.3143</v>
      </c>
      <c r="D1">
        <f>C1/B1</f>
        <v>4.7275277867702605E-3</v>
      </c>
      <c r="E1">
        <f>D1+D2+D3</f>
        <v>9.9584901680704815E-3</v>
      </c>
      <c r="F1">
        <f>D1/E1</f>
        <v>0.47472334731302424</v>
      </c>
      <c r="H1">
        <f>D1/(D1+D2)</f>
        <v>0.52771479323825576</v>
      </c>
      <c r="J1">
        <f>D1/(D1+D3)</f>
        <v>0.82540460086289735</v>
      </c>
    </row>
    <row r="2" spans="1:11" x14ac:dyDescent="0.3">
      <c r="A2" t="s">
        <v>284</v>
      </c>
      <c r="B2">
        <v>262.84800000000001</v>
      </c>
      <c r="C2">
        <v>1.1121000000000001</v>
      </c>
      <c r="D2">
        <f t="shared" ref="D2:D3" si="0">C2/B2</f>
        <v>4.2309623813002193E-3</v>
      </c>
      <c r="F2">
        <f>D2/E1</f>
        <v>0.42485982411930162</v>
      </c>
      <c r="H2">
        <f>D2/(D2+D1)</f>
        <v>0.47228520676174418</v>
      </c>
      <c r="K2">
        <f>D2/(D2+D3)</f>
        <v>0.80883058850225609</v>
      </c>
    </row>
    <row r="3" spans="1:11" x14ac:dyDescent="0.3">
      <c r="A3" t="s">
        <v>285</v>
      </c>
      <c r="B3">
        <v>281.10000000000002</v>
      </c>
      <c r="C3">
        <v>0.28110000000000002</v>
      </c>
      <c r="D3">
        <f t="shared" si="0"/>
        <v>1E-3</v>
      </c>
      <c r="F3">
        <f>D3/E1</f>
        <v>0.10041682856767395</v>
      </c>
      <c r="J3">
        <f>D3/(D1+D3)</f>
        <v>0.1745953991371027</v>
      </c>
      <c r="K3">
        <f>D3/(D2+D3)</f>
        <v>0.19116941149774391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晨阳 韦</cp:lastModifiedBy>
  <dcterms:created xsi:type="dcterms:W3CDTF">2015-06-05T18:19:34Z</dcterms:created>
  <dcterms:modified xsi:type="dcterms:W3CDTF">2024-10-14T06:58:44Z</dcterms:modified>
</cp:coreProperties>
</file>