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311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"/>
    </mc:Choice>
  </mc:AlternateContent>
  <xr:revisionPtr revIDLastSave="0" documentId="13_ncr:81_{D6D9ABB8-8C25-4D4E-A582-E465B0A283FC}" xr6:coauthVersionLast="46" xr6:coauthVersionMax="46" xr10:uidLastSave="{00000000-0000-0000-0000-000000000000}"/>
  <bookViews>
    <workbookView xWindow="-28920" yWindow="-15" windowWidth="29040" windowHeight="15840" firstSheet="2" activeTab="2" xr2:uid="{00000000-000D-0000-FFFF-FFFF00000000}"/>
  </bookViews>
  <sheets>
    <sheet name="개정 이력" sheetId="1" state="hidden" r:id="rId1"/>
    <sheet name="Sheet2" sheetId="2" state="hidden" r:id="rId2"/>
    <sheet name="Interface 현황 List" sheetId="3" r:id="rId3"/>
    <sheet name="Sheet3" sheetId="9" r:id="rId4"/>
    <sheet name="PO Batch_Job" sheetId="4" r:id="rId5"/>
    <sheet name="WMS" sheetId="5" r:id="rId6"/>
    <sheet name="Sheet1" sheetId="6" state="hidden" r:id="rId7"/>
    <sheet name="진척률" sheetId="7" r:id="rId8"/>
    <sheet name="주간보고" sheetId="8" r:id="rId9"/>
  </sheets>
  <definedNames>
    <definedName name="_xlnm._FilterDatabase" localSheetId="2" hidden="1">'Interface 현황 List'!$A$2:$AR$104</definedName>
    <definedName name="EAI개발계획일원본">'Interface 현황 List'!$Z$5:$Z$5</definedName>
    <definedName name="EAI개발완료일원본">'Interface 현황 List'!$AA$5:$AA$5</definedName>
    <definedName name="EAI금주개발예정">'Interface 현황 List'!#REF!</definedName>
    <definedName name="EAI금주개발완료">'Interface 현황 List'!#REF!</definedName>
    <definedName name="EAI누적개발예정">'Interface 현황 List'!#REF!</definedName>
    <definedName name="EAI누적개발완료">'Interface 현황 List'!#REF!</definedName>
    <definedName name="MODULE">'Interface 현황 List'!$E$5:$E$5</definedName>
    <definedName name="_xlnm.Print_Area" localSheetId="0">'개정 이력'!$A$1:$G$27</definedName>
    <definedName name="SPEC금주작성예정">'Interface 현황 List'!#REF!</definedName>
    <definedName name="SPEC금주작성완료">'Interface 현황 List'!#REF!</definedName>
    <definedName name="SPEC누적작성계획">'Interface 현황 List'!#REF!</definedName>
    <definedName name="SPEC누적작성완료">'Interface 현황 List'!#REF!</definedName>
    <definedName name="SPEC작성계획일원본">'Interface 현황 List'!$W$5:$W$5</definedName>
    <definedName name="SPEC작성완료일원본">'Interface 현황 List'!$X$5:$X$5</definedName>
    <definedName name="Z_032AA139_DA2D_420B_8F8E_E2ECE5741132_.wvu.FilterData" localSheetId="2" hidden="1">'Interface 현황 List'!$A$2:$AU$5</definedName>
    <definedName name="Z_0393B10E_BE63_4D26_AFCD_62489EB1CCFB_.wvu.FilterData" localSheetId="2" hidden="1">'Interface 현황 List'!$A$2:$AE$5</definedName>
    <definedName name="Z_045F684B_4B3D_471C_90E0_BFAAB6053248_.wvu.FilterData" localSheetId="2" hidden="1">'Interface 현황 List'!$A$2:$AR$101</definedName>
    <definedName name="Z_05FE92D4_A48B_4857_BE1E_E305BF839940_.wvu.FilterData" localSheetId="2" hidden="1">'Interface 현황 List'!$A$2:$AU$5</definedName>
    <definedName name="Z_07B06D2B_254D_46FE_8047_E091D8A64199_.wvu.FilterData" localSheetId="2" hidden="1">'Interface 현황 List'!$A$2:$AU$5</definedName>
    <definedName name="Z_08A2159B_FC21_468B_B6E1_8C1DAC040CBD_.wvu.FilterData" localSheetId="2" hidden="1">'Interface 현황 List'!$A$2:$AU$5</definedName>
    <definedName name="Z_094443F4_974E_4A23_A986_7FB130A315FD_.wvu.FilterData" localSheetId="2" hidden="1">'Interface 현황 List'!$A$2:$AF$99</definedName>
    <definedName name="Z_0ACF9646_0513_44C6_90E2_EA9A0F9DD8F5_.wvu.FilterData" localSheetId="2" hidden="1">'Interface 현황 List'!$A$2:$AE$5</definedName>
    <definedName name="Z_0B6406FB_6464_47DF_AC72_9228E317669A_.wvu.FilterData" localSheetId="2" hidden="1">'Interface 현황 List'!$A$2:$AF$99</definedName>
    <definedName name="Z_0D6B1B85_438E_43E4_9752_881204D15C9A_.wvu.FilterData" localSheetId="2" hidden="1">'Interface 현황 List'!$A$2:$AF$101</definedName>
    <definedName name="Z_0EDAE86D_1830_4AA2_82AE_DC89DDB6A255_.wvu.FilterData" localSheetId="2" hidden="1">'Interface 현황 List'!$A$1:$AE$5</definedName>
    <definedName name="Z_11D7BE7B_1CF0_4298_A724_E02B00B40DA2_.wvu.FilterData" localSheetId="2" hidden="1">'Interface 현황 List'!$A$2:$AF$101</definedName>
    <definedName name="Z_124A8991_0BD8_45C5_BD34_63CBDC6C6248_.wvu.Cols" localSheetId="2" hidden="1">'Interface 현황 List'!$AJ:$AK,'Interface 현황 List'!$AS:$AU</definedName>
    <definedName name="Z_124A8991_0BD8_45C5_BD34_63CBDC6C6248_.wvu.FilterData" localSheetId="2" hidden="1">'Interface 현황 List'!$A$2:$AE$5</definedName>
    <definedName name="Z_14AF98DE_464E_453C_87D0_8E8748322276_.wvu.FilterData" localSheetId="2" hidden="1">'Interface 현황 List'!$A$1:$AE$5</definedName>
    <definedName name="Z_1AB61456_9464_4AE9_B129_B1B4235491A9_.wvu.FilterData" localSheetId="2" hidden="1">'Interface 현황 List'!$A$2:$AU$5</definedName>
    <definedName name="Z_1CDC1059_5A65_423E_B308_1276483D9C8F_.wvu.FilterData" localSheetId="2" hidden="1">'Interface 현황 List'!$A$2:$AU$5</definedName>
    <definedName name="Z_1D6801D3_9E23_4DC6_BBFA_8E40F8119F89_.wvu.FilterData" localSheetId="2" hidden="1">'Interface 현황 List'!$A$2:$AE$5</definedName>
    <definedName name="Z_217F3CDD_94AC_4658_B725_9B82D7DD000C_.wvu.FilterData" localSheetId="2" hidden="1">'Interface 현황 List'!$A$2:$AE$5</definedName>
    <definedName name="Z_244DEDC1_17E9_401B_A59A_308D4C8CEE28_.wvu.FilterData" localSheetId="2" hidden="1">'Interface 현황 List'!$A$1:$AE$5</definedName>
    <definedName name="Z_26CC8EDC_65EC_456E_8D3B_E1F7A9A26518_.wvu.FilterData" localSheetId="2" hidden="1">'Interface 현황 List'!$A$2:$AU$5</definedName>
    <definedName name="Z_26F31219_C013_44B8_9963_8F3F5F473DB4_.wvu.FilterData" localSheetId="2" hidden="1">'Interface 현황 List'!$A$2:$AU$5</definedName>
    <definedName name="Z_29BBA2BD_61C8_4425_A2CE_5D8CF2C4358E_.wvu.Cols" localSheetId="2" hidden="1">'Interface 현황 List'!$AJ:$AK,'Interface 현황 List'!$P:$AL</definedName>
    <definedName name="Z_29BBA2BD_61C8_4425_A2CE_5D8CF2C4358E_.wvu.FilterData" localSheetId="2" hidden="1">'Interface 현황 List'!$A$1:$AE$5</definedName>
    <definedName name="Z_2AC9E256_E86A_480C_92B3_2888309D8EFB_.wvu.FilterData" localSheetId="2" hidden="1">'Interface 현황 List'!$A$2:$AE$5</definedName>
    <definedName name="Z_2D2FCC89_2534_40CD_805E_03DAE79152F6_.wvu.Cols" localSheetId="2" hidden="1">'Interface 현황 List'!$AS:$AU</definedName>
    <definedName name="Z_2D2FCC89_2534_40CD_805E_03DAE79152F6_.wvu.FilterData" localSheetId="2" hidden="1">'Interface 현황 List'!$A$2:$AE$5</definedName>
    <definedName name="Z_2DF615F3_A4D2_4C5C_A557_DBC5CE556117_.wvu.FilterData" localSheetId="2" hidden="1">'Interface 현황 List'!$A$2:$AU$5</definedName>
    <definedName name="Z_317512C0_EC16_4AF7_A534_62951470BF2E_.wvu.FilterData" localSheetId="2" hidden="1">'Interface 현황 List'!$A$2:$AE$5</definedName>
    <definedName name="Z_32DB29ED_3CF1_4D65_B03C_6DA47D5FB731_.wvu.FilterData" localSheetId="2" hidden="1">'Interface 현황 List'!$A$1:$AE$5</definedName>
    <definedName name="Z_34F0A71F_3C5E_42E3_8D3F_E9E99CD81A4E_.wvu.FilterData" localSheetId="2" hidden="1">'Interface 현황 List'!$A$2:$AU$5</definedName>
    <definedName name="Z_350550C9_BA22_4F9E_AD86_98BC7CBABB29_.wvu.FilterData" localSheetId="2" hidden="1">'Interface 현황 List'!$A$2:$AE$5</definedName>
    <definedName name="Z_3514424C_A12F_4A23_A8E2_E72C12878AA4_.wvu.FilterData" localSheetId="2" hidden="1">'Interface 현황 List'!$A$2:$AE$5</definedName>
    <definedName name="Z_36497D04_9E80_4F93_9063_7968CFD0878D_.wvu.FilterData" localSheetId="2" hidden="1">'Interface 현황 List'!$A$1:$AE$5</definedName>
    <definedName name="Z_379FF76C_8A0D_46B0_98FC_1720B5DEC210_.wvu.FilterData" localSheetId="2" hidden="1">'Interface 현황 List'!$A$2:$AR$101</definedName>
    <definedName name="Z_3A3FE2A5_61B1_4883_9260_B94ACCC25C80_.wvu.FilterData" localSheetId="2" hidden="1">'Interface 현황 List'!$A$2:$AF$101</definedName>
    <definedName name="Z_3C062FDA_7256_4B8B_AD85_6D1538532B85_.wvu.FilterData" localSheetId="2" hidden="1">'Interface 현황 List'!$A$2:$AE$5</definedName>
    <definedName name="Z_440E1B83_C5BA_4C43_8747_BACB13056413_.wvu.FilterData" localSheetId="2" hidden="1">'Interface 현황 List'!$A$2:$AU$5</definedName>
    <definedName name="Z_44F3794A_5BCA_48ED_BC2D_A8EB9A778151_.wvu.FilterData" localSheetId="2" hidden="1">'Interface 현황 List'!$A$2:$AE$5</definedName>
    <definedName name="Z_46F91AA8_0A6D_4D6C_8C7D_CE62B94878D8_.wvu.FilterData" localSheetId="2" hidden="1">'Interface 현황 List'!$A$2:$AE$5</definedName>
    <definedName name="Z_4775419B_ED36_404E_A9C1_D9ECDEE242C1_.wvu.FilterData" localSheetId="2" hidden="1">'Interface 현황 List'!$A$2:$AU$5</definedName>
    <definedName name="Z_485AE33C_0662_4C15_8EC2_990A7B1D23A4_.wvu.FilterData" localSheetId="2" hidden="1">'Interface 현황 List'!$A$2:$AR$101</definedName>
    <definedName name="Z_49250FF9_AA5C_49D1_A7E0_7C029DF409C9_.wvu.FilterData" localSheetId="2" hidden="1">'Interface 현황 List'!$A$2:$AU$5</definedName>
    <definedName name="Z_49467A5D_B8AF_43A7_B60A_FE4602CE2FF4_.wvu.FilterData" localSheetId="2" hidden="1">'Interface 현황 List'!$A$2:$AF$99</definedName>
    <definedName name="Z_49CA9765_1C1A_40F0_86D0_63B592CB58A3_.wvu.FilterData" localSheetId="2" hidden="1">'Interface 현황 List'!$A$1:$AE$5</definedName>
    <definedName name="Z_4F87B191_53F3_42C1_9336_83B180F7078E_.wvu.Cols" localSheetId="2" hidden="1">'Interface 현황 List'!$AS:$AU</definedName>
    <definedName name="Z_4F87B191_53F3_42C1_9336_83B180F7078E_.wvu.FilterData" localSheetId="2" hidden="1">'Interface 현황 List'!$A$2:$AE$5</definedName>
    <definedName name="Z_4FB29C10_27EF_4A9E_94CE_FD3367AD2983_.wvu.FilterData" localSheetId="2" hidden="1">'Interface 현황 List'!$A$2:$AU$5</definedName>
    <definedName name="Z_536DD71C_BA9B_42D2_ADFE_A161CEB77892_.wvu.FilterData" localSheetId="2" hidden="1">'Interface 현황 List'!$A$2:$AU$2</definedName>
    <definedName name="Z_53F47E00_189D_4661_B9AF_1164B563763A_.wvu.Cols" localSheetId="2" hidden="1">'Interface 현황 List'!$J:$AF,'Interface 현황 List'!$AJ:$AK</definedName>
    <definedName name="Z_53F47E00_189D_4661_B9AF_1164B563763A_.wvu.FilterData" localSheetId="2" hidden="1">'Interface 현황 List'!$A$2:$AF$101</definedName>
    <definedName name="Z_53F47E00_189D_4661_B9AF_1164B563763A_.wvu.PrintArea" localSheetId="0" hidden="1">'개정 이력'!$A$1:$G$27</definedName>
    <definedName name="Z_5605DD80_448B_4A0E_9A2C_89724C059B01_.wvu.FilterData" localSheetId="2" hidden="1">'Interface 현황 List'!$A$2:$AU$5</definedName>
    <definedName name="Z_5622AD6D_5157_4368_81AB_A637A75EDF99_.wvu.FilterData" localSheetId="2" hidden="1">'Interface 현황 List'!$A$2:$AU$5</definedName>
    <definedName name="Z_578D7EFB_0CE6_40B9_AF10_4AD1473EE9DC_.wvu.FilterData" localSheetId="2" hidden="1">'Interface 현황 List'!$A$2:$AU$5</definedName>
    <definedName name="Z_581735BA_4469_4445_98E8_4FCEBE798C56_.wvu.FilterData" localSheetId="2" hidden="1">'Interface 현황 List'!$A$2:$AU$5</definedName>
    <definedName name="Z_5E9F6A2A_8A64_4001_9F4A_EAD6D49CF9C0_.wvu.FilterData" localSheetId="2" hidden="1">'Interface 현황 List'!$A$2:$AU$5</definedName>
    <definedName name="Z_6186574B_244B_4D1A_8E02_0C6412561495_.wvu.FilterData" localSheetId="2" hidden="1">'Interface 현황 List'!$A$2:$AU$5</definedName>
    <definedName name="Z_61979A17_59A8_434C_AE19_FC4642BE8C93_.wvu.FilterData" localSheetId="2" hidden="1">'Interface 현황 List'!$A$2:$AU$5</definedName>
    <definedName name="Z_639C41C3_99C8_4913_892F_EBAB32882A3E_.wvu.FilterData" localSheetId="2" hidden="1">'Interface 현황 List'!$A$1:$AE$5</definedName>
    <definedName name="Z_655A0A9F_ABA8_4213_AE8A_A9C849731F2F_.wvu.FilterData" localSheetId="2" hidden="1">'Interface 현황 List'!$A$2:$AE$5</definedName>
    <definedName name="Z_68791F1E_C3DB_4186_803F_F930120DE948_.wvu.FilterData" localSheetId="2" hidden="1">'Interface 현황 List'!$A$1:$AE$5</definedName>
    <definedName name="Z_68F0348F_4B25_464E_A934_A7C6A7B6C274_.wvu.FilterData" localSheetId="2" hidden="1">'Interface 현황 List'!$A$2:$AU$5</definedName>
    <definedName name="Z_692140A4_0B5E_4F45_803A_39205DEE6248_.wvu.FilterData" localSheetId="2" hidden="1">'Interface 현황 List'!$A$2:$AU$5</definedName>
    <definedName name="Z_6AB09738_88E1_482C_A8F6_C951F5EEF83E_.wvu.FilterData" localSheetId="2" hidden="1">'Interface 현황 List'!$A$2:$AU$5</definedName>
    <definedName name="Z_6B2FBF2F_7ADE_4D8F_930C_538689BED549_.wvu.FilterData" localSheetId="2" hidden="1">'Interface 현황 List'!$A$2:$AU$5</definedName>
    <definedName name="Z_6BD61EAC_1B1F_4A6D_AB87_B5CA410A8CA3_.wvu.FilterData" localSheetId="2" hidden="1">'Interface 현황 List'!$A$2:$AF$101</definedName>
    <definedName name="Z_6C2B63B4_3F1B_4ACB_9369_3FF992DCCB55_.wvu.FilterData" localSheetId="2" hidden="1">'Interface 현황 List'!$A$2:$AU$5</definedName>
    <definedName name="Z_6F5E0D16_80AB_4510_ABEC_40D579A925DB_.wvu.FilterData" localSheetId="2" hidden="1">'Interface 현황 List'!$A$2:$AU$5</definedName>
    <definedName name="Z_707CEF9F_EED6_45AD_A30A_C07C3CF5D13E_.wvu.Cols" localSheetId="2" hidden="1">'Interface 현황 List'!$AS:$AU</definedName>
    <definedName name="Z_707CEF9F_EED6_45AD_A30A_C07C3CF5D13E_.wvu.FilterData" localSheetId="2" hidden="1">'Interface 현황 List'!$A$2:$AE$5</definedName>
    <definedName name="Z_70AF14D6_AE4A_457D_AADE_823F40013540_.wvu.FilterData" localSheetId="2" hidden="1">'Interface 현황 List'!$A$1:$AE$5</definedName>
    <definedName name="Z_71116D85_A024_4E10_979D_D86BD591BA10_.wvu.FilterData" localSheetId="2" hidden="1">'Interface 현황 List'!$A$2:$AF$93</definedName>
    <definedName name="Z_724BBBE4_740F_498A_882D_B5EDD20DB319_.wvu.FilterData" localSheetId="2" hidden="1">'Interface 현황 List'!$A$1:$AE$5</definedName>
    <definedName name="Z_73B9E097_608A_4DB8_A6EC_EBD62CAE9A5E_.wvu.FilterData" localSheetId="2" hidden="1">'Interface 현황 List'!$A$2:$AE$5</definedName>
    <definedName name="Z_76451432_EB92_4482_98E6_90B2E6B34CE5_.wvu.FilterData" localSheetId="2" hidden="1">'Interface 현황 List'!$A$2:$AU$5</definedName>
    <definedName name="Z_779AD900_3FB8_4BBF_8BDF_C664F99D34E1_.wvu.FilterData" localSheetId="2" hidden="1">'Interface 현황 List'!$A$2:$AF$93</definedName>
    <definedName name="Z_77E0D16C_B852_474A_95A4_18C7F1B86CF6_.wvu.FilterData" localSheetId="2" hidden="1">'Interface 현황 List'!$A$2:$AF$93</definedName>
    <definedName name="Z_7AA70812_ECD5_46F1_9429_36F5BE8AAEE9_.wvu.Cols" localSheetId="2" hidden="1">'Interface 현황 List'!$J:$AF,'Interface 현황 List'!$AJ:$AK</definedName>
    <definedName name="Z_7AA70812_ECD5_46F1_9429_36F5BE8AAEE9_.wvu.FilterData" localSheetId="2" hidden="1">'Interface 현황 List'!$A$2:$AR$103</definedName>
    <definedName name="Z_7AA70812_ECD5_46F1_9429_36F5BE8AAEE9_.wvu.PrintArea" localSheetId="0" hidden="1">'개정 이력'!$A$1:$G$27</definedName>
    <definedName name="Z_7DD06344_9361_408F_851F_DB4FAE850648_.wvu.FilterData" localSheetId="2" hidden="1">'Interface 현황 List'!$A$1:$AE$5</definedName>
    <definedName name="Z_7E880D85_9226_4D47_9CEB_B68F4582A905_.wvu.FilterData" localSheetId="2" hidden="1">'Interface 현황 List'!$A$2:$AU$5</definedName>
    <definedName name="Z_7ED7B2F5_39AE_46A8_A8C6_99A6DD54BBFF_.wvu.FilterData" localSheetId="2" hidden="1">'Interface 현황 List'!$A$1:$AE$5</definedName>
    <definedName name="Z_803DD126_DD55_4D75_8EEB_8966AE404A3D_.wvu.FilterData" localSheetId="2" hidden="1">'Interface 현황 List'!$A$2:$AU$5</definedName>
    <definedName name="Z_831C67DA_254E_459D_9BE2_0223AE2014D5_.wvu.FilterData" localSheetId="2" hidden="1">'Interface 현황 List'!$A$2:$AU$5</definedName>
    <definedName name="Z_83E474E2_8DC6_4D61_89B5_C6308B65368A_.wvu.FilterData" localSheetId="2" hidden="1">'Interface 현황 List'!$A$2:$AU$5</definedName>
    <definedName name="Z_8469C684_BE99_40EE_BB9E_2CBDA6F12C64_.wvu.Cols" localSheetId="2" hidden="1">'Interface 현황 List'!$AJ:$AK</definedName>
    <definedName name="Z_8469C684_BE99_40EE_BB9E_2CBDA6F12C64_.wvu.FilterData" localSheetId="2" hidden="1">'Interface 현황 List'!$A$2:$AR$103</definedName>
    <definedName name="Z_8469C684_BE99_40EE_BB9E_2CBDA6F12C64_.wvu.PrintArea" localSheetId="0" hidden="1">'개정 이력'!$A$1:$G$27</definedName>
    <definedName name="Z_85A9269B_7DAD_4624_948E_AA3D76856FF9_.wvu.FilterData" localSheetId="2" hidden="1">'Interface 현황 List'!$A$2:$AU$5</definedName>
    <definedName name="Z_8635842B_1C61_41D7_ABC6_7EE98FEB48EE_.wvu.FilterData" localSheetId="2" hidden="1">'Interface 현황 List'!$A$2:$AE$5</definedName>
    <definedName name="Z_873CE25E_140D_4C7B_B49E_6B0C0D1C78D2_.wvu.FilterData" localSheetId="2" hidden="1">'Interface 현황 List'!$A$2:$AR$103</definedName>
    <definedName name="Z_8743E475_82A8_40E3_A89F_2D0E584F91E0_.wvu.Cols" localSheetId="2" hidden="1">'Interface 현황 List'!$AJ:$AK</definedName>
    <definedName name="Z_8743E475_82A8_40E3_A89F_2D0E584F91E0_.wvu.FilterData" localSheetId="2" hidden="1">'Interface 현황 List'!$A$2:$AR$104</definedName>
    <definedName name="Z_8743E475_82A8_40E3_A89F_2D0E584F91E0_.wvu.PrintArea" localSheetId="0" hidden="1">'개정 이력'!$A$1:$G$27</definedName>
    <definedName name="Z_87781E88_737A_43BC_B4EB_1655B56D1D7E_.wvu.FilterData" localSheetId="2" hidden="1">'Interface 현황 List'!$A$1:$AE$5</definedName>
    <definedName name="Z_879D5AE3_E36C_4A14_B144_747568781752_.wvu.FilterData" localSheetId="2" hidden="1">'Interface 현황 List'!$A$2:$AU$5</definedName>
    <definedName name="Z_8DCAB34D_0701_4B64_95AA_7407DDE6F199_.wvu.FilterData" localSheetId="2" hidden="1">'Interface 현황 List'!$A$2:$AU$5</definedName>
    <definedName name="Z_8EEE2F81_FA89_4D41_AAC3_5FBF51CC9701_.wvu.FilterData" localSheetId="2" hidden="1">'Interface 현황 List'!$A$2:$AF$101</definedName>
    <definedName name="Z_91975681_4AE2_4201_AA50_30E38DE2FACE_.wvu.FilterData" localSheetId="2" hidden="1">'Interface 현황 List'!$A$2:$AE$5</definedName>
    <definedName name="Z_9250CCDE_0CBB_4DE5_A43B_48D5B077D928_.wvu.FilterData" localSheetId="2" hidden="1">'Interface 현황 List'!$A$2:$AU$5</definedName>
    <definedName name="Z_92DA55B9_0A9E_4D16_9505_EAF548360D1B_.wvu.FilterData" localSheetId="2" hidden="1">'Interface 현황 List'!$A$2:$AU$5</definedName>
    <definedName name="Z_93EBBF54_8C4E_4C41_ADDC_185F2C293ED2_.wvu.FilterData" localSheetId="2" hidden="1">'Interface 현황 List'!$A$2:$AR$101</definedName>
    <definedName name="Z_94F6EF88_F3F3_4147_A0A6_D7D872310F87_.wvu.Cols" localSheetId="2" hidden="1">'Interface 현황 List'!$AJ:$AK</definedName>
    <definedName name="Z_94F6EF88_F3F3_4147_A0A6_D7D872310F87_.wvu.FilterData" localSheetId="2" hidden="1">'Interface 현황 List'!$A$2:$AR$104</definedName>
    <definedName name="Z_94F6EF88_F3F3_4147_A0A6_D7D872310F87_.wvu.PrintArea" localSheetId="0" hidden="1">'개정 이력'!$A$1:$G$27</definedName>
    <definedName name="Z_97CF4AF6_E760_401E_806B_03C43C3F8CC2_.wvu.FilterData" localSheetId="2" hidden="1">'Interface 현황 List'!$A$2:$AU$5</definedName>
    <definedName name="Z_9C42C749_E16E_4DC0_991F_1D38A2D3BBE1_.wvu.Cols" localSheetId="2" hidden="1">'Interface 현황 List'!$J:$V</definedName>
    <definedName name="Z_9C42C749_E16E_4DC0_991F_1D38A2D3BBE1_.wvu.FilterData" localSheetId="2" hidden="1">'Interface 현황 List'!$A$2:$AR$103</definedName>
    <definedName name="Z_9C42C749_E16E_4DC0_991F_1D38A2D3BBE1_.wvu.PrintArea" localSheetId="0" hidden="1">'개정 이력'!$A$1:$G$27</definedName>
    <definedName name="Z_9FB0178D_AF58_44CF_B616_3F51069AC897_.wvu.FilterData" localSheetId="2" hidden="1">'Interface 현황 List'!$A$2:$AU$5</definedName>
    <definedName name="Z_A88807FE_0B97_4839_B5D2_3E1247A10202_.wvu.FilterData" localSheetId="2" hidden="1">'Interface 현황 List'!$A$1:$AE$5</definedName>
    <definedName name="Z_A902AB7A_1143_4C99_A5CF_C2E614814D7D_.wvu.FilterData" localSheetId="2" hidden="1">'Interface 현황 List'!$A$2:$AU$5</definedName>
    <definedName name="Z_AB2FE15C_3B6C_4441_872D_89EDC0F5858C_.wvu.FilterData" localSheetId="2" hidden="1">'Interface 현황 List'!$A$2:$AF$101</definedName>
    <definedName name="Z_AC39F0CE_5C1A_4EA9_8759_C0D6B9EECEF9_.wvu.FilterData" localSheetId="2" hidden="1">'Interface 현황 List'!$A$2:$AE$5</definedName>
    <definedName name="Z_AFD686BE_D41B_4427_A33D_6125E60DA178_.wvu.FilterData" localSheetId="2" hidden="1">'Interface 현황 List'!$A$2:$AU$5</definedName>
    <definedName name="Z_B0F24057_8587_4227_9F9D_FC8B4DE7C7EC_.wvu.FilterData" localSheetId="2" hidden="1">'Interface 현황 List'!$A$1:$AE$5</definedName>
    <definedName name="Z_B210F0AF_3955_4A1D_878A_82E4A4BAD38E_.wvu.FilterData" localSheetId="2" hidden="1">'Interface 현황 List'!$A$2:$AE$5</definedName>
    <definedName name="Z_B3155526_B389_44D1_85A4_8363CEF21AC5_.wvu.FilterData" localSheetId="2" hidden="1">'Interface 현황 List'!$A$2:$AE$5</definedName>
    <definedName name="Z_B32DF6D4_B4FC_4D21_932F_8389C8D7FEB3_.wvu.Cols" localSheetId="2" hidden="1">'Interface 현황 List'!$R:$V,'Interface 현황 List'!$AJ:$AK</definedName>
    <definedName name="Z_B32DF6D4_B4FC_4D21_932F_8389C8D7FEB3_.wvu.FilterData" localSheetId="2" hidden="1">'Interface 현황 List'!$A$2:$AR$103</definedName>
    <definedName name="Z_B32DF6D4_B4FC_4D21_932F_8389C8D7FEB3_.wvu.PrintArea" localSheetId="0" hidden="1">'개정 이력'!$A$1:$G$27</definedName>
    <definedName name="Z_B354BBC7_5FAD_4B5D_B20E_C22F0CF92562_.wvu.FilterData" localSheetId="2" hidden="1">'Interface 현황 List'!$A$2:$AE$5</definedName>
    <definedName name="Z_B446550E_3BBC_4C89_A484_A51573E0453C_.wvu.FilterData" localSheetId="2" hidden="1">'Interface 현황 List'!$A$2:$AR$103</definedName>
    <definedName name="Z_B8E1F10C_9628_4172_94EE_76C913B08EBC_.wvu.FilterData" localSheetId="2" hidden="1">'Interface 현황 List'!$A$2:$AU$5</definedName>
    <definedName name="Z_B8E2BCA8_D49C_4E21_B4B0_C936FB418608_.wvu.FilterData" localSheetId="2" hidden="1">'Interface 현황 List'!$A$2:$AE$5</definedName>
    <definedName name="Z_BC93521E_5956_4604_838A_B710DE534F03_.wvu.FilterData" localSheetId="2" hidden="1">'Interface 현황 List'!$A$2:$AU$2</definedName>
    <definedName name="Z_BD35D33B_318D_47D7_BBCE_45B742F5A93E_.wvu.FilterData" localSheetId="2" hidden="1">'Interface 현황 List'!$A$1:$AE$5</definedName>
    <definedName name="Z_C119B566_4CD2_4420_AA4B_D5E6F68091E6_.wvu.FilterData" localSheetId="2" hidden="1">'Interface 현황 List'!$A$2:$AU$93</definedName>
    <definedName name="Z_C18582EE_A1D4_4E7D_AC55_72842096AB7A_.wvu.FilterData" localSheetId="2" hidden="1">'Interface 현황 List'!$A$2:$AU$5</definedName>
    <definedName name="Z_C1FF7877_6FEC_4914_9BC6_798EE5E6F63E_.wvu.FilterData" localSheetId="2" hidden="1">'Interface 현황 List'!$A$2:$AE$5</definedName>
    <definedName name="Z_C45B2CAB_0069_46BE_93EE_A8C6A2B77324_.wvu.FilterData" localSheetId="2" hidden="1">'Interface 현황 List'!$A$2:$AF$93</definedName>
    <definedName name="Z_C488E563_7287_49A5_A451_C3581AAEA266_.wvu.FilterData" localSheetId="2" hidden="1">'Interface 현황 List'!$A$2:$AU$5</definedName>
    <definedName name="Z_C4AD57A3_7C9D_476E_B098_DD06889080C8_.wvu.FilterData" localSheetId="2" hidden="1">'Interface 현황 List'!$A$2:$AE$5</definedName>
    <definedName name="Z_C5EA88CE_3CCB_44FF_962B_3E9759D35436_.wvu.FilterData" localSheetId="2" hidden="1">'Interface 현황 List'!$A$1:$AE$5</definedName>
    <definedName name="Z_C66205D6_D9F3_4625_BF2A_5501B8B8EAF3_.wvu.FilterData" localSheetId="2" hidden="1">'Interface 현황 List'!$A$2:$AU$5</definedName>
    <definedName name="Z_C7063CD2_8330_4EF1_8DBF_41ECFB744387_.wvu.FilterData" localSheetId="2" hidden="1">'Interface 현황 List'!$A$2:$AU$5</definedName>
    <definedName name="Z_C86411AB_3201_4D38_BDE1_E67AE3E643E9_.wvu.FilterData" localSheetId="2" hidden="1">'Interface 현황 List'!$A$2:$AU$5</definedName>
    <definedName name="Z_C95F6DE2_5DE8_426A_9F41_055348D2C35F_.wvu.FilterData" localSheetId="2" hidden="1">'Interface 현황 List'!$A$2:$AU$5</definedName>
    <definedName name="Z_CBE8A305_F9C6_4A5F_8402_5DFA8223E88C_.wvu.FilterData" localSheetId="2" hidden="1">'Interface 현황 List'!$A$2:$AE$5</definedName>
    <definedName name="Z_CD71B796_949A_48A3_AF83_2F698BF0555B_.wvu.FilterData" localSheetId="2" hidden="1">'Interface 현황 List'!$A$2:$AU$5</definedName>
    <definedName name="Z_CDA44D19_C8C9_48CD_B46F_B94381E08EFC_.wvu.FilterData" localSheetId="2" hidden="1">'Interface 현황 List'!$A$2:$AU$5</definedName>
    <definedName name="Z_CDD9A582_E8CD_4DB6_8F7F_CA8C02CAD950_.wvu.FilterData" localSheetId="2" hidden="1">'Interface 현황 List'!$A$2:$AU$93</definedName>
    <definedName name="Z_CEA4BE4F_081E_4347_B6DC_7D60391B2BEE_.wvu.Cols" localSheetId="2" hidden="1">'Interface 현황 List'!#REF!,'Interface 현황 List'!$AJ:$AK,'Interface 현황 List'!$K:$K,'Interface 현황 List'!$N:$N,'Interface 현황 List'!$T:$U</definedName>
    <definedName name="Z_CEA4BE4F_081E_4347_B6DC_7D60391B2BEE_.wvu.FilterData" localSheetId="2" hidden="1">'Interface 현황 List'!$A$2:$AF$99</definedName>
    <definedName name="Z_CEA4BE4F_081E_4347_B6DC_7D60391B2BEE_.wvu.PrintArea" localSheetId="0" hidden="1">'개정 이력'!$A$1:$G$27</definedName>
    <definedName name="Z_CFF7135B_C9DF_41D7_9BC7_F5534DCDF67D_.wvu.FilterData" localSheetId="2" hidden="1">'Interface 현황 List'!$A$2:$AU$5</definedName>
    <definedName name="Z_D07BD0C8_2C09_49D9_B9AE_43882E41A1A1_.wvu.Cols" localSheetId="2" hidden="1">'Interface 현황 List'!$AJ:$AK,'Interface 현황 List'!$P:$AL,'Interface 현황 List'!#REF!</definedName>
    <definedName name="Z_D07BD0C8_2C09_49D9_B9AE_43882E41A1A1_.wvu.FilterData" localSheetId="2" hidden="1">'Interface 현황 List'!$A$2:$AU$5</definedName>
    <definedName name="Z_D096FF35_542B_4691_BEFD_FD1E12D459D4_.wvu.Cols" localSheetId="2" hidden="1">'Interface 현황 List'!$B:$B,'Interface 현황 List'!$R:$V,'Interface 현황 List'!$AJ:$AK</definedName>
    <definedName name="Z_D096FF35_542B_4691_BEFD_FD1E12D459D4_.wvu.FilterData" localSheetId="2" hidden="1">'Interface 현황 List'!$A$2:$AR$103</definedName>
    <definedName name="Z_D096FF35_542B_4691_BEFD_FD1E12D459D4_.wvu.PrintArea" localSheetId="0" hidden="1">'개정 이력'!$A$1:$G$27</definedName>
    <definedName name="Z_D15C44AF_0188_43AD_85C3_723784A3432F_.wvu.Cols" localSheetId="2" hidden="1">'Interface 현황 List'!$R:$V,'Interface 현황 List'!$AJ:$AK</definedName>
    <definedName name="Z_D15C44AF_0188_43AD_85C3_723784A3432F_.wvu.FilterData" localSheetId="2" hidden="1">'Interface 현황 List'!$A$2:$AR$103</definedName>
    <definedName name="Z_D15C44AF_0188_43AD_85C3_723784A3432F_.wvu.PrintArea" localSheetId="0" hidden="1">'개정 이력'!$A$1:$G$27</definedName>
    <definedName name="Z_D52C0F21_9ECF_4C7C_ADBD_F4C0A2F1E6CF_.wvu.FilterData" localSheetId="2" hidden="1">'Interface 현황 List'!$A$2:$AE$5</definedName>
    <definedName name="Z_D60F35FA_2D43_4CC4_A533_6134191F1487_.wvu.FilterData" localSheetId="2" hidden="1">'Interface 현황 List'!$A$2:$AU$5</definedName>
    <definedName name="Z_D7FF5B54_CB58_464B_B22D_333D57A0B1F4_.wvu.FilterData" localSheetId="2" hidden="1">'Interface 현황 List'!$A$2:$AU$5</definedName>
    <definedName name="Z_D84EEEAC_A195_41EC_8B6A_8CDC460978AE_.wvu.FilterData" localSheetId="2" hidden="1">'Interface 현황 List'!$A$2:$AU$5</definedName>
    <definedName name="Z_D9487573_9FA2_497E_843A_7FF8258CCFB0_.wvu.Cols" localSheetId="2" hidden="1">'Interface 현황 List'!$AS:$AU</definedName>
    <definedName name="Z_D9487573_9FA2_497E_843A_7FF8258CCFB0_.wvu.FilterData" localSheetId="2" hidden="1">'Interface 현황 List'!$A$2:$AE$5</definedName>
    <definedName name="Z_DA89554B_8645_415C_83E2_4891EEF36982_.wvu.FilterData" localSheetId="2" hidden="1">'Interface 현황 List'!$A$1:$AE$5</definedName>
    <definedName name="Z_DC867054_3739_4B6F_9DB2_100638169587_.wvu.FilterData" localSheetId="2" hidden="1">'Interface 현황 List'!$A$2:$AU$5</definedName>
    <definedName name="Z_DE587C76_C011_4185_BD5E_4C10FB7B5B97_.wvu.FilterData" localSheetId="2" hidden="1">'Interface 현황 List'!$A$1:$AE$5</definedName>
    <definedName name="Z_E21B0978_7290_46AA_8DC1_490E8BA76819_.wvu.FilterData" localSheetId="2" hidden="1">'Interface 현황 List'!$A$2:$AU$5</definedName>
    <definedName name="Z_E5323607_EC06_4FFB_8D18_F037D4B308BB_.wvu.FilterData" localSheetId="2" hidden="1">'Interface 현황 List'!$A$2:$AE$5</definedName>
    <definedName name="Z_E5B2ECC2_74C6_4DFA_AD58_B1FBC246E9C1_.wvu.FilterData" localSheetId="2" hidden="1">'Interface 현황 List'!$A$2:$AU$5</definedName>
    <definedName name="Z_E610FF6A_36C2_4AB8_847C_56913C606D0D_.wvu.FilterData" localSheetId="2" hidden="1">'Interface 현황 List'!$A$2:$AE$5</definedName>
    <definedName name="Z_E7629BC8_D553_40CD_A438_254032B6C668_.wvu.FilterData" localSheetId="2" hidden="1">'Interface 현황 List'!$A$2:$AE$5</definedName>
    <definedName name="Z_E7EB0FF9_066D_45A5_90BA_606A7F95E86E_.wvu.FilterData" localSheetId="2" hidden="1">'Interface 현황 List'!$A$2:$AU$5</definedName>
    <definedName name="Z_E7FD846E_2422_4497_87B5_EDC0E4933206_.wvu.FilterData" localSheetId="2" hidden="1">'Interface 현황 List'!$A$2:$AU$5</definedName>
    <definedName name="Z_EA030F9E_01F4_47C8_98BD_061EE25BD697_.wvu.FilterData" localSheetId="2" hidden="1">'Interface 현황 List'!$A$2:$AR$101</definedName>
    <definedName name="Z_ECAB4721_BF89_4BA7_A9B6_2B1F3786F785_.wvu.FilterData" localSheetId="2" hidden="1">'Interface 현황 List'!$A$2:$AE$5</definedName>
    <definedName name="Z_EDD1FDE0_FEB3_4052_BF99_11B9E0FBC447_.wvu.FilterData" localSheetId="2" hidden="1">'Interface 현황 List'!$A$2:$AE$5</definedName>
    <definedName name="Z_F0F48232_BB9C_4F47_B530_7A02F650743C_.wvu.FilterData" localSheetId="2" hidden="1">'Interface 현황 List'!$A$2:$AF$101</definedName>
    <definedName name="Z_F57C522D_530B_4CC0_B7B6_1AE9749C8D9A_.wvu.FilterData" localSheetId="2" hidden="1">'Interface 현황 List'!$A$1:$AE$5</definedName>
    <definedName name="Z_F68886C9_FC94_4AAB_8231_7CFE46771F2A_.wvu.FilterData" localSheetId="2" hidden="1">'Interface 현황 List'!$A$2:$AU$5</definedName>
    <definedName name="Z_F99D1739_93EF_486F_B575_EEE93C51D1F3_.wvu.FilterData" localSheetId="2" hidden="1">'Interface 현황 List'!$A$2:$AU$5</definedName>
    <definedName name="Z_FB6FFE74_0C5E_48AD_A444_AFDEA41DCEE7_.wvu.Cols" localSheetId="2" hidden="1">'Interface 현황 List'!$AJ:$AK,'Interface 현황 List'!$P:$AL</definedName>
    <definedName name="Z_FB6FFE74_0C5E_48AD_A444_AFDEA41DCEE7_.wvu.FilterData" localSheetId="2" hidden="1">'Interface 현황 List'!$A$2:$AV$5</definedName>
    <definedName name="Z_FD3284CF_77AC_45BD_B89C_DAD65DF77D0F_.wvu.FilterData" localSheetId="2" hidden="1">'Interface 현황 List'!$A$2:$AU$5</definedName>
    <definedName name="Z_FD8A0BCA_6932_49B3_8D42_01BE3930B434_.wvu.FilterData" localSheetId="2" hidden="1">'Interface 현황 List'!$A$2:$AU$5</definedName>
    <definedName name="Z_FE270B28_DA3D_431C_A4B5_C638684E9484_.wvu.FilterData" localSheetId="2" hidden="1">'Interface 현황 List'!$A$2:$AF$93</definedName>
    <definedName name="Z_FE950365_840B_4899_AB15_0DBD783AD2BC_.wvu.FilterData" localSheetId="2" hidden="1">'Interface 현황 List'!$A$2:$AU$5</definedName>
    <definedName name="금주월요일">'Interface 현황 List'!#REF!</definedName>
    <definedName name="금주일요일">'Interface 현황 List'!#REF!</definedName>
    <definedName name="테스트금주예정">'Interface 현황 List'!#REF!</definedName>
    <definedName name="테스트금주완료">'Interface 현황 List'!#REF!</definedName>
    <definedName name="테스트누적예정">'Interface 현황 List'!#REF!</definedName>
    <definedName name="테스트누적완료">'Interface 현황 List'!#REF!</definedName>
  </definedNames>
  <calcPr calcId="181029"/>
  <customWorkbookViews>
    <customWorkbookView name="탁창범 - 사용자 보기" guid="{94F6EF88-F3F3-4147-A0A6-D7D872310F87}" mergeInterval="0" personalView="1" maximized="1" xWindow="-1928" yWindow="-1" windowWidth="1936" windowHeight="1056" activeSheetId="3"/>
    <customWorkbookView name="정한석 - 사용자 보기" guid="{8743E475-82A8-40E3-A89F-2D0E584F91E0}" mergeInterval="0" personalView="1" maximized="1" xWindow="1" yWindow="1" windowWidth="1916" windowHeight="785" activeSheetId="3"/>
    <customWorkbookView name="ynmoon - 사용자 보기" guid="{7AA70812-ECD5-46F1-9429-36F5BE8AAEE9}" mergeInterval="0" personalView="1" maximized="1" xWindow="-9" yWindow="-9" windowWidth="1938" windowHeight="1048" tabRatio="527" activeSheetId="3"/>
    <customWorkbookView name="younj.lee - 사용자 보기" guid="{D15C44AF-0188-43AD-85C3-723784A3432F}" mergeInterval="0" personalView="1" maximized="1" xWindow="-9" yWindow="-9" windowWidth="1938" windowHeight="1048" activeSheetId="3"/>
    <customWorkbookView name="yoonjeum - 사용자 보기" guid="{9C42C749-E16E-4DC0-991F-1D38A2D3BBE1}" mergeInterval="0" personalView="1" maximized="1" xWindow="-9" yWindow="-9" windowWidth="1938" windowHeight="1048" activeSheetId="8"/>
    <customWorkbookView name="GSITM - 사용자 보기" guid="{53F47E00-189D-4661-B9AF-1164B563763A}" mergeInterval="0" personalView="1" maximized="1" xWindow="-2409" yWindow="-9" windowWidth="2418" windowHeight="1318" tabRatio="527" activeSheetId="3" showComments="commIndAndComment"/>
    <customWorkbookView name="김성후 - 사용자 보기" guid="{CEA4BE4F-081E-4347-B6DC-7D60391B2BEE}" mergeInterval="0" personalView="1" maximized="1" xWindow="-1929" yWindow="-122" windowWidth="1938" windowHeight="1218" activeSheetId="3"/>
    <customWorkbookView name="CS - 사용자 보기" guid="{D096FF35-542B-4691-BEFD-FD1E12D459D4}" mergeInterval="0" personalView="1" maximized="1" xWindow="1911" yWindow="-9" windowWidth="1938" windowHeight="1048" activeSheetId="3"/>
    <customWorkbookView name="shkim - 사용자 보기" guid="{B32DF6D4-B4FC-4D21-932F-8389C8D7FEB3}" mergeInterval="0" personalView="1" maximized="1" xWindow="-9" yWindow="-9" windowWidth="1938" windowHeight="1048" activeSheetId="3"/>
    <customWorkbookView name="inspien - 사용자 보기" guid="{8469C684-BE99-40EE-BB9E-2CBDA6F12C64}" mergeInterval="0" personalView="1" maximized="1" xWindow="1" yWindow="1" windowWidth="1440" windowHeight="672" tabRatio="527" activeSheetId="3"/>
  </customWorkbookViews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3" l="1"/>
  <c r="A104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1" i="3"/>
  <c r="A12" i="3"/>
  <c r="A13" i="3"/>
  <c r="F11" i="3"/>
  <c r="A10" i="3" l="1"/>
  <c r="F10" i="3"/>
  <c r="F100" i="3" l="1"/>
  <c r="N29" i="8" l="1"/>
  <c r="N27" i="8"/>
  <c r="N25" i="8"/>
  <c r="M29" i="8" l="1"/>
  <c r="O29" i="8" l="1"/>
  <c r="F9" i="3"/>
  <c r="A4" i="3"/>
  <c r="A5" i="3"/>
  <c r="A6" i="3"/>
  <c r="A7" i="3"/>
  <c r="A8" i="3"/>
  <c r="A9" i="3"/>
  <c r="F8" i="3" l="1"/>
  <c r="M15" i="8" l="1"/>
  <c r="M16" i="8" s="1"/>
  <c r="M13" i="8"/>
  <c r="M12" i="8"/>
  <c r="M11" i="8"/>
  <c r="M9" i="8"/>
  <c r="M8" i="8"/>
  <c r="M6" i="8"/>
  <c r="M5" i="8"/>
  <c r="M4" i="8"/>
  <c r="M14" i="8" l="1"/>
  <c r="M10" i="8"/>
  <c r="M7" i="8"/>
  <c r="B5" i="4" l="1"/>
  <c r="B6" i="4"/>
  <c r="B7" i="4"/>
  <c r="B8" i="4"/>
  <c r="B9" i="4"/>
  <c r="B4" i="4" l="1"/>
  <c r="Z91" i="3" l="1"/>
  <c r="F88" i="3" l="1"/>
  <c r="F4" i="3" l="1"/>
  <c r="F5" i="3"/>
  <c r="F6" i="3"/>
  <c r="F7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3" i="3"/>
  <c r="J24" i="8" s="1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9" i="3"/>
  <c r="F90" i="3"/>
  <c r="F91" i="3"/>
  <c r="F92" i="3"/>
  <c r="F93" i="3"/>
  <c r="F94" i="3"/>
  <c r="F95" i="3"/>
  <c r="F96" i="3"/>
  <c r="F97" i="3"/>
  <c r="F98" i="3"/>
  <c r="F99" i="3"/>
  <c r="F101" i="3"/>
  <c r="F3" i="3"/>
  <c r="N22" i="8" l="1"/>
  <c r="N26" i="8"/>
  <c r="J30" i="8"/>
  <c r="N30" i="8"/>
  <c r="N21" i="8"/>
  <c r="N23" i="8"/>
  <c r="N24" i="8"/>
  <c r="J28" i="8"/>
  <c r="N28" i="8"/>
  <c r="J22" i="8"/>
  <c r="J26" i="8"/>
  <c r="J21" i="8"/>
  <c r="J23" i="8"/>
  <c r="J29" i="8"/>
  <c r="J27" i="8"/>
  <c r="J25" i="8"/>
  <c r="I29" i="8"/>
  <c r="D29" i="8"/>
  <c r="Q29" i="8"/>
  <c r="F29" i="8"/>
  <c r="E29" i="8"/>
  <c r="Q21" i="8"/>
  <c r="Q30" i="8"/>
  <c r="M30" i="8"/>
  <c r="I30" i="8"/>
  <c r="F30" i="8"/>
  <c r="E30" i="8"/>
  <c r="D30" i="8"/>
  <c r="M26" i="8"/>
  <c r="F26" i="8"/>
  <c r="D26" i="8"/>
  <c r="Q26" i="8"/>
  <c r="M21" i="8"/>
  <c r="I22" i="8"/>
  <c r="F22" i="8"/>
  <c r="D22" i="8"/>
  <c r="Q22" i="8"/>
  <c r="M22" i="8"/>
  <c r="F24" i="8"/>
  <c r="D23" i="8"/>
  <c r="E24" i="8"/>
  <c r="F21" i="8"/>
  <c r="D24" i="8"/>
  <c r="Q23" i="8"/>
  <c r="E21" i="8"/>
  <c r="M23" i="8"/>
  <c r="D21" i="8"/>
  <c r="Q24" i="8"/>
  <c r="M24" i="8"/>
  <c r="F23" i="8"/>
  <c r="E23" i="8"/>
  <c r="E25" i="8"/>
  <c r="D25" i="8"/>
  <c r="Q27" i="8"/>
  <c r="M27" i="8"/>
  <c r="Q25" i="8"/>
  <c r="M25" i="8"/>
  <c r="I27" i="8"/>
  <c r="F27" i="8"/>
  <c r="I25" i="8"/>
  <c r="E27" i="8"/>
  <c r="F25" i="8"/>
  <c r="D27" i="8"/>
  <c r="Q28" i="8"/>
  <c r="M28" i="8"/>
  <c r="I28" i="8"/>
  <c r="F28" i="8"/>
  <c r="E28" i="8"/>
  <c r="D28" i="8"/>
  <c r="H29" i="8" l="1"/>
  <c r="G29" i="8"/>
  <c r="P29" i="8"/>
  <c r="R29" i="8" s="1"/>
  <c r="S29" i="8"/>
  <c r="L29" i="8"/>
  <c r="K29" i="8"/>
  <c r="M31" i="8"/>
  <c r="D31" i="8"/>
  <c r="F31" i="8"/>
  <c r="J31" i="8"/>
  <c r="N31" i="8"/>
  <c r="Q31" i="8"/>
  <c r="S21" i="8"/>
  <c r="P21" i="8"/>
  <c r="P26" i="8"/>
  <c r="R26" i="8" s="1"/>
  <c r="S26" i="8"/>
  <c r="G30" i="8"/>
  <c r="H30" i="8"/>
  <c r="H26" i="8"/>
  <c r="L30" i="8"/>
  <c r="K30" i="8"/>
  <c r="O30" i="8"/>
  <c r="L26" i="8"/>
  <c r="O26" i="8"/>
  <c r="S30" i="8"/>
  <c r="P30" i="8"/>
  <c r="R30" i="8" s="1"/>
  <c r="S28" i="8"/>
  <c r="P28" i="8"/>
  <c r="R28" i="8" s="1"/>
  <c r="L27" i="8"/>
  <c r="O27" i="8"/>
  <c r="K27" i="8"/>
  <c r="G23" i="8"/>
  <c r="H23" i="8"/>
  <c r="L21" i="8"/>
  <c r="O21" i="8"/>
  <c r="G25" i="8"/>
  <c r="H25" i="8"/>
  <c r="P25" i="8"/>
  <c r="R25" i="8" s="1"/>
  <c r="S25" i="8"/>
  <c r="O24" i="8"/>
  <c r="L24" i="8"/>
  <c r="P23" i="8"/>
  <c r="R23" i="8" s="1"/>
  <c r="S23" i="8"/>
  <c r="K22" i="8"/>
  <c r="O22" i="8"/>
  <c r="L22" i="8"/>
  <c r="P27" i="8"/>
  <c r="R27" i="8" s="1"/>
  <c r="S27" i="8"/>
  <c r="H21" i="8"/>
  <c r="G21" i="8"/>
  <c r="P22" i="8"/>
  <c r="S22" i="8"/>
  <c r="G28" i="8"/>
  <c r="H28" i="8"/>
  <c r="H27" i="8"/>
  <c r="G27" i="8"/>
  <c r="L23" i="8"/>
  <c r="O23" i="8"/>
  <c r="K28" i="8"/>
  <c r="L28" i="8"/>
  <c r="O28" i="8"/>
  <c r="O25" i="8"/>
  <c r="K25" i="8"/>
  <c r="L25" i="8"/>
  <c r="S24" i="8"/>
  <c r="P24" i="8"/>
  <c r="R24" i="8" s="1"/>
  <c r="H22" i="8"/>
  <c r="H24" i="8"/>
  <c r="G24" i="8"/>
  <c r="W18" i="3"/>
  <c r="R21" i="8" l="1"/>
  <c r="P31" i="8"/>
  <c r="R22" i="8"/>
  <c r="S31" i="8"/>
  <c r="Z19" i="3"/>
  <c r="O31" i="8" l="1"/>
  <c r="R31" i="8"/>
  <c r="I26" i="8"/>
  <c r="H31" i="8"/>
  <c r="L31" i="8"/>
  <c r="K26" i="8" l="1"/>
  <c r="W39" i="3"/>
  <c r="W38" i="3"/>
  <c r="W40" i="3" l="1"/>
  <c r="Q8" i="8" l="1"/>
  <c r="Q13" i="8"/>
  <c r="Q12" i="8"/>
  <c r="Q11" i="8"/>
  <c r="Q9" i="8"/>
  <c r="Q6" i="8"/>
  <c r="Q5" i="8"/>
  <c r="Q4" i="8"/>
  <c r="Q15" i="8"/>
  <c r="J15" i="8"/>
  <c r="I15" i="8"/>
  <c r="I16" i="8" s="1"/>
  <c r="J13" i="8"/>
  <c r="I13" i="8"/>
  <c r="J12" i="8"/>
  <c r="J11" i="8"/>
  <c r="I11" i="8"/>
  <c r="J9" i="8"/>
  <c r="J6" i="8"/>
  <c r="J5" i="8"/>
  <c r="J4" i="8"/>
  <c r="J8" i="8"/>
  <c r="F13" i="8"/>
  <c r="E13" i="8"/>
  <c r="F12" i="8"/>
  <c r="E12" i="8"/>
  <c r="F11" i="8"/>
  <c r="E11" i="8"/>
  <c r="F9" i="8"/>
  <c r="F8" i="8"/>
  <c r="F6" i="8"/>
  <c r="E6" i="8"/>
  <c r="F5" i="8"/>
  <c r="E5" i="8"/>
  <c r="F4" i="8"/>
  <c r="F15" i="8"/>
  <c r="E15" i="8"/>
  <c r="E16" i="8" s="1"/>
  <c r="E4" i="8"/>
  <c r="F6" i="7"/>
  <c r="N11" i="8" l="1"/>
  <c r="P5" i="8"/>
  <c r="R5" i="8" s="1"/>
  <c r="N12" i="8"/>
  <c r="P6" i="8"/>
  <c r="R6" i="8" s="1"/>
  <c r="N8" i="8"/>
  <c r="P9" i="8"/>
  <c r="R9" i="8" s="1"/>
  <c r="N4" i="8"/>
  <c r="N13" i="8"/>
  <c r="F16" i="8"/>
  <c r="N5" i="8"/>
  <c r="P12" i="8"/>
  <c r="R12" i="8" s="1"/>
  <c r="N6" i="8"/>
  <c r="N15" i="8"/>
  <c r="P13" i="8"/>
  <c r="N9" i="8"/>
  <c r="Q16" i="8"/>
  <c r="P8" i="8"/>
  <c r="R8" i="8" s="1"/>
  <c r="F10" i="8"/>
  <c r="E14" i="8"/>
  <c r="E7" i="8"/>
  <c r="F7" i="8"/>
  <c r="Q7" i="8"/>
  <c r="Q14" i="8"/>
  <c r="F14" i="8"/>
  <c r="J10" i="8"/>
  <c r="J14" i="8"/>
  <c r="P11" i="8"/>
  <c r="R11" i="8" s="1"/>
  <c r="P4" i="8"/>
  <c r="R4" i="8" s="1"/>
  <c r="J16" i="8"/>
  <c r="P15" i="8"/>
  <c r="R15" i="8" s="1"/>
  <c r="Q10" i="8"/>
  <c r="K15" i="8"/>
  <c r="K13" i="8"/>
  <c r="K11" i="8"/>
  <c r="J7" i="8"/>
  <c r="G13" i="8"/>
  <c r="G12" i="8"/>
  <c r="G11" i="8"/>
  <c r="G6" i="8"/>
  <c r="G5" i="8"/>
  <c r="G4" i="8"/>
  <c r="G15" i="8"/>
  <c r="W26" i="3"/>
  <c r="D13" i="8"/>
  <c r="H13" i="8" l="1"/>
  <c r="R13" i="8"/>
  <c r="G16" i="8"/>
  <c r="O6" i="8"/>
  <c r="O13" i="8"/>
  <c r="O5" i="8"/>
  <c r="O4" i="8"/>
  <c r="O9" i="8"/>
  <c r="O12" i="8"/>
  <c r="L13" i="8"/>
  <c r="S13" i="8"/>
  <c r="P14" i="8"/>
  <c r="P7" i="8"/>
  <c r="P16" i="8"/>
  <c r="G7" i="8"/>
  <c r="G14" i="8"/>
  <c r="F17" i="8"/>
  <c r="Q17" i="8"/>
  <c r="P10" i="8"/>
  <c r="N7" i="8"/>
  <c r="J17" i="8"/>
  <c r="N14" i="8"/>
  <c r="N10" i="8"/>
  <c r="N16" i="8"/>
  <c r="K16" i="8"/>
  <c r="O15" i="8"/>
  <c r="O8" i="8"/>
  <c r="O11" i="8"/>
  <c r="D15" i="8"/>
  <c r="D12" i="8"/>
  <c r="D11" i="8"/>
  <c r="D9" i="8"/>
  <c r="D8" i="8"/>
  <c r="D6" i="8"/>
  <c r="D5" i="8"/>
  <c r="D4" i="8"/>
  <c r="O16" i="8" l="1"/>
  <c r="R16" i="8"/>
  <c r="R7" i="8"/>
  <c r="R14" i="8"/>
  <c r="P17" i="8"/>
  <c r="R17" i="8" s="1"/>
  <c r="S9" i="8"/>
  <c r="H9" i="8"/>
  <c r="L9" i="8"/>
  <c r="L11" i="8"/>
  <c r="S11" i="8"/>
  <c r="H11" i="8"/>
  <c r="H12" i="8"/>
  <c r="L12" i="8"/>
  <c r="S12" i="8"/>
  <c r="H15" i="8"/>
  <c r="S15" i="8"/>
  <c r="L15" i="8"/>
  <c r="S4" i="8"/>
  <c r="L4" i="8"/>
  <c r="H4" i="8"/>
  <c r="H5" i="8"/>
  <c r="L5" i="8"/>
  <c r="S5" i="8"/>
  <c r="L6" i="8"/>
  <c r="S6" i="8"/>
  <c r="H6" i="8"/>
  <c r="S8" i="8"/>
  <c r="H8" i="8"/>
  <c r="L8" i="8"/>
  <c r="O14" i="8"/>
  <c r="R10" i="8"/>
  <c r="N17" i="8"/>
  <c r="O7" i="8"/>
  <c r="M17" i="8"/>
  <c r="D16" i="8"/>
  <c r="O10" i="8"/>
  <c r="D14" i="8"/>
  <c r="Y14" i="8" s="1"/>
  <c r="D10" i="8"/>
  <c r="Y10" i="8" s="1"/>
  <c r="D7" i="8"/>
  <c r="Y7" i="8" s="1"/>
  <c r="Y16" i="8" l="1"/>
  <c r="Z14" i="8"/>
  <c r="W14" i="8"/>
  <c r="V14" i="8"/>
  <c r="Z7" i="8"/>
  <c r="W7" i="8"/>
  <c r="V7" i="8"/>
  <c r="V16" i="8"/>
  <c r="W16" i="8"/>
  <c r="Z16" i="8"/>
  <c r="Z10" i="8"/>
  <c r="W10" i="8"/>
  <c r="H7" i="8"/>
  <c r="S7" i="8"/>
  <c r="L7" i="8"/>
  <c r="S10" i="8"/>
  <c r="L10" i="8"/>
  <c r="H10" i="8"/>
  <c r="H14" i="8"/>
  <c r="S14" i="8"/>
  <c r="L14" i="8"/>
  <c r="H16" i="8"/>
  <c r="L16" i="8"/>
  <c r="S16" i="8"/>
  <c r="O17" i="8"/>
  <c r="D17" i="8"/>
  <c r="H17" i="8" l="1"/>
  <c r="S17" i="8"/>
  <c r="L17" i="8"/>
  <c r="N24" i="2"/>
  <c r="K24" i="2"/>
  <c r="H24" i="2"/>
  <c r="E24" i="2"/>
  <c r="C4" i="6"/>
  <c r="C5" i="6" l="1"/>
  <c r="C6" i="6" l="1"/>
  <c r="H10" i="7"/>
  <c r="G10" i="7"/>
  <c r="F10" i="7"/>
  <c r="H8" i="7"/>
  <c r="G8" i="7"/>
  <c r="F8" i="7"/>
  <c r="F7" i="7"/>
  <c r="D7" i="7"/>
  <c r="C7" i="6" l="1"/>
  <c r="F9" i="7"/>
  <c r="D9" i="7"/>
  <c r="G6" i="7"/>
  <c r="E6" i="7"/>
  <c r="D6" i="7"/>
  <c r="C8" i="6" l="1"/>
  <c r="I12" i="8"/>
  <c r="W17" i="3"/>
  <c r="W19" i="3"/>
  <c r="W20" i="3"/>
  <c r="W21" i="3"/>
  <c r="W27" i="3"/>
  <c r="W28" i="3"/>
  <c r="W30" i="3"/>
  <c r="W31" i="3"/>
  <c r="W34" i="3"/>
  <c r="W36" i="3"/>
  <c r="W37" i="3"/>
  <c r="W41" i="3"/>
  <c r="W12" i="3"/>
  <c r="Z75" i="3"/>
  <c r="Z76" i="3"/>
  <c r="Z77" i="3"/>
  <c r="Z89" i="3"/>
  <c r="Z69" i="3"/>
  <c r="I21" i="8" l="1"/>
  <c r="I24" i="8"/>
  <c r="K24" i="8" s="1"/>
  <c r="E22" i="8"/>
  <c r="E26" i="8"/>
  <c r="G26" i="8" s="1"/>
  <c r="I5" i="8"/>
  <c r="K5" i="8" s="1"/>
  <c r="I23" i="8"/>
  <c r="E9" i="8"/>
  <c r="G9" i="8" s="1"/>
  <c r="I6" i="8"/>
  <c r="K6" i="8" s="1"/>
  <c r="I4" i="8"/>
  <c r="K4" i="8" s="1"/>
  <c r="I9" i="8"/>
  <c r="K9" i="8" s="1"/>
  <c r="E8" i="8"/>
  <c r="K12" i="8"/>
  <c r="I14" i="8"/>
  <c r="K14" i="8" s="1"/>
  <c r="I8" i="8"/>
  <c r="H9" i="7"/>
  <c r="C9" i="6"/>
  <c r="H7" i="7"/>
  <c r="E9" i="7"/>
  <c r="G7" i="7"/>
  <c r="H6" i="7"/>
  <c r="G9" i="7"/>
  <c r="D10" i="7"/>
  <c r="D8" i="7"/>
  <c r="D5" i="7"/>
  <c r="D4" i="7"/>
  <c r="D3" i="7"/>
  <c r="E31" i="8" l="1"/>
  <c r="I31" i="8"/>
  <c r="G22" i="8"/>
  <c r="K21" i="8"/>
  <c r="K23" i="8"/>
  <c r="I7" i="8"/>
  <c r="K7" i="8" s="1"/>
  <c r="I10" i="8"/>
  <c r="K10" i="8" s="1"/>
  <c r="K8" i="8"/>
  <c r="E10" i="8"/>
  <c r="V10" i="8" s="1"/>
  <c r="G8" i="8"/>
  <c r="A3" i="3"/>
  <c r="K31" i="8" l="1"/>
  <c r="G31" i="8"/>
  <c r="O69" i="2"/>
  <c r="O77" i="2"/>
  <c r="O57" i="2"/>
  <c r="O78" i="2"/>
  <c r="G57" i="2"/>
  <c r="G52" i="2"/>
  <c r="G53" i="2"/>
  <c r="O46" i="2"/>
  <c r="O62" i="2"/>
  <c r="O45" i="2"/>
  <c r="O66" i="2"/>
  <c r="O49" i="2"/>
  <c r="O67" i="2"/>
  <c r="O51" i="2"/>
  <c r="O63" i="2"/>
  <c r="O53" i="2"/>
  <c r="O48" i="2"/>
  <c r="O44" i="2"/>
  <c r="O65" i="2"/>
  <c r="O68" i="2"/>
  <c r="O72" i="2"/>
  <c r="O54" i="2"/>
  <c r="O60" i="2"/>
  <c r="O70" i="2"/>
  <c r="O74" i="2"/>
  <c r="O52" i="2"/>
  <c r="O56" i="2"/>
  <c r="O58" i="2"/>
  <c r="O61" i="2"/>
  <c r="O75" i="2"/>
  <c r="O59" i="2"/>
  <c r="O79" i="2"/>
  <c r="O50" i="2"/>
  <c r="O47" i="2"/>
  <c r="O71" i="2"/>
  <c r="O64" i="2"/>
  <c r="O73" i="2"/>
  <c r="O76" i="2"/>
  <c r="O80" i="2"/>
  <c r="O55" i="2"/>
  <c r="G68" i="2"/>
  <c r="G71" i="2"/>
  <c r="G76" i="2"/>
  <c r="G45" i="2"/>
  <c r="G56" i="2"/>
  <c r="G65" i="2"/>
  <c r="G67" i="2"/>
  <c r="G51" i="2"/>
  <c r="G64" i="2"/>
  <c r="G54" i="2"/>
  <c r="G70" i="2"/>
  <c r="G72" i="2"/>
  <c r="G58" i="2"/>
  <c r="G75" i="2"/>
  <c r="G80" i="2"/>
  <c r="G62" i="2"/>
  <c r="G49" i="2"/>
  <c r="G44" i="2"/>
  <c r="G50" i="2"/>
  <c r="M71" i="2"/>
  <c r="G63" i="2"/>
  <c r="G55" i="2"/>
  <c r="G46" i="2"/>
  <c r="G79" i="2"/>
  <c r="G73" i="2"/>
  <c r="G77" i="2"/>
  <c r="G61" i="2"/>
  <c r="G48" i="2"/>
  <c r="G59" i="2"/>
  <c r="G74" i="2"/>
  <c r="G66" i="2"/>
  <c r="G47" i="2"/>
  <c r="G60" i="2"/>
  <c r="G69" i="2"/>
  <c r="G78" i="2"/>
  <c r="I17" i="8"/>
  <c r="K17" i="8" s="1"/>
  <c r="E17" i="8"/>
  <c r="G17" i="8" s="1"/>
  <c r="G10" i="8"/>
  <c r="M76" i="2"/>
  <c r="M78" i="2"/>
  <c r="M64" i="2"/>
  <c r="M49" i="2"/>
  <c r="M80" i="2"/>
  <c r="M62" i="2"/>
  <c r="M46" i="2"/>
  <c r="M57" i="2"/>
  <c r="M60" i="2"/>
  <c r="M54" i="2"/>
  <c r="M59" i="2"/>
  <c r="M70" i="2"/>
  <c r="M50" i="2"/>
  <c r="M47" i="2"/>
  <c r="M48" i="2"/>
  <c r="M68" i="2"/>
  <c r="M66" i="2"/>
  <c r="M65" i="2"/>
  <c r="M61" i="2"/>
  <c r="M52" i="2"/>
  <c r="M51" i="2"/>
  <c r="M72" i="2"/>
  <c r="M73" i="2"/>
  <c r="M58" i="2"/>
  <c r="M79" i="2"/>
  <c r="M53" i="2"/>
  <c r="M74" i="2"/>
  <c r="M69" i="2"/>
  <c r="M67" i="2"/>
  <c r="M45" i="2"/>
  <c r="M75" i="2"/>
  <c r="M44" i="2"/>
  <c r="M56" i="2"/>
  <c r="M55" i="2"/>
  <c r="M77" i="2"/>
  <c r="M63" i="2"/>
  <c r="I43" i="2"/>
  <c r="I47" i="2"/>
  <c r="I77" i="2"/>
  <c r="I76" i="2"/>
  <c r="I54" i="2"/>
  <c r="I80" i="2"/>
  <c r="I69" i="2"/>
  <c r="I75" i="2"/>
  <c r="I63" i="2"/>
  <c r="I45" i="2"/>
  <c r="I64" i="2"/>
  <c r="I59" i="2"/>
  <c r="I61" i="2"/>
  <c r="I51" i="2"/>
  <c r="I74" i="2"/>
  <c r="I67" i="2"/>
  <c r="I57" i="2"/>
  <c r="I71" i="2"/>
  <c r="I78" i="2"/>
  <c r="I65" i="2"/>
  <c r="I68" i="2"/>
  <c r="I48" i="2"/>
  <c r="I66" i="2"/>
  <c r="I52" i="2"/>
  <c r="I58" i="2"/>
  <c r="I55" i="2"/>
  <c r="I60" i="2"/>
  <c r="I79" i="2"/>
  <c r="I49" i="2"/>
  <c r="I46" i="2"/>
  <c r="I53" i="2"/>
  <c r="I50" i="2"/>
  <c r="I62" i="2"/>
  <c r="I70" i="2"/>
  <c r="I72" i="2"/>
  <c r="L73" i="2"/>
  <c r="I73" i="2"/>
  <c r="I56" i="2"/>
  <c r="F74" i="2"/>
  <c r="F75" i="2"/>
  <c r="F76" i="2"/>
  <c r="F53" i="2"/>
  <c r="F62" i="2"/>
  <c r="F63" i="2"/>
  <c r="F70" i="2"/>
  <c r="F56" i="2"/>
  <c r="F66" i="2"/>
  <c r="F54" i="2"/>
  <c r="F50" i="2"/>
  <c r="F52" i="2"/>
  <c r="F51" i="2"/>
  <c r="F61" i="2"/>
  <c r="F78" i="2"/>
  <c r="F71" i="2"/>
  <c r="F72" i="2"/>
  <c r="F64" i="2"/>
  <c r="F73" i="2"/>
  <c r="F43" i="2"/>
  <c r="F60" i="2"/>
  <c r="F67" i="2"/>
  <c r="F69" i="2"/>
  <c r="F47" i="2"/>
  <c r="F79" i="2"/>
  <c r="F80" i="2"/>
  <c r="F59" i="2"/>
  <c r="F68" i="2"/>
  <c r="F45" i="2"/>
  <c r="F77" i="2"/>
  <c r="F55" i="2"/>
  <c r="F46" i="2"/>
  <c r="F48" i="2"/>
  <c r="F49" i="2"/>
  <c r="F58" i="2"/>
  <c r="F57" i="2"/>
  <c r="F65" i="2"/>
  <c r="D77" i="2"/>
  <c r="D46" i="2"/>
  <c r="D74" i="2"/>
  <c r="D75" i="2"/>
  <c r="D55" i="2"/>
  <c r="D57" i="2"/>
  <c r="D66" i="2"/>
  <c r="D54" i="2"/>
  <c r="D49" i="2"/>
  <c r="D52" i="2"/>
  <c r="D69" i="2"/>
  <c r="D60" i="2"/>
  <c r="D71" i="2"/>
  <c r="D65" i="2"/>
  <c r="D63" i="2"/>
  <c r="D58" i="2"/>
  <c r="D80" i="2"/>
  <c r="D44" i="2"/>
  <c r="D51" i="2"/>
  <c r="D73" i="2"/>
  <c r="D59" i="2"/>
  <c r="D67" i="2"/>
  <c r="D50" i="2"/>
  <c r="D72" i="2"/>
  <c r="D68" i="2"/>
  <c r="D76" i="2"/>
  <c r="D45" i="2"/>
  <c r="D53" i="2"/>
  <c r="D79" i="2"/>
  <c r="D56" i="2"/>
  <c r="D64" i="2"/>
  <c r="D47" i="2"/>
  <c r="D48" i="2"/>
  <c r="D62" i="2"/>
  <c r="D70" i="2"/>
  <c r="D78" i="2"/>
  <c r="D61" i="2"/>
  <c r="J67" i="2"/>
  <c r="J65" i="2"/>
  <c r="J80" i="2"/>
  <c r="J64" i="2"/>
  <c r="J57" i="2"/>
  <c r="J47" i="2"/>
  <c r="J69" i="2"/>
  <c r="J56" i="2"/>
  <c r="J78" i="2"/>
  <c r="J54" i="2"/>
  <c r="J48" i="2"/>
  <c r="J71" i="2"/>
  <c r="J46" i="2"/>
  <c r="J72" i="2"/>
  <c r="J62" i="2"/>
  <c r="J52" i="2"/>
  <c r="J74" i="2"/>
  <c r="J61" i="2"/>
  <c r="J45" i="2"/>
  <c r="J55" i="2"/>
  <c r="J75" i="2"/>
  <c r="J51" i="2"/>
  <c r="J44" i="2"/>
  <c r="J70" i="2"/>
  <c r="J59" i="2"/>
  <c r="J79" i="2"/>
  <c r="J66" i="2"/>
  <c r="J53" i="2"/>
  <c r="J60" i="2"/>
  <c r="J76" i="2"/>
  <c r="J58" i="2"/>
  <c r="J50" i="2"/>
  <c r="J77" i="2"/>
  <c r="J63" i="2"/>
  <c r="J49" i="2"/>
  <c r="J73" i="2"/>
  <c r="J68" i="2"/>
  <c r="L58" i="2"/>
  <c r="L70" i="2"/>
  <c r="L65" i="2"/>
  <c r="L52" i="2"/>
  <c r="L47" i="2"/>
  <c r="L77" i="2"/>
  <c r="L80" i="2"/>
  <c r="L68" i="2"/>
  <c r="L63" i="2"/>
  <c r="L49" i="2"/>
  <c r="C43" i="2"/>
  <c r="C47" i="2"/>
  <c r="C61" i="2"/>
  <c r="C74" i="2"/>
  <c r="C63" i="2"/>
  <c r="C56" i="2"/>
  <c r="C51" i="2"/>
  <c r="C62" i="2"/>
  <c r="C59" i="2"/>
  <c r="C69" i="2"/>
  <c r="C72" i="2"/>
  <c r="C49" i="2"/>
  <c r="C64" i="2"/>
  <c r="C68" i="2"/>
  <c r="C53" i="2"/>
  <c r="C76" i="2"/>
  <c r="C45" i="2"/>
  <c r="C46" i="2"/>
  <c r="C80" i="2"/>
  <c r="C58" i="2"/>
  <c r="C54" i="2"/>
  <c r="C50" i="2"/>
  <c r="C48" i="2"/>
  <c r="C78" i="2"/>
  <c r="C52" i="2"/>
  <c r="C70" i="2"/>
  <c r="C57" i="2"/>
  <c r="C71" i="2"/>
  <c r="C60" i="2"/>
  <c r="C65" i="2"/>
  <c r="C79" i="2"/>
  <c r="C75" i="2"/>
  <c r="C73" i="2"/>
  <c r="C66" i="2"/>
  <c r="C77" i="2"/>
  <c r="C67" i="2"/>
  <c r="C55" i="2"/>
  <c r="L59" i="2"/>
  <c r="L43" i="2"/>
  <c r="L57" i="2"/>
  <c r="L53" i="2"/>
  <c r="L56" i="2"/>
  <c r="L45" i="2"/>
  <c r="L48" i="2"/>
  <c r="L69" i="2"/>
  <c r="L72" i="2"/>
  <c r="L60" i="2"/>
  <c r="L55" i="2"/>
  <c r="L50" i="2"/>
  <c r="L62" i="2"/>
  <c r="L75" i="2"/>
  <c r="L54" i="2"/>
  <c r="L66" i="2"/>
  <c r="L78" i="2"/>
  <c r="L74" i="2"/>
  <c r="L61" i="2"/>
  <c r="L64" i="2"/>
  <c r="L51" i="2"/>
  <c r="L79" i="2"/>
  <c r="L76" i="2"/>
  <c r="L71" i="2"/>
  <c r="L67" i="2"/>
  <c r="L46" i="2"/>
  <c r="H3" i="7"/>
  <c r="G3" i="7"/>
  <c r="F3" i="7"/>
  <c r="E3" i="7"/>
  <c r="O24" i="2" l="1"/>
  <c r="O41" i="2"/>
  <c r="G24" i="2"/>
  <c r="G41" i="2"/>
  <c r="M24" i="2"/>
  <c r="M41" i="2"/>
  <c r="I24" i="2"/>
  <c r="J24" i="2"/>
  <c r="I41" i="2"/>
  <c r="D24" i="2"/>
  <c r="C24" i="2"/>
  <c r="L5" i="2"/>
  <c r="J5" i="2"/>
  <c r="M5" i="2"/>
  <c r="O5" i="2"/>
  <c r="C5" i="2"/>
  <c r="J41" i="2"/>
  <c r="F24" i="2"/>
  <c r="F5" i="2"/>
  <c r="I5" i="2"/>
  <c r="G5" i="2"/>
  <c r="C41" i="2"/>
  <c r="F41" i="2"/>
  <c r="D5" i="2"/>
  <c r="L24" i="2"/>
  <c r="L41" i="2"/>
  <c r="D41" i="2"/>
  <c r="I3" i="7"/>
  <c r="E10" i="7"/>
  <c r="E8" i="7"/>
  <c r="E7" i="7"/>
  <c r="H5" i="7"/>
  <c r="G5" i="7"/>
  <c r="F5" i="7"/>
  <c r="E5" i="7"/>
  <c r="F4" i="7"/>
  <c r="H4" i="7"/>
  <c r="I10" i="7" l="1"/>
  <c r="J10" i="7" s="1"/>
  <c r="I8" i="7"/>
  <c r="J7" i="7" s="1"/>
  <c r="I7" i="7"/>
  <c r="I5" i="7"/>
  <c r="J4" i="7" s="1"/>
  <c r="G4" i="7"/>
  <c r="E4" i="7"/>
  <c r="I4" i="7" l="1"/>
  <c r="I9" i="7" l="1"/>
  <c r="I6" i="7"/>
</calcChain>
</file>

<file path=xl/sharedStrings.xml><?xml version="1.0" encoding="utf-8"?>
<sst xmlns="http://schemas.openxmlformats.org/spreadsheetml/2006/main" count="2922" uniqueCount="740">
  <si>
    <t>순번</t>
    <phoneticPr fontId="1" type="noConversion"/>
  </si>
  <si>
    <t>Module</t>
    <phoneticPr fontId="1" type="noConversion"/>
  </si>
  <si>
    <t>Data 정보</t>
    <phoneticPr fontId="1" type="noConversion"/>
  </si>
  <si>
    <t>Source 시스템</t>
    <phoneticPr fontId="1" type="noConversion"/>
  </si>
  <si>
    <t>Target 시스템</t>
    <phoneticPr fontId="1" type="noConversion"/>
  </si>
  <si>
    <t>담당자</t>
    <phoneticPr fontId="1" type="noConversion"/>
  </si>
  <si>
    <t>IF 유형정보</t>
    <phoneticPr fontId="1" type="noConversion"/>
  </si>
  <si>
    <t>개발차수</t>
    <phoneticPr fontId="2" type="noConversion"/>
  </si>
  <si>
    <t>비고</t>
    <phoneticPr fontId="3" type="noConversion"/>
  </si>
  <si>
    <t>EAI 시스템</t>
    <phoneticPr fontId="1" type="noConversion"/>
  </si>
  <si>
    <t>Target(수신)시스템</t>
    <phoneticPr fontId="1" type="noConversion"/>
  </si>
  <si>
    <t>최종수정일</t>
    <phoneticPr fontId="3" type="noConversion"/>
  </si>
  <si>
    <t>운영오픈</t>
    <phoneticPr fontId="3" type="noConversion"/>
  </si>
  <si>
    <t>I/F ID</t>
    <phoneticPr fontId="1" type="noConversion"/>
  </si>
  <si>
    <t>Interface 명</t>
    <phoneticPr fontId="1" type="noConversion"/>
  </si>
  <si>
    <t>유형 (1.Master, 2.2.Transaction)</t>
  </si>
  <si>
    <t>세부 내용</t>
    <phoneticPr fontId="1" type="noConversion"/>
  </si>
  <si>
    <t>구분</t>
    <phoneticPr fontId="1" type="noConversion"/>
  </si>
  <si>
    <t>Source</t>
    <phoneticPr fontId="1" type="noConversion"/>
  </si>
  <si>
    <t>EAI</t>
    <phoneticPr fontId="1" type="noConversion"/>
  </si>
  <si>
    <t>Traget</t>
    <phoneticPr fontId="1" type="noConversion"/>
  </si>
  <si>
    <t>Type</t>
    <phoneticPr fontId="1" type="noConversion"/>
  </si>
  <si>
    <t>Mode</t>
    <phoneticPr fontId="1" type="noConversion"/>
  </si>
  <si>
    <t>I/F방식</t>
    <phoneticPr fontId="1" type="noConversion"/>
  </si>
  <si>
    <t>I/F 유형</t>
    <phoneticPr fontId="1" type="noConversion"/>
  </si>
  <si>
    <t>Record단위 Size
(KB)</t>
    <phoneticPr fontId="1" type="noConversion"/>
  </si>
  <si>
    <t>Record 건수
(1회 전송)</t>
    <phoneticPr fontId="1" type="noConversion"/>
  </si>
  <si>
    <t>개발자</t>
    <phoneticPr fontId="1" type="noConversion"/>
  </si>
  <si>
    <t>1.EAI</t>
  </si>
  <si>
    <t>홍창수</t>
    <phoneticPr fontId="1" type="noConversion"/>
  </si>
  <si>
    <t>Source(송신)시스템</t>
    <phoneticPr fontId="1" type="noConversion"/>
  </si>
  <si>
    <t>산출물 리뷰 Tracker</t>
    <phoneticPr fontId="1" type="noConversion"/>
  </si>
  <si>
    <t>Module : (모듈명)</t>
    <phoneticPr fontId="1" type="noConversion"/>
  </si>
  <si>
    <t>문서 개정 이력</t>
    <phoneticPr fontId="1" type="noConversion"/>
  </si>
  <si>
    <t>개정 번호</t>
    <phoneticPr fontId="1" type="noConversion"/>
  </si>
  <si>
    <t>개정 내역 요약</t>
    <phoneticPr fontId="1" type="noConversion"/>
  </si>
  <si>
    <t>작성자</t>
    <phoneticPr fontId="1" type="noConversion"/>
  </si>
  <si>
    <t>비고</t>
    <phoneticPr fontId="1" type="noConversion"/>
  </si>
  <si>
    <t>성명</t>
    <phoneticPr fontId="1" type="noConversion"/>
  </si>
  <si>
    <t>일자</t>
    <phoneticPr fontId="1" type="noConversion"/>
  </si>
  <si>
    <t>V0.1</t>
    <phoneticPr fontId="1" type="noConversion"/>
  </si>
  <si>
    <t>초기 작성</t>
    <phoneticPr fontId="1" type="noConversion"/>
  </si>
  <si>
    <t>2020.11.03</t>
    <phoneticPr fontId="1" type="noConversion"/>
  </si>
  <si>
    <t>작성계획일</t>
    <phoneticPr fontId="1" type="noConversion"/>
  </si>
  <si>
    <t>작성완료일</t>
    <phoneticPr fontId="1" type="noConversion"/>
  </si>
  <si>
    <t>작성자</t>
    <phoneticPr fontId="1" type="noConversion"/>
  </si>
  <si>
    <t>개발완료일</t>
    <phoneticPr fontId="1" type="noConversion"/>
  </si>
  <si>
    <t>개발계획일</t>
    <phoneticPr fontId="1" type="noConversion"/>
  </si>
  <si>
    <t>개발계획일</t>
    <phoneticPr fontId="1" type="noConversion"/>
  </si>
  <si>
    <t>개발계획일</t>
    <phoneticPr fontId="1" type="noConversion"/>
  </si>
  <si>
    <t>개발완료일</t>
    <phoneticPr fontId="1" type="noConversion"/>
  </si>
  <si>
    <t>FI</t>
  </si>
  <si>
    <t>MM</t>
  </si>
  <si>
    <t>SD</t>
  </si>
  <si>
    <t>Mapping Spec</t>
    <phoneticPr fontId="1" type="noConversion"/>
  </si>
  <si>
    <t>연계테스트 완료일</t>
    <phoneticPr fontId="3" type="noConversion"/>
  </si>
  <si>
    <t>Mapping
Spec</t>
    <phoneticPr fontId="1" type="noConversion"/>
  </si>
  <si>
    <t>PO
개발</t>
    <phoneticPr fontId="1" type="noConversion"/>
  </si>
  <si>
    <t>테스트</t>
    <phoneticPr fontId="1" type="noConversion"/>
  </si>
  <si>
    <t>CO</t>
    <phoneticPr fontId="1" type="noConversion"/>
  </si>
  <si>
    <t>작성 완료</t>
    <phoneticPr fontId="1" type="noConversion"/>
  </si>
  <si>
    <t xml:space="preserve"> 작성 지연</t>
    <phoneticPr fontId="1" type="noConversion"/>
  </si>
  <si>
    <t>개발 완료</t>
    <phoneticPr fontId="1" type="noConversion"/>
  </si>
  <si>
    <t>개발 지연</t>
    <phoneticPr fontId="1" type="noConversion"/>
  </si>
  <si>
    <t>연계테스트 완료</t>
    <phoneticPr fontId="1" type="noConversion"/>
  </si>
  <si>
    <t>V1.0</t>
    <phoneticPr fontId="1" type="noConversion"/>
  </si>
  <si>
    <t>진척률 업데이트</t>
    <phoneticPr fontId="1" type="noConversion"/>
  </si>
  <si>
    <t>홍창수</t>
    <phoneticPr fontId="1" type="noConversion"/>
  </si>
  <si>
    <t>2020.11.04</t>
    <phoneticPr fontId="1" type="noConversion"/>
  </si>
  <si>
    <t>1차통테전</t>
  </si>
  <si>
    <t>2.Transaction</t>
  </si>
  <si>
    <t>CO0010</t>
    <phoneticPr fontId="2" type="noConversion"/>
  </si>
  <si>
    <t>e-hr 사원별 인사부서 코드 IF수신</t>
    <phoneticPr fontId="1" type="noConversion"/>
  </si>
  <si>
    <t>1 Step 특이사항 없음</t>
    <phoneticPr fontId="1" type="noConversion"/>
  </si>
  <si>
    <t>ERP</t>
    <phoneticPr fontId="1" type="noConversion"/>
  </si>
  <si>
    <t>SD</t>
    <phoneticPr fontId="1" type="noConversion"/>
  </si>
  <si>
    <t>PRM</t>
    <phoneticPr fontId="1" type="noConversion"/>
  </si>
  <si>
    <t>POS/PRM</t>
    <phoneticPr fontId="1" type="noConversion"/>
  </si>
  <si>
    <t>이윤정</t>
    <phoneticPr fontId="1" type="noConversion"/>
  </si>
  <si>
    <t>홍창수</t>
    <phoneticPr fontId="1" type="noConversion"/>
  </si>
  <si>
    <t>권오신</t>
    <phoneticPr fontId="1" type="noConversion"/>
  </si>
  <si>
    <t>Sync</t>
    <phoneticPr fontId="2" type="noConversion"/>
  </si>
  <si>
    <t>이윤정</t>
    <phoneticPr fontId="1" type="noConversion"/>
  </si>
  <si>
    <t>목록</t>
    <phoneticPr fontId="1" type="noConversion"/>
  </si>
  <si>
    <t>목록수</t>
    <phoneticPr fontId="1" type="noConversion"/>
  </si>
  <si>
    <t>김병선</t>
    <phoneticPr fontId="1" type="noConversion"/>
  </si>
  <si>
    <t>김진열</t>
  </si>
  <si>
    <t>WMS</t>
    <phoneticPr fontId="1" type="noConversion"/>
  </si>
  <si>
    <t>OMS</t>
    <phoneticPr fontId="1" type="noConversion"/>
  </si>
  <si>
    <t>정한석</t>
  </si>
  <si>
    <t>한철기</t>
    <phoneticPr fontId="1" type="noConversion"/>
  </si>
  <si>
    <t>김태형</t>
  </si>
  <si>
    <t>저장위치간 이동결과 IF수신(WMS → ERP)</t>
  </si>
  <si>
    <t>2차통테전</t>
  </si>
  <si>
    <t>SD0010</t>
    <phoneticPr fontId="1" type="noConversion"/>
  </si>
  <si>
    <t>SD0130</t>
  </si>
  <si>
    <t>SD0280</t>
  </si>
  <si>
    <t>SD0340</t>
  </si>
  <si>
    <t>SD0350</t>
  </si>
  <si>
    <t>SD0370</t>
  </si>
  <si>
    <t>SD0380</t>
  </si>
  <si>
    <t>MM</t>
    <phoneticPr fontId="1" type="noConversion"/>
  </si>
  <si>
    <t>MM</t>
    <phoneticPr fontId="1" type="noConversion"/>
  </si>
  <si>
    <t>자재마스터 등록 (ERP -&gt; 구매포탈)</t>
    <phoneticPr fontId="1" type="noConversion"/>
  </si>
  <si>
    <t>1.Master</t>
  </si>
  <si>
    <t>ERP</t>
    <phoneticPr fontId="1" type="noConversion"/>
  </si>
  <si>
    <t>구매포탈</t>
    <phoneticPr fontId="1" type="noConversion"/>
  </si>
  <si>
    <t>박흥서</t>
    <phoneticPr fontId="1" type="noConversion"/>
  </si>
  <si>
    <t>박흥서</t>
    <phoneticPr fontId="1" type="noConversion"/>
  </si>
  <si>
    <t>홍창수</t>
    <phoneticPr fontId="1" type="noConversion"/>
  </si>
  <si>
    <t>권오신</t>
    <phoneticPr fontId="1" type="noConversion"/>
  </si>
  <si>
    <t>권오신</t>
    <phoneticPr fontId="1" type="noConversion"/>
  </si>
  <si>
    <t>위성종</t>
    <phoneticPr fontId="1" type="noConversion"/>
  </si>
  <si>
    <t>위성종</t>
    <phoneticPr fontId="1" type="noConversion"/>
  </si>
  <si>
    <t>홍창수</t>
  </si>
  <si>
    <t>자재마스터 변경 (구매포탈 -&gt; ERP)</t>
    <phoneticPr fontId="1" type="noConversion"/>
  </si>
  <si>
    <t>MM0030</t>
  </si>
  <si>
    <t>업체마스터 등록 (ERP -&gt; 구매포탈)</t>
    <phoneticPr fontId="1" type="noConversion"/>
  </si>
  <si>
    <t>견적서 등록 (구매포탈 -&gt; ERP)</t>
    <phoneticPr fontId="1" type="noConversion"/>
  </si>
  <si>
    <t>MM0050</t>
  </si>
  <si>
    <t>견적서 승인/거절 (ERP -&gt; 구매포탈)</t>
    <phoneticPr fontId="1" type="noConversion"/>
  </si>
  <si>
    <t>BOM 마스터 등록 (ERP -&gt; 구매포탈)</t>
    <phoneticPr fontId="1" type="noConversion"/>
  </si>
  <si>
    <t>발주 등록/변경 (ERP -&gt; 구매포탈)</t>
    <phoneticPr fontId="1" type="noConversion"/>
  </si>
  <si>
    <t xml:space="preserve">발주 확정 (구매포탈 -&gt; ERP) </t>
    <phoneticPr fontId="1" type="noConversion"/>
  </si>
  <si>
    <t>납품예정정보 (구매포탈 -&gt; ERP)</t>
    <phoneticPr fontId="1" type="noConversion"/>
  </si>
  <si>
    <t>입고의뢰 등록 (구매포탈 -&gt; ERP)</t>
    <phoneticPr fontId="1" type="noConversion"/>
  </si>
  <si>
    <t>권오신</t>
  </si>
  <si>
    <t>입고 처리 (구매포탈 -&gt; ERP)</t>
    <phoneticPr fontId="1" type="noConversion"/>
  </si>
  <si>
    <t>MM0140</t>
  </si>
  <si>
    <t>물류지시 (거래명세서) I/F (ERP -&gt; WMS)</t>
    <phoneticPr fontId="1" type="noConversion"/>
  </si>
  <si>
    <t>WMS</t>
    <phoneticPr fontId="1" type="noConversion"/>
  </si>
  <si>
    <t>MM0150</t>
  </si>
  <si>
    <t>입고결과 I/F (WMS -&gt; ERP)</t>
    <phoneticPr fontId="1" type="noConversion"/>
  </si>
  <si>
    <t>입고결과 I/F (WMS -&gt; ERP)</t>
    <phoneticPr fontId="1" type="noConversion"/>
  </si>
  <si>
    <t>합부판정 입력 (ERP -&gt; WMS)</t>
    <phoneticPr fontId="1" type="noConversion"/>
  </si>
  <si>
    <t>MM0170</t>
  </si>
  <si>
    <t>GW</t>
    <phoneticPr fontId="1" type="noConversion"/>
  </si>
  <si>
    <t>코비전</t>
    <phoneticPr fontId="1" type="noConversion"/>
  </si>
  <si>
    <t>MM0200</t>
  </si>
  <si>
    <t>매입확정  (ERP -&gt; 구매포탈 )</t>
    <phoneticPr fontId="1" type="noConversion"/>
  </si>
  <si>
    <t>매입확정 확인  (구매포탈 -&gt; ERP)</t>
    <phoneticPr fontId="1" type="noConversion"/>
  </si>
  <si>
    <t>업체반품 요청 (ERP -&gt; WMS)</t>
    <phoneticPr fontId="1" type="noConversion"/>
  </si>
  <si>
    <t>업체반품 결과 (WMS -&gt; ERP)</t>
    <phoneticPr fontId="1" type="noConversion"/>
  </si>
  <si>
    <t>실시간 재고 정보 (구매포탈 -&gt; ERP)</t>
    <phoneticPr fontId="1" type="noConversion"/>
  </si>
  <si>
    <t>실시간 재고 정보 (구매포탈)</t>
    <phoneticPr fontId="1" type="noConversion"/>
  </si>
  <si>
    <t>Sync</t>
    <phoneticPr fontId="2" type="noConversion"/>
  </si>
  <si>
    <t>MM0260</t>
  </si>
  <si>
    <t>실시간 재고 정보 (ERP vs WMS)</t>
    <phoneticPr fontId="1" type="noConversion"/>
  </si>
  <si>
    <t>MBS 행사원가 등록 I/F (구매포탈 -&gt; ERP)</t>
    <phoneticPr fontId="1" type="noConversion"/>
  </si>
  <si>
    <t>ERP</t>
  </si>
  <si>
    <t>ERP</t>
    <phoneticPr fontId="1" type="noConversion"/>
  </si>
  <si>
    <t>ERP</t>
    <phoneticPr fontId="1" type="noConversion"/>
  </si>
  <si>
    <t>매장별 영업사원 정보 IF송신(ERP-&gt;OMS)</t>
  </si>
  <si>
    <t>자재마스터 IF송신(ERP-&gt;OMS)</t>
  </si>
  <si>
    <t>허용제외 마스터 IF송신(ERP-&gt;OMS)</t>
  </si>
  <si>
    <t>프로모션계획 IF송신(ERP-&gt;PRM)</t>
  </si>
  <si>
    <t>물류센터 수출 출고처리 건의 여신체크 정보 IF(WMS → ERP → WMS)</t>
  </si>
  <si>
    <t>수출 PACKING 정보 IF수신(WMS-&gt;ERP)</t>
  </si>
  <si>
    <t>매출차감증액 IF수신(PRM-&gt;ERP),역매마일리지 포함</t>
  </si>
  <si>
    <t>PPT</t>
    <phoneticPr fontId="1" type="noConversion"/>
  </si>
  <si>
    <t>전자결재</t>
    <phoneticPr fontId="1" type="noConversion"/>
  </si>
  <si>
    <t>CM</t>
    <phoneticPr fontId="1" type="noConversion"/>
  </si>
  <si>
    <t>CM0010</t>
    <phoneticPr fontId="1" type="noConversion"/>
  </si>
  <si>
    <t>[공통] 전자 결재 상태 수신</t>
    <phoneticPr fontId="1" type="noConversion"/>
  </si>
  <si>
    <t>CM</t>
    <phoneticPr fontId="1" type="noConversion"/>
  </si>
  <si>
    <t>FI</t>
    <phoneticPr fontId="1" type="noConversion"/>
  </si>
  <si>
    <t>FI</t>
    <phoneticPr fontId="1" type="noConversion"/>
  </si>
  <si>
    <t>카드매출정보 수신</t>
    <phoneticPr fontId="1" type="noConversion"/>
  </si>
  <si>
    <t>문영남</t>
    <phoneticPr fontId="1" type="noConversion"/>
  </si>
  <si>
    <t>문영남</t>
    <phoneticPr fontId="1" type="noConversion"/>
  </si>
  <si>
    <t>홍창수</t>
    <phoneticPr fontId="1" type="noConversion"/>
  </si>
  <si>
    <t>Batch</t>
    <phoneticPr fontId="1" type="noConversion"/>
  </si>
  <si>
    <t>FI0020</t>
    <phoneticPr fontId="1" type="noConversion"/>
  </si>
  <si>
    <t>KSNET</t>
    <phoneticPr fontId="1" type="noConversion"/>
  </si>
  <si>
    <t>RealTime</t>
    <phoneticPr fontId="1" type="noConversion"/>
  </si>
  <si>
    <t>Total</t>
    <phoneticPr fontId="1" type="noConversion"/>
  </si>
  <si>
    <t>작성 계획</t>
    <phoneticPr fontId="1" type="noConversion"/>
  </si>
  <si>
    <t>개발 계획</t>
    <phoneticPr fontId="1" type="noConversion"/>
  </si>
  <si>
    <t>전체 진척률</t>
    <phoneticPr fontId="1" type="noConversion"/>
  </si>
  <si>
    <t>Open전</t>
  </si>
  <si>
    <t>통신방식</t>
    <phoneticPr fontId="1" type="noConversion"/>
  </si>
  <si>
    <t>AbapProxy</t>
    <phoneticPr fontId="1" type="noConversion"/>
  </si>
  <si>
    <t>AbapProxy</t>
    <phoneticPr fontId="1" type="noConversion"/>
  </si>
  <si>
    <t>JDBC</t>
    <phoneticPr fontId="1" type="noConversion"/>
  </si>
  <si>
    <t>JDBC</t>
    <phoneticPr fontId="1" type="noConversion"/>
  </si>
  <si>
    <t>EAI 계획</t>
    <phoneticPr fontId="1" type="noConversion"/>
  </si>
  <si>
    <t>EAI 완료</t>
    <phoneticPr fontId="1" type="noConversion"/>
  </si>
  <si>
    <t>Target 계획</t>
    <phoneticPr fontId="1" type="noConversion"/>
  </si>
  <si>
    <t>Target 완료</t>
    <phoneticPr fontId="1" type="noConversion"/>
  </si>
  <si>
    <t>연계 테스트 완료</t>
    <phoneticPr fontId="1" type="noConversion"/>
  </si>
  <si>
    <t>MappingSpec 계획</t>
    <phoneticPr fontId="1" type="noConversion"/>
  </si>
  <si>
    <t>MappingSpec 완료</t>
    <phoneticPr fontId="1" type="noConversion"/>
  </si>
  <si>
    <t>Source 계획</t>
    <phoneticPr fontId="1" type="noConversion"/>
  </si>
  <si>
    <t>Source 완료</t>
    <phoneticPr fontId="1" type="noConversion"/>
  </si>
  <si>
    <t>날짜</t>
    <phoneticPr fontId="9" type="noConversion"/>
  </si>
  <si>
    <t>주차</t>
    <phoneticPr fontId="9" type="noConversion"/>
  </si>
  <si>
    <t>W13</t>
    <phoneticPr fontId="9" type="noConversion"/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</si>
  <si>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</si>
  <si>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</si>
  <si>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</si>
  <si>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</si>
  <si>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</si>
  <si>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</si>
  <si>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</si>
  <si>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</si>
  <si>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</si>
  <si>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</si>
  <si>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</si>
  <si>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</si>
  <si>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</si>
  <si>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</si>
  <si>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</si>
  <si>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</si>
  <si>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</si>
  <si>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</si>
  <si>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</si>
  <si>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</si>
  <si>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</si>
  <si>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</si>
  <si>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</si>
  <si>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</si>
  <si>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</si>
  <si>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</si>
  <si>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</si>
  <si>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</si>
  <si>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</si>
  <si>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</si>
  <si>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</si>
  <si>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</si>
  <si>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</si>
  <si>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</si>
  <si>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</si>
  <si>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  <phoneticPr fontId="9" type="noConversion"/>
  </si>
  <si>
    <t>W50</t>
    <phoneticPr fontId="9" type="noConversion"/>
  </si>
  <si>
    <t>W51</t>
    <phoneticPr fontId="9" type="noConversion"/>
  </si>
  <si>
    <t>W52</t>
    <phoneticPr fontId="9" type="noConversion"/>
  </si>
  <si>
    <t>W53</t>
    <phoneticPr fontId="9" type="noConversion"/>
  </si>
  <si>
    <t>계획필요</t>
    <phoneticPr fontId="1" type="noConversion"/>
  </si>
  <si>
    <t>미완료</t>
    <phoneticPr fontId="1" type="noConversion"/>
  </si>
  <si>
    <t>-</t>
    <phoneticPr fontId="1" type="noConversion"/>
  </si>
  <si>
    <t>금주</t>
    <phoneticPr fontId="1" type="noConversion"/>
  </si>
  <si>
    <t>누적</t>
    <phoneticPr fontId="1" type="noConversion"/>
  </si>
  <si>
    <t>W19</t>
    <phoneticPr fontId="1" type="noConversion"/>
  </si>
  <si>
    <t>EHR</t>
    <phoneticPr fontId="1" type="noConversion"/>
  </si>
  <si>
    <t>EHR</t>
    <phoneticPr fontId="1" type="noConversion"/>
  </si>
  <si>
    <t>REST</t>
    <phoneticPr fontId="1" type="noConversion"/>
  </si>
  <si>
    <t>김윤기</t>
    <phoneticPr fontId="1" type="noConversion"/>
  </si>
  <si>
    <t>JDBC</t>
    <phoneticPr fontId="1" type="noConversion"/>
  </si>
  <si>
    <t>PRM</t>
    <phoneticPr fontId="1" type="noConversion"/>
  </si>
  <si>
    <t>ERP</t>
    <phoneticPr fontId="1" type="noConversion"/>
  </si>
  <si>
    <t>AbapProxy</t>
    <phoneticPr fontId="1" type="noConversion"/>
  </si>
  <si>
    <t>정연배</t>
    <phoneticPr fontId="1" type="noConversion"/>
  </si>
  <si>
    <t>정연배</t>
    <phoneticPr fontId="1" type="noConversion"/>
  </si>
  <si>
    <t>정연배</t>
    <phoneticPr fontId="1" type="noConversion"/>
  </si>
  <si>
    <t>온라인 위탁상품에 대한 자재마스터 등록 I/F(OMS -&gt;ERP)</t>
    <phoneticPr fontId="1" type="noConversion"/>
  </si>
  <si>
    <t>SD0021</t>
    <phoneticPr fontId="1" type="noConversion"/>
  </si>
  <si>
    <t>SD0030</t>
    <phoneticPr fontId="1" type="noConversion"/>
  </si>
  <si>
    <t>SD0051</t>
    <phoneticPr fontId="1" type="noConversion"/>
  </si>
  <si>
    <t>SD0081</t>
    <phoneticPr fontId="1" type="noConversion"/>
  </si>
  <si>
    <t>대상</t>
  </si>
  <si>
    <t>전체</t>
  </si>
  <si>
    <t>매핑정의서 (주간누적)</t>
  </si>
  <si>
    <t>I/F개발(주간누적)</t>
  </si>
  <si>
    <t>연계테스트</t>
  </si>
  <si>
    <t>모듈/시스템</t>
  </si>
  <si>
    <t>계획</t>
  </si>
  <si>
    <t>실적</t>
  </si>
  <si>
    <t>달성율</t>
  </si>
  <si>
    <t>진행율</t>
  </si>
  <si>
    <t>POS/PRM</t>
  </si>
  <si>
    <t>OMS</t>
  </si>
  <si>
    <t>WMS</t>
  </si>
  <si>
    <t>소계</t>
  </si>
  <si>
    <t>구매포탈</t>
  </si>
  <si>
    <t>KSNET</t>
  </si>
  <si>
    <t>전자결재</t>
  </si>
  <si>
    <t>소개</t>
  </si>
  <si>
    <t>CO</t>
  </si>
  <si>
    <t>e-HR</t>
  </si>
  <si>
    <t>Total</t>
  </si>
  <si>
    <t>주간누적</t>
    <phoneticPr fontId="1" type="noConversion"/>
  </si>
  <si>
    <t>실적/계획</t>
    <phoneticPr fontId="1" type="noConversion"/>
  </si>
  <si>
    <t>실적/전체</t>
    <phoneticPr fontId="1" type="noConversion"/>
  </si>
  <si>
    <t>전체</t>
    <phoneticPr fontId="1" type="noConversion"/>
  </si>
  <si>
    <t>실적/대상</t>
    <phoneticPr fontId="1" type="noConversion"/>
  </si>
  <si>
    <t>AbapProxy</t>
  </si>
  <si>
    <t>PPT</t>
  </si>
  <si>
    <t>JDBC</t>
  </si>
  <si>
    <t>박흥서</t>
  </si>
  <si>
    <t>위성종</t>
  </si>
  <si>
    <t>입고의뢰 승인/승인취소 (ERP -&gt; 구매포탈)</t>
  </si>
  <si>
    <t>MBS 매입(매출)할인 정산 등록 (ERP -&gt; 구매포탈)</t>
  </si>
  <si>
    <t>MBS 매입(매출)할인 정산 등록 (ERP -&gt; 구매포탈)</t>
    <phoneticPr fontId="1" type="noConversion"/>
  </si>
  <si>
    <t>입고 취소 (ERP -&gt; 구매포탈)</t>
  </si>
  <si>
    <t>MBS 행사원가 등록/확정 I/F (ERP -&gt; 구매포탈)</t>
  </si>
  <si>
    <t>MBS 미납위약금 등록 (ERP -&gt; 구매포탈)</t>
  </si>
  <si>
    <t>MBS 미납위약금 확인  (구매포탈-&gt;ERP)</t>
  </si>
  <si>
    <t>입고 재처리 (구매포탈 -&gt; ERP)</t>
    <phoneticPr fontId="1" type="noConversion"/>
  </si>
  <si>
    <t>SD0071</t>
    <phoneticPr fontId="1" type="noConversion"/>
  </si>
  <si>
    <t>OMS 재고 가용성 정보 I/F(1시간 단위)</t>
    <phoneticPr fontId="1" type="noConversion"/>
  </si>
  <si>
    <t>정한석</t>
    <phoneticPr fontId="1" type="noConversion"/>
  </si>
  <si>
    <t>정연배</t>
    <phoneticPr fontId="1" type="noConversion"/>
  </si>
  <si>
    <t xml:space="preserve">PRM 주문등록 시점 가용성/여신 체크 정보 I/F </t>
    <phoneticPr fontId="1" type="noConversion"/>
  </si>
  <si>
    <t>김진열</t>
    <phoneticPr fontId="1" type="noConversion"/>
  </si>
  <si>
    <t>김영호</t>
    <phoneticPr fontId="1" type="noConversion"/>
  </si>
  <si>
    <t>정헌주</t>
    <phoneticPr fontId="1" type="noConversion"/>
  </si>
  <si>
    <t>OMS</t>
    <phoneticPr fontId="1" type="noConversion"/>
  </si>
  <si>
    <t>소순용</t>
  </si>
  <si>
    <t>손나라</t>
  </si>
  <si>
    <t>김재두</t>
  </si>
  <si>
    <t>김순호</t>
  </si>
  <si>
    <t>정동현</t>
  </si>
  <si>
    <t>손나라</t>
    <phoneticPr fontId="1" type="noConversion"/>
  </si>
  <si>
    <t>김재두</t>
    <phoneticPr fontId="1" type="noConversion"/>
  </si>
  <si>
    <t>정동현</t>
    <phoneticPr fontId="1" type="noConversion"/>
  </si>
  <si>
    <t>SD0211</t>
    <phoneticPr fontId="1" type="noConversion"/>
  </si>
  <si>
    <t>SD0220</t>
    <phoneticPr fontId="1" type="noConversion"/>
  </si>
  <si>
    <t>REST</t>
    <phoneticPr fontId="1" type="noConversion"/>
  </si>
  <si>
    <t>REST</t>
    <phoneticPr fontId="1" type="noConversion"/>
  </si>
  <si>
    <t>박흥서</t>
    <phoneticPr fontId="1" type="noConversion"/>
  </si>
  <si>
    <t>박흥서</t>
    <phoneticPr fontId="1" type="noConversion"/>
  </si>
  <si>
    <t>문영남</t>
    <phoneticPr fontId="1" type="noConversion"/>
  </si>
  <si>
    <t>정연배</t>
    <phoneticPr fontId="1" type="noConversion"/>
  </si>
  <si>
    <t>허정석</t>
    <phoneticPr fontId="1" type="noConversion"/>
  </si>
  <si>
    <t>코비전</t>
    <phoneticPr fontId="1" type="noConversion"/>
  </si>
  <si>
    <t>김윤기</t>
    <phoneticPr fontId="1" type="noConversion"/>
  </si>
  <si>
    <t>외부</t>
    <phoneticPr fontId="1" type="noConversion"/>
  </si>
  <si>
    <t>BP마스터 생성</t>
    <phoneticPr fontId="1" type="noConversion"/>
  </si>
  <si>
    <t>김윤기</t>
    <phoneticPr fontId="1" type="noConversion"/>
  </si>
  <si>
    <t>MM0230</t>
    <phoneticPr fontId="1" type="noConversion"/>
  </si>
  <si>
    <t>거래처,매장,납품처 마스터 IF송신(ERP-&gt;OMS)</t>
    <phoneticPr fontId="1" type="noConversion"/>
  </si>
  <si>
    <t>SD0012</t>
    <phoneticPr fontId="1" type="noConversion"/>
  </si>
  <si>
    <t>거래처,매장,납품처 마스터 IF송신(ERP-&gt;PRM)</t>
    <phoneticPr fontId="1" type="noConversion"/>
  </si>
  <si>
    <t>이채홍</t>
  </si>
  <si>
    <t>이채홍, 강애원</t>
    <phoneticPr fontId="1" type="noConversion"/>
  </si>
  <si>
    <t>손나라,최운환</t>
    <phoneticPr fontId="1" type="noConversion"/>
  </si>
  <si>
    <t>매장별 영업사원 정보 IF송신(ERP-&gt;PRM)</t>
    <phoneticPr fontId="1" type="noConversion"/>
  </si>
  <si>
    <t>SD0042</t>
    <phoneticPr fontId="1" type="noConversion"/>
  </si>
  <si>
    <t>자재마스터 IF송신(ERP-&gt;PRM)</t>
    <phoneticPr fontId="1" type="noConversion"/>
  </si>
  <si>
    <t>SD0041</t>
    <phoneticPr fontId="1" type="noConversion"/>
  </si>
  <si>
    <t>가격정보_공급가_공급율,수수료율(ERP-&gt;PRM)</t>
    <phoneticPr fontId="1" type="noConversion"/>
  </si>
  <si>
    <t>가격정보_공급가_공급율,수수료율(ERP-&gt;OMS)</t>
    <phoneticPr fontId="1" type="noConversion"/>
  </si>
  <si>
    <t>허용제외 마스터 IF송신(ERP-&gt;PRM)</t>
    <phoneticPr fontId="1" type="noConversion"/>
  </si>
  <si>
    <t>SD0031</t>
    <phoneticPr fontId="1" type="noConversion"/>
  </si>
  <si>
    <t>프로모션계획 IF송신(ERP-&gt;OMS)</t>
    <phoneticPr fontId="1" type="noConversion"/>
  </si>
  <si>
    <t>File</t>
    <phoneticPr fontId="1" type="noConversion"/>
  </si>
  <si>
    <t>OEIF_TB_MANUBOM</t>
    <phoneticPr fontId="1" type="noConversion"/>
  </si>
  <si>
    <t>MM0060</t>
    <phoneticPr fontId="1" type="noConversion"/>
  </si>
  <si>
    <t>외국인부가세 환급내역 I/F</t>
    <phoneticPr fontId="1" type="noConversion"/>
  </si>
  <si>
    <t>SD</t>
    <phoneticPr fontId="1" type="noConversion"/>
  </si>
  <si>
    <t>PRM</t>
    <phoneticPr fontId="1" type="noConversion"/>
  </si>
  <si>
    <t>POS/PRM</t>
    <phoneticPr fontId="1" type="noConversion"/>
  </si>
  <si>
    <t>AbapProxy</t>
    <phoneticPr fontId="1" type="noConversion"/>
  </si>
  <si>
    <t>김윤기</t>
    <phoneticPr fontId="1" type="noConversion"/>
  </si>
  <si>
    <t>홍창수</t>
    <phoneticPr fontId="1" type="noConversion"/>
  </si>
  <si>
    <t>김병선</t>
    <phoneticPr fontId="1" type="noConversion"/>
  </si>
  <si>
    <t>Sync</t>
    <phoneticPr fontId="1" type="noConversion"/>
  </si>
  <si>
    <t>업체반품 결과 (WMS -&gt; ERP)</t>
    <phoneticPr fontId="1" type="noConversion"/>
  </si>
  <si>
    <t>SD0060</t>
    <phoneticPr fontId="1" type="noConversion"/>
  </si>
  <si>
    <t>주문 BOM Interface 송신(ERP → PRM)</t>
    <phoneticPr fontId="1" type="noConversion"/>
  </si>
  <si>
    <t>SD</t>
    <phoneticPr fontId="1" type="noConversion"/>
  </si>
  <si>
    <t>AbapProxy</t>
    <phoneticPr fontId="1" type="noConversion"/>
  </si>
  <si>
    <t>PRM</t>
    <phoneticPr fontId="1" type="noConversion"/>
  </si>
  <si>
    <t>POS/PRM</t>
    <phoneticPr fontId="1" type="noConversion"/>
  </si>
  <si>
    <t>JDBC</t>
    <phoneticPr fontId="1" type="noConversion"/>
  </si>
  <si>
    <t>김병선</t>
    <phoneticPr fontId="1" type="noConversion"/>
  </si>
  <si>
    <t>홍창수</t>
    <phoneticPr fontId="1" type="noConversion"/>
  </si>
  <si>
    <t>김윤기</t>
    <phoneticPr fontId="1" type="noConversion"/>
  </si>
  <si>
    <t>김진열</t>
    <phoneticPr fontId="1" type="noConversion"/>
  </si>
  <si>
    <t>WMS</t>
    <phoneticPr fontId="1" type="noConversion"/>
  </si>
  <si>
    <t>김영호</t>
    <phoneticPr fontId="1" type="noConversion"/>
  </si>
  <si>
    <t>정한석</t>
    <phoneticPr fontId="1" type="noConversion"/>
  </si>
  <si>
    <t>정헌주</t>
    <phoneticPr fontId="1" type="noConversion"/>
  </si>
  <si>
    <t>정연배</t>
    <phoneticPr fontId="1" type="noConversion"/>
  </si>
  <si>
    <t>OMS</t>
    <phoneticPr fontId="1" type="noConversion"/>
  </si>
  <si>
    <t>이채홍</t>
    <phoneticPr fontId="1" type="noConversion"/>
  </si>
  <si>
    <t>홍창수</t>
    <phoneticPr fontId="1" type="noConversion"/>
  </si>
  <si>
    <t>판매.재고이관 주문/등록 결과 IF송신(PRM-&gt;ERP-&gt;PRM)</t>
    <phoneticPr fontId="1" type="noConversion"/>
  </si>
  <si>
    <t>판매_이관재고 주문삭제 결과_인터페이스 (SAP → PRM)</t>
    <phoneticPr fontId="1" type="noConversion"/>
  </si>
  <si>
    <t>매장 여신정보 송신 (PRM → SAP)</t>
    <phoneticPr fontId="1" type="noConversion"/>
  </si>
  <si>
    <t>온라인 위탁판매 일별 수수료 매출 처리 (OMS → SAP)</t>
    <phoneticPr fontId="1" type="noConversion"/>
  </si>
  <si>
    <t>SD0100</t>
    <phoneticPr fontId="1" type="noConversion"/>
  </si>
  <si>
    <t>SD0150</t>
    <phoneticPr fontId="1" type="noConversion"/>
  </si>
  <si>
    <t>SD0450</t>
  </si>
  <si>
    <t>SD0470</t>
  </si>
  <si>
    <t>SD0480</t>
  </si>
  <si>
    <t>SET 조립.해체결과 IF송신(WMS → ERP)</t>
    <phoneticPr fontId="1" type="noConversion"/>
  </si>
  <si>
    <t>윤용민차장,김성종대리</t>
    <phoneticPr fontId="1" type="noConversion"/>
  </si>
  <si>
    <t>이채홍, 강애원</t>
    <phoneticPr fontId="1" type="noConversion"/>
  </si>
  <si>
    <t>MM0040</t>
    <phoneticPr fontId="1" type="noConversion"/>
  </si>
  <si>
    <t>[공통] 전자 결재 상신</t>
    <phoneticPr fontId="1" type="noConversion"/>
  </si>
  <si>
    <t>SD0090</t>
    <phoneticPr fontId="1" type="noConversion"/>
  </si>
  <si>
    <t>SD0300</t>
    <phoneticPr fontId="1" type="noConversion"/>
  </si>
  <si>
    <t>출고지시상태 IF송신(ERP → PRM)</t>
    <phoneticPr fontId="1" type="noConversion"/>
  </si>
  <si>
    <t>김재두부장</t>
    <phoneticPr fontId="1" type="noConversion"/>
  </si>
  <si>
    <t>SD0290</t>
    <phoneticPr fontId="1" type="noConversion"/>
  </si>
  <si>
    <t>SD0050</t>
    <phoneticPr fontId="1" type="noConversion"/>
  </si>
  <si>
    <t>SD0080</t>
    <phoneticPr fontId="1" type="noConversion"/>
  </si>
  <si>
    <t xml:space="preserve">견적서 등록_외주 (구매포탈 -&gt; ERP) : 0.외주 </t>
  </si>
  <si>
    <t>견적서 등록_자재 (구매포탈 -&gt; ERP) : 1. 자재</t>
  </si>
  <si>
    <t>REST</t>
    <phoneticPr fontId="1" type="noConversion"/>
  </si>
  <si>
    <t>02시 일배치</t>
    <phoneticPr fontId="1" type="noConversion"/>
  </si>
  <si>
    <t>/api/MisshaSAP/PushSetBOM</t>
    <phoneticPr fontId="1" type="noConversion"/>
  </si>
  <si>
    <t>/api/MisshaSAP/PushOrders</t>
    <phoneticPr fontId="1" type="noConversion"/>
  </si>
  <si>
    <t>/api/MisshaSAP/PushCancelOrders</t>
    <phoneticPr fontId="1" type="noConversion"/>
  </si>
  <si>
    <t>/api/MisshaSAP/PullStockInfo</t>
    <phoneticPr fontId="1" type="noConversion"/>
  </si>
  <si>
    <t>/api/MisshaSAP/PushCompany</t>
    <phoneticPr fontId="1" type="noConversion"/>
  </si>
  <si>
    <t>/api/MisshaSAP/PushProduct</t>
    <phoneticPr fontId="1" type="noConversion"/>
  </si>
  <si>
    <t>/api/MisshaSAP/PushIntendedInventory</t>
    <phoneticPr fontId="1" type="noConversion"/>
  </si>
  <si>
    <t>/api/MisshaSAP/PushIntendedExportInventory</t>
    <phoneticPr fontId="1" type="noConversion"/>
  </si>
  <si>
    <t>물류지시 (거래명세서) WMS:입고 예정 등록</t>
    <phoneticPr fontId="1" type="noConversion"/>
  </si>
  <si>
    <t>실시간 재고 정보 WMS:재고 정보 조회</t>
    <phoneticPr fontId="1" type="noConversion"/>
  </si>
  <si>
    <t>거래처,매장,납품처 마스터 WMS:거래처 등록</t>
    <phoneticPr fontId="1" type="noConversion"/>
  </si>
  <si>
    <t>자재마스터 IF송신 WMS:상품 등록(변경)</t>
    <phoneticPr fontId="1" type="noConversion"/>
  </si>
  <si>
    <t>세트 BOM Interface 송신 WMS:세트BOM 등록(변경)</t>
    <phoneticPr fontId="1" type="noConversion"/>
  </si>
  <si>
    <t>PRM</t>
    <phoneticPr fontId="1" type="noConversion"/>
  </si>
  <si>
    <t>POS/PRM</t>
    <phoneticPr fontId="1" type="noConversion"/>
  </si>
  <si>
    <t>김윤기</t>
    <phoneticPr fontId="1" type="noConversion"/>
  </si>
  <si>
    <t>홍창수</t>
    <phoneticPr fontId="1" type="noConversion"/>
  </si>
  <si>
    <t>김병선</t>
    <phoneticPr fontId="1" type="noConversion"/>
  </si>
  <si>
    <t>PRM</t>
  </si>
  <si>
    <t>김병선</t>
  </si>
  <si>
    <t>김윤기</t>
  </si>
  <si>
    <t>정연배</t>
  </si>
  <si>
    <t>견적서 승인/거절_외주 (ERP -&gt; 구매포탈) : 0.외주</t>
    <phoneticPr fontId="1" type="noConversion"/>
  </si>
  <si>
    <t>견적서 승인/거절_자재 (ERP -&gt; 구매포탈) : 1. 자재</t>
    <phoneticPr fontId="1" type="noConversion"/>
  </si>
  <si>
    <t>출고처리결과 IF송신(ERP → PRM)</t>
    <phoneticPr fontId="1" type="noConversion"/>
  </si>
  <si>
    <t>출고지시 IF송신 WMS:출고지시(주문등록)</t>
    <phoneticPr fontId="1" type="noConversion"/>
  </si>
  <si>
    <t>출고지시취소 요청 WMS:출고지시취소(주문취소)</t>
    <phoneticPr fontId="1" type="noConversion"/>
  </si>
  <si>
    <t>출고처리 IF수신(WMS → ERP)</t>
    <phoneticPr fontId="1" type="noConversion"/>
  </si>
  <si>
    <t>PRM 재고 가용성 정보 I/F(1시간 단위)</t>
    <phoneticPr fontId="1" type="noConversion"/>
  </si>
  <si>
    <t>Legacy</t>
    <phoneticPr fontId="1" type="noConversion"/>
  </si>
  <si>
    <t>FI</t>
    <phoneticPr fontId="1" type="noConversion"/>
  </si>
  <si>
    <t>Interface 정보</t>
    <phoneticPr fontId="1" type="noConversion"/>
  </si>
  <si>
    <t>시스템</t>
    <phoneticPr fontId="1" type="noConversion"/>
  </si>
  <si>
    <t>MM0041</t>
    <phoneticPr fontId="1" type="noConversion"/>
  </si>
  <si>
    <t>SD0011</t>
    <phoneticPr fontId="1" type="noConversion"/>
  </si>
  <si>
    <t>직영매장재고 일 기초 재고 IF송신(ERP-&gt;PRM)</t>
    <phoneticPr fontId="1" type="noConversion"/>
  </si>
  <si>
    <t>배송조 요일 관리 정보 송신 (SAP → PRM)</t>
    <phoneticPr fontId="1" type="noConversion"/>
  </si>
  <si>
    <t>매장별 대체 배송일 정보 송신</t>
    <phoneticPr fontId="1" type="noConversion"/>
  </si>
  <si>
    <t xml:space="preserve">거래처 등록(변경) /api/MisshaSAP/PushCompany </t>
    <phoneticPr fontId="1" type="noConversion"/>
  </si>
  <si>
    <t>O</t>
    <phoneticPr fontId="1" type="noConversion"/>
  </si>
  <si>
    <t>Swagger 서비스명</t>
    <phoneticPr fontId="3" type="noConversion"/>
  </si>
  <si>
    <t>비고</t>
    <phoneticPr fontId="3" type="noConversion"/>
  </si>
  <si>
    <t>상품 등록(변경) /api/MisshaSAP/PushProduct</t>
    <phoneticPr fontId="1" type="noConversion"/>
  </si>
  <si>
    <t>세트BOM 등록(변경) /api/MisshaSAP/PushSetBOM</t>
    <phoneticPr fontId="1" type="noConversion"/>
  </si>
  <si>
    <t>재고 정보 조회 /api/MisshaSAP/PullStockInfo</t>
    <phoneticPr fontId="1" type="noConversion"/>
  </si>
  <si>
    <t>반출 예정 등록 업체반품 요청 WMS:반출 예정 등록</t>
    <phoneticPr fontId="1" type="noConversion"/>
  </si>
  <si>
    <t>출고지시(주문등록) /api/MisshaSAP/PushOrders</t>
    <phoneticPr fontId="1" type="noConversion"/>
  </si>
  <si>
    <t>출고지시취소(주문취소) /api/MisshaSAP/PushCancelOrders</t>
    <phoneticPr fontId="1" type="noConversion"/>
  </si>
  <si>
    <t>ERP -&gt; WMS</t>
    <phoneticPr fontId="1" type="noConversion"/>
  </si>
  <si>
    <t>WMS -&gt; ERP</t>
    <phoneticPr fontId="1" type="noConversion"/>
  </si>
  <si>
    <t>SD0420</t>
    <phoneticPr fontId="1" type="noConversion"/>
  </si>
  <si>
    <t>O</t>
    <phoneticPr fontId="1" type="noConversion"/>
  </si>
  <si>
    <t>반출 예정 등록 /api/MisshaSAP/PushIntendedExportInventory</t>
    <phoneticPr fontId="1" type="noConversion"/>
  </si>
  <si>
    <t>WMS 서비스 호출 테스트</t>
    <phoneticPr fontId="3" type="noConversion"/>
  </si>
  <si>
    <t>정연배</t>
    <phoneticPr fontId="1" type="noConversion"/>
  </si>
  <si>
    <t>IF_DELV_GRP_DAY_INFO</t>
    <phoneticPr fontId="1" type="noConversion"/>
  </si>
  <si>
    <t>IF_REPL_DELV_DAY_INFO</t>
    <phoneticPr fontId="1" type="noConversion"/>
  </si>
  <si>
    <t>재고이관입고 확정 정보 수신 I/F(PRM → ERP)</t>
    <phoneticPr fontId="1" type="noConversion"/>
  </si>
  <si>
    <t>구매포탈로 회신</t>
    <phoneticPr fontId="1" type="noConversion"/>
  </si>
  <si>
    <t>http://192.168.200.108:53000/RESTAdapter/wms/mm0160</t>
  </si>
  <si>
    <t>http://192.168.200.108:53000/RESTAdapter/</t>
  </si>
  <si>
    <t>http://192.168.200.108:53000/RESTAdapter/wms/mm0210</t>
  </si>
  <si>
    <t>http://192.168.200.108:53000/RESTAdapter/wms/sd0270</t>
  </si>
  <si>
    <t>http://192.168.200.108:53000/RESTAdapter/wms/sd0280</t>
  </si>
  <si>
    <t>http://192.168.200.108:53000/RESTAdapter/wms/sd0310</t>
  </si>
  <si>
    <t>MM0160</t>
    <phoneticPr fontId="1" type="noConversion"/>
  </si>
  <si>
    <t>OEIF_TO_ITEMXM</t>
    <phoneticPr fontId="1" type="noConversion"/>
  </si>
  <si>
    <t>OEIF_TB_CUSTXM, OEIF_TB_CUSTMAN</t>
    <phoneticPr fontId="1" type="noConversion"/>
  </si>
  <si>
    <t>구매포탈로 회신 OEIF_TO_GDESTM</t>
    <phoneticPr fontId="1" type="noConversion"/>
  </si>
  <si>
    <t>판매실적 IF수신 - Sellout (PRM-&gt;ERP)</t>
    <phoneticPr fontId="1" type="noConversion"/>
  </si>
  <si>
    <t>윤용민</t>
  </si>
  <si>
    <t>OMS 가용성 체크(OMS -&gt;ERP -&gt; OMS)</t>
    <phoneticPr fontId="1" type="noConversion"/>
  </si>
  <si>
    <t>SD0110</t>
    <phoneticPr fontId="1" type="noConversion"/>
  </si>
  <si>
    <t>CM0020</t>
    <phoneticPr fontId="1" type="noConversion"/>
  </si>
  <si>
    <t>SD0170</t>
    <phoneticPr fontId="1" type="noConversion"/>
  </si>
  <si>
    <t>발주 확정 (ERP -&gt; 구매포탈)</t>
    <phoneticPr fontId="1" type="noConversion"/>
  </si>
  <si>
    <t>입고 예정 등록 /api/MisshaSAP/PushIntendedInventory</t>
    <phoneticPr fontId="1" type="noConversion"/>
  </si>
  <si>
    <t>O</t>
    <phoneticPr fontId="1" type="noConversion"/>
  </si>
  <si>
    <t>MM0200</t>
    <phoneticPr fontId="1" type="noConversion"/>
  </si>
  <si>
    <t>OEIF_TO_PCORDM,OEIF_TO_PCORDD</t>
    <phoneticPr fontId="1" type="noConversion"/>
  </si>
  <si>
    <t>IF_SHOP_MST</t>
    <phoneticPr fontId="1" type="noConversion"/>
  </si>
  <si>
    <t>IF_SHOP_MNG_EMP</t>
    <phoneticPr fontId="1" type="noConversion"/>
  </si>
  <si>
    <t>IF_SUPP_PRC_MST</t>
    <phoneticPr fontId="1" type="noConversion"/>
  </si>
  <si>
    <t>IF_ITEM_MST</t>
    <phoneticPr fontId="1" type="noConversion"/>
  </si>
  <si>
    <t>IF_SHOP_ITEM_CTRL_EXCP_MST</t>
    <phoneticPr fontId="1" type="noConversion"/>
  </si>
  <si>
    <t>IF_ITEM_SET_INFO</t>
    <phoneticPr fontId="1" type="noConversion"/>
  </si>
  <si>
    <t>IF_PROM_PLAN</t>
    <phoneticPr fontId="1" type="noConversion"/>
  </si>
  <si>
    <t>IF_TRANS_STOCK_ORD_DEL_RES</t>
    <phoneticPr fontId="1" type="noConversion"/>
  </si>
  <si>
    <t>IF_SHOP_DD_STOCK</t>
    <phoneticPr fontId="1" type="noConversion"/>
  </si>
  <si>
    <t>IF_ABLE_STOCK_MST</t>
    <phoneticPr fontId="1" type="noConversion"/>
  </si>
  <si>
    <t>IF_OUT_OORD_STAT</t>
    <phoneticPr fontId="1" type="noConversion"/>
  </si>
  <si>
    <t>IF_OUT_PROC_RES</t>
    <phoneticPr fontId="1" type="noConversion"/>
  </si>
  <si>
    <t>매핑 계획</t>
    <phoneticPr fontId="1" type="noConversion"/>
  </si>
  <si>
    <t>매핑 실적</t>
    <phoneticPr fontId="1" type="noConversion"/>
  </si>
  <si>
    <t>테스트 계획</t>
    <phoneticPr fontId="1" type="noConversion"/>
  </si>
  <si>
    <t>테스트 실적</t>
    <phoneticPr fontId="1" type="noConversion"/>
  </si>
  <si>
    <t>SD</t>
    <phoneticPr fontId="1" type="noConversion"/>
  </si>
  <si>
    <t>MM</t>
    <phoneticPr fontId="1" type="noConversion"/>
  </si>
  <si>
    <t>FI</t>
    <phoneticPr fontId="1" type="noConversion"/>
  </si>
  <si>
    <t>CO</t>
    <phoneticPr fontId="1" type="noConversion"/>
  </si>
  <si>
    <t>MM0080</t>
    <phoneticPr fontId="1" type="noConversion"/>
  </si>
  <si>
    <t>http://192.168.200.108:53000/RESTAdapter/wms/sd0340</t>
    <phoneticPr fontId="1" type="noConversion"/>
  </si>
  <si>
    <t>물류센터 수출 출고처리 건의 여신체크 정보 IF(WMS → ERP → WMS)</t>
    <phoneticPr fontId="1" type="noConversion"/>
  </si>
  <si>
    <t xml:space="preserve">발주 접수 (구매포탈 -&gt; ERP) </t>
    <phoneticPr fontId="1" type="noConversion"/>
  </si>
  <si>
    <t>ppt/mm0080</t>
    <phoneticPr fontId="1" type="noConversion"/>
  </si>
  <si>
    <t>/gw/cm0010</t>
    <phoneticPr fontId="1" type="noConversion"/>
  </si>
  <si>
    <t>/gw/cm0020</t>
    <phoneticPr fontId="1" type="noConversion"/>
  </si>
  <si>
    <t>/ppt/mm0020</t>
    <phoneticPr fontId="1" type="noConversion"/>
  </si>
  <si>
    <t>/ppt/mm0040</t>
    <phoneticPr fontId="1" type="noConversion"/>
  </si>
  <si>
    <t>/wms/mm0160</t>
    <phoneticPr fontId="1" type="noConversion"/>
  </si>
  <si>
    <t>/wms/mm0210</t>
    <phoneticPr fontId="1" type="noConversion"/>
  </si>
  <si>
    <t>REST</t>
    <phoneticPr fontId="1" type="noConversion"/>
  </si>
  <si>
    <t>JDBC</t>
    <phoneticPr fontId="1" type="noConversion"/>
  </si>
  <si>
    <t>SD</t>
    <phoneticPr fontId="1" type="noConversion"/>
  </si>
  <si>
    <t>AbapProxy</t>
    <phoneticPr fontId="1" type="noConversion"/>
  </si>
  <si>
    <t>/prm/sd0260</t>
    <phoneticPr fontId="1" type="noConversion"/>
  </si>
  <si>
    <t>/wms/sd0270</t>
    <phoneticPr fontId="1" type="noConversion"/>
  </si>
  <si>
    <t>/wms/sd0280</t>
    <phoneticPr fontId="1" type="noConversion"/>
  </si>
  <si>
    <t>.</t>
    <phoneticPr fontId="1" type="noConversion"/>
  </si>
  <si>
    <t>/wms/sd0310</t>
    <phoneticPr fontId="1" type="noConversion"/>
  </si>
  <si>
    <t>/prm/sd0330</t>
    <phoneticPr fontId="1" type="noConversion"/>
  </si>
  <si>
    <t>MM0010</t>
    <phoneticPr fontId="2" type="noConversion"/>
  </si>
  <si>
    <t>MM0020</t>
    <phoneticPr fontId="2" type="noConversion"/>
  </si>
  <si>
    <t>Async</t>
    <phoneticPr fontId="1" type="noConversion"/>
  </si>
  <si>
    <t>위탁품판매실적 IF수신(PRM-&gt;ERP)</t>
    <phoneticPr fontId="1" type="noConversion"/>
  </si>
  <si>
    <t>Record 전송 소요 시간(초)</t>
    <phoneticPr fontId="1" type="noConversion"/>
  </si>
  <si>
    <t>2000건 미만</t>
    <phoneticPr fontId="1" type="noConversion"/>
  </si>
  <si>
    <t>1000 미만</t>
    <phoneticPr fontId="1" type="noConversion"/>
  </si>
  <si>
    <t>30 미만</t>
    <phoneticPr fontId="1" type="noConversion"/>
  </si>
  <si>
    <t>10건 미만</t>
    <phoneticPr fontId="1" type="noConversion"/>
  </si>
  <si>
    <t>300건 미만</t>
    <phoneticPr fontId="1" type="noConversion"/>
  </si>
  <si>
    <t>200건 미만</t>
    <phoneticPr fontId="1" type="noConversion"/>
  </si>
  <si>
    <t>500건 미만</t>
    <phoneticPr fontId="1" type="noConversion"/>
  </si>
  <si>
    <t>SD0020</t>
    <phoneticPr fontId="1" type="noConversion"/>
  </si>
  <si>
    <t>100건 미만</t>
    <phoneticPr fontId="1" type="noConversion"/>
  </si>
  <si>
    <t>SD0040</t>
    <phoneticPr fontId="1" type="noConversion"/>
  </si>
  <si>
    <t>/prm/sd0180</t>
    <phoneticPr fontId="1" type="noConversion"/>
  </si>
  <si>
    <t>매장간 재고이동요청 IF수신(PRM → ERP)</t>
    <phoneticPr fontId="1" type="noConversion"/>
  </si>
  <si>
    <t xml:space="preserve">반품.반품이관주문 요청 IF수신(PRM → ERP → PRM) 프로그램 </t>
    <phoneticPr fontId="1" type="noConversion"/>
  </si>
  <si>
    <t>프로모션별 가맹점 소비자판매실적 IF (PRM → ERP)</t>
    <phoneticPr fontId="1" type="noConversion"/>
  </si>
  <si>
    <t>SD0200</t>
    <phoneticPr fontId="1" type="noConversion"/>
  </si>
  <si>
    <t>no</t>
    <phoneticPr fontId="3" type="noConversion"/>
  </si>
  <si>
    <t>Interface ID</t>
  </si>
  <si>
    <t>Interface 명</t>
    <phoneticPr fontId="2" type="noConversion"/>
  </si>
  <si>
    <t>참고- PO Channel 설정값</t>
    <phoneticPr fontId="9" type="noConversion"/>
  </si>
  <si>
    <t>Source 시스템</t>
    <phoneticPr fontId="3" type="noConversion"/>
  </si>
  <si>
    <t>Target 시스템</t>
    <phoneticPr fontId="3" type="noConversion"/>
  </si>
  <si>
    <t>활성화 시간</t>
    <phoneticPr fontId="9" type="noConversion"/>
  </si>
  <si>
    <t>Poll Interval</t>
    <phoneticPr fontId="9" type="noConversion"/>
  </si>
  <si>
    <t>배치 시간</t>
    <phoneticPr fontId="2" type="noConversion"/>
  </si>
  <si>
    <t>오전 2시~2시30분</t>
    <phoneticPr fontId="3" type="noConversion"/>
  </si>
  <si>
    <t>매일 오전 2시</t>
    <phoneticPr fontId="9" type="noConversion"/>
  </si>
  <si>
    <t>ERP/FI</t>
    <phoneticPr fontId="1" type="noConversion"/>
  </si>
  <si>
    <t>온라인몰(자사/제휴몰) 일별 판매실적 처리(S/O~Billing)</t>
    <phoneticPr fontId="1" type="noConversion"/>
  </si>
  <si>
    <t>ERP/SD</t>
    <phoneticPr fontId="1" type="noConversion"/>
  </si>
  <si>
    <t>호출 테스트</t>
    <phoneticPr fontId="3" type="noConversion"/>
  </si>
  <si>
    <t>O</t>
    <phoneticPr fontId="1" type="noConversion"/>
  </si>
  <si>
    <t>MM0210</t>
    <phoneticPr fontId="1" type="noConversion"/>
  </si>
  <si>
    <t>SD0270</t>
    <phoneticPr fontId="1" type="noConversion"/>
  </si>
  <si>
    <t>SD0280</t>
    <phoneticPr fontId="1" type="noConversion"/>
  </si>
  <si>
    <t>SD0310</t>
    <phoneticPr fontId="1" type="noConversion"/>
  </si>
  <si>
    <t>JDBC</t>
    <phoneticPr fontId="1" type="noConversion"/>
  </si>
  <si>
    <t>MM0051</t>
    <phoneticPr fontId="1" type="noConversion"/>
  </si>
  <si>
    <t>MM0090</t>
    <phoneticPr fontId="1" type="noConversion"/>
  </si>
  <si>
    <t>MM0160</t>
    <phoneticPr fontId="1" type="noConversion"/>
  </si>
  <si>
    <t>MM0210</t>
    <phoneticPr fontId="1" type="noConversion"/>
  </si>
  <si>
    <t>SD0180</t>
    <phoneticPr fontId="1" type="noConversion"/>
  </si>
  <si>
    <t>SD0210</t>
    <phoneticPr fontId="1" type="noConversion"/>
  </si>
  <si>
    <t>SD0310</t>
    <phoneticPr fontId="1" type="noConversion"/>
  </si>
  <si>
    <t>SD0330</t>
    <phoneticPr fontId="1" type="noConversion"/>
  </si>
  <si>
    <t>SD0390</t>
    <phoneticPr fontId="1" type="noConversion"/>
  </si>
  <si>
    <t>SD0440</t>
    <phoneticPr fontId="1" type="noConversion"/>
  </si>
  <si>
    <t>SD0460</t>
    <phoneticPr fontId="1" type="noConversion"/>
  </si>
  <si>
    <t>MM0070</t>
    <phoneticPr fontId="1" type="noConversion"/>
  </si>
  <si>
    <t>20건 미만</t>
    <phoneticPr fontId="1" type="noConversion"/>
  </si>
  <si>
    <t>MM0230</t>
  </si>
  <si>
    <t>업체반품 요청 *ERP -&gt;WMS:반출 예정 등록)</t>
  </si>
  <si>
    <t>입고의뢰 승인/승인취소 (ERP -&gt; 구매포탈)</t>
    <phoneticPr fontId="1" type="noConversion"/>
  </si>
  <si>
    <t>FRICE 없음</t>
    <phoneticPr fontId="1" type="noConversion"/>
  </si>
  <si>
    <t>사용자 정보 I/F (ERP -&gt; 구매포탈)</t>
    <phoneticPr fontId="1" type="noConversion"/>
  </si>
  <si>
    <r>
      <t xml:space="preserve">/ppt/mm0041 </t>
    </r>
    <r>
      <rPr>
        <sz val="9"/>
        <color rgb="FF0070C0"/>
        <rFont val="맑은 고딕"/>
        <family val="3"/>
        <charset val="129"/>
        <scheme val="minor"/>
      </rPr>
      <t>: FRICE없음</t>
    </r>
    <phoneticPr fontId="1" type="noConversion"/>
  </si>
  <si>
    <r>
      <t xml:space="preserve">구매포탈로 회신 OEIF_TO_MTESTM  </t>
    </r>
    <r>
      <rPr>
        <sz val="9"/>
        <color rgb="FF0070C0"/>
        <rFont val="맑은 고딕"/>
        <family val="3"/>
        <charset val="129"/>
        <scheme val="minor"/>
      </rPr>
      <t>: FRICE없음</t>
    </r>
    <phoneticPr fontId="1" type="noConversion"/>
  </si>
  <si>
    <t>/prm/sd0200</t>
    <phoneticPr fontId="1" type="noConversion"/>
  </si>
  <si>
    <t>./prm/sd0220</t>
    <phoneticPr fontId="1" type="noConversion"/>
  </si>
  <si>
    <t>OEM 입고</t>
  </si>
  <si>
    <t>물류센터 입고</t>
  </si>
  <si>
    <t>오전2시30분~3시</t>
    <phoneticPr fontId="1" type="noConversion"/>
  </si>
  <si>
    <t>매일 오전 2시 30분</t>
    <phoneticPr fontId="9" type="noConversion"/>
  </si>
  <si>
    <t>OMS_IF_DALY_SO_SALES</t>
    <phoneticPr fontId="1" type="noConversion"/>
  </si>
  <si>
    <t>OMS_IF_DALY_SALES</t>
    <phoneticPr fontId="1" type="noConversion"/>
  </si>
  <si>
    <t>Async</t>
    <phoneticPr fontId="1" type="noConversion"/>
  </si>
  <si>
    <t>온라인몰(자사/제휴몰) 일별 판매실적 처리(S/O~Billing)</t>
    <phoneticPr fontId="1" type="noConversion"/>
  </si>
  <si>
    <t>SD0120</t>
    <phoneticPr fontId="1" type="noConversion"/>
  </si>
  <si>
    <t>3차통테전</t>
  </si>
  <si>
    <t>I/F개발-2차통테 전</t>
    <phoneticPr fontId="1" type="noConversion"/>
  </si>
  <si>
    <t>온라인 위탁판매 일별 수수료 매출 처리 (OMS → SAP)</t>
    <phoneticPr fontId="1" type="noConversion"/>
  </si>
  <si>
    <t>OMS_IF_SLSPR</t>
    <phoneticPr fontId="1" type="noConversion"/>
  </si>
  <si>
    <t>OMS_IF_SPLY</t>
    <phoneticPr fontId="1" type="noConversion"/>
  </si>
  <si>
    <t>OMS_IF_PRMO , OMS_IF_PRMO_GOODS</t>
    <phoneticPr fontId="1" type="noConversion"/>
  </si>
  <si>
    <t>OMS_IF_STK_INFO</t>
    <phoneticPr fontId="1" type="noConversion"/>
  </si>
  <si>
    <t>POS/PRM</t>
    <phoneticPr fontId="1" type="noConversion"/>
  </si>
  <si>
    <t>FI</t>
    <phoneticPr fontId="1" type="noConversion"/>
  </si>
  <si>
    <t>SD</t>
    <phoneticPr fontId="1" type="noConversion"/>
  </si>
  <si>
    <t>SD</t>
    <phoneticPr fontId="1" type="noConversion"/>
  </si>
  <si>
    <t>WMS</t>
    <phoneticPr fontId="1" type="noConversion"/>
  </si>
  <si>
    <t>MM</t>
    <phoneticPr fontId="1" type="noConversion"/>
  </si>
  <si>
    <t>구매포탈</t>
    <phoneticPr fontId="1" type="noConversion"/>
  </si>
  <si>
    <t>전자결재</t>
    <phoneticPr fontId="1" type="noConversion"/>
  </si>
  <si>
    <t>CM</t>
    <phoneticPr fontId="1" type="noConversion"/>
  </si>
  <si>
    <t>SD0360</t>
    <phoneticPr fontId="1" type="noConversion"/>
  </si>
  <si>
    <t>반품 매출처리_OMS_인터페이스</t>
    <phoneticPr fontId="1" type="noConversion"/>
  </si>
  <si>
    <t>/oms/sd0110</t>
    <phoneticPr fontId="1" type="noConversion"/>
  </si>
  <si>
    <t>/oms/sd0480</t>
    <phoneticPr fontId="1" type="noConversion"/>
  </si>
  <si>
    <t>MM0120</t>
    <phoneticPr fontId="1" type="noConversion"/>
  </si>
  <si>
    <t>출고지시취소 요청 WMS:출고지시취소(주문취소)</t>
    <phoneticPr fontId="1" type="noConversion"/>
  </si>
  <si>
    <t>수출 PACKING 정보 IF수신(WMS-&gt;ERP)</t>
    <phoneticPr fontId="1" type="noConversion"/>
  </si>
  <si>
    <t>WMS입고내역 전송 (ERP -&gt; 구매포탈)</t>
    <phoneticPr fontId="1" type="noConversion"/>
  </si>
  <si>
    <t>MM0130</t>
    <phoneticPr fontId="1" type="noConversion"/>
  </si>
  <si>
    <t>FI</t>
    <phoneticPr fontId="1" type="noConversion"/>
  </si>
  <si>
    <t>권오신</t>
    <phoneticPr fontId="1" type="noConversion"/>
  </si>
  <si>
    <t>문영남</t>
    <phoneticPr fontId="1" type="noConversion"/>
  </si>
  <si>
    <t>신형석</t>
    <phoneticPr fontId="1" type="noConversion"/>
  </si>
  <si>
    <t>강맑은</t>
    <phoneticPr fontId="1" type="noConversion"/>
  </si>
  <si>
    <t>직영소비자반품 일괄 처리 IF 수신(PRM → ERP)</t>
    <phoneticPr fontId="1" type="noConversion"/>
  </si>
  <si>
    <t>MM0220</t>
    <phoneticPr fontId="1" type="noConversion"/>
  </si>
  <si>
    <t>매장별 가상계좌 정보 송신(SAP-&gt;PRM)</t>
    <phoneticPr fontId="1" type="noConversion"/>
  </si>
  <si>
    <t>SD0120</t>
    <phoneticPr fontId="1" type="noConversion"/>
  </si>
  <si>
    <t>홍창수</t>
    <phoneticPr fontId="1" type="noConversion"/>
  </si>
  <si>
    <t>EHR</t>
    <phoneticPr fontId="1" type="noConversion"/>
  </si>
  <si>
    <t>EHR</t>
    <phoneticPr fontId="1" type="noConversion"/>
  </si>
  <si>
    <t>전자계약 솔루션 공급업체 정보 I/F</t>
    <phoneticPr fontId="1" type="noConversion"/>
  </si>
  <si>
    <t>MM</t>
    <phoneticPr fontId="1" type="noConversion"/>
  </si>
  <si>
    <t>MM0300</t>
    <phoneticPr fontId="1" type="noConversion"/>
  </si>
  <si>
    <t>FI</t>
    <phoneticPr fontId="1" type="noConversion"/>
  </si>
  <si>
    <t>E-HR</t>
    <phoneticPr fontId="1" type="noConversion"/>
  </si>
  <si>
    <t>MM0150</t>
    <phoneticPr fontId="1" type="noConversion"/>
  </si>
  <si>
    <t>SD0290</t>
    <phoneticPr fontId="1" type="noConversion"/>
  </si>
  <si>
    <t>매입확정  (ERP -&gt; 구매포탈 )</t>
    <phoneticPr fontId="1" type="noConversion"/>
  </si>
  <si>
    <t>SD0370</t>
    <phoneticPr fontId="1" type="noConversion"/>
  </si>
  <si>
    <t>인터페이스 연결 완료</t>
    <phoneticPr fontId="1" type="noConversion"/>
  </si>
  <si>
    <t>입고의뢰 등록 (구매포탈 -&gt; ERP)</t>
    <phoneticPr fontId="1" type="noConversion"/>
  </si>
  <si>
    <t>입고 처리 (구매포탈 -&gt; ERP) :</t>
    <phoneticPr fontId="1" type="noConversion"/>
  </si>
  <si>
    <t>MM0180</t>
    <phoneticPr fontId="1" type="noConversion"/>
  </si>
  <si>
    <t>/ehr/fi0030</t>
    <phoneticPr fontId="1" type="noConversion"/>
  </si>
  <si>
    <t>매장별 일 세금분류별 매출 내역 (SAP → PRM)</t>
    <phoneticPr fontId="1" type="noConversion"/>
  </si>
  <si>
    <t>자산마스터 생성 변경 보류</t>
    <phoneticPr fontId="1" type="noConversion"/>
  </si>
  <si>
    <t>FI0040</t>
    <phoneticPr fontId="1" type="noConversion"/>
  </si>
  <si>
    <t>SD0320</t>
    <phoneticPr fontId="1" type="noConversion"/>
  </si>
  <si>
    <t>SD0490</t>
    <phoneticPr fontId="1" type="noConversion"/>
  </si>
  <si>
    <t>3차통테전</t>
    <phoneticPr fontId="1" type="noConversion"/>
  </si>
  <si>
    <t>제품QC내역 전송 (ERP -&gt; 구매포탈)</t>
    <phoneticPr fontId="1" type="noConversion"/>
  </si>
  <si>
    <t>MM</t>
    <phoneticPr fontId="1" type="noConversion"/>
  </si>
  <si>
    <t>PPT</t>
    <phoneticPr fontId="1" type="noConversion"/>
  </si>
  <si>
    <t>구매포탈</t>
    <phoneticPr fontId="1" type="noConversion"/>
  </si>
  <si>
    <t>Sync</t>
    <phoneticPr fontId="2" type="noConversion"/>
  </si>
  <si>
    <t>RealTime</t>
    <phoneticPr fontId="1" type="noConversion"/>
  </si>
  <si>
    <t>MBS 미납위약금 등록 (ERP -&gt; 구매포탈)</t>
    <phoneticPr fontId="1" type="noConversion"/>
  </si>
  <si>
    <t>SD0430</t>
    <phoneticPr fontId="1" type="noConversion"/>
  </si>
  <si>
    <t>SD0070</t>
    <phoneticPr fontId="1" type="noConversion"/>
  </si>
  <si>
    <t>할당 마스터 IF송신(ERP-&gt;PRM)</t>
    <phoneticPr fontId="1" type="noConversion"/>
  </si>
  <si>
    <t>할당 마스터 IF송신(ERP-&gt;OMS)</t>
    <phoneticPr fontId="1" type="noConversion"/>
  </si>
  <si>
    <t>출고지시 취소 정보(가용성 확인된 주문취소 정보) (OMS → SAP)</t>
    <phoneticPr fontId="1" type="noConversion"/>
  </si>
  <si>
    <t>SD0240</t>
    <phoneticPr fontId="1" type="noConversion"/>
  </si>
  <si>
    <t>MM0190</t>
    <phoneticPr fontId="1" type="noConversion"/>
  </si>
  <si>
    <t>SD0160</t>
    <phoneticPr fontId="1" type="noConversion"/>
  </si>
  <si>
    <t>SD0270</t>
    <phoneticPr fontId="1" type="noConversion"/>
  </si>
  <si>
    <t>SD0500</t>
    <phoneticPr fontId="1" type="noConversion"/>
  </si>
  <si>
    <t>JDBC</t>
    <phoneticPr fontId="1" type="noConversion"/>
  </si>
  <si>
    <t>SD</t>
    <phoneticPr fontId="1" type="noConversion"/>
  </si>
  <si>
    <t>PRM</t>
    <phoneticPr fontId="1" type="noConversion"/>
  </si>
  <si>
    <t>IF_DD_SALES_SELL_OUT-Select</t>
    <phoneticPr fontId="1" type="noConversion"/>
  </si>
  <si>
    <t>IF_CONS_ITEM_SALE -Select</t>
    <phoneticPr fontId="1" type="noConversion"/>
  </si>
  <si>
    <t>3-19일 WMS 생성 예정</t>
    <phoneticPr fontId="1" type="noConversion"/>
  </si>
  <si>
    <t>MM0170</t>
    <phoneticPr fontId="1" type="noConversion"/>
  </si>
  <si>
    <t>WMS MM0170 이후 수정 필드 추가 예정</t>
    <phoneticPr fontId="1" type="noConversion"/>
  </si>
  <si>
    <t>FI0030</t>
    <phoneticPr fontId="1" type="noConversion"/>
  </si>
  <si>
    <t>SD0260</t>
    <phoneticPr fontId="1" type="noConversion"/>
  </si>
  <si>
    <t>SD0350</t>
    <phoneticPr fontId="1" type="noConversion"/>
  </si>
  <si>
    <t>MM0250</t>
    <phoneticPr fontId="1" type="noConversion"/>
  </si>
  <si>
    <t>MM0270</t>
    <phoneticPr fontId="1" type="noConversion"/>
  </si>
  <si>
    <t>직영매장재고 재고상태 IF수신(PRM-&gt;ERP)</t>
    <phoneticPr fontId="1" type="noConversion"/>
  </si>
  <si>
    <t>SD0340</t>
    <phoneticPr fontId="1" type="noConversion"/>
  </si>
  <si>
    <t>매출조정/매출이월 정보 수신(PRM -&gt; SAP)</t>
    <phoneticPr fontId="1" type="noConversion"/>
  </si>
  <si>
    <t>신형석</t>
    <phoneticPr fontId="1" type="noConversion"/>
  </si>
  <si>
    <t>자산마스터 수신</t>
    <phoneticPr fontId="1" type="noConversion"/>
  </si>
  <si>
    <t>FI0050</t>
    <phoneticPr fontId="1" type="noConversion"/>
  </si>
  <si>
    <t>IF_ADD_LOAN_CASH_MILG</t>
    <phoneticPr fontId="1" type="noConversion"/>
  </si>
  <si>
    <t>PRM 추가여신_현금마일리지 정보 송신(SAP → PRM)</t>
    <phoneticPr fontId="1" type="noConversion"/>
  </si>
  <si>
    <t>MM0100</t>
    <phoneticPr fontId="1" type="noConversion"/>
  </si>
  <si>
    <t>SD0250</t>
    <phoneticPr fontId="1" type="noConversion"/>
  </si>
  <si>
    <t>BO 구매확정(배송확정) 일자 수신</t>
    <phoneticPr fontId="1" type="noConversion"/>
  </si>
  <si>
    <t>직영매장재고 재고실사결과 IF수신(PRM-&gt;ERP)</t>
    <phoneticPr fontId="1" type="noConversion"/>
  </si>
  <si>
    <t>IF_SHOP_DD_SALE - Select</t>
    <phoneticPr fontId="1" type="noConversion"/>
  </si>
  <si>
    <t>SD0190</t>
    <phoneticPr fontId="1" type="noConversion"/>
  </si>
  <si>
    <t>여신현황 정보 송신(SAP-&gt;PRM) : 1시간 간격</t>
    <phoneticPr fontId="1" type="noConversion"/>
  </si>
  <si>
    <t xml:space="preserve">IF_SHOP_LOAN_LIMIT </t>
    <phoneticPr fontId="1" type="noConversion"/>
  </si>
  <si>
    <t>SD0420</t>
    <phoneticPr fontId="1" type="noConversion"/>
  </si>
  <si>
    <t>자산이력대장</t>
    <phoneticPr fontId="1" type="noConversion"/>
  </si>
  <si>
    <t>합부판정 입력 (ERP -&gt; WMS)</t>
    <phoneticPr fontId="1" type="noConversion"/>
  </si>
  <si>
    <t>SD0410</t>
    <phoneticPr fontId="1" type="noConversion"/>
  </si>
  <si>
    <t>IF_SHOP_STOCK_FREE_OUT_REQ - Select</t>
    <phoneticPr fontId="1" type="noConversion"/>
  </si>
  <si>
    <t>매장재고 무상(타계정)출고요청 IF수신(PRM-&gt;ERP)</t>
    <phoneticPr fontId="1" type="noConversion"/>
  </si>
  <si>
    <t>MM0310</t>
    <phoneticPr fontId="1" type="noConversion"/>
  </si>
  <si>
    <t>재고이관입고 확정 배치 정보 수신 I/F</t>
    <phoneticPr fontId="1" type="noConversion"/>
  </si>
  <si>
    <t>MM0290</t>
    <phoneticPr fontId="1" type="noConversion"/>
  </si>
  <si>
    <t>MBS 행사원가 등록/확정 I/F (ERP -&gt; 구매포탈)</t>
    <phoneticPr fontId="1" type="noConversion"/>
  </si>
  <si>
    <t>OMS_IF_NA_HIS , OMS_IF_NA</t>
    <phoneticPr fontId="1" type="noConversion"/>
  </si>
  <si>
    <t>OMS_IF_CH_HIS , OMS_IF_CH</t>
    <phoneticPr fontId="1" type="noConversion"/>
  </si>
  <si>
    <t>OMS_IF_PRD_HIS , OMS_IF_PRD</t>
    <phoneticPr fontId="1" type="noConversion"/>
  </si>
  <si>
    <t>CO.V_SAP_HR - Select</t>
    <phoneticPr fontId="1" type="noConversion"/>
  </si>
  <si>
    <t>월간 판매계획 I/F</t>
    <phoneticPr fontId="1" type="noConversion"/>
  </si>
  <si>
    <t>한철기</t>
    <phoneticPr fontId="1" type="noConversion"/>
  </si>
  <si>
    <t>MM0280</t>
    <phoneticPr fontId="1" type="noConversion"/>
  </si>
  <si>
    <t>SD0230</t>
    <phoneticPr fontId="1" type="noConversion"/>
  </si>
  <si>
    <t>SD0450</t>
    <phoneticPr fontId="1" type="noConversion"/>
  </si>
  <si>
    <t>SD0510</t>
    <phoneticPr fontId="1" type="noConversion"/>
  </si>
  <si>
    <t>SD0400</t>
    <phoneticPr fontId="1" type="noConversion"/>
  </si>
  <si>
    <t>SD0140</t>
    <phoneticPr fontId="1" type="noConversion"/>
  </si>
  <si>
    <t>코비전</t>
  </si>
  <si>
    <t>매입확정 확인  (구매포탈 -&gt; ERP)</t>
  </si>
  <si>
    <t>FI0010</t>
    <phoneticPr fontId="1" type="noConversion"/>
  </si>
  <si>
    <t>OEIF_SAPTF_ASSETM</t>
    <phoneticPr fontId="1" type="noConversion"/>
  </si>
  <si>
    <t>IF_STOCK_TRANS_CONF - select</t>
    <phoneticPr fontId="1" type="noConversion"/>
  </si>
  <si>
    <t>REST</t>
  </si>
  <si>
    <t>한기철</t>
    <phoneticPr fontId="1" type="noConversion"/>
  </si>
  <si>
    <t>홍창수</t>
    <phoneticPr fontId="1" type="noConversion"/>
  </si>
  <si>
    <t>FI0060</t>
    <phoneticPr fontId="1" type="noConversion"/>
  </si>
  <si>
    <t>온라인매출정산 입금 여부 수신 I/F</t>
    <phoneticPr fontId="1" type="noConversion"/>
  </si>
  <si>
    <t>Open 일자</t>
    <phoneticPr fontId="1" type="noConversion"/>
  </si>
  <si>
    <t>-</t>
    <phoneticPr fontId="1" type="noConversion"/>
  </si>
  <si>
    <t>FI0070</t>
    <phoneticPr fontId="1" type="noConversion"/>
  </si>
  <si>
    <t>자산마스터 속성값 IF</t>
    <phoneticPr fontId="1" type="noConversion"/>
  </si>
  <si>
    <t>홍창수</t>
    <phoneticPr fontId="1" type="noConversion"/>
  </si>
  <si>
    <t>일배치</t>
    <phoneticPr fontId="1" type="noConversion"/>
  </si>
  <si>
    <t>문영남</t>
    <phoneticPr fontId="1" type="noConversion"/>
  </si>
  <si>
    <t>전희억</t>
    <phoneticPr fontId="1" type="noConversion"/>
  </si>
  <si>
    <t>권오신</t>
    <phoneticPr fontId="1" type="noConversion"/>
  </si>
  <si>
    <t>PRM 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</si>
</sst>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mm&quot;월&quot;\ dd&quot;일&quot;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249977111117893"/>
      <name val="맑은 고딕"/>
      <family val="3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180F"/>
        <bgColor indexed="64"/>
      </patternFill>
    </fill>
    <fill>
      <patternFill patternType="solid">
        <fgColor rgb="FFFED8C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25" fillId="0" borderId="0">
      <alignment vertical="center"/>
    </xf>
  </cellStyleXfs>
  <cellXfs count="26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12" borderId="0" xfId="0" applyFill="1">
      <alignment vertical="center"/>
    </xf>
    <xf numFmtId="14" fontId="0" fillId="12" borderId="0" xfId="0" applyNumberFormat="1" applyFill="1">
      <alignment vertical="center"/>
    </xf>
    <xf numFmtId="0" fontId="5" fillId="0" borderId="17" xfId="0" applyFont="1" applyBorder="1" applyAlignment="1">
      <alignment horizontal="center" vertical="center"/>
    </xf>
    <xf numFmtId="14" fontId="10" fillId="0" borderId="17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13" borderId="0" xfId="0" applyFont="1" applyFill="1">
      <alignment vertical="center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13" fillId="0" borderId="1" xfId="0" applyNumberFormat="1" applyFont="1" applyFill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>
      <alignment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0" fillId="14" borderId="27" xfId="0" applyFont="1" applyFill="1" applyBorder="1" applyAlignment="1">
      <alignment horizontal="center" vertical="center" wrapText="1" readingOrder="1"/>
    </xf>
    <xf numFmtId="0" fontId="20" fillId="14" borderId="33" xfId="0" applyFont="1" applyFill="1" applyBorder="1" applyAlignment="1">
      <alignment horizontal="center" vertical="center" wrapText="1" readingOrder="1"/>
    </xf>
    <xf numFmtId="0" fontId="21" fillId="15" borderId="27" xfId="0" applyFont="1" applyFill="1" applyBorder="1" applyAlignment="1">
      <alignment horizontal="center" vertical="center" wrapText="1" readingOrder="1"/>
    </xf>
    <xf numFmtId="0" fontId="22" fillId="0" borderId="27" xfId="0" applyFont="1" applyBorder="1" applyAlignment="1">
      <alignment horizontal="center" vertical="center" wrapText="1"/>
    </xf>
    <xf numFmtId="9" fontId="22" fillId="0" borderId="27" xfId="0" applyNumberFormat="1" applyFont="1" applyBorder="1" applyAlignment="1">
      <alignment horizontal="center" vertical="center" wrapText="1"/>
    </xf>
    <xf numFmtId="176" fontId="22" fillId="0" borderId="27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9" fontId="22" fillId="16" borderId="27" xfId="0" applyNumberFormat="1" applyFont="1" applyFill="1" applyBorder="1" applyAlignment="1">
      <alignment horizontal="center" vertical="center" wrapText="1"/>
    </xf>
    <xf numFmtId="14" fontId="18" fillId="0" borderId="0" xfId="0" applyNumberFormat="1" applyFont="1">
      <alignment vertical="center"/>
    </xf>
    <xf numFmtId="176" fontId="22" fillId="16" borderId="27" xfId="0" applyNumberFormat="1" applyFont="1" applyFill="1" applyBorder="1" applyAlignment="1">
      <alignment horizontal="center" vertical="center" wrapText="1"/>
    </xf>
    <xf numFmtId="177" fontId="22" fillId="16" borderId="27" xfId="0" applyNumberFormat="1" applyFont="1" applyFill="1" applyBorder="1" applyAlignment="1">
      <alignment horizontal="center" vertical="center" wrapText="1"/>
    </xf>
    <xf numFmtId="0" fontId="22" fillId="16" borderId="27" xfId="0" applyNumberFormat="1" applyFont="1" applyFill="1" applyBorder="1" applyAlignment="1">
      <alignment horizontal="center" vertical="center" wrapText="1"/>
    </xf>
    <xf numFmtId="0" fontId="22" fillId="0" borderId="27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2" fillId="5" borderId="27" xfId="0" applyFont="1" applyFill="1" applyBorder="1" applyAlignment="1">
      <alignment horizontal="center" vertical="center" wrapText="1"/>
    </xf>
    <xf numFmtId="9" fontId="22" fillId="5" borderId="27" xfId="0" applyNumberFormat="1" applyFont="1" applyFill="1" applyBorder="1" applyAlignment="1">
      <alignment horizontal="center" vertical="center" wrapText="1"/>
    </xf>
    <xf numFmtId="176" fontId="22" fillId="5" borderId="27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17" borderId="1" xfId="0" quotePrefix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3" fillId="18" borderId="1" xfId="0" quotePrefix="1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3" fillId="18" borderId="14" xfId="0" applyFont="1" applyFill="1" applyBorder="1" applyAlignment="1">
      <alignment horizontal="left" vertical="center"/>
    </xf>
    <xf numFmtId="0" fontId="8" fillId="18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13" fillId="17" borderId="14" xfId="0" applyFont="1" applyFill="1" applyBorder="1" applyAlignment="1">
      <alignment horizontal="left" vertical="center"/>
    </xf>
    <xf numFmtId="0" fontId="8" fillId="17" borderId="1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vertical="center"/>
    </xf>
    <xf numFmtId="0" fontId="13" fillId="0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vertical="center"/>
    </xf>
    <xf numFmtId="0" fontId="14" fillId="7" borderId="1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8" fillId="17" borderId="1" xfId="0" applyFont="1" applyFill="1" applyBorder="1">
      <alignment vertical="center"/>
    </xf>
    <xf numFmtId="0" fontId="8" fillId="17" borderId="1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13" fillId="17" borderId="1" xfId="0" quotePrefix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quotePrefix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left" vertical="center"/>
    </xf>
    <xf numFmtId="0" fontId="13" fillId="8" borderId="1" xfId="0" quotePrefix="1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left" vertical="center"/>
    </xf>
    <xf numFmtId="0" fontId="13" fillId="20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19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19" borderId="1" xfId="0" quotePrefix="1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left" vertical="center"/>
    </xf>
    <xf numFmtId="0" fontId="26" fillId="8" borderId="1" xfId="0" quotePrefix="1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left" vertical="center"/>
    </xf>
    <xf numFmtId="0" fontId="13" fillId="19" borderId="14" xfId="0" applyFont="1" applyFill="1" applyBorder="1" applyAlignment="1">
      <alignment horizontal="left" vertical="center"/>
    </xf>
    <xf numFmtId="0" fontId="26" fillId="19" borderId="1" xfId="0" quotePrefix="1" applyFont="1" applyFill="1" applyBorder="1" applyAlignment="1">
      <alignment horizontal="center" vertical="center"/>
    </xf>
    <xf numFmtId="0" fontId="26" fillId="19" borderId="14" xfId="0" applyFont="1" applyFill="1" applyBorder="1" applyAlignment="1">
      <alignment horizontal="left" vertical="center"/>
    </xf>
    <xf numFmtId="0" fontId="27" fillId="0" borderId="1" xfId="0" applyFont="1" applyFill="1" applyBorder="1">
      <alignment vertical="center"/>
    </xf>
    <xf numFmtId="0" fontId="21" fillId="16" borderId="28" xfId="0" applyFont="1" applyFill="1" applyBorder="1" applyAlignment="1">
      <alignment horizontal="center" vertical="center" wrapText="1" readingOrder="1"/>
    </xf>
    <xf numFmtId="0" fontId="21" fillId="16" borderId="29" xfId="0" applyFont="1" applyFill="1" applyBorder="1" applyAlignment="1">
      <alignment horizontal="center" vertical="center" wrapText="1" readingOrder="1"/>
    </xf>
    <xf numFmtId="0" fontId="21" fillId="15" borderId="30" xfId="0" applyFont="1" applyFill="1" applyBorder="1" applyAlignment="1">
      <alignment horizontal="center" vertical="center" wrapText="1" readingOrder="1"/>
    </xf>
    <xf numFmtId="0" fontId="21" fillId="5" borderId="28" xfId="0" applyFont="1" applyFill="1" applyBorder="1" applyAlignment="1">
      <alignment horizontal="center" vertical="center" wrapText="1" readingOrder="1"/>
    </xf>
    <xf numFmtId="0" fontId="21" fillId="5" borderId="29" xfId="0" applyFont="1" applyFill="1" applyBorder="1" applyAlignment="1">
      <alignment horizontal="center" vertical="center" wrapText="1" readingOrder="1"/>
    </xf>
    <xf numFmtId="0" fontId="19" fillId="14" borderId="28" xfId="0" applyFont="1" applyFill="1" applyBorder="1" applyAlignment="1">
      <alignment horizontal="center" vertical="center" wrapText="1" readingOrder="1"/>
    </xf>
    <xf numFmtId="0" fontId="19" fillId="14" borderId="29" xfId="0" applyFont="1" applyFill="1" applyBorder="1" applyAlignment="1">
      <alignment horizontal="center" vertical="center" wrapText="1" readingOrder="1"/>
    </xf>
    <xf numFmtId="0" fontId="20" fillId="14" borderId="30" xfId="0" applyFont="1" applyFill="1" applyBorder="1" applyAlignment="1">
      <alignment horizontal="center" vertical="center" wrapText="1" readingOrder="1"/>
    </xf>
    <xf numFmtId="0" fontId="20" fillId="14" borderId="3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8" fillId="19" borderId="1" xfId="0" applyFont="1" applyFill="1" applyBorder="1" applyAlignment="1">
      <alignment horizontal="left" vertical="center"/>
    </xf>
    <xf numFmtId="0" fontId="26" fillId="0" borderId="1" xfId="0" quotePrefix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left" vertical="center"/>
    </xf>
    <xf numFmtId="0" fontId="8" fillId="0" borderId="1" xfId="0" quotePrefix="1" applyFont="1" applyBorder="1">
      <alignment vertical="center"/>
    </xf>
    <xf numFmtId="0" fontId="8" fillId="0" borderId="40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8" fillId="0" borderId="40" xfId="0" quotePrefix="1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vertical="center"/>
    </xf>
    <xf numFmtId="0" fontId="13" fillId="0" borderId="40" xfId="0" applyFont="1" applyFill="1" applyBorder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0" xfId="0" applyNumberFormat="1" applyFont="1" applyFill="1" applyBorder="1">
      <alignment vertical="center"/>
    </xf>
    <xf numFmtId="0" fontId="8" fillId="0" borderId="40" xfId="0" applyFont="1" applyBorder="1">
      <alignment vertical="center"/>
    </xf>
    <xf numFmtId="0" fontId="8" fillId="0" borderId="1" xfId="0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top"/>
    </xf>
    <xf numFmtId="14" fontId="8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 readingOrder="1"/>
    </xf>
    <xf numFmtId="0" fontId="20" fillId="0" borderId="0" xfId="0" applyFont="1" applyFill="1" applyBorder="1" applyAlignment="1">
      <alignment horizontal="center" vertical="center" wrapText="1" readingOrder="1"/>
    </xf>
    <xf numFmtId="9" fontId="2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0" fillId="14" borderId="42" xfId="0" applyFont="1" applyFill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8" fontId="16" fillId="19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Fill="1" applyBorder="1" applyAlignment="1">
      <alignment horizontal="center" vertical="center"/>
    </xf>
    <xf numFmtId="178" fontId="17" fillId="19" borderId="1" xfId="0" applyNumberFormat="1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178" fontId="17" fillId="0" borderId="40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78" fontId="16" fillId="4" borderId="1" xfId="0" applyNumberFormat="1" applyFont="1" applyFill="1" applyBorder="1" applyAlignment="1">
      <alignment horizontal="center" vertical="center"/>
    </xf>
    <xf numFmtId="178" fontId="17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13" fillId="8" borderId="1" xfId="0" applyNumberFormat="1" applyFont="1" applyFill="1" applyBorder="1">
      <alignment vertical="center"/>
    </xf>
    <xf numFmtId="0" fontId="17" fillId="8" borderId="1" xfId="0" applyFont="1" applyFill="1" applyBorder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1" xfId="0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8" fillId="8" borderId="1" xfId="0" quotePrefix="1" applyFont="1" applyFill="1" applyBorder="1" applyAlignment="1">
      <alignment horizontal="center" vertical="center"/>
    </xf>
    <xf numFmtId="0" fontId="24" fillId="8" borderId="1" xfId="0" quotePrefix="1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left" vertical="center"/>
    </xf>
    <xf numFmtId="178" fontId="17" fillId="8" borderId="1" xfId="0" applyNumberFormat="1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178" fontId="16" fillId="21" borderId="1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8" fillId="21" borderId="1" xfId="0" quotePrefix="1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left" vertical="center"/>
    </xf>
    <xf numFmtId="0" fontId="8" fillId="21" borderId="1" xfId="0" applyFont="1" applyFill="1" applyBorder="1">
      <alignment vertical="center"/>
    </xf>
    <xf numFmtId="0" fontId="13" fillId="21" borderId="16" xfId="0" applyFont="1" applyFill="1" applyBorder="1" applyAlignment="1">
      <alignment horizontal="center" vertical="center"/>
    </xf>
    <xf numFmtId="14" fontId="13" fillId="21" borderId="1" xfId="0" applyNumberFormat="1" applyFont="1" applyFill="1" applyBorder="1" applyAlignment="1">
      <alignment horizontal="center" vertical="center"/>
    </xf>
    <xf numFmtId="14" fontId="8" fillId="21" borderId="1" xfId="0" applyNumberFormat="1" applyFont="1" applyFill="1" applyBorder="1" applyAlignment="1">
      <alignment horizontal="center" vertical="center"/>
    </xf>
    <xf numFmtId="14" fontId="13" fillId="21" borderId="1" xfId="0" applyNumberFormat="1" applyFont="1" applyFill="1" applyBorder="1">
      <alignment vertical="center"/>
    </xf>
    <xf numFmtId="0" fontId="16" fillId="21" borderId="1" xfId="0" applyFont="1" applyFill="1" applyBorder="1" applyAlignment="1">
      <alignment horizontal="center" vertical="center"/>
    </xf>
    <xf numFmtId="0" fontId="8" fillId="21" borderId="0" xfId="0" applyFont="1" applyFill="1">
      <alignment vertical="center"/>
    </xf>
    <xf numFmtId="0" fontId="8" fillId="0" borderId="14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14" fillId="19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14" fillId="19" borderId="1" xfId="0" applyNumberFormat="1" applyFont="1" applyFill="1" applyBorder="1" applyAlignment="1">
      <alignment horizontal="left" vertical="center" wrapText="1"/>
    </xf>
    <xf numFmtId="0" fontId="14" fillId="19" borderId="1" xfId="0" applyNumberFormat="1" applyFont="1" applyFill="1" applyBorder="1" applyAlignment="1">
      <alignment horizontal="center" vertical="center" wrapText="1"/>
    </xf>
    <xf numFmtId="9" fontId="0" fillId="0" borderId="9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19" fillId="14" borderId="28" xfId="0" applyFont="1" applyFill="1" applyBorder="1" applyAlignment="1">
      <alignment horizontal="center" vertical="center" wrapText="1" readingOrder="1"/>
    </xf>
    <xf numFmtId="0" fontId="19" fillId="14" borderId="32" xfId="0" applyFont="1" applyFill="1" applyBorder="1" applyAlignment="1">
      <alignment horizontal="center" vertical="center" wrapText="1" readingOrder="1"/>
    </xf>
    <xf numFmtId="0" fontId="19" fillId="14" borderId="29" xfId="0" applyFont="1" applyFill="1" applyBorder="1" applyAlignment="1">
      <alignment horizontal="center" vertical="center" wrapText="1" readingOrder="1"/>
    </xf>
    <xf numFmtId="0" fontId="19" fillId="14" borderId="35" xfId="0" applyFont="1" applyFill="1" applyBorder="1" applyAlignment="1">
      <alignment horizontal="center" vertical="center" wrapText="1" readingOrder="1"/>
    </xf>
    <xf numFmtId="0" fontId="19" fillId="14" borderId="36" xfId="0" applyFont="1" applyFill="1" applyBorder="1" applyAlignment="1">
      <alignment horizontal="center" vertical="center" wrapText="1" readingOrder="1"/>
    </xf>
    <xf numFmtId="0" fontId="19" fillId="14" borderId="37" xfId="0" applyFont="1" applyFill="1" applyBorder="1" applyAlignment="1">
      <alignment horizontal="center" vertical="center" wrapText="1" readingOrder="1"/>
    </xf>
    <xf numFmtId="0" fontId="20" fillId="14" borderId="30" xfId="0" applyFont="1" applyFill="1" applyBorder="1" applyAlignment="1">
      <alignment horizontal="center" vertical="center" wrapText="1" readingOrder="1"/>
    </xf>
    <xf numFmtId="0" fontId="20" fillId="14" borderId="31" xfId="0" applyFont="1" applyFill="1" applyBorder="1" applyAlignment="1">
      <alignment horizontal="center" vertical="center" wrapText="1" readingOrder="1"/>
    </xf>
    <xf numFmtId="0" fontId="21" fillId="15" borderId="30" xfId="0" applyFont="1" applyFill="1" applyBorder="1" applyAlignment="1">
      <alignment horizontal="center" vertical="center" wrapText="1" readingOrder="1"/>
    </xf>
    <xf numFmtId="0" fontId="21" fillId="15" borderId="31" xfId="0" applyFont="1" applyFill="1" applyBorder="1" applyAlignment="1">
      <alignment horizontal="center" vertical="center" wrapText="1" readingOrder="1"/>
    </xf>
    <xf numFmtId="0" fontId="21" fillId="15" borderId="30" xfId="0" applyFont="1" applyFill="1" applyBorder="1" applyAlignment="1">
      <alignment horizontal="center" vertical="center" readingOrder="1"/>
    </xf>
    <xf numFmtId="0" fontId="21" fillId="15" borderId="31" xfId="0" applyFont="1" applyFill="1" applyBorder="1" applyAlignment="1">
      <alignment horizontal="center" vertical="center" readingOrder="1"/>
    </xf>
    <xf numFmtId="0" fontId="21" fillId="16" borderId="28" xfId="0" applyFont="1" applyFill="1" applyBorder="1" applyAlignment="1">
      <alignment horizontal="center" vertical="center" wrapText="1" readingOrder="1"/>
    </xf>
    <xf numFmtId="0" fontId="21" fillId="16" borderId="29" xfId="0" applyFont="1" applyFill="1" applyBorder="1" applyAlignment="1">
      <alignment horizontal="center" vertical="center" wrapText="1" readingOrder="1"/>
    </xf>
    <xf numFmtId="0" fontId="21" fillId="15" borderId="34" xfId="0" applyFont="1" applyFill="1" applyBorder="1" applyAlignment="1">
      <alignment horizontal="center" vertical="center" wrapText="1" readingOrder="1"/>
    </xf>
    <xf numFmtId="0" fontId="21" fillId="5" borderId="28" xfId="0" applyFont="1" applyFill="1" applyBorder="1" applyAlignment="1">
      <alignment horizontal="center" vertical="center" wrapText="1" readingOrder="1"/>
    </xf>
    <xf numFmtId="0" fontId="21" fillId="5" borderId="29" xfId="0" applyFont="1" applyFill="1" applyBorder="1" applyAlignment="1">
      <alignment horizontal="center" vertical="center" wrapText="1" readingOrder="1"/>
    </xf>
  </cellXfs>
  <cellStyles count="2">
    <cellStyle name="표준" xfId="0" builtinId="0"/>
    <cellStyle name="표준 6" xfId="1" xr:uid="{00000000-0005-0000-0000-000001000000}"/>
  </cellStyles>
  <dxfs count="11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CF4FA"/>
      <color rgb="FFE5E5FF"/>
      <color rgb="FFCCCCFF"/>
      <color rgb="FFD6E0F2"/>
      <color rgb="FFEBF0F9"/>
      <color rgb="FFC2D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W19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Sheet2!$C$4:$O$4</c:f>
              <c:strCache>
                <c:ptCount val="13"/>
                <c:pt idx="0">
                  <c:v>MappingSpec 계획</c:v>
                </c:pt>
                <c:pt idx="1">
                  <c:v>MappingSpec 완료</c:v>
                </c:pt>
                <c:pt idx="3">
                  <c:v>Source 계획</c:v>
                </c:pt>
                <c:pt idx="4">
                  <c:v>Source 완료</c:v>
                </c:pt>
                <c:pt idx="6">
                  <c:v>EAI 계획</c:v>
                </c:pt>
                <c:pt idx="7">
                  <c:v>EAI 완료</c:v>
                </c:pt>
                <c:pt idx="9">
                  <c:v>Target 계획</c:v>
                </c:pt>
                <c:pt idx="10">
                  <c:v>Target 완료</c:v>
                </c:pt>
                <c:pt idx="12">
                  <c:v>연계 테스트 완료</c:v>
                </c:pt>
              </c:strCache>
            </c:strRef>
          </c:cat>
          <c:val>
            <c:numRef>
              <c:f>Sheet2!$C$5:$O$5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9-4556-8DB0-DCD60D06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2056704"/>
        <c:axId val="102058624"/>
      </c:barChart>
      <c:catAx>
        <c:axId val="1020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58624"/>
        <c:crosses val="autoZero"/>
        <c:auto val="1"/>
        <c:lblAlgn val="ctr"/>
        <c:lblOffset val="100"/>
        <c:noMultiLvlLbl val="0"/>
      </c:catAx>
      <c:valAx>
        <c:axId val="10205862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56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Sheet2!$C$42</c:f>
              <c:strCache>
                <c:ptCount val="1"/>
                <c:pt idx="0">
                  <c:v>MappingSpec 계획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Sheet2!$B$43:$B$69</c:f>
              <c:strCache>
                <c:ptCount val="27"/>
                <c:pt idx="0">
                  <c:v>계획필요</c:v>
                </c:pt>
                <c:pt idx="1">
                  <c:v>미완료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</c:strCache>
            </c:strRef>
          </c:cat>
          <c:val>
            <c:numRef>
              <c:f>Sheet2!$C$43:$C$69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CFB-B6E2-31E167F8FB89}"/>
            </c:ext>
          </c:extLst>
        </c:ser>
        <c:ser>
          <c:idx val="3"/>
          <c:order val="3"/>
          <c:tx>
            <c:strRef>
              <c:f>Sheet2!$F$42</c:f>
              <c:strCache>
                <c:ptCount val="1"/>
                <c:pt idx="0">
                  <c:v>Source 계획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Sheet2!$B$43:$B$69</c:f>
              <c:strCache>
                <c:ptCount val="27"/>
                <c:pt idx="0">
                  <c:v>계획필요</c:v>
                </c:pt>
                <c:pt idx="1">
                  <c:v>미완료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</c:strCache>
            </c:strRef>
          </c:cat>
          <c:val>
            <c:numRef>
              <c:f>Sheet2!$F$43:$F$69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2-4CFB-B6E2-31E167F8FB89}"/>
            </c:ext>
          </c:extLst>
        </c:ser>
        <c:ser>
          <c:idx val="6"/>
          <c:order val="6"/>
          <c:tx>
            <c:strRef>
              <c:f>Sheet2!$I$42</c:f>
              <c:strCache>
                <c:ptCount val="1"/>
                <c:pt idx="0">
                  <c:v>EAI 계획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Sheet2!$B$43:$B$69</c:f>
              <c:strCache>
                <c:ptCount val="27"/>
                <c:pt idx="0">
                  <c:v>계획필요</c:v>
                </c:pt>
                <c:pt idx="1">
                  <c:v>미완료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</c:strCache>
            </c:strRef>
          </c:cat>
          <c:val>
            <c:numRef>
              <c:f>Sheet2!$I$43:$I$69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A2-4CFB-B6E2-31E167F8FB89}"/>
            </c:ext>
          </c:extLst>
        </c:ser>
        <c:ser>
          <c:idx val="9"/>
          <c:order val="9"/>
          <c:tx>
            <c:strRef>
              <c:f>Sheet2!$L$42</c:f>
              <c:strCache>
                <c:ptCount val="1"/>
                <c:pt idx="0">
                  <c:v>Target 계획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Sheet2!$B$43:$B$69</c:f>
              <c:strCache>
                <c:ptCount val="27"/>
                <c:pt idx="0">
                  <c:v>계획필요</c:v>
                </c:pt>
                <c:pt idx="1">
                  <c:v>미완료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</c:strCache>
            </c:strRef>
          </c:cat>
          <c:val>
            <c:numRef>
              <c:f>Sheet2!$L$43:$L$69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A2-4CFB-B6E2-31E167F8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27456"/>
        <c:axId val="10302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Sheet2!$D$42</c15:sqref>
                        </c15:formulaRef>
                      </c:ext>
                    </c:extLst>
                    <c:strCache>
                      <c:ptCount val="1"/>
                      <c:pt idx="0">
                        <c:v>MappingSpec 완료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Sheet2!$D$43:$D$69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A2-4CFB-B6E2-31E167F8FB8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Sheet2!$E$43:$E$69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A2-4CFB-B6E2-31E167F8FB8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Sheet2!$G$42</c15:sqref>
                        </c15:formulaRef>
                      </c:ext>
                    </c:extLst>
                    <c:strCache>
                      <c:ptCount val="1"/>
                      <c:pt idx="0">
                        <c:v>Source 완료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Sheet2!$G$43:$G$69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A2-4CFB-B6E2-31E167F8FB8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Sheet2!$H$43:$H$69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A2-4CFB-B6E2-31E167F8FB8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Sheet2!$J$42</c15:sqref>
                        </c15:formulaRef>
                      </c:ext>
                    </c:extLst>
                    <c:strCache>
                      <c:ptCount val="1"/>
                      <c:pt idx="0">
                        <c:v>EAI 완료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Sheet2!$J$43:$J$69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A2-4CFB-B6E2-31E167F8FB8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Sheet2!$K$43:$K$69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A2-4CFB-B6E2-31E167F8FB8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Sheet2!$M$42</c15:sqref>
                        </c15:formulaRef>
                      </c:ext>
                    </c:extLst>
                    <c:strCache>
                      <c:ptCount val="1"/>
                      <c:pt idx="0">
                        <c:v>Target 완료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Sheet2!$M$43:$M$69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A2-4CFB-B6E2-31E167F8FB8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Sheet2!$N$43:$N$69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A2-4CFB-B6E2-31E167F8FB8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Sheet2!$O$42</c15:sqref>
                        </c15:formulaRef>
                      </c:ext>
                    </c:extLst>
                    <c:strCache>
                      <c:ptCount val="1"/>
                      <c:pt idx="0">
                        <c:v>연계 테스트 완료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Sheet2!$B$43:$B$69</c15:sqref>
                        </c15:formulaRef>
                      </c:ext>
                    </c:extLst>
                    <c:strCache>
                      <c:ptCount val="27"/>
                      <c:pt idx="0">
                        <c:v>계획필요</c:v>
                      </c:pt>
                      <c:pt idx="1">
                        <c:v>미완료</c:v>
                      </c:pt>
                      <c:pt idx="2">
                        <c:v>W18</c:v>
                      </c:pt>
                      <c:pt idx="3">
                        <c:v>W19</c:v>
                      </c:pt>
                      <c:pt idx="4">
                        <c:v>W20</c:v>
                      </c:pt>
                      <c:pt idx="5">
                        <c:v>W21</c:v>
                      </c:pt>
                      <c:pt idx="6">
                        <c:v>W22</c:v>
                      </c:pt>
                      <c:pt idx="7">
                        <c:v>W23</c:v>
                      </c:pt>
                      <c:pt idx="8">
                        <c:v>W24</c:v>
                      </c:pt>
                      <c:pt idx="9">
                        <c:v>W25</c:v>
                      </c:pt>
                      <c:pt idx="10">
                        <c:v>W26</c:v>
                      </c:pt>
                      <c:pt idx="11">
                        <c:v>W27</c:v>
                      </c:pt>
                      <c:pt idx="12">
                        <c:v>W28</c:v>
                      </c:pt>
                      <c:pt idx="13">
                        <c:v>W29</c:v>
                      </c:pt>
                      <c:pt idx="14">
                        <c:v>W30</c:v>
                      </c:pt>
                      <c:pt idx="15">
                        <c:v>W31</c:v>
                      </c:pt>
                      <c:pt idx="16">
                        <c:v>W32</c:v>
                      </c:pt>
                      <c:pt idx="17">
                        <c:v>W33</c:v>
                      </c:pt>
                      <c:pt idx="18">
                        <c:v>W34</c:v>
                      </c:pt>
                      <c:pt idx="19">
                        <c:v>W35</c:v>
                      </c:pt>
                      <c:pt idx="20">
                        <c:v>W36</c:v>
                      </c:pt>
                      <c:pt idx="21">
                        <c:v>W37</c:v>
                      </c:pt>
                      <c:pt idx="22">
                        <c:v>W38</c:v>
                      </c:pt>
                      <c:pt idx="23">
                        <c:v>W39</c:v>
                      </c:pt>
                      <c:pt idx="24">
                        <c:v>W40</c:v>
                      </c:pt>
                      <c:pt idx="25">
                        <c:v>W41</c:v>
                      </c:pt>
                      <c:pt idx="26">
                        <c:v>W42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Sheet2!$O$43:$O$69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A2-4CFB-B6E2-31E167F8FB89}"/>
                  </c:ext>
                </c:extLst>
              </c15:ser>
            </c15:filteredBarSeries>
          </c:ext>
        </c:extLst>
      </c:barChart>
      <c:catAx>
        <c:axId val="1030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28992"/>
        <c:crosses val="autoZero"/>
        <c:auto val="1"/>
        <c:lblAlgn val="ctr"/>
        <c:lblOffset val="100"/>
        <c:noMultiLvlLbl val="0"/>
      </c:catAx>
      <c:valAx>
        <c:axId val="103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누적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Sheet2!$C$23:$O$23</c:f>
              <c:strCache>
                <c:ptCount val="13"/>
                <c:pt idx="0">
                  <c:v>MappingSpec 계획</c:v>
                </c:pt>
                <c:pt idx="1">
                  <c:v>MappingSpec 완료</c:v>
                </c:pt>
                <c:pt idx="3">
                  <c:v>Source 계획</c:v>
                </c:pt>
                <c:pt idx="4">
                  <c:v>Source 완료</c:v>
                </c:pt>
                <c:pt idx="6">
                  <c:v>EAI 계획</c:v>
                </c:pt>
                <c:pt idx="7">
                  <c:v>EAI 완료</c:v>
                </c:pt>
                <c:pt idx="9">
                  <c:v>Target 계획</c:v>
                </c:pt>
                <c:pt idx="10">
                  <c:v>Target 완료</c:v>
                </c:pt>
                <c:pt idx="12">
                  <c:v>연계 테스트 완료</c:v>
                </c:pt>
              </c:strCache>
            </c:strRef>
          </c:cat>
          <c:val>
            <c:numRef>
              <c:f>Sheet2!$C$24:$O$24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A-4A4F-9C70-E63758351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3044608"/>
        <c:axId val="103046144"/>
      </c:barChart>
      <c:catAx>
        <c:axId val="103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46144"/>
        <c:crosses val="autoZero"/>
        <c:auto val="1"/>
        <c:lblAlgn val="ctr"/>
        <c:lblOffset val="100"/>
        <c:noMultiLvlLbl val="0"/>
      </c:catAx>
      <c:valAx>
        <c:axId val="1030461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44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100854</xdr:rowOff>
    </xdr:from>
    <xdr:to>
      <xdr:col>2</xdr:col>
      <xdr:colOff>659307</xdr:colOff>
      <xdr:row>0</xdr:row>
      <xdr:rowOff>579983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3502157-711D-42F7-A793-1C419BE7D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0854"/>
          <a:ext cx="1550847" cy="479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1282065</xdr:colOff>
      <xdr:row>5</xdr:row>
      <xdr:rowOff>131445</xdr:rowOff>
    </xdr:from>
    <xdr:to>
      <xdr:col>11</xdr:col>
      <xdr:colOff>762000</xdr:colOff>
      <xdr:row>18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647699</xdr:colOff>
      <xdr:row>57</xdr:row>
      <xdr:rowOff>66675</xdr:rowOff>
    </xdr:from>
    <xdr:to>
      <xdr:col>12</xdr:col>
      <xdr:colOff>66674</xdr:colOff>
      <xdr:row>77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828675</xdr:colOff>
      <xdr:row>25</xdr:row>
      <xdr:rowOff>180975</xdr:rowOff>
    </xdr:from>
    <xdr:to>
      <xdr:col>11</xdr:col>
      <xdr:colOff>308610</xdr:colOff>
      <xdr:row>38</xdr:row>
      <xdr:rowOff>51435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onjeum" refreshedDate="44151.77303773148" createdVersion="6" refreshedVersion="6" minRefreshableVersion="3" recordCount="100" xr:uid="{00000000-000A-0000-FFFF-FFFF01000000}">
  <cacheSource type="worksheet">
    <worksheetSource ref="A2:AF93" sheet="Interface 현황 List"/>
  </cacheSource>
  <cacheFields count="50">
    <cacheField name="MappingSpec 계획" numFmtId="0">
      <sharedItems/>
    </cacheField>
    <cacheField name="MappingSpec 완료" numFmtId="0">
      <sharedItems/>
    </cacheField>
    <cacheField name="Source 계획" numFmtId="0">
      <sharedItems/>
    </cacheField>
    <cacheField name="Source 완료" numFmtId="0">
      <sharedItems/>
    </cacheField>
    <cacheField name="EAI 계획" numFmtId="0">
      <sharedItems/>
    </cacheField>
    <cacheField name="EAI 완료" numFmtId="0">
      <sharedItems/>
    </cacheField>
    <cacheField name="Target 계획" numFmtId="0">
      <sharedItems/>
    </cacheField>
    <cacheField name="Target 완료" numFmtId="0">
      <sharedItems/>
    </cacheField>
    <cacheField name="연계 테스트 완료" numFmtId="0">
      <sharedItems/>
    </cacheField>
    <cacheField name="순번" numFmtId="0">
      <sharedItems containsMixedTypes="1" containsNumber="1" containsInteger="1" minValue="1" maxValue="92"/>
    </cacheField>
    <cacheField name="Module" numFmtId="0">
      <sharedItems containsBlank="1"/>
    </cacheField>
    <cacheField name="I/F ID" numFmtId="0">
      <sharedItems containsBlank="1"/>
    </cacheField>
    <cacheField name="Interface 명" numFmtId="0">
      <sharedItems/>
    </cacheField>
    <cacheField name="Interface 개요" numFmtId="0">
      <sharedItems containsBlank="1"/>
    </cacheField>
    <cacheField name="관련 ERP 개발 항목 " numFmtId="0">
      <sharedItems containsBlank="1"/>
    </cacheField>
    <cacheField name="As-Is I/F 항목" numFmtId="0">
      <sharedItems containsBlank="1"/>
    </cacheField>
    <cacheField name="유형 (1.Master, 2.2.Transaction)" numFmtId="0">
      <sharedItems containsBlank="1"/>
    </cacheField>
    <cacheField name="세부 내용" numFmtId="0">
      <sharedItems containsBlank="1"/>
    </cacheField>
    <cacheField name="시스템 명" numFmtId="0">
      <sharedItems/>
    </cacheField>
    <cacheField name="구분" numFmtId="0">
      <sharedItems/>
    </cacheField>
    <cacheField name="통신방식" numFmtId="0">
      <sharedItems containsBlank="1"/>
    </cacheField>
    <cacheField name="시스템 명2" numFmtId="0">
      <sharedItems/>
    </cacheField>
    <cacheField name="구분2" numFmtId="0">
      <sharedItems/>
    </cacheField>
    <cacheField name="통신방식2" numFmtId="0">
      <sharedItems containsBlank="1"/>
    </cacheField>
    <cacheField name="Source" numFmtId="0">
      <sharedItems/>
    </cacheField>
    <cacheField name="EAI" numFmtId="0">
      <sharedItems/>
    </cacheField>
    <cacheField name="Traget" numFmtId="0">
      <sharedItems containsBlank="1"/>
    </cacheField>
    <cacheField name="Type" numFmtId="0">
      <sharedItems containsBlank="1"/>
    </cacheField>
    <cacheField name="Mode" numFmtId="0">
      <sharedItems containsBlank="1"/>
    </cacheField>
    <cacheField name="I/F방식" numFmtId="0">
      <sharedItems containsBlank="1"/>
    </cacheField>
    <cacheField name="I/F 유형" numFmtId="0">
      <sharedItems containsBlank="1"/>
    </cacheField>
    <cacheField name="Record단위 Size_x000a_(KB)" numFmtId="0">
      <sharedItems containsNonDate="0" containsString="0" containsBlank="1"/>
    </cacheField>
    <cacheField name="Record 건수_x000a_(1회 전송)" numFmtId="0">
      <sharedItems containsString="0" containsBlank="1" containsNumber="1" containsInteger="1" minValue="1" maxValue="50000"/>
    </cacheField>
    <cacheField name="개발차수" numFmtId="0">
      <sharedItems containsBlank="1"/>
    </cacheField>
    <cacheField name="비고" numFmtId="0">
      <sharedItems containsBlank="1"/>
    </cacheField>
    <cacheField name="작성계획일" numFmtId="14">
      <sharedItems containsNonDate="0" containsDate="1" containsString="0" containsBlank="1" minDate="2020-11-10T00:00:00" maxDate="2021-04-10T00:00:00"/>
    </cacheField>
    <cacheField name="작성완료일" numFmtId="14">
      <sharedItems containsNonDate="0" containsDate="1" containsString="0" containsBlank="1" minDate="2020-11-11T00:00:00" maxDate="2020-11-12T00:00:00"/>
    </cacheField>
    <cacheField name="작성자" numFmtId="0">
      <sharedItems containsBlank="1"/>
    </cacheField>
    <cacheField name="개발계획일" numFmtId="14">
      <sharedItems containsNonDate="0" containsDate="1" containsString="0" containsBlank="1" minDate="2020-11-20T00:00:00" maxDate="2021-03-06T00:00:00"/>
    </cacheField>
    <cacheField name="개발완료일" numFmtId="14">
      <sharedItems containsNonDate="0" containsString="0" containsBlank="1"/>
    </cacheField>
    <cacheField name="개발자" numFmtId="0">
      <sharedItems containsBlank="1"/>
    </cacheField>
    <cacheField name="개발계획일2" numFmtId="14">
      <sharedItems containsNonDate="0" containsDate="1" containsString="0" containsBlank="1" minDate="2020-11-20T00:00:00" maxDate="2021-04-10T00:00:00"/>
    </cacheField>
    <cacheField name="개발완료일2" numFmtId="14">
      <sharedItems containsNonDate="0" containsString="0" containsBlank="1"/>
    </cacheField>
    <cacheField name="개발자2" numFmtId="0">
      <sharedItems containsBlank="1"/>
    </cacheField>
    <cacheField name="개발계획일3" numFmtId="14">
      <sharedItems containsNonDate="0" containsDate="1" containsString="0" containsBlank="1" minDate="2020-11-20T00:00:00" maxDate="2021-04-17T00:00:00"/>
    </cacheField>
    <cacheField name="개발완료일3" numFmtId="14">
      <sharedItems containsNonDate="0" containsString="0" containsBlank="1"/>
    </cacheField>
    <cacheField name="개발자3" numFmtId="0">
      <sharedItems containsBlank="1"/>
    </cacheField>
    <cacheField name="연계테스트 완료일" numFmtId="14">
      <sharedItems containsNonDate="0" containsString="0" containsBlank="1"/>
    </cacheField>
    <cacheField name="최종수정일" numFmtId="0">
      <sharedItems containsNonDate="0" containsString="0" containsBlank="1"/>
    </cacheField>
    <cacheField name="운영오픈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W23"/>
    <s v="미완료"/>
    <s v="W23"/>
    <s v="미완료"/>
    <s v="W23"/>
    <s v="미완료"/>
    <s v="W23"/>
    <s v="미완료"/>
    <s v="미완료"/>
    <n v="1"/>
    <s v="CM"/>
    <s v="CM0010"/>
    <s v="[공통] 전자 결재 상신"/>
    <s v="기타출고 등록 품의 I/F"/>
    <s v="MM-0500"/>
    <m/>
    <s v="2.Transaction"/>
    <s v="기타출고 등록 품의 I/F"/>
    <s v="ERP"/>
    <s v="CM"/>
    <s v="AbapProxy"/>
    <s v="GW"/>
    <s v="전자결재"/>
    <m/>
    <s v="박흥서"/>
    <s v="홍창수"/>
    <s v="코비전"/>
    <m/>
    <m/>
    <s v="1.EAI"/>
    <s v="5.입력및수정"/>
    <m/>
    <m/>
    <s v="2차통테전"/>
    <m/>
    <d v="2020-12-15T00:00:00"/>
    <m/>
    <m/>
    <d v="2020-12-18T00:00:00"/>
    <m/>
    <m/>
    <d v="2020-12-18T00:00:00"/>
    <m/>
    <m/>
    <d v="2020-12-18T00:00:00"/>
    <m/>
    <m/>
    <m/>
    <m/>
    <m/>
  </r>
  <r>
    <s v="W23"/>
    <s v="미완료"/>
    <s v="W23"/>
    <s v="미완료"/>
    <s v="W23"/>
    <s v="미완료"/>
    <s v="W23"/>
    <s v="미완료"/>
    <s v="미완료"/>
    <n v="2"/>
    <s v="CM"/>
    <s v="CM0010"/>
    <s v="[공통] 전자 결재 상태 수신"/>
    <m/>
    <m/>
    <m/>
    <m/>
    <m/>
    <s v="GW"/>
    <s v="전자결재"/>
    <m/>
    <s v="ERP"/>
    <s v="CM"/>
    <s v="AbapProxy"/>
    <s v="코비전"/>
    <s v="홍창수"/>
    <s v="박흥서"/>
    <m/>
    <m/>
    <m/>
    <m/>
    <m/>
    <m/>
    <m/>
    <m/>
    <d v="2020-12-15T00:00:00"/>
    <m/>
    <m/>
    <d v="2020-12-18T00:00:00"/>
    <m/>
    <m/>
    <d v="2020-12-18T00:00:00"/>
    <m/>
    <m/>
    <d v="2020-12-18T00:00:00"/>
    <m/>
    <m/>
    <m/>
    <m/>
    <m/>
  </r>
  <r>
    <s v="계획필요"/>
    <s v="미완료"/>
    <s v="W25"/>
    <s v="미완료"/>
    <s v="계획필요"/>
    <s v="미완료"/>
    <s v="W25"/>
    <s v="미완료"/>
    <s v="미완료"/>
    <s v=""/>
    <m/>
    <m/>
    <s v="기타출고 품의 G/W I/F"/>
    <s v="기타출고 등록 품의 I/F"/>
    <s v="MM-0500"/>
    <m/>
    <s v="2.Transaction"/>
    <s v="기타출고 등록 품의 I/F"/>
    <s v="ERP"/>
    <s v="MM"/>
    <m/>
    <s v="GW"/>
    <s v="코비전"/>
    <m/>
    <s v="박흥서"/>
    <s v="홍창수"/>
    <s v="코비전"/>
    <s v="Async"/>
    <s v="Batch"/>
    <s v="1.EAI"/>
    <s v="5.입력및수정"/>
    <m/>
    <m/>
    <s v="2차통테전"/>
    <m/>
    <m/>
    <m/>
    <s v="박흥서"/>
    <d v="2020-12-31T00:00:00"/>
    <m/>
    <s v="위성종"/>
    <m/>
    <m/>
    <s v="홍창수"/>
    <d v="2020-12-31T00:00:00"/>
    <m/>
    <s v="권오신"/>
    <m/>
    <m/>
    <m/>
  </r>
  <r>
    <s v="계획필요"/>
    <s v="미완료"/>
    <s v="W26"/>
    <s v="미완료"/>
    <s v="계획필요"/>
    <s v="미완료"/>
    <s v="W26"/>
    <s v="미완료"/>
    <s v="미완료"/>
    <s v=""/>
    <m/>
    <m/>
    <s v="발주요청 품의 G/W I/F "/>
    <s v="발주요청 품의 G/W I/F "/>
    <s v="MM-0520"/>
    <m/>
    <s v="2.Transaction"/>
    <s v="발주요청 품의 G/W I/F "/>
    <s v="ERP"/>
    <s v="S&amp;OP"/>
    <m/>
    <s v="GW"/>
    <s v="코비전"/>
    <m/>
    <s v="한철기"/>
    <s v="홍창수"/>
    <s v="코비전"/>
    <s v="Async"/>
    <s v="Batch"/>
    <s v="1.EAI"/>
    <s v="5.입력및수정"/>
    <m/>
    <m/>
    <s v="2차통테전"/>
    <m/>
    <m/>
    <m/>
    <s v="박흥서"/>
    <d v="2021-01-08T00:00:00"/>
    <m/>
    <s v="위성종"/>
    <m/>
    <m/>
    <s v="홍창수"/>
    <d v="2021-01-08T00:00:00"/>
    <m/>
    <s v="권오신"/>
    <m/>
    <m/>
    <m/>
  </r>
  <r>
    <s v="계획필요"/>
    <s v="미완료"/>
    <s v="W26"/>
    <s v="미완료"/>
    <s v="계획필요"/>
    <s v="미완료"/>
    <s v="W26"/>
    <s v="미완료"/>
    <s v="미완료"/>
    <s v=""/>
    <m/>
    <m/>
    <s v="기타출고 결재 G/W 수신 I/F"/>
    <s v="기타출고 결재 수신 I/F"/>
    <s v="MM-0510"/>
    <m/>
    <s v="2.Transaction"/>
    <s v="기타출고 결재 수신 I/F"/>
    <s v="GW"/>
    <s v="전자결재"/>
    <m/>
    <s v="ERP"/>
    <s v="MM"/>
    <m/>
    <s v="코비전"/>
    <s v="홍창수"/>
    <s v="박흥서"/>
    <s v="Async"/>
    <s v="Batch"/>
    <s v="1.EAI"/>
    <s v="5.입력및수정"/>
    <m/>
    <m/>
    <s v="2차통테전"/>
    <m/>
    <m/>
    <m/>
    <s v="박흥서"/>
    <d v="2021-01-08T00:00:00"/>
    <m/>
    <s v="권오신"/>
    <m/>
    <m/>
    <s v="홍창수"/>
    <d v="2021-01-08T00:00:00"/>
    <m/>
    <s v="위성종"/>
    <m/>
    <m/>
    <m/>
  </r>
  <r>
    <s v="계획필요"/>
    <s v="미완료"/>
    <s v="W26"/>
    <s v="미완료"/>
    <s v="계획필요"/>
    <s v="미완료"/>
    <s v="W26"/>
    <s v="미완료"/>
    <s v="미완료"/>
    <s v=""/>
    <m/>
    <m/>
    <s v="발주요청 결재 G/W 수신 I/F"/>
    <s v="발주요청 결재 수신 "/>
    <s v="MM-0530"/>
    <m/>
    <s v="2.Transaction"/>
    <s v="발주요청 결재 수신 "/>
    <s v="GW"/>
    <s v="전자결재"/>
    <m/>
    <s v="ERP"/>
    <s v="S&amp;OP"/>
    <m/>
    <s v="코비전"/>
    <s v="홍창수"/>
    <s v="한철기"/>
    <s v="Async"/>
    <s v="Batch"/>
    <s v="1.EAI"/>
    <s v="5.입력및수정"/>
    <m/>
    <m/>
    <s v="2차통테전"/>
    <m/>
    <m/>
    <m/>
    <s v="박흥서"/>
    <d v="2021-01-08T00:00:00"/>
    <m/>
    <s v="권오신"/>
    <m/>
    <m/>
    <s v="홍창수"/>
    <d v="2021-01-08T00:00:00"/>
    <m/>
    <s v="위성종"/>
    <m/>
    <m/>
    <m/>
  </r>
  <r>
    <s v="계획필요"/>
    <s v="미완료"/>
    <s v="W31"/>
    <s v="미완료"/>
    <s v="계획필요"/>
    <s v="미완료"/>
    <s v="W31"/>
    <s v="미완료"/>
    <s v="미완료"/>
    <s v=""/>
    <m/>
    <m/>
    <s v="폐기 등록 품의 G/W I/F"/>
    <s v="폐기 등록 품의 I/F"/>
    <s v="MM-0620"/>
    <m/>
    <s v="2.Transaction"/>
    <s v="폐기 등록 품의 I/F"/>
    <s v="ERP"/>
    <s v="MM"/>
    <m/>
    <s v="GW"/>
    <s v="코비전"/>
    <m/>
    <s v="박흥서"/>
    <s v="홍창수"/>
    <s v="코비전"/>
    <s v="Async"/>
    <s v="Batch"/>
    <s v="1.EAI"/>
    <s v="5.입력및수정"/>
    <m/>
    <m/>
    <s v="2차통테전"/>
    <m/>
    <m/>
    <m/>
    <s v="박흥서"/>
    <d v="2021-02-12T00:00:00"/>
    <m/>
    <s v="위성종"/>
    <m/>
    <m/>
    <s v="홍창수"/>
    <d v="2021-02-12T00:00:00"/>
    <m/>
    <s v="권오신"/>
    <m/>
    <m/>
    <m/>
  </r>
  <r>
    <s v="계획필요"/>
    <s v="미완료"/>
    <s v="W31"/>
    <s v="미완료"/>
    <s v="계획필요"/>
    <s v="미완료"/>
    <s v="W31"/>
    <s v="미완료"/>
    <s v="미완료"/>
    <s v=""/>
    <m/>
    <m/>
    <s v="폐기 결재 결재 G/W 수신 I/F"/>
    <s v="폐기 결재 수신 I/F"/>
    <s v="MM-0630"/>
    <m/>
    <s v="2.Transaction"/>
    <s v="폐기 결재 수신 I/F"/>
    <s v="GW"/>
    <s v="코비전"/>
    <m/>
    <s v="ERP"/>
    <s v="MM"/>
    <m/>
    <s v="코비전"/>
    <s v="홍창수"/>
    <s v="박흥서"/>
    <s v="Async"/>
    <s v="Batch"/>
    <s v="1.EAI"/>
    <s v="5.입력및수정"/>
    <m/>
    <m/>
    <s v="2차통테전"/>
    <m/>
    <m/>
    <m/>
    <s v="박흥서"/>
    <d v="2021-02-12T00:00:00"/>
    <m/>
    <s v="위성종"/>
    <m/>
    <m/>
    <s v="홍창수"/>
    <d v="2021-02-12T00:00:00"/>
    <m/>
    <s v="권오신"/>
    <m/>
    <m/>
    <m/>
  </r>
  <r>
    <s v="W22"/>
    <s v="미완료"/>
    <s v="W23"/>
    <s v="미완료"/>
    <s v="W24"/>
    <s v="미완료"/>
    <s v="W23"/>
    <s v="미완료"/>
    <s v="미완료"/>
    <s v=""/>
    <m/>
    <m/>
    <s v="전자결재 상신"/>
    <s v="ERP -&gt; GW, Push방식"/>
    <m/>
    <m/>
    <m/>
    <m/>
    <s v="ERP"/>
    <s v="FI"/>
    <m/>
    <s v="GW"/>
    <s v="FI"/>
    <m/>
    <s v="문영남"/>
    <s v="홍창수"/>
    <m/>
    <s v="Sync"/>
    <s v="RealTime"/>
    <s v="1.EAI"/>
    <m/>
    <m/>
    <n v="1"/>
    <s v="1차통테전"/>
    <m/>
    <d v="2020-12-11T00:00:00"/>
    <m/>
    <s v="변헌태"/>
    <d v="2020-12-18T00:00:00"/>
    <m/>
    <s v="허정석"/>
    <d v="2020-12-24T00:00:00"/>
    <m/>
    <s v="홍창수"/>
    <d v="2020-12-18T00:00:00"/>
    <m/>
    <m/>
    <m/>
    <m/>
    <m/>
  </r>
  <r>
    <s v="W22"/>
    <s v="미완료"/>
    <s v="W23"/>
    <s v="미완료"/>
    <s v="W24"/>
    <s v="미완료"/>
    <s v="W23"/>
    <s v="미완료"/>
    <s v="미완료"/>
    <s v=""/>
    <m/>
    <m/>
    <s v="전자결재 상태 수신"/>
    <s v="GW -&gt; ERP, Push방식"/>
    <m/>
    <m/>
    <m/>
    <m/>
    <s v="GW"/>
    <s v="FI"/>
    <m/>
    <s v="SAP"/>
    <s v="FI"/>
    <m/>
    <s v="문영남"/>
    <s v="홍창수"/>
    <m/>
    <s v="Sync"/>
    <s v="RealTime"/>
    <s v="1.EAI"/>
    <m/>
    <m/>
    <n v="1"/>
    <s v="1차통테전"/>
    <m/>
    <d v="2020-12-11T00:00:00"/>
    <m/>
    <s v="변헌태"/>
    <d v="2020-12-18T00:00:00"/>
    <m/>
    <s v="허정석"/>
    <d v="2020-12-24T00:00:00"/>
    <m/>
    <s v="홍창수"/>
    <d v="2020-12-18T00:00:00"/>
    <m/>
    <m/>
    <m/>
    <m/>
    <m/>
  </r>
  <r>
    <s v="W18"/>
    <s v="W18"/>
    <s v="계획필요"/>
    <s v="미완료"/>
    <s v="W20"/>
    <s v="미완료"/>
    <s v="계획필요"/>
    <s v="미완료"/>
    <s v="미완료"/>
    <n v="3"/>
    <s v="CO"/>
    <s v="CO0010"/>
    <s v="e-hr 사원별 인사부서 코드 IF수신"/>
    <s v="e-hr 사원별 인사부서, 사원별 은행정보 공유"/>
    <s v="e-hr 사원별 인사부서, 은행정보 저장된 내역을 ERP 에서 접근 수행 후 , 1회/day  수신하도록 함 "/>
    <s v="N/A"/>
    <s v="2.Transaction"/>
    <s v="1 Step 특이사항 없음"/>
    <s v="ERP"/>
    <s v="SD"/>
    <s v="AbapProxy"/>
    <s v="PRM"/>
    <s v="POS/PRM"/>
    <s v="JDBC"/>
    <s v="이윤정"/>
    <s v="홍창수"/>
    <s v="권오신"/>
    <s v="Sync"/>
    <s v="Batch"/>
    <s v="1.EAI"/>
    <s v="4.조회"/>
    <m/>
    <n v="1217"/>
    <s v="1차통테전"/>
    <s v="JDBC Select and Return"/>
    <d v="2020-11-10T00:00:00"/>
    <d v="2020-11-11T00:00:00"/>
    <s v="이윤정"/>
    <m/>
    <m/>
    <s v="이윤정"/>
    <d v="2020-11-25T00:00:00"/>
    <m/>
    <s v="홍창수"/>
    <m/>
    <m/>
    <s v="권오신"/>
    <m/>
    <m/>
    <m/>
  </r>
  <r>
    <s v="W21"/>
    <s v="미완료"/>
    <s v="계획필요"/>
    <s v="미완료"/>
    <s v="W23"/>
    <s v="미완료"/>
    <s v="W22"/>
    <s v="미완료"/>
    <s v="미완료"/>
    <n v="4"/>
    <s v="FI"/>
    <s v="FI0010"/>
    <s v="카드매출정보 수신"/>
    <s v="POS/PRM 으로부터 카드 매출정보 수신"/>
    <m/>
    <m/>
    <m/>
    <m/>
    <s v="PRM"/>
    <s v="POS/PRM"/>
    <m/>
    <s v="ERP"/>
    <s v="FI"/>
    <s v="AbapProxy"/>
    <s v="코비전"/>
    <s v="홍창수"/>
    <m/>
    <s v="Async"/>
    <s v="Batch"/>
    <s v="1.EAI"/>
    <s v="4.조회"/>
    <m/>
    <n v="50000"/>
    <s v="1차통테전"/>
    <m/>
    <d v="2020-12-04T00:00:00"/>
    <m/>
    <s v="문영남"/>
    <m/>
    <m/>
    <m/>
    <d v="2020-12-18T00:00:00"/>
    <m/>
    <s v="홍창수"/>
    <d v="2020-12-11T00:00:00"/>
    <m/>
    <s v="허정석"/>
    <m/>
    <m/>
    <m/>
  </r>
  <r>
    <s v="W39"/>
    <s v="미완료"/>
    <s v="계획필요"/>
    <s v="미완료"/>
    <s v="W39"/>
    <s v="미완료"/>
    <s v="W40"/>
    <s v="미완료"/>
    <s v="미완료"/>
    <n v="5"/>
    <s v="FI"/>
    <s v="FI0020"/>
    <s v="외국인부가세 환급내역 I/F"/>
    <s v="외부(KS Net?) -&gt; ERP"/>
    <m/>
    <m/>
    <m/>
    <m/>
    <s v="KSNET"/>
    <s v="KSNET"/>
    <m/>
    <s v="ERP"/>
    <s v="FI"/>
    <s v="AbapProxy"/>
    <s v="코비전"/>
    <s v="홍창수"/>
    <m/>
    <s v="Async"/>
    <s v="Batch"/>
    <s v="1.EAI"/>
    <s v="4.조회"/>
    <m/>
    <n v="1000"/>
    <s v="Open전"/>
    <m/>
    <d v="2021-04-09T00:00:00"/>
    <m/>
    <s v="문영남"/>
    <m/>
    <m/>
    <m/>
    <d v="2021-04-09T00:00:00"/>
    <m/>
    <s v="홍창수"/>
    <d v="2021-04-16T00:00:00"/>
    <m/>
    <s v="허정석"/>
    <m/>
    <m/>
    <m/>
  </r>
  <r>
    <s v="W19"/>
    <s v="미완료"/>
    <s v="W19"/>
    <s v="미완료"/>
    <s v="W19"/>
    <s v="미완료"/>
    <s v="W19"/>
    <s v="미완료"/>
    <s v="미완료"/>
    <n v="6"/>
    <s v="MM"/>
    <s v="MM0010"/>
    <s v="자재마스터 등록 (ERP -&gt; 구매포탈)"/>
    <s v="자재마스터 등록 (ERP -&gt; 구매포탈)"/>
    <s v="MM-0340"/>
    <m/>
    <s v="1.Master"/>
    <s v="자재마스터 등록 (ERP -&gt; 구매포탈)"/>
    <s v="ERP"/>
    <s v="MM"/>
    <s v="AbapProxy"/>
    <s v="PPT"/>
    <s v="구매포탈"/>
    <s v="JDBC"/>
    <s v="박흥서"/>
    <s v="홍창수"/>
    <s v="권오신"/>
    <s v="Async"/>
    <s v="Batch"/>
    <s v="1.EAI"/>
    <s v="1.입력"/>
    <m/>
    <m/>
    <s v="1차통테전"/>
    <s v="JDBC Insert and Return"/>
    <d v="2020-11-17T00:00:00"/>
    <m/>
    <s v="박흥서"/>
    <d v="2020-11-20T00:00:00"/>
    <m/>
    <s v="위성종"/>
    <d v="2020-11-20T00:00:00"/>
    <m/>
    <s v="홍창수"/>
    <d v="2020-11-20T00:00:00"/>
    <m/>
    <s v="권오신"/>
    <m/>
    <m/>
    <m/>
  </r>
  <r>
    <s v="W20"/>
    <s v="미완료"/>
    <s v="W20"/>
    <s v="미완료"/>
    <s v="W20"/>
    <s v="미완료"/>
    <s v="W20"/>
    <s v="미완료"/>
    <s v="미완료"/>
    <n v="7"/>
    <s v="MM"/>
    <s v="MM0020"/>
    <s v="자재마스터 변경 (구매포탈 -&gt; ERP)"/>
    <s v="자재마스터 변경 (구매포탈 -&gt; ERP)"/>
    <s v="MM-0350"/>
    <m/>
    <s v="1.Master"/>
    <s v="자재마스터 변경 (구매포탈 -&gt; ERP)"/>
    <s v="PPT"/>
    <s v="구매포탈"/>
    <s v="SOAP"/>
    <s v="ERP"/>
    <s v="MM"/>
    <s v="AbapProxy"/>
    <s v="권오신"/>
    <s v="홍창수"/>
    <s v="박흥서"/>
    <s v="Sync"/>
    <s v="Batch"/>
    <s v="1.EAI"/>
    <s v="2.수정"/>
    <m/>
    <m/>
    <s v="1차통테전"/>
    <s v="SOAP"/>
    <d v="2020-11-24T00:00:00"/>
    <m/>
    <s v="박흥서"/>
    <d v="2020-11-27T00:00:00"/>
    <m/>
    <s v="권오신"/>
    <d v="2020-11-27T00:00:00"/>
    <m/>
    <s v="홍창수"/>
    <d v="2020-11-27T00:00:00"/>
    <m/>
    <s v="위성종"/>
    <m/>
    <m/>
    <m/>
  </r>
  <r>
    <s v="W20"/>
    <s v="미완료"/>
    <s v="W20"/>
    <s v="미완료"/>
    <s v="W20"/>
    <s v="미완료"/>
    <s v="W20"/>
    <s v="미완료"/>
    <s v="미완료"/>
    <n v="8"/>
    <s v="MM"/>
    <s v="MM0030"/>
    <s v="업체마스터 등록 (ERP -&gt; 구매포탈)"/>
    <s v="업체마스터 등록 (ERP -&gt; 구매포탈)"/>
    <s v="MM-0360"/>
    <m/>
    <s v="1.Master"/>
    <s v="업체마스터 등록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0-11-24T00:00:00"/>
    <m/>
    <s v="박흥서"/>
    <d v="2020-11-27T00:00:00"/>
    <m/>
    <s v="위성종"/>
    <d v="2020-11-27T00:00:00"/>
    <m/>
    <s v="홍창수"/>
    <d v="2020-11-27T00:00:00"/>
    <m/>
    <s v="권오신"/>
    <m/>
    <m/>
    <m/>
  </r>
  <r>
    <s v="W21"/>
    <s v="미완료"/>
    <s v="W21"/>
    <s v="미완료"/>
    <s v="W22"/>
    <s v="미완료"/>
    <s v="W21"/>
    <s v="미완료"/>
    <s v="미완료"/>
    <n v="9"/>
    <s v="MM"/>
    <s v="MM0040"/>
    <s v="견적서 등록/회수 (구매포탈 -&gt; ERP)"/>
    <s v="견적서 등록/회수 (구매포탈 -&gt; ERP)"/>
    <s v="MM-0370"/>
    <m/>
    <s v="2.Transaction"/>
    <s v="견적서 등록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1차통테전"/>
    <m/>
    <d v="2020-12-01T00:00:00"/>
    <m/>
    <s v="박흥서"/>
    <d v="2020-12-04T00:00:00"/>
    <m/>
    <s v="위성종"/>
    <d v="2020-12-07T00:00:00"/>
    <m/>
    <s v="홍창수"/>
    <d v="2020-12-04T00:00:00"/>
    <m/>
    <s v="권오신"/>
    <m/>
    <m/>
    <m/>
  </r>
  <r>
    <s v="W21"/>
    <s v="미완료"/>
    <s v="W21"/>
    <s v="미완료"/>
    <s v="W22"/>
    <s v="미완료"/>
    <s v="W21"/>
    <s v="미완료"/>
    <s v="미완료"/>
    <n v="10"/>
    <s v="MM"/>
    <s v="MM0050"/>
    <s v="견적서 승인/거절 (ERP -&gt; 구매포탈)"/>
    <s v="견적서 승인/거절 (ERP -&gt; 구매포탈)"/>
    <s v="MM-0380"/>
    <m/>
    <s v="2.Transaction"/>
    <s v="견적서 승인/거절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0-12-01T00:00:00"/>
    <m/>
    <s v="박흥서"/>
    <d v="2020-12-04T00:00:00"/>
    <m/>
    <s v="위성종"/>
    <d v="2020-12-07T00:00:00"/>
    <m/>
    <s v="홍창수"/>
    <d v="2020-12-04T00:00:00"/>
    <m/>
    <s v="권오신"/>
    <m/>
    <m/>
    <m/>
  </r>
  <r>
    <s v="W22"/>
    <s v="미완료"/>
    <s v="W22"/>
    <s v="미완료"/>
    <s v="W22"/>
    <s v="미완료"/>
    <s v="W22"/>
    <s v="미완료"/>
    <s v="미완료"/>
    <n v="11"/>
    <s v="MM"/>
    <s v="MM0060"/>
    <s v="BOM 마스터 등록 (ERP -&gt; 구매포탈)"/>
    <s v="BOM 마스터 등록 (ERP -&gt; 구매포탈)"/>
    <s v="MM-0390"/>
    <m/>
    <s v="1.Master"/>
    <s v="BOM 마스터 등록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0-12-08T00:00:00"/>
    <m/>
    <s v="박흥서"/>
    <d v="2020-12-11T00:00:00"/>
    <m/>
    <s v="위성종"/>
    <d v="2020-12-11T00:00:00"/>
    <m/>
    <s v="홍창수"/>
    <d v="2020-12-11T00:00:00"/>
    <m/>
    <s v="권오신"/>
    <m/>
    <m/>
    <m/>
  </r>
  <r>
    <s v="W22"/>
    <s v="미완료"/>
    <s v="W22"/>
    <s v="미완료"/>
    <s v="W22"/>
    <s v="미완료"/>
    <s v="W22"/>
    <s v="미완료"/>
    <s v="미완료"/>
    <n v="12"/>
    <s v="MM"/>
    <s v="MM0070"/>
    <s v="발주 등록/변경 (ERP -&gt; 구매포탈)"/>
    <s v="발주 등록/변경 (ERP -&gt; 구매포탈)"/>
    <s v="MM-0400"/>
    <m/>
    <s v="2.Transaction"/>
    <s v="발주 등록/변경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0-12-08T00:00:00"/>
    <m/>
    <s v="박흥서"/>
    <d v="2020-12-11T00:00:00"/>
    <m/>
    <s v="위성종"/>
    <d v="2020-12-11T00:00:00"/>
    <m/>
    <s v="홍창수"/>
    <d v="2020-12-11T00:00:00"/>
    <m/>
    <s v="권오신"/>
    <m/>
    <m/>
    <m/>
  </r>
  <r>
    <s v="W22"/>
    <s v="미완료"/>
    <s v="W22"/>
    <s v="미완료"/>
    <s v="W23"/>
    <s v="미완료"/>
    <s v="W22"/>
    <s v="미완료"/>
    <s v="미완료"/>
    <n v="13"/>
    <s v="MM"/>
    <s v="MM0080"/>
    <s v="발주 확정(접수) (구매포탈 -&gt; ERP) "/>
    <s v="발주 확정(접수) (구매포탈 -&gt; ERP) "/>
    <s v="MM-0410"/>
    <m/>
    <s v="2.Transaction"/>
    <s v="발주 확정 (구매포탈 -&gt; ERP) 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1차통테전"/>
    <m/>
    <d v="2020-12-08T00:00:00"/>
    <m/>
    <s v="박흥서"/>
    <d v="2020-12-11T00:00:00"/>
    <m/>
    <s v="권오신"/>
    <d v="2020-12-15T00:00:00"/>
    <m/>
    <s v="홍창수"/>
    <d v="2020-12-11T00:00:00"/>
    <m/>
    <s v="위성종"/>
    <m/>
    <m/>
    <m/>
  </r>
  <r>
    <s v="W23"/>
    <s v="미완료"/>
    <s v="W23"/>
    <s v="미완료"/>
    <s v="W24"/>
    <s v="미완료"/>
    <s v="W23"/>
    <s v="미완료"/>
    <s v="미완료"/>
    <n v="14"/>
    <s v="MM"/>
    <s v="MM0090"/>
    <s v="납품예정정보 (구매포탈 -&gt; ERP)"/>
    <s v="납품예정정보 (구매포탈 -&gt; ERP)"/>
    <s v="MM-0420"/>
    <m/>
    <s v="2.Transaction"/>
    <s v="납품예정정보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1차통테전"/>
    <m/>
    <d v="2020-12-15T00:00:00"/>
    <m/>
    <s v="박흥서"/>
    <d v="2020-12-18T00:00:00"/>
    <m/>
    <s v="권오신"/>
    <d v="2020-12-22T00:00:00"/>
    <m/>
    <s v="홍창수"/>
    <d v="2020-12-18T00:00:00"/>
    <m/>
    <s v="위성종"/>
    <m/>
    <m/>
    <m/>
  </r>
  <r>
    <s v="W23"/>
    <s v="미완료"/>
    <s v="W23"/>
    <s v="미완료"/>
    <s v="W24"/>
    <s v="미완료"/>
    <s v="W23"/>
    <s v="미완료"/>
    <s v="미완료"/>
    <n v="15"/>
    <s v="MM"/>
    <s v="MM0100"/>
    <s v="입고의뢰 등록 (구매포탈 -&gt; ERP)"/>
    <s v="입고의뢰 등록 (구매포탈 -&gt; ERP)"/>
    <s v="MM-0430"/>
    <m/>
    <s v="2.Transaction"/>
    <s v="입고의뢰 등록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1차통테전"/>
    <m/>
    <d v="2020-12-15T00:00:00"/>
    <m/>
    <s v="박흥서"/>
    <d v="2020-12-18T00:00:00"/>
    <m/>
    <s v="권오신"/>
    <d v="2020-12-23T00:00:00"/>
    <m/>
    <s v="홍창수"/>
    <d v="2020-12-18T00:00:00"/>
    <m/>
    <s v="위성종"/>
    <m/>
    <m/>
    <m/>
  </r>
  <r>
    <s v="W23"/>
    <s v="미완료"/>
    <s v="W23"/>
    <s v="미완료"/>
    <s v="W24"/>
    <s v="미완료"/>
    <s v="W23"/>
    <s v="미완료"/>
    <s v="미완료"/>
    <n v="16"/>
    <s v="MM"/>
    <s v="MM0110"/>
    <s v="입고의뢰 승인/승인취소 (ERP -&gt; 구매포털)"/>
    <s v="입고의뢰 승인/승인취소 (ERP -&gt; 구매포털)"/>
    <m/>
    <m/>
    <s v="2.Transaction"/>
    <s v="입고의뢰 승인/승인취소 (ERP -&gt; 구매포털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0-12-15T00:00:00"/>
    <m/>
    <s v="박흥서"/>
    <d v="2020-12-18T00:00:00"/>
    <m/>
    <s v="위성종"/>
    <d v="2020-12-21T00:00:00"/>
    <m/>
    <s v="홍창수"/>
    <d v="2020-12-18T00:00:00"/>
    <m/>
    <s v="권오신"/>
    <m/>
    <m/>
    <m/>
  </r>
  <r>
    <s v="W24"/>
    <s v="미완료"/>
    <s v="W24"/>
    <s v="미완료"/>
    <s v="W24"/>
    <s v="미완료"/>
    <s v="W24"/>
    <s v="미완료"/>
    <s v="미완료"/>
    <n v="17"/>
    <s v="MM"/>
    <s v="MM0120"/>
    <s v="입고 처리 (구매포탈 -&gt; ERP)"/>
    <s v="입고 처리 (구매포탈 -&gt; ERP)"/>
    <s v="MM-0440"/>
    <m/>
    <s v="2.Transaction"/>
    <s v="입고 처리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1차통테전"/>
    <m/>
    <d v="2020-12-21T00:00:00"/>
    <m/>
    <s v="박흥서"/>
    <d v="2020-12-24T00:00:00"/>
    <m/>
    <s v="권오신"/>
    <d v="2020-12-24T00:00:00"/>
    <m/>
    <s v="홍창수"/>
    <d v="2020-12-24T00:00:00"/>
    <m/>
    <s v="위성종"/>
    <m/>
    <m/>
    <m/>
  </r>
  <r>
    <s v="W24"/>
    <s v="미완료"/>
    <s v="W24"/>
    <s v="미완료"/>
    <s v="W24"/>
    <s v="미완료"/>
    <s v="W24"/>
    <s v="미완료"/>
    <s v="미완료"/>
    <n v="18"/>
    <s v="MM"/>
    <s v="MM0130"/>
    <s v="검사로트 전송 (ERP -&gt; 구매포탈)"/>
    <s v="검사로트 전송 (ERP -&gt; 구매포탈)"/>
    <s v="MM-0450"/>
    <m/>
    <s v="2.Transaction"/>
    <s v="검사로트 전송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2차통테전"/>
    <m/>
    <d v="2020-12-21T00:00:00"/>
    <m/>
    <s v="박흥서"/>
    <d v="2020-12-24T00:00:00"/>
    <m/>
    <s v="위성종"/>
    <d v="2020-12-24T00:00:00"/>
    <m/>
    <s v="홍창수"/>
    <d v="2020-12-24T00:00:00"/>
    <m/>
    <s v="권오신"/>
    <m/>
    <m/>
    <m/>
  </r>
  <r>
    <s v="W24"/>
    <s v="미완료"/>
    <s v="W24"/>
    <s v="미완료"/>
    <s v="W24"/>
    <s v="미완료"/>
    <s v="W25"/>
    <s v="미완료"/>
    <s v="미완료"/>
    <n v="19"/>
    <s v="MM"/>
    <s v="MM0140"/>
    <s v="합부판정 입력 (구매포탈 -&gt; ERP)"/>
    <s v="합부판정 입력 (구매포탈 -&gt; ERP)"/>
    <s v="MM-0460"/>
    <m/>
    <s v="2.Transaction"/>
    <s v="합부판정 입력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0-12-21T00:00:00"/>
    <m/>
    <s v="박흥서"/>
    <d v="2020-12-24T00:00:00"/>
    <m/>
    <s v="권오신"/>
    <d v="2020-12-24T00:00:00"/>
    <m/>
    <s v="홍창수"/>
    <d v="2020-12-28T00:00:00"/>
    <m/>
    <s v="위성종"/>
    <m/>
    <m/>
    <m/>
  </r>
  <r>
    <s v="W25"/>
    <s v="미완료"/>
    <s v="W25"/>
    <s v="미완료"/>
    <s v="W25"/>
    <s v="미완료"/>
    <s v="W25"/>
    <s v="미완료"/>
    <s v="미완료"/>
    <n v="20"/>
    <s v="MM"/>
    <s v="MM0150"/>
    <s v="물류지시 (거래명세서) I/F (ERP -&gt; WMS)"/>
    <s v="물류지시 (거래명세서) I/F (ERP -&gt; WMS)"/>
    <s v="MM-0470"/>
    <m/>
    <s v="2.Transaction"/>
    <s v="물류지시 (거래명세서) I/F (ERP -&gt; WMS)"/>
    <s v="ERP"/>
    <s v="MM"/>
    <s v="AbapProxy"/>
    <s v="WMS"/>
    <s v="WMS"/>
    <m/>
    <s v="박흥서"/>
    <s v="홍창수"/>
    <s v="성중호"/>
    <s v="Async"/>
    <s v="Batch"/>
    <s v="1.EAI"/>
    <s v="5.입력및수정"/>
    <m/>
    <m/>
    <s v="2차통테전"/>
    <m/>
    <d v="2020-12-28T00:00:00"/>
    <m/>
    <s v="박흥서"/>
    <d v="2020-12-31T00:00:00"/>
    <m/>
    <s v="위성종"/>
    <d v="2020-12-31T00:00:00"/>
    <m/>
    <s v="홍창수"/>
    <d v="2020-12-31T00:00:00"/>
    <m/>
    <s v="권오신"/>
    <m/>
    <m/>
    <m/>
  </r>
  <r>
    <s v="W25"/>
    <s v="미완료"/>
    <s v="W25"/>
    <s v="미완료"/>
    <s v="W25"/>
    <s v="미완료"/>
    <s v="W25"/>
    <s v="미완료"/>
    <s v="미완료"/>
    <n v="21"/>
    <s v="MM"/>
    <s v="MM0160"/>
    <s v="입고결과 I/F (WMS -&gt; ERP)"/>
    <s v="입고결과 I/F (WMS -&gt; ERP)"/>
    <s v="MM-0480"/>
    <m/>
    <s v="2.Transaction"/>
    <s v="입고결과 I/F (WMS -&gt; ERP)"/>
    <s v="WMS"/>
    <s v="WMS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0-12-28T00:00:00"/>
    <m/>
    <s v="박흥서"/>
    <d v="2020-12-31T00:00:00"/>
    <m/>
    <s v="위성종"/>
    <d v="2020-12-31T00:00:00"/>
    <m/>
    <s v="홍창수"/>
    <d v="2020-12-31T00:00:00"/>
    <m/>
    <s v="권오신"/>
    <m/>
    <m/>
    <m/>
  </r>
  <r>
    <s v="W25"/>
    <s v="미완료"/>
    <s v="W25"/>
    <s v="미완료"/>
    <s v="W26"/>
    <s v="미완료"/>
    <s v="W25"/>
    <s v="미완료"/>
    <s v="미완료"/>
    <n v="22"/>
    <s v="MM"/>
    <s v="MM0170"/>
    <s v="합부판정 입력 (ERP -&gt; WMS)"/>
    <s v="합부판정 입력 (ERP -&gt; WMS)"/>
    <s v="MM-0490"/>
    <m/>
    <s v="2.Transaction"/>
    <s v="합부판정 입력 (ERP -&gt; WMS)"/>
    <s v="ERP"/>
    <s v="MM"/>
    <s v="AbapProxy"/>
    <s v="WMS"/>
    <s v="WMS"/>
    <m/>
    <s v="박흥서"/>
    <s v="홍창수"/>
    <s v="성중호"/>
    <s v="Async"/>
    <s v="Batch"/>
    <s v="1.EAI"/>
    <s v="5.입력및수정"/>
    <m/>
    <m/>
    <s v="2차통테전"/>
    <m/>
    <d v="2020-12-28T00:00:00"/>
    <m/>
    <s v="박흥서"/>
    <d v="2020-12-31T00:00:00"/>
    <m/>
    <s v="위성종"/>
    <d v="2021-01-04T00:00:00"/>
    <m/>
    <s v="홍창수"/>
    <d v="2020-12-31T00:00:00"/>
    <m/>
    <s v="권오신"/>
    <m/>
    <m/>
    <m/>
  </r>
  <r>
    <s v="W27"/>
    <s v="미완료"/>
    <s v="W27"/>
    <s v="미완료"/>
    <s v="W27"/>
    <s v="미완료"/>
    <s v="W27"/>
    <s v="미완료"/>
    <s v="미완료"/>
    <n v="23"/>
    <s v="MM"/>
    <s v="MM0180"/>
    <s v="매입확정  (ERP -&gt; 구매포탈 )"/>
    <s v="매입확정  (ERP -&gt; 구매포탈 )"/>
    <s v="MM-0540"/>
    <m/>
    <s v="2.Transaction"/>
    <s v="매입확정  (ERP -&gt; 구매포탈 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2차통테전"/>
    <m/>
    <d v="2021-01-12T00:00:00"/>
    <m/>
    <s v="박흥서"/>
    <d v="2021-01-15T00:00:00"/>
    <m/>
    <s v="위성종"/>
    <d v="2021-01-15T00:00:00"/>
    <m/>
    <s v="홍창수"/>
    <d v="2021-01-15T00:00:00"/>
    <m/>
    <s v="권오신"/>
    <m/>
    <m/>
    <m/>
  </r>
  <r>
    <s v="W27"/>
    <s v="미완료"/>
    <s v="W27"/>
    <s v="미완료"/>
    <s v="W27"/>
    <s v="미완료"/>
    <s v="W27"/>
    <s v="미완료"/>
    <s v="미완료"/>
    <n v="24"/>
    <s v="MM"/>
    <s v="MM0190"/>
    <s v="매입확정 확인  (구매포탈 -&gt; ERP)"/>
    <s v="매입확정 확인  (구매포탈 -&gt; ERP)"/>
    <s v="MM-0550"/>
    <m/>
    <s v="2.Transaction"/>
    <s v="매입확정 확인 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1-01-12T00:00:00"/>
    <m/>
    <s v="박흥서"/>
    <d v="2021-01-15T00:00:00"/>
    <m/>
    <s v="권오신"/>
    <d v="2021-01-15T00:00:00"/>
    <m/>
    <s v="홍창수"/>
    <d v="2021-01-15T00:00:00"/>
    <m/>
    <s v="위성종"/>
    <m/>
    <m/>
    <m/>
  </r>
  <r>
    <s v="W27"/>
    <s v="미완료"/>
    <s v="W27"/>
    <s v="미완료"/>
    <s v="W28"/>
    <s v="미완료"/>
    <s v="W27"/>
    <s v="미완료"/>
    <s v="미완료"/>
    <n v="25"/>
    <s v="MM"/>
    <s v="MM0200"/>
    <s v="업체반품 요청 (ERP -&gt; WMS)"/>
    <s v="업체반품 요청 (ERP -&gt; WMS)"/>
    <s v="MM-0560"/>
    <m/>
    <s v="2.Transaction"/>
    <s v="업체반품 요청 (ERP -&gt; WMS)"/>
    <s v="ERP"/>
    <s v="MM"/>
    <s v="AbapProxy"/>
    <s v="WMS"/>
    <s v="WMS"/>
    <m/>
    <s v="박흥서"/>
    <s v="홍창수"/>
    <s v="성중호"/>
    <s v="Async"/>
    <s v="Batch"/>
    <s v="1.EAI"/>
    <s v="5.입력및수정"/>
    <m/>
    <m/>
    <s v="2차통테전"/>
    <m/>
    <d v="2021-01-12T00:00:00"/>
    <m/>
    <s v="박흥서"/>
    <d v="2021-01-15T00:00:00"/>
    <m/>
    <s v="위성종"/>
    <d v="2021-01-19T00:00:00"/>
    <m/>
    <s v="홍창수"/>
    <d v="2021-01-15T00:00:00"/>
    <m/>
    <s v="권오신"/>
    <m/>
    <m/>
    <m/>
  </r>
  <r>
    <s v="W28"/>
    <s v="미완료"/>
    <s v="W28"/>
    <s v="미완료"/>
    <s v="W28"/>
    <s v="미완료"/>
    <s v="W28"/>
    <s v="미완료"/>
    <s v="미완료"/>
    <n v="26"/>
    <s v="MM"/>
    <s v="MM0210"/>
    <s v="업체반품 결과 (WMS -&gt; ERP)"/>
    <s v="업체반품 결과 (WMS -&gt; ERP)"/>
    <s v="MM-0570"/>
    <m/>
    <s v="2.Transaction"/>
    <s v="업체반품 결과 (WMS -&gt; ERP)"/>
    <s v="WMS"/>
    <s v="WMS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1-01-19T00:00:00"/>
    <m/>
    <s v="박흥서"/>
    <d v="2021-01-22T00:00:00"/>
    <m/>
    <s v="위성종"/>
    <d v="2021-01-22T00:00:00"/>
    <m/>
    <s v="홍창수"/>
    <d v="2021-01-22T00:00:00"/>
    <m/>
    <s v="권오신"/>
    <m/>
    <m/>
    <m/>
  </r>
  <r>
    <s v="W28"/>
    <s v="미완료"/>
    <s v="W28"/>
    <s v="미완료"/>
    <s v="W29"/>
    <s v="미완료"/>
    <s v="W28"/>
    <s v="미완료"/>
    <s v="미완료"/>
    <n v="27"/>
    <s v="MM"/>
    <s v="MM0220"/>
    <s v="실시간 재고 정보 (구매포탈 -&gt; ERP)"/>
    <s v="실시간 재고 정보 (구매포탈)"/>
    <s v="MM-0580"/>
    <m/>
    <s v="2.Transaction"/>
    <s v="실시간 재고 정보 (구매포탈)"/>
    <s v="PPT"/>
    <s v="구매포탈"/>
    <m/>
    <s v="ERP"/>
    <s v="MM"/>
    <s v="AbapProxy"/>
    <s v="코비전"/>
    <s v="홍창수"/>
    <s v="박흥서"/>
    <s v="Sync"/>
    <s v="Batch"/>
    <s v="1.EAI"/>
    <s v="4.조회"/>
    <m/>
    <m/>
    <s v="2차통테전"/>
    <m/>
    <d v="2021-01-19T00:00:00"/>
    <m/>
    <s v="박흥서"/>
    <d v="2021-01-22T00:00:00"/>
    <m/>
    <s v="위성종"/>
    <d v="2021-01-26T00:00:00"/>
    <m/>
    <s v="홍창수"/>
    <d v="2021-01-22T00:00:00"/>
    <m/>
    <s v="권오신"/>
    <m/>
    <m/>
    <m/>
  </r>
  <r>
    <s v="W28"/>
    <s v="미완료"/>
    <s v="W28"/>
    <s v="미완료"/>
    <s v="W29"/>
    <s v="미완료"/>
    <s v="W28"/>
    <s v="미완료"/>
    <s v="미완료"/>
    <n v="28"/>
    <s v="MM"/>
    <s v="MM0230"/>
    <s v="실시간 재고 정보 (ERP vs WMS)"/>
    <s v="실시간 재고 정보 (ERP vs WMS)"/>
    <s v="MM-0590"/>
    <m/>
    <s v="2.Transaction"/>
    <s v="실시간 재고 정보 (ERP vs WMS)"/>
    <s v="ERP"/>
    <s v="MM"/>
    <s v="AbapProxy"/>
    <s v="WMS"/>
    <s v="WMS"/>
    <m/>
    <s v="박흥서"/>
    <s v="홍창수"/>
    <s v="성중호"/>
    <s v="Sync"/>
    <s v="Batch"/>
    <s v="1.EAI"/>
    <s v="4.조회"/>
    <m/>
    <m/>
    <s v="2차통테전"/>
    <m/>
    <d v="2021-01-19T00:00:00"/>
    <m/>
    <s v="박흥서"/>
    <d v="2021-01-22T00:00:00"/>
    <m/>
    <s v="위성종"/>
    <d v="2021-01-26T00:00:00"/>
    <m/>
    <s v="홍창수"/>
    <d v="2021-01-22T00:00:00"/>
    <m/>
    <s v="권오신"/>
    <m/>
    <m/>
    <m/>
  </r>
  <r>
    <s v="W29"/>
    <s v="미완료"/>
    <s v="W29"/>
    <s v="미완료"/>
    <s v="W29"/>
    <s v="미완료"/>
    <s v="W29"/>
    <s v="미완료"/>
    <s v="미완료"/>
    <n v="29"/>
    <s v="MM"/>
    <s v="MM0240"/>
    <s v="MBS 재고조회 I/F (구매포탈 -&gt; ERP)"/>
    <s v="MBS 재고조회 I/F (구매포탈 -&gt; ERP)"/>
    <s v="MM-0600"/>
    <m/>
    <s v="2.Transaction"/>
    <s v="MBS 재고조회 I/F (구매포탈 -&gt; ERP)"/>
    <s v="PPT"/>
    <s v="구매포탈"/>
    <m/>
    <s v="ERP"/>
    <s v="MM"/>
    <s v="AbapProxy"/>
    <s v="코비전"/>
    <s v="홍창수"/>
    <s v="박흥서"/>
    <s v="Async"/>
    <s v="Batch"/>
    <s v="1.EAI"/>
    <s v="4.조회"/>
    <m/>
    <m/>
    <s v="2차통테전"/>
    <m/>
    <d v="2021-01-26T00:00:00"/>
    <m/>
    <s v="박흥서"/>
    <d v="2021-01-29T00:00:00"/>
    <m/>
    <s v="위성종"/>
    <d v="2021-01-29T00:00:00"/>
    <m/>
    <s v="홍창수"/>
    <d v="2021-01-29T00:00:00"/>
    <m/>
    <s v="권오신"/>
    <m/>
    <m/>
    <m/>
  </r>
  <r>
    <s v="W29"/>
    <s v="미완료"/>
    <s v="W29"/>
    <s v="미완료"/>
    <s v="W30"/>
    <s v="미완료"/>
    <s v="W29"/>
    <s v="미완료"/>
    <s v="미완료"/>
    <n v="30"/>
    <s v="MM"/>
    <s v="MM0250"/>
    <s v="MBS 행사원가 등록 I/F (구매포탈 -&gt; ERP)"/>
    <s v="MBS 행사원가 등록 I/F (구매포탈 -&gt; ERP)"/>
    <s v="MM-0610"/>
    <m/>
    <s v="2.Transaction"/>
    <s v="MBS 행사원가 등록 I/F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1-01-26T00:00:00"/>
    <m/>
    <s v="박흥서"/>
    <d v="2021-01-29T00:00:00"/>
    <m/>
    <s v="위성종"/>
    <d v="2021-02-01T00:00:00"/>
    <m/>
    <s v="홍창수"/>
    <d v="2021-01-29T00:00:00"/>
    <m/>
    <s v="권오신"/>
    <m/>
    <m/>
    <m/>
  </r>
  <r>
    <s v="W29"/>
    <s v="미완료"/>
    <s v="W29"/>
    <s v="미완료"/>
    <s v="W30"/>
    <s v="미완료"/>
    <s v="W29"/>
    <s v="미완료"/>
    <s v="미완료"/>
    <n v="31"/>
    <s v="MM"/>
    <s v="MM0260"/>
    <s v="MBS 행사원가 등록/확정 I/F (ERP -&gt; 구매포탈)"/>
    <s v="MBS 행사원가 등록/확정 I/F (ERP -&gt; 구매포탈)"/>
    <m/>
    <m/>
    <s v="2.Transaction"/>
    <s v="MBS 행사원가 등록/확정 I/F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1-01-26T00:00:00"/>
    <m/>
    <s v="박흥서"/>
    <d v="2021-01-29T00:00:00"/>
    <m/>
    <s v="권오신"/>
    <d v="2021-02-02T00:00:00"/>
    <m/>
    <s v="홍창수"/>
    <d v="2021-01-29T00:00:00"/>
    <m/>
    <s v="위성종"/>
    <m/>
    <m/>
    <m/>
  </r>
  <r>
    <s v="W30"/>
    <s v="미완료"/>
    <s v="W30"/>
    <s v="미완료"/>
    <s v="W30"/>
    <s v="미완료"/>
    <s v="W30"/>
    <s v="미완료"/>
    <s v="미완료"/>
    <n v="32"/>
    <s v="MM"/>
    <s v="MM0270"/>
    <s v="MBS 매출마감 할인 등록 (ERP -&gt; 구매포탈)"/>
    <s v="MBS 매출마감 할인 등록 (ERP -&gt; 구매포탈)"/>
    <m/>
    <m/>
    <s v="2.Transaction"/>
    <s v="MBS 매출마감 할인 등록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1-02-02T00:00:00"/>
    <m/>
    <s v="박흥서"/>
    <d v="2021-02-05T00:00:00"/>
    <m/>
    <s v="권오신"/>
    <d v="2021-02-05T00:00:00"/>
    <m/>
    <s v="홍창수"/>
    <d v="2021-02-05T00:00:00"/>
    <m/>
    <s v="위성종"/>
    <m/>
    <m/>
    <m/>
  </r>
  <r>
    <s v="W30"/>
    <s v="미완료"/>
    <s v="W30"/>
    <s v="미완료"/>
    <s v="W30"/>
    <s v="미완료"/>
    <s v="W30"/>
    <s v="미완료"/>
    <s v="미완료"/>
    <n v="33"/>
    <s v="MM"/>
    <s v="MM0280"/>
    <s v="MBS 미납위약금 등록 (ERP -&gt; 구매포탈)"/>
    <s v="MBS 미납위약금 등록 (ERP -&gt; 구매포탈)"/>
    <m/>
    <m/>
    <s v="2.Transaction"/>
    <s v="MBS 미납위약금 등록 (ERP -&gt; 구매포탈)"/>
    <s v="ERP"/>
    <s v="MM"/>
    <s v="AbapProxy"/>
    <s v="PPT"/>
    <s v="구매포탈"/>
    <m/>
    <s v="박흥서"/>
    <s v="홍창수"/>
    <s v="권오신"/>
    <s v="Async"/>
    <s v="Batch"/>
    <s v="1.EAI"/>
    <s v="5.입력및수정"/>
    <m/>
    <m/>
    <s v="1차통테전"/>
    <m/>
    <d v="2021-02-02T00:00:00"/>
    <m/>
    <s v="박흥서"/>
    <d v="2021-02-05T00:00:00"/>
    <m/>
    <s v="권오신"/>
    <d v="2021-02-05T00:00:00"/>
    <m/>
    <s v="홍창수"/>
    <d v="2021-02-05T00:00:00"/>
    <m/>
    <s v="위성종"/>
    <m/>
    <m/>
    <m/>
  </r>
  <r>
    <s v="W30"/>
    <s v="미완료"/>
    <s v="W30"/>
    <s v="미완료"/>
    <s v="W30"/>
    <s v="미완료"/>
    <s v="W30"/>
    <s v="미완료"/>
    <s v="미완료"/>
    <n v="34"/>
    <s v="MM"/>
    <s v="MM0290"/>
    <s v="MBS 미납위약금 확인  (구매포탈-&gt;ERP)"/>
    <s v="MBS 미납위약금 확인  (구매포탈-&gt;ERP)"/>
    <m/>
    <m/>
    <s v="2.Transaction"/>
    <s v="MBS 미납위약금 확인  (구매포탈-&gt;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1-02-02T00:00:00"/>
    <m/>
    <s v="박흥서"/>
    <d v="2021-02-05T00:00:00"/>
    <m/>
    <s v="위성종"/>
    <d v="2021-02-05T00:00:00"/>
    <m/>
    <s v="홍창수"/>
    <d v="2021-02-05T00:00:00"/>
    <m/>
    <s v="위성종"/>
    <m/>
    <m/>
    <m/>
  </r>
  <r>
    <s v="W31"/>
    <s v="미완료"/>
    <s v="W31"/>
    <s v="미완료"/>
    <s v="W31"/>
    <s v="미완료"/>
    <s v="W31"/>
    <s v="미완료"/>
    <s v="미완료"/>
    <n v="35"/>
    <s v="MM"/>
    <s v="MM0300"/>
    <s v="입고 취소 (구매포탈 -&gt; ERP)"/>
    <s v="입고 취소 (구매포탈 -&gt; ERP)"/>
    <s v="MM-0640"/>
    <m/>
    <s v="2.Transaction"/>
    <s v="입고 취소 (구매포탈 -&gt; ERP)"/>
    <s v="PPT"/>
    <s v="구매포탈"/>
    <m/>
    <s v="ERP"/>
    <s v="MM"/>
    <s v="AbapProxy"/>
    <s v="코비전"/>
    <s v="홍창수"/>
    <s v="박흥서"/>
    <s v="Async"/>
    <s v="Batch"/>
    <s v="1.EAI"/>
    <s v="5.입력및수정"/>
    <m/>
    <m/>
    <s v="2차통테전"/>
    <m/>
    <d v="2021-02-09T00:00:00"/>
    <m/>
    <s v="박흥서"/>
    <d v="2021-02-12T00:00:00"/>
    <m/>
    <s v="권오신"/>
    <d v="2021-02-12T00:00:00"/>
    <m/>
    <s v="홍창수"/>
    <d v="2021-02-12T00:00:00"/>
    <m/>
    <s v="권오신"/>
    <m/>
    <m/>
    <m/>
  </r>
  <r>
    <s v="W21"/>
    <s v="미완료"/>
    <s v="W22"/>
    <s v="미완료"/>
    <s v="W21"/>
    <s v="미완료"/>
    <s v="계획필요"/>
    <s v="미완료"/>
    <s v="미완료"/>
    <n v="36"/>
    <s v="SD"/>
    <s v="SD0010"/>
    <s v="거래처,매장,납품처 마스터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1-30T00:00:00"/>
    <m/>
    <s v="김병선"/>
    <d v="2020-12-07T00:00:00"/>
    <m/>
    <s v="김진열"/>
    <d v="2020-11-30T00:00:00"/>
    <m/>
    <s v="홍창수"/>
    <m/>
    <m/>
    <m/>
    <m/>
    <m/>
    <m/>
  </r>
  <r>
    <s v="W21"/>
    <s v="미완료"/>
    <s v="W22"/>
    <s v="미완료"/>
    <s v="W21"/>
    <s v="미완료"/>
    <s v="계획필요"/>
    <s v="미완료"/>
    <s v="미완료"/>
    <n v="37"/>
    <s v="SD"/>
    <s v="SD0011"/>
    <s v="거래처,매장,납품처 마스터 IF송신(ERP-&gt;WMS)"/>
    <m/>
    <m/>
    <m/>
    <m/>
    <m/>
    <s v="ERP"/>
    <s v="SD"/>
    <s v="AbapProxy"/>
    <s v="WMS"/>
    <s v="WMS"/>
    <m/>
    <s v="김병선"/>
    <s v="홍창수"/>
    <s v="WMS"/>
    <s v="Async"/>
    <s v="Batch"/>
    <s v="1.EAI"/>
    <m/>
    <m/>
    <m/>
    <s v="1차통테전"/>
    <m/>
    <d v="2020-11-30T00:00:00"/>
    <m/>
    <s v="김병선"/>
    <d v="2020-12-07T00:00:00"/>
    <m/>
    <s v="김진열"/>
    <d v="2020-11-30T00:00:00"/>
    <m/>
    <s v="홍창수"/>
    <m/>
    <m/>
    <m/>
    <m/>
    <m/>
    <m/>
  </r>
  <r>
    <s v="W21"/>
    <s v="미완료"/>
    <s v="W22"/>
    <s v="미완료"/>
    <s v="W21"/>
    <s v="미완료"/>
    <s v="계획필요"/>
    <s v="미완료"/>
    <s v="미완료"/>
    <n v="38"/>
    <s v="SD"/>
    <s v="SD0020"/>
    <s v="플랜트,저장위치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01T00:00:00"/>
    <m/>
    <s v="김병선"/>
    <d v="2020-12-08T00:00:00"/>
    <m/>
    <s v="김진열"/>
    <d v="2020-12-02T00:00:00"/>
    <m/>
    <s v="홍창수"/>
    <m/>
    <m/>
    <m/>
    <m/>
    <m/>
    <m/>
  </r>
  <r>
    <s v="W21"/>
    <s v="미완료"/>
    <s v="W22"/>
    <s v="미완료"/>
    <s v="W21"/>
    <s v="미완료"/>
    <s v="계획필요"/>
    <s v="미완료"/>
    <s v="미완료"/>
    <n v="39"/>
    <s v="SD"/>
    <s v="SD0030"/>
    <s v="매장별 영업사원 정보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02T00:00:00"/>
    <m/>
    <s v="김병선"/>
    <d v="2020-12-09T00:00:00"/>
    <m/>
    <s v="김진열"/>
    <d v="2020-12-02T00:00:00"/>
    <m/>
    <s v="홍창수"/>
    <m/>
    <m/>
    <m/>
    <m/>
    <m/>
    <m/>
  </r>
  <r>
    <s v="W21"/>
    <s v="미완료"/>
    <s v="W22"/>
    <s v="미완료"/>
    <s v="W21"/>
    <s v="미완료"/>
    <s v="계획필요"/>
    <s v="미완료"/>
    <s v="미완료"/>
    <n v="40"/>
    <s v="SD"/>
    <s v="SD0031"/>
    <s v="매장별 영업사원 정보 IF송신(ERP-&gt;OMS)"/>
    <m/>
    <m/>
    <m/>
    <m/>
    <m/>
    <s v="ERP"/>
    <s v="SD"/>
    <s v="AbapProxy"/>
    <s v="OMS"/>
    <s v="OMS"/>
    <m/>
    <s v="김병선"/>
    <s v="홍창수"/>
    <s v="OMS"/>
    <s v="Async"/>
    <s v="Batch"/>
    <s v="1.EAI"/>
    <m/>
    <m/>
    <m/>
    <s v="1차통테전"/>
    <m/>
    <d v="2020-12-02T00:00:00"/>
    <m/>
    <s v="김병선"/>
    <d v="2020-12-09T00:00:00"/>
    <m/>
    <s v="김진열"/>
    <d v="2020-12-03T00:00:00"/>
    <m/>
    <s v="홍창수"/>
    <m/>
    <m/>
    <m/>
    <m/>
    <m/>
    <m/>
  </r>
  <r>
    <s v="W22"/>
    <s v="미완료"/>
    <s v="W23"/>
    <s v="미완료"/>
    <s v="W23"/>
    <s v="미완료"/>
    <s v="계획필요"/>
    <s v="미완료"/>
    <s v="미완료"/>
    <n v="41"/>
    <s v="SD"/>
    <s v="SD0040"/>
    <s v="영업사원마스터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07T00:00:00"/>
    <m/>
    <s v="김병선"/>
    <d v="2020-12-14T00:00:00"/>
    <m/>
    <s v="김진열"/>
    <d v="2020-12-14T00:00:00"/>
    <m/>
    <s v="홍창수"/>
    <m/>
    <m/>
    <m/>
    <m/>
    <m/>
    <m/>
  </r>
  <r>
    <s v="W21"/>
    <s v="미완료"/>
    <s v="W22"/>
    <s v="미완료"/>
    <s v="W22"/>
    <s v="미완료"/>
    <s v="계획필요"/>
    <s v="미완료"/>
    <s v="미완료"/>
    <n v="42"/>
    <s v="SD"/>
    <s v="SD0050"/>
    <s v="가격 마스터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04T00:00:00"/>
    <m/>
    <s v="김병선"/>
    <d v="2020-12-11T00:00:00"/>
    <m/>
    <s v="김진열"/>
    <d v="2020-12-08T00:00:00"/>
    <m/>
    <s v="홍창수"/>
    <m/>
    <m/>
    <m/>
    <m/>
    <m/>
    <m/>
  </r>
  <r>
    <s v="W21"/>
    <s v="미완료"/>
    <s v="W22"/>
    <s v="미완료"/>
    <s v="W22"/>
    <s v="미완료"/>
    <s v="계획필요"/>
    <s v="미완료"/>
    <s v="미완료"/>
    <n v="43"/>
    <s v="SD"/>
    <s v="SD0051"/>
    <s v="가격 마스터 IF송신(ERP-&gt;OMS)"/>
    <m/>
    <m/>
    <m/>
    <m/>
    <m/>
    <s v="ERP"/>
    <s v="SD"/>
    <s v="AbapProxy"/>
    <s v="OMS"/>
    <s v="OMS"/>
    <m/>
    <s v="김병선"/>
    <s v="홍창수"/>
    <s v="OMS"/>
    <s v="Async"/>
    <s v="Batch"/>
    <s v="1.EAI"/>
    <m/>
    <m/>
    <m/>
    <s v="1차통테전"/>
    <m/>
    <d v="2020-12-04T00:00:00"/>
    <m/>
    <s v="김병선"/>
    <d v="2020-12-11T00:00:00"/>
    <m/>
    <s v="김진열"/>
    <d v="2020-12-08T00:00:00"/>
    <m/>
    <s v="홍창수"/>
    <m/>
    <m/>
    <m/>
    <m/>
    <m/>
    <m/>
  </r>
  <r>
    <s v="W22"/>
    <s v="미완료"/>
    <s v="W23"/>
    <s v="미완료"/>
    <s v="W22"/>
    <s v="미완료"/>
    <s v="계획필요"/>
    <s v="미완료"/>
    <s v="미완료"/>
    <n v="44"/>
    <s v="SD"/>
    <s v="SD0060"/>
    <s v="자재마스터 IF송신(ERP-&gt;PRM)"/>
    <m/>
    <m/>
    <m/>
    <m/>
    <m/>
    <s v="ERP"/>
    <s v="SD"/>
    <s v="AbapProxy"/>
    <s v="PRM"/>
    <s v="POS/PRM"/>
    <m/>
    <s v="정한석"/>
    <s v="홍창수"/>
    <s v="PRM"/>
    <s v="Async"/>
    <s v="Batch"/>
    <s v="1.EAI"/>
    <m/>
    <m/>
    <m/>
    <s v="1차통테전"/>
    <m/>
    <d v="2020-12-08T00:00:00"/>
    <m/>
    <s v="정한석"/>
    <d v="2020-12-15T00:00:00"/>
    <m/>
    <s v="김진열"/>
    <d v="2020-12-09T00:00:00"/>
    <m/>
    <s v="홍창수"/>
    <m/>
    <m/>
    <m/>
    <m/>
    <m/>
    <m/>
  </r>
  <r>
    <s v="W22"/>
    <s v="미완료"/>
    <s v="W23"/>
    <s v="미완료"/>
    <s v="W22"/>
    <s v="미완료"/>
    <s v="계획필요"/>
    <s v="미완료"/>
    <s v="미완료"/>
    <n v="45"/>
    <s v="SD"/>
    <s v="SD0061"/>
    <s v="자재마스터 IF송신(ERP-&gt;OMS)"/>
    <m/>
    <m/>
    <m/>
    <m/>
    <m/>
    <s v="ERP"/>
    <s v="SD"/>
    <s v="AbapProxy"/>
    <s v="OMS"/>
    <s v="OMS"/>
    <m/>
    <s v="정한석"/>
    <s v="홍창수"/>
    <s v="OMS"/>
    <s v="Async"/>
    <s v="Batch"/>
    <s v="1.EAI"/>
    <m/>
    <m/>
    <m/>
    <s v="1차통테전"/>
    <m/>
    <d v="2020-12-08T00:00:00"/>
    <m/>
    <s v="정한석"/>
    <d v="2020-12-15T00:00:00"/>
    <m/>
    <s v="김진열"/>
    <d v="2020-12-09T00:00:00"/>
    <m/>
    <s v="홍창수"/>
    <m/>
    <m/>
    <m/>
    <m/>
    <m/>
    <m/>
  </r>
  <r>
    <s v="W22"/>
    <s v="미완료"/>
    <s v="W23"/>
    <s v="미완료"/>
    <s v="W22"/>
    <s v="미완료"/>
    <s v="계획필요"/>
    <s v="미완료"/>
    <s v="미완료"/>
    <n v="46"/>
    <s v="SD"/>
    <s v="SD0062"/>
    <s v="자재마스터 IF송신(ERP-&gt;WMS)"/>
    <m/>
    <m/>
    <m/>
    <m/>
    <m/>
    <s v="ERP"/>
    <s v="SD"/>
    <s v="AbapProxy"/>
    <s v="WMS"/>
    <s v="WMS"/>
    <m/>
    <s v="정한석"/>
    <s v="홍창수"/>
    <s v="WMS"/>
    <s v="Async"/>
    <s v="Batch"/>
    <s v="1.EAI"/>
    <m/>
    <m/>
    <m/>
    <s v="1차통테전"/>
    <m/>
    <d v="2020-12-08T00:00:00"/>
    <m/>
    <s v="정한석"/>
    <d v="2020-12-15T00:00:00"/>
    <m/>
    <s v="김진열"/>
    <d v="2020-12-10T00:00:00"/>
    <m/>
    <s v="홍창수"/>
    <m/>
    <m/>
    <m/>
    <m/>
    <m/>
    <m/>
  </r>
  <r>
    <s v="W22"/>
    <s v="미완료"/>
    <s v="W23"/>
    <s v="미완료"/>
    <s v="W22"/>
    <s v="미완료"/>
    <s v="계획필요"/>
    <s v="미완료"/>
    <s v="미완료"/>
    <n v="47"/>
    <s v="SD"/>
    <s v="SD0070"/>
    <s v="허용제외 마스터 IF송신(ERP-&gt;PRM)"/>
    <m/>
    <m/>
    <m/>
    <m/>
    <m/>
    <s v="ERP"/>
    <s v="SD"/>
    <s v="AbapProxy"/>
    <s v="PRM"/>
    <s v="POS/PRM"/>
    <m/>
    <s v="정한석"/>
    <s v="홍창수"/>
    <s v="PRM"/>
    <s v="Async"/>
    <s v="Batch"/>
    <s v="1.EAI"/>
    <m/>
    <m/>
    <m/>
    <s v="1차통테전"/>
    <m/>
    <d v="2020-12-09T00:00:00"/>
    <m/>
    <s v="정한석"/>
    <d v="2020-12-16T00:00:00"/>
    <m/>
    <s v="김진열"/>
    <d v="2020-12-10T00:00:00"/>
    <m/>
    <s v="홍창수"/>
    <m/>
    <m/>
    <m/>
    <m/>
    <m/>
    <m/>
  </r>
  <r>
    <s v="W22"/>
    <s v="미완료"/>
    <s v="W23"/>
    <s v="미완료"/>
    <s v="W23"/>
    <s v="미완료"/>
    <s v="계획필요"/>
    <s v="미완료"/>
    <s v="미완료"/>
    <n v="48"/>
    <s v="SD"/>
    <s v="SD0071"/>
    <s v="허용제외 마스터 IF송신(ERP-&gt;OMS)"/>
    <m/>
    <m/>
    <m/>
    <m/>
    <m/>
    <s v="ERP"/>
    <s v="SD"/>
    <s v="AbapProxy"/>
    <s v="OMS"/>
    <s v="OMS"/>
    <m/>
    <s v="정한석"/>
    <s v="홍창수"/>
    <s v="OMS"/>
    <s v="Async"/>
    <s v="Batch"/>
    <s v="1.EAI"/>
    <m/>
    <m/>
    <m/>
    <s v="1차통테전"/>
    <m/>
    <d v="2020-12-09T00:00:00"/>
    <m/>
    <s v="정한석"/>
    <d v="2020-12-16T00:00:00"/>
    <m/>
    <s v="김진열"/>
    <d v="2020-12-14T00:00:00"/>
    <m/>
    <s v="홍창수"/>
    <m/>
    <m/>
    <m/>
    <m/>
    <m/>
    <m/>
  </r>
  <r>
    <s v="W22"/>
    <s v="미완료"/>
    <s v="W23"/>
    <s v="미완료"/>
    <s v="W23"/>
    <s v="미완료"/>
    <s v="계획필요"/>
    <s v="미완료"/>
    <s v="미완료"/>
    <n v="49"/>
    <s v="SD"/>
    <s v="SD0080"/>
    <s v="주문 BOM Interface 송신(ERP → PRM)"/>
    <m/>
    <m/>
    <m/>
    <m/>
    <m/>
    <s v="ERP"/>
    <s v="SD"/>
    <s v="AbapProxy"/>
    <s v="PRM"/>
    <s v="POS/PRM"/>
    <m/>
    <s v="정한석"/>
    <s v="홍창수"/>
    <s v="PRM"/>
    <s v="Async"/>
    <s v="Batch"/>
    <s v="1.EAI"/>
    <m/>
    <m/>
    <m/>
    <s v="1차통테전"/>
    <m/>
    <d v="2020-12-11T00:00:00"/>
    <m/>
    <s v="정한석"/>
    <d v="2020-12-18T00:00:00"/>
    <m/>
    <s v="김진열"/>
    <d v="2020-12-15T00:00:00"/>
    <m/>
    <s v="홍창수"/>
    <m/>
    <m/>
    <m/>
    <m/>
    <m/>
    <m/>
  </r>
  <r>
    <s v="W22"/>
    <s v="미완료"/>
    <s v="W23"/>
    <s v="미완료"/>
    <s v="W23"/>
    <s v="미완료"/>
    <s v="계획필요"/>
    <s v="미완료"/>
    <s v="미완료"/>
    <n v="50"/>
    <s v="SD"/>
    <s v="SD0081"/>
    <s v="주문 BOM Interface 송신(ERP → OMS)"/>
    <m/>
    <m/>
    <m/>
    <m/>
    <m/>
    <s v="ERP"/>
    <s v="SD"/>
    <s v="AbapProxy"/>
    <s v="OMS"/>
    <s v="OMS"/>
    <m/>
    <s v="정한석"/>
    <s v="홍창수"/>
    <s v="OMS"/>
    <s v="Async"/>
    <s v="Batch"/>
    <s v="1.EAI"/>
    <m/>
    <m/>
    <m/>
    <s v="1차통테전"/>
    <m/>
    <d v="2020-12-11T00:00:00"/>
    <m/>
    <s v="정한석"/>
    <d v="2020-12-18T00:00:00"/>
    <m/>
    <s v="김진열"/>
    <d v="2020-12-17T00:00:00"/>
    <m/>
    <s v="홍창수"/>
    <m/>
    <m/>
    <m/>
    <m/>
    <m/>
    <m/>
  </r>
  <r>
    <s v="W26"/>
    <s v="미완료"/>
    <s v="W27"/>
    <s v="미완료"/>
    <s v="W26"/>
    <s v="미완료"/>
    <s v="계획필요"/>
    <s v="미완료"/>
    <s v="미완료"/>
    <n v="51"/>
    <s v="SD"/>
    <s v="SD0090"/>
    <s v="할당 마스터 IF송신(ERP-&gt;PRM)"/>
    <m/>
    <m/>
    <m/>
    <m/>
    <m/>
    <s v="ERP"/>
    <s v="SD"/>
    <s v="AbapProxy"/>
    <s v="PRM"/>
    <s v="POS/PRM"/>
    <m/>
    <s v="한철기"/>
    <s v="홍창수"/>
    <s v="PRM"/>
    <s v="Async"/>
    <s v="Batch"/>
    <s v="1.EAI"/>
    <m/>
    <m/>
    <m/>
    <s v="1차통테전"/>
    <m/>
    <d v="2021-01-05T00:00:00"/>
    <m/>
    <s v="한철기"/>
    <d v="2021-01-12T00:00:00"/>
    <m/>
    <s v="SD3"/>
    <d v="2021-01-05T00:00:00"/>
    <m/>
    <s v="홍창수"/>
    <m/>
    <m/>
    <m/>
    <m/>
    <m/>
    <m/>
  </r>
  <r>
    <s v="W23"/>
    <s v="미완료"/>
    <s v="W24"/>
    <s v="미완료"/>
    <s v="W23"/>
    <s v="미완료"/>
    <s v="계획필요"/>
    <s v="미완료"/>
    <s v="미완료"/>
    <n v="52"/>
    <s v="SD"/>
    <s v="SD0100"/>
    <s v="프로모션계획 IF송신(ERP-&gt;PRM)"/>
    <m/>
    <m/>
    <m/>
    <m/>
    <m/>
    <s v="ERP"/>
    <s v="SD"/>
    <s v="AbapProxy"/>
    <s v="PRM"/>
    <s v="POS/PRM"/>
    <m/>
    <s v="정한석"/>
    <s v="홍창수"/>
    <s v="PRM"/>
    <s v="Async"/>
    <s v="Batch"/>
    <s v="1.EAI"/>
    <m/>
    <m/>
    <m/>
    <s v="1차통테전"/>
    <m/>
    <d v="2020-12-14T00:00:00"/>
    <m/>
    <s v="정한석"/>
    <d v="2020-12-21T00:00:00"/>
    <m/>
    <s v="김진열"/>
    <d v="2020-12-16T00:00:00"/>
    <m/>
    <s v="홍창수"/>
    <m/>
    <m/>
    <m/>
    <m/>
    <m/>
    <m/>
  </r>
  <r>
    <s v="W23"/>
    <s v="미완료"/>
    <s v="W24"/>
    <s v="미완료"/>
    <s v="W23"/>
    <s v="미완료"/>
    <s v="계획필요"/>
    <s v="미완료"/>
    <s v="미완료"/>
    <n v="53"/>
    <s v="SD"/>
    <s v="SD0101"/>
    <s v="프로모션계획 IF송신(ERP-&gt;OMS)"/>
    <m/>
    <m/>
    <m/>
    <m/>
    <m/>
    <s v="ERP"/>
    <s v="SD"/>
    <s v="AbapProxy"/>
    <s v="OMS"/>
    <s v="OMS"/>
    <m/>
    <s v="정한석"/>
    <s v="홍창수"/>
    <s v="OMS"/>
    <s v="Async"/>
    <s v="Batch"/>
    <s v="1.EAI"/>
    <m/>
    <m/>
    <m/>
    <s v="1차통테전"/>
    <m/>
    <d v="2020-12-14T00:00:00"/>
    <m/>
    <s v="정한석"/>
    <d v="2020-12-21T00:00:00"/>
    <m/>
    <s v="김진열"/>
    <d v="2020-12-18T00:00:00"/>
    <m/>
    <s v="홍창수"/>
    <m/>
    <m/>
    <m/>
    <m/>
    <m/>
    <m/>
  </r>
  <r>
    <s v="W23"/>
    <s v="미완료"/>
    <s v="계획필요"/>
    <s v="미완료"/>
    <s v="W24"/>
    <s v="미완료"/>
    <s v="W25"/>
    <s v="미완료"/>
    <s v="미완료"/>
    <n v="54"/>
    <s v="SD"/>
    <s v="SD0110"/>
    <s v="판매.재고이관 주문/등록 결과 IF송신(PRM-&gt;ERP-&gt;PRM)"/>
    <m/>
    <m/>
    <m/>
    <m/>
    <m/>
    <s v="PRM"/>
    <s v="POS/PRM"/>
    <m/>
    <s v="ERP"/>
    <s v="SD"/>
    <s v="AbapProxy"/>
    <s v="코비전"/>
    <s v="홍창수"/>
    <s v="김병선"/>
    <s v="Sync"/>
    <s v="RealTime"/>
    <s v="1.EAI"/>
    <m/>
    <m/>
    <m/>
    <s v="1차통테전"/>
    <m/>
    <d v="2020-12-17T00:00:00"/>
    <m/>
    <s v="김병선"/>
    <m/>
    <m/>
    <m/>
    <d v="2020-12-23T00:00:00"/>
    <m/>
    <s v="홍창수"/>
    <d v="2020-12-29T00:00:00"/>
    <m/>
    <s v="김진열"/>
    <m/>
    <m/>
    <m/>
  </r>
  <r>
    <s v="W24"/>
    <s v="미완료"/>
    <s v="계획필요"/>
    <s v="미완료"/>
    <s v="W24"/>
    <s v="미완료"/>
    <s v="W25"/>
    <s v="미완료"/>
    <s v="미완료"/>
    <n v="55"/>
    <s v="SD"/>
    <s v="SD0120"/>
    <s v="판매주문/재고이관 삭제 IF수신,처리 및 결과 IF송신"/>
    <m/>
    <m/>
    <m/>
    <m/>
    <m/>
    <s v="PRM"/>
    <s v="POS/PRM"/>
    <m/>
    <s v="ERP"/>
    <s v="SD"/>
    <s v="AbapProxy"/>
    <s v="코비전"/>
    <s v="홍창수"/>
    <s v="김병선"/>
    <s v="Sync"/>
    <s v="RealTime"/>
    <s v="1.EAI"/>
    <m/>
    <m/>
    <m/>
    <s v="1차통테전"/>
    <m/>
    <d v="2020-12-22T00:00:00"/>
    <m/>
    <s v="김병선"/>
    <m/>
    <m/>
    <m/>
    <d v="2020-12-22T00:00:00"/>
    <m/>
    <s v="홍창수"/>
    <d v="2020-12-29T00:00:00"/>
    <m/>
    <s v="김진열"/>
    <m/>
    <m/>
    <m/>
  </r>
  <r>
    <s v="W24"/>
    <s v="미완료"/>
    <s v="계획필요"/>
    <s v="미완료"/>
    <s v="W25"/>
    <s v="미완료"/>
    <s v="W25"/>
    <s v="미완료"/>
    <s v="미완료"/>
    <n v="56"/>
    <s v="SD"/>
    <s v="SD0130"/>
    <s v="무상(타계정)주문 IF수신(PRM-&gt;ERP-&gt;PRM)"/>
    <m/>
    <m/>
    <m/>
    <m/>
    <m/>
    <s v="PRM"/>
    <s v="POS/PRM"/>
    <m/>
    <s v="ERP"/>
    <s v="SD"/>
    <s v="AbapProxy"/>
    <s v="코비전"/>
    <s v="홍창수"/>
    <s v="김병선"/>
    <s v="Sync"/>
    <s v="RealTime"/>
    <s v="1.EAI"/>
    <m/>
    <m/>
    <m/>
    <s v="1차통테전"/>
    <m/>
    <d v="2020-12-24T00:00:00"/>
    <m/>
    <s v="김병선"/>
    <m/>
    <m/>
    <m/>
    <d v="2020-12-28T00:00:00"/>
    <m/>
    <s v="홍창수"/>
    <d v="2020-12-31T00:00:00"/>
    <m/>
    <s v="김진열"/>
    <m/>
    <m/>
    <m/>
  </r>
  <r>
    <s v="W25"/>
    <s v="미완료"/>
    <s v="계획필요"/>
    <s v="미완료"/>
    <s v="W25"/>
    <s v="미완료"/>
    <s v="W26"/>
    <s v="미완료"/>
    <s v="미완료"/>
    <n v="57"/>
    <s v="SD"/>
    <s v="SD0140"/>
    <s v="OMS 가용성 체크(OMS -&gt;ERP -&gt; OMS)"/>
    <m/>
    <m/>
    <m/>
    <m/>
    <m/>
    <s v="OMS"/>
    <s v="OMS"/>
    <m/>
    <s v="ERP"/>
    <s v="SD"/>
    <s v="AbapProxy"/>
    <s v="코비전"/>
    <s v="홍창수"/>
    <s v="김병선"/>
    <s v="Sync"/>
    <s v="Batch"/>
    <s v="1.EAI"/>
    <m/>
    <m/>
    <m/>
    <s v="1차통테전"/>
    <m/>
    <d v="2020-12-30T00:00:00"/>
    <m/>
    <s v="김병선"/>
    <m/>
    <m/>
    <m/>
    <d v="2020-12-30T00:00:00"/>
    <m/>
    <s v="홍창수"/>
    <d v="2021-01-06T00:00:00"/>
    <m/>
    <s v="김진열"/>
    <m/>
    <m/>
    <m/>
  </r>
  <r>
    <s v="W27"/>
    <s v="미완료"/>
    <s v="계획필요"/>
    <s v="미완료"/>
    <s v="W27"/>
    <s v="미완료"/>
    <s v="W28"/>
    <s v="미완료"/>
    <s v="미완료"/>
    <n v="58"/>
    <s v="SD"/>
    <s v="SD0150"/>
    <s v="온라인몰(자사/제휴몰) 일별 판매실적 처리(S/O~Billing)"/>
    <m/>
    <m/>
    <m/>
    <m/>
    <m/>
    <s v="OMS"/>
    <s v="OMS"/>
    <m/>
    <s v="ERP"/>
    <s v="SD"/>
    <s v="AbapProxy"/>
    <s v="코비전"/>
    <s v="홍창수"/>
    <s v="김병선"/>
    <s v="Async"/>
    <s v="Batch"/>
    <s v="1.EAI"/>
    <m/>
    <m/>
    <m/>
    <s v="1차통테전"/>
    <m/>
    <d v="2021-01-11T00:00:00"/>
    <m/>
    <s v="김병선"/>
    <m/>
    <m/>
    <m/>
    <d v="2021-01-11T00:00:00"/>
    <m/>
    <s v="홍창수"/>
    <d v="2021-01-18T00:00:00"/>
    <m/>
    <s v="김진열"/>
    <m/>
    <m/>
    <m/>
  </r>
  <r>
    <s v="W26"/>
    <s v="미완료"/>
    <s v="W27"/>
    <s v="미완료"/>
    <s v="W26"/>
    <s v="미완료"/>
    <s v="계획필요"/>
    <s v="미완료"/>
    <s v="미완료"/>
    <n v="59"/>
    <s v="SD"/>
    <s v="SD0160"/>
    <s v="직영매장재고 일일재고 IF송신(ERP-&gt;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1-01-04T00:00:00"/>
    <m/>
    <s v="김병선"/>
    <d v="2021-01-11T00:00:00"/>
    <m/>
    <s v="김태형"/>
    <d v="2021-01-08T00:00:00"/>
    <m/>
    <s v="홍창수"/>
    <m/>
    <m/>
    <m/>
    <m/>
    <m/>
    <m/>
  </r>
  <r>
    <s v="W26"/>
    <s v="미완료"/>
    <s v="W27"/>
    <s v="미완료"/>
    <s v="W26"/>
    <s v="미완료"/>
    <s v="계획필요"/>
    <s v="미완료"/>
    <s v="미완료"/>
    <n v="60"/>
    <s v="SD"/>
    <s v="SD0170"/>
    <s v="온라인 일일재고 IF송신(ERP-&gt;OMS)"/>
    <m/>
    <m/>
    <m/>
    <m/>
    <m/>
    <s v="ERP"/>
    <s v="SD"/>
    <s v="AbapProxy"/>
    <s v="OMS"/>
    <s v="OMS"/>
    <m/>
    <s v="김병선"/>
    <s v="홍창수"/>
    <s v="OMS"/>
    <s v="Async"/>
    <s v="Batch"/>
    <s v="1.EAI"/>
    <m/>
    <m/>
    <m/>
    <s v="1차통테전"/>
    <m/>
    <d v="2021-01-04T00:00:00"/>
    <m/>
    <s v="김병선"/>
    <d v="2021-01-11T00:00:00"/>
    <m/>
    <s v="김태형"/>
    <d v="2021-01-06T00:00:00"/>
    <m/>
    <s v="홍창수"/>
    <m/>
    <m/>
    <m/>
    <m/>
    <m/>
    <m/>
  </r>
  <r>
    <s v="W31"/>
    <s v="미완료"/>
    <s v="계획필요"/>
    <s v="미완료"/>
    <s v="W31"/>
    <s v="미완료"/>
    <s v="W32"/>
    <s v="미완료"/>
    <s v="미완료"/>
    <n v="61"/>
    <s v="SD"/>
    <s v="SD0180"/>
    <s v="직영매장재고 재고상태 IF수신(PRM-&gt;ERP)"/>
    <m/>
    <m/>
    <m/>
    <m/>
    <m/>
    <s v="PRM"/>
    <s v="POS/PRM"/>
    <m/>
    <s v="ERP"/>
    <s v="SD"/>
    <s v="AbapProxy"/>
    <s v="코비전"/>
    <s v="홍창수"/>
    <s v="김병선"/>
    <s v="Async"/>
    <s v="Batch"/>
    <s v="1.EAI"/>
    <m/>
    <m/>
    <m/>
    <s v="2차통테전"/>
    <m/>
    <d v="2021-02-10T00:00:00"/>
    <m/>
    <s v="김병선"/>
    <m/>
    <m/>
    <m/>
    <d v="2021-02-10T00:00:00"/>
    <m/>
    <s v="홍창수"/>
    <d v="2021-02-19T00:00:00"/>
    <m/>
    <s v="김태형"/>
    <m/>
    <m/>
    <m/>
  </r>
  <r>
    <s v="W27"/>
    <s v="미완료"/>
    <s v="계획필요"/>
    <s v="미완료"/>
    <s v="W27"/>
    <s v="미완료"/>
    <s v="W28"/>
    <s v="미완료"/>
    <s v="미완료"/>
    <n v="62"/>
    <s v="SD"/>
    <s v="SD0190"/>
    <s v="판매실적 IF수신 - Sellout (PRM-&gt;ERP)"/>
    <m/>
    <m/>
    <m/>
    <m/>
    <m/>
    <s v="PRM"/>
    <s v="POS/PRM"/>
    <m/>
    <s v="ERP"/>
    <s v="SD"/>
    <s v="AbapProxy"/>
    <s v="코비전"/>
    <s v="홍창수"/>
    <s v="김병선"/>
    <s v="Async"/>
    <s v="Batch"/>
    <s v="1.EAI"/>
    <m/>
    <m/>
    <m/>
    <s v="1차통테전"/>
    <m/>
    <d v="2021-01-14T00:00:00"/>
    <m/>
    <s v="김병선"/>
    <m/>
    <m/>
    <m/>
    <d v="2021-01-14T00:00:00"/>
    <m/>
    <s v="홍창수"/>
    <d v="2021-01-21T00:00:00"/>
    <m/>
    <s v="김진열"/>
    <m/>
    <m/>
    <m/>
  </r>
  <r>
    <s v="W27"/>
    <s v="미완료"/>
    <s v="계획필요"/>
    <s v="미완료"/>
    <s v="W27"/>
    <s v="미완료"/>
    <s v="W28"/>
    <s v="미완료"/>
    <s v="미완료"/>
    <n v="63"/>
    <s v="SD"/>
    <s v="SD0200"/>
    <s v="위탁품판매실적 IF수신(PRM-&gt;ERP)"/>
    <m/>
    <m/>
    <m/>
    <m/>
    <m/>
    <s v="PRM"/>
    <s v="POS/PRM"/>
    <m/>
    <s v="ERP"/>
    <s v="SD"/>
    <s v="AbapProxy"/>
    <s v="코비전"/>
    <s v="홍창수"/>
    <s v="김병선"/>
    <s v="Async"/>
    <s v="Batch"/>
    <s v="1.EAI"/>
    <m/>
    <m/>
    <m/>
    <s v="1차통테전"/>
    <m/>
    <d v="2021-01-15T00:00:00"/>
    <m/>
    <s v="김병선"/>
    <m/>
    <m/>
    <m/>
    <d v="2021-01-15T00:00:00"/>
    <m/>
    <s v="홍창수"/>
    <d v="2021-01-22T00:00:00"/>
    <m/>
    <s v="김진열"/>
    <m/>
    <m/>
    <m/>
  </r>
  <r>
    <s v="W29"/>
    <s v="미완료"/>
    <s v="계획필요"/>
    <s v="미완료"/>
    <s v="W29"/>
    <s v="미완료"/>
    <s v="W30"/>
    <s v="미완료"/>
    <s v="미완료"/>
    <n v="64"/>
    <s v="SD"/>
    <s v="SD0210"/>
    <s v="매장간 재고이동 건에 대한 여신정보 IF수신(PRM → ERP → PRM)"/>
    <m/>
    <m/>
    <m/>
    <m/>
    <m/>
    <s v="PRM"/>
    <s v="POS/PRM"/>
    <m/>
    <s v="ERP"/>
    <s v="SD"/>
    <s v="AbapProxy"/>
    <s v="코비전"/>
    <s v="홍창수"/>
    <s v="김병선"/>
    <s v="Sync"/>
    <s v="RealTime"/>
    <s v="1.EAI"/>
    <m/>
    <m/>
    <m/>
    <s v="1차통테전"/>
    <m/>
    <d v="2021-01-28T00:00:00"/>
    <m/>
    <s v="김병선"/>
    <m/>
    <m/>
    <m/>
    <d v="2021-01-28T00:00:00"/>
    <m/>
    <s v="홍창수"/>
    <d v="2021-02-04T00:00:00"/>
    <m/>
    <s v="김진열"/>
    <m/>
    <m/>
    <m/>
  </r>
  <r>
    <s v="W29"/>
    <s v="미완료"/>
    <s v="계획필요"/>
    <s v="미완료"/>
    <s v="W29"/>
    <s v="미완료"/>
    <s v="W30"/>
    <s v="미완료"/>
    <s v="미완료"/>
    <n v="65"/>
    <s v="SD"/>
    <s v="SD0220"/>
    <s v="매장간 재고이동요청 IF수신(PRM → ERP)"/>
    <m/>
    <m/>
    <m/>
    <m/>
    <m/>
    <s v="PRM"/>
    <s v="POS/PRM"/>
    <m/>
    <s v="ERP"/>
    <s v="SD"/>
    <s v="AbapProxy"/>
    <s v="코비전"/>
    <s v="홍창수"/>
    <s v="김병선"/>
    <s v="Async"/>
    <s v="RealTime"/>
    <s v="1.EAI"/>
    <m/>
    <m/>
    <m/>
    <s v="1차통테전"/>
    <m/>
    <d v="2021-01-25T00:00:00"/>
    <m/>
    <s v="김병선"/>
    <m/>
    <m/>
    <m/>
    <d v="2021-01-25T00:00:00"/>
    <m/>
    <s v="홍창수"/>
    <d v="2021-02-01T00:00:00"/>
    <m/>
    <s v="김태형"/>
    <m/>
    <m/>
    <m/>
  </r>
  <r>
    <s v="W29"/>
    <s v="미완료"/>
    <s v="W30"/>
    <s v="미완료"/>
    <s v="W29"/>
    <s v="미완료"/>
    <s v="계획필요"/>
    <s v="미완료"/>
    <s v="미완료"/>
    <n v="66"/>
    <s v="SD"/>
    <s v="SD0230"/>
    <s v="매장간 재고이동결과 IF송신(ERP → PRM)"/>
    <m/>
    <m/>
    <m/>
    <m/>
    <m/>
    <s v="ERP"/>
    <s v="SD"/>
    <s v="AbapProxy"/>
    <s v="PRM"/>
    <s v="POS/PRM"/>
    <m/>
    <s v="김병선"/>
    <s v="홍창수"/>
    <s v="PRM"/>
    <s v="Async"/>
    <s v="RealTime"/>
    <s v="1.EAI"/>
    <m/>
    <m/>
    <m/>
    <s v="1차통테전"/>
    <m/>
    <d v="2021-01-29T00:00:00"/>
    <m/>
    <s v="김병선"/>
    <d v="2021-02-05T00:00:00"/>
    <m/>
    <s v="김태형"/>
    <d v="2021-01-29T00:00:00"/>
    <m/>
    <s v="홍창수"/>
    <m/>
    <m/>
    <m/>
    <m/>
    <m/>
    <m/>
  </r>
  <r>
    <s v="W24"/>
    <s v="미완료"/>
    <s v="계획필요"/>
    <s v="미완료"/>
    <s v="W25"/>
    <s v="미완료"/>
    <s v="W25"/>
    <s v="미완료"/>
    <s v="미완료"/>
    <n v="67"/>
    <s v="SD"/>
    <s v="SD0240"/>
    <s v="반품.반품이관주문 요청 IF수신(PRM → ERP → PRM) 프로그램 "/>
    <m/>
    <m/>
    <m/>
    <m/>
    <m/>
    <s v="PRM"/>
    <s v="POS/PRM"/>
    <m/>
    <s v="ERP"/>
    <s v="SD"/>
    <s v="AbapProxy"/>
    <s v="코비전"/>
    <s v="홍창수"/>
    <s v="정한석"/>
    <s v="Sync"/>
    <s v="RealTime"/>
    <s v="1.EAI"/>
    <m/>
    <m/>
    <m/>
    <s v="1차통테전"/>
    <m/>
    <d v="2020-12-24T00:00:00"/>
    <m/>
    <s v="정한석"/>
    <m/>
    <m/>
    <m/>
    <d v="2020-12-29T00:00:00"/>
    <m/>
    <s v="홍창수"/>
    <d v="2020-12-31T00:00:00"/>
    <m/>
    <s v="김태형"/>
    <m/>
    <m/>
    <m/>
  </r>
  <r>
    <s v="W30"/>
    <s v="미완료"/>
    <s v="계획필요"/>
    <s v="미완료"/>
    <s v="W21"/>
    <s v="미완료"/>
    <s v="W31"/>
    <s v="미완료"/>
    <s v="미완료"/>
    <n v="68"/>
    <s v="SD"/>
    <s v="SD0250"/>
    <s v="PRM 주문가능 재고 확인 I/F(PRM&gt;ERP&gt;PRM)"/>
    <m/>
    <m/>
    <m/>
    <m/>
    <m/>
    <s v="PRM"/>
    <s v="POS/PRM"/>
    <m/>
    <s v="ERP"/>
    <s v="SD"/>
    <s v="AbapProxy"/>
    <s v="코비전"/>
    <s v="홍창수"/>
    <s v="정한석"/>
    <s v="Sync"/>
    <s v="RealTime"/>
    <s v="1.EAI"/>
    <m/>
    <m/>
    <m/>
    <s v="2차통테전"/>
    <m/>
    <d v="2021-02-02T00:00:00"/>
    <m/>
    <s v="정한석"/>
    <m/>
    <m/>
    <m/>
    <d v="2020-12-03T00:00:00"/>
    <m/>
    <s v="홍창수"/>
    <d v="2021-02-09T00:00:00"/>
    <m/>
    <s v="김진열"/>
    <m/>
    <m/>
    <m/>
  </r>
  <r>
    <s v="W26"/>
    <s v="미완료"/>
    <s v="계획필요"/>
    <s v="미완료"/>
    <s v="W26"/>
    <s v="미완료"/>
    <s v="W27"/>
    <s v="미완료"/>
    <s v="미완료"/>
    <n v="69"/>
    <s v="SD"/>
    <s v="SD0260"/>
    <s v="직영소비자반품 일괄 처리 IF 수신(PRM → ERP)"/>
    <m/>
    <m/>
    <m/>
    <m/>
    <m/>
    <s v="PRM"/>
    <s v="POS/PRM"/>
    <m/>
    <s v="ERP"/>
    <s v="SD"/>
    <s v="AbapProxy"/>
    <s v="코비전"/>
    <s v="홍창수"/>
    <s v="정한석"/>
    <s v="Async"/>
    <s v="Batch"/>
    <s v="1.EAI"/>
    <m/>
    <m/>
    <m/>
    <s v="1차통테전"/>
    <m/>
    <d v="2021-01-05T00:00:00"/>
    <m/>
    <s v="정한석"/>
    <m/>
    <m/>
    <m/>
    <d v="2021-01-06T00:00:00"/>
    <m/>
    <s v="홍창수"/>
    <d v="2021-01-12T00:00:00"/>
    <m/>
    <s v="김태형"/>
    <m/>
    <m/>
    <m/>
  </r>
  <r>
    <s v="W32"/>
    <s v="미완료"/>
    <s v="계획필요"/>
    <s v="미완료"/>
    <s v="W32"/>
    <s v="미완료"/>
    <s v="W33"/>
    <s v="미완료"/>
    <s v="미완료"/>
    <n v="70"/>
    <s v="SD"/>
    <s v="SD0270"/>
    <s v="직영매장재고 재고실사결과 IF수신(PRM-&gt;ERP)"/>
    <m/>
    <m/>
    <m/>
    <m/>
    <m/>
    <s v="PRM"/>
    <s v="POS/PRM"/>
    <m/>
    <s v="ERP"/>
    <s v="SD"/>
    <s v="AbapProxy"/>
    <s v="코비전"/>
    <s v="홍창수"/>
    <s v="정한석"/>
    <s v="Async"/>
    <s v="Batch"/>
    <s v="1.EAI"/>
    <m/>
    <m/>
    <m/>
    <s v="2차통테전"/>
    <m/>
    <d v="2021-02-15T00:00:00"/>
    <m/>
    <s v="정한석"/>
    <m/>
    <m/>
    <m/>
    <d v="2021-02-15T00:00:00"/>
    <m/>
    <s v="홍창수"/>
    <d v="2021-02-22T00:00:00"/>
    <m/>
    <s v="김태형"/>
    <m/>
    <m/>
    <m/>
  </r>
  <r>
    <s v="W33"/>
    <s v="미완료"/>
    <s v="계획필요"/>
    <s v="미완료"/>
    <s v="W33"/>
    <s v="미완료"/>
    <s v="W34"/>
    <s v="미완료"/>
    <s v="미완료"/>
    <n v="71"/>
    <s v="SD"/>
    <s v="SD0280"/>
    <s v="매장재고 무상(타계정)출고요청 IF수신(PRM-&gt;ERP)"/>
    <m/>
    <m/>
    <m/>
    <m/>
    <m/>
    <s v="PRM"/>
    <s v="POS/PRM"/>
    <m/>
    <s v="ERP"/>
    <s v="SD"/>
    <s v="AbapProxy"/>
    <s v="코비전"/>
    <s v="홍창수"/>
    <s v="김병선"/>
    <s v="Sync"/>
    <s v="RealTime"/>
    <s v="1.EAI"/>
    <m/>
    <m/>
    <m/>
    <s v="2차통테전"/>
    <m/>
    <d v="2021-02-25T00:00:00"/>
    <m/>
    <s v="김병선"/>
    <m/>
    <m/>
    <m/>
    <d v="2021-02-25T00:00:00"/>
    <m/>
    <s v="홍창수"/>
    <d v="2021-03-04T00:00:00"/>
    <m/>
    <s v="김태형"/>
    <m/>
    <m/>
    <m/>
  </r>
  <r>
    <s v="W33"/>
    <s v="미완료"/>
    <s v="W34"/>
    <s v="미완료"/>
    <s v="W33"/>
    <s v="미완료"/>
    <s v="계획필요"/>
    <s v="미완료"/>
    <s v="미완료"/>
    <n v="72"/>
    <s v="SD"/>
    <s v="SD0290"/>
    <s v="매장재고 무상(타계정)출고결과 IF송신(ERP-&gt;PRM)"/>
    <m/>
    <m/>
    <m/>
    <m/>
    <m/>
    <s v="ERP"/>
    <s v="SD"/>
    <s v="AbapProxy"/>
    <s v="PRM"/>
    <s v="POS/PRM"/>
    <m/>
    <s v="김병선"/>
    <s v="홍창수"/>
    <s v="PRM"/>
    <s v="Sync"/>
    <s v="RealTime"/>
    <s v="1.EAI"/>
    <m/>
    <m/>
    <m/>
    <s v="2차통테전"/>
    <m/>
    <d v="2021-02-26T00:00:00"/>
    <m/>
    <s v="김병선"/>
    <d v="2021-03-05T00:00:00"/>
    <m/>
    <s v="김태형"/>
    <d v="2021-02-26T00:00:00"/>
    <m/>
    <s v="홍창수"/>
    <m/>
    <m/>
    <m/>
    <m/>
    <m/>
    <m/>
  </r>
  <r>
    <s v="W21"/>
    <s v="미완료"/>
    <s v="W22"/>
    <s v="미완료"/>
    <s v="W21"/>
    <s v="미완료"/>
    <s v="계획필요"/>
    <s v="미완료"/>
    <s v="미완료"/>
    <n v="73"/>
    <s v="SD"/>
    <s v="SD0300"/>
    <s v="물류센터 창고간 재고이동 요청 정보 송신 I/F(ERP → WMS)"/>
    <m/>
    <m/>
    <m/>
    <m/>
    <m/>
    <s v="ERP"/>
    <s v="SD"/>
    <s v="AbapProxy"/>
    <s v="WMS"/>
    <s v="WMS"/>
    <m/>
    <s v="정한석"/>
    <s v="홍창수"/>
    <s v="WMS"/>
    <s v="Async"/>
    <s v="RealTime"/>
    <s v="1.EAI"/>
    <m/>
    <m/>
    <m/>
    <s v="1차통테전"/>
    <m/>
    <d v="2020-12-01T00:00:00"/>
    <m/>
    <s v="정한석"/>
    <d v="2020-12-07T00:00:00"/>
    <m/>
    <s v="SD3"/>
    <d v="2020-12-01T00:00:00"/>
    <m/>
    <s v="홍창수"/>
    <m/>
    <m/>
    <m/>
    <m/>
    <m/>
    <m/>
  </r>
  <r>
    <s v="W21"/>
    <s v="미완료"/>
    <s v="계획필요"/>
    <s v="미완료"/>
    <s v="W21"/>
    <s v="미완료"/>
    <s v="W22"/>
    <s v="미완료"/>
    <s v="미완료"/>
    <n v="74"/>
    <s v="SD"/>
    <s v="SD0310"/>
    <s v="저장위치간 이동결과 IF수신(WMS → ERP)"/>
    <m/>
    <m/>
    <m/>
    <m/>
    <m/>
    <s v="WMS"/>
    <s v="WMS"/>
    <m/>
    <s v="ERP"/>
    <s v="SD"/>
    <s v="AbapProxy"/>
    <s v="코비전"/>
    <s v="홍창수"/>
    <s v="정한석"/>
    <s v="Async"/>
    <s v="RealTime"/>
    <s v="1.EAI"/>
    <m/>
    <m/>
    <m/>
    <s v="1차통테전"/>
    <m/>
    <d v="2020-12-02T00:00:00"/>
    <m/>
    <s v="정한석"/>
    <m/>
    <m/>
    <m/>
    <d v="2020-12-04T00:00:00"/>
    <m/>
    <s v="홍창수"/>
    <d v="2020-12-07T00:00:00"/>
    <m/>
    <s v="SD3"/>
    <m/>
    <m/>
    <m/>
  </r>
  <r>
    <s v="W21"/>
    <s v="미완료"/>
    <s v="W22"/>
    <s v="미완료"/>
    <s v="W21"/>
    <s v="미완료"/>
    <s v="계획필요"/>
    <s v="미완료"/>
    <s v="미완료"/>
    <n v="75"/>
    <s v="SD"/>
    <s v="SD0320"/>
    <s v="SET 조립 요청 정보 IF (ERP → WMS)"/>
    <m/>
    <m/>
    <m/>
    <m/>
    <m/>
    <s v="ERP"/>
    <s v="SD"/>
    <s v="AbapProxy"/>
    <s v="WMS"/>
    <s v="WMS"/>
    <m/>
    <s v="정한석"/>
    <s v="홍창수"/>
    <s v="WMS"/>
    <s v="Async"/>
    <s v="RealTime"/>
    <s v="1.EAI"/>
    <m/>
    <m/>
    <m/>
    <s v="1차통테전"/>
    <m/>
    <d v="2020-12-01T00:00:00"/>
    <m/>
    <s v="정한석"/>
    <d v="2020-12-08T00:00:00"/>
    <m/>
    <s v="SD3"/>
    <d v="2020-12-01T00:00:00"/>
    <m/>
    <s v="홍창수"/>
    <m/>
    <m/>
    <m/>
    <m/>
    <m/>
    <m/>
  </r>
  <r>
    <s v="W21"/>
    <s v="미완료"/>
    <s v="계획필요"/>
    <s v="미완료"/>
    <s v="W25"/>
    <s v="미완료"/>
    <s v="W22"/>
    <s v="미완료"/>
    <s v="미완료"/>
    <n v="76"/>
    <s v="SD"/>
    <s v="SD0330"/>
    <s v="SET 조립.해체결과 IF송신(WMS → ERP)"/>
    <m/>
    <m/>
    <m/>
    <m/>
    <m/>
    <s v="WMS"/>
    <s v="WMS"/>
    <m/>
    <s v="ERP"/>
    <s v="SD"/>
    <s v="AbapProxy"/>
    <s v="코비전"/>
    <s v="홍창수"/>
    <s v="정한석"/>
    <s v="Async"/>
    <s v="RealTime"/>
    <s v="1.EAI"/>
    <m/>
    <m/>
    <m/>
    <s v="1차통테전"/>
    <m/>
    <d v="2020-12-02T00:00:00"/>
    <m/>
    <s v="정한석"/>
    <m/>
    <m/>
    <m/>
    <d v="2020-12-30T00:00:00"/>
    <m/>
    <s v="홍창수"/>
    <d v="2020-12-09T00:00:00"/>
    <m/>
    <s v="SD3"/>
    <m/>
    <m/>
    <m/>
  </r>
  <r>
    <s v="W33"/>
    <s v="미완료"/>
    <s v="계획필요"/>
    <s v="미완료"/>
    <s v="W33"/>
    <s v="미완료"/>
    <s v="W34"/>
    <s v="미완료"/>
    <s v="미완료"/>
    <n v="77"/>
    <s v="SD"/>
    <s v="SD0340"/>
    <s v="무상(타계정)주문 IF수신(WMS → ERP)"/>
    <m/>
    <m/>
    <m/>
    <m/>
    <m/>
    <s v="WMS"/>
    <s v="WMS"/>
    <m/>
    <s v="ERP"/>
    <s v="SD"/>
    <s v="AbapProxy"/>
    <s v="코비전"/>
    <s v="홍창수"/>
    <s v="정한석"/>
    <s v="Async"/>
    <s v="RealTime"/>
    <s v="1.EAI"/>
    <m/>
    <m/>
    <m/>
    <s v="2차통테전"/>
    <m/>
    <d v="2021-02-26T00:00:00"/>
    <m/>
    <s v="정한석"/>
    <m/>
    <m/>
    <m/>
    <d v="2021-02-26T00:00:00"/>
    <m/>
    <s v="홍창수"/>
    <d v="2021-03-05T00:00:00"/>
    <m/>
    <s v="SD3"/>
    <m/>
    <m/>
    <m/>
  </r>
  <r>
    <s v="W23"/>
    <s v="미완료"/>
    <s v="W24"/>
    <s v="미완료"/>
    <s v="W23"/>
    <s v="미완료"/>
    <s v="계획필요"/>
    <s v="미완료"/>
    <s v="미완료"/>
    <n v="78"/>
    <s v="SD"/>
    <s v="SD0350"/>
    <s v="출고지시 IF송신(ERP → WMS)"/>
    <m/>
    <m/>
    <m/>
    <m/>
    <m/>
    <s v="ERP"/>
    <s v="SD"/>
    <s v="AbapProxy"/>
    <s v="WMS"/>
    <s v="WMS"/>
    <m/>
    <s v="김병선"/>
    <s v="홍창수"/>
    <s v="WMS"/>
    <s v="Async"/>
    <s v="Batch"/>
    <s v="1.EAI"/>
    <m/>
    <m/>
    <m/>
    <s v="1차통테전"/>
    <m/>
    <d v="2020-12-16T00:00:00"/>
    <m/>
    <s v="김병선"/>
    <d v="2020-12-23T00:00:00"/>
    <m/>
    <s v="SD3"/>
    <d v="2020-12-16T00:00:00"/>
    <m/>
    <s v="홍창수"/>
    <m/>
    <m/>
    <m/>
    <m/>
    <m/>
    <m/>
  </r>
  <r>
    <s v="W23"/>
    <s v="미완료"/>
    <s v="W24"/>
    <s v="미완료"/>
    <s v="W23"/>
    <s v="미완료"/>
    <s v="계획필요"/>
    <s v="미완료"/>
    <s v="미완료"/>
    <n v="79"/>
    <s v="SD"/>
    <s v="SD0360"/>
    <s v="출고지시상태 IF송신(ERP → 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17T00:00:00"/>
    <m/>
    <s v="김병선"/>
    <d v="2020-12-24T00:00:00"/>
    <m/>
    <s v="SD3"/>
    <d v="2020-12-17T00:00:00"/>
    <m/>
    <s v="홍창수"/>
    <m/>
    <m/>
    <m/>
    <m/>
    <m/>
    <m/>
  </r>
  <r>
    <s v="W24"/>
    <s v="미완료"/>
    <s v="계획필요"/>
    <s v="미완료"/>
    <s v="W24"/>
    <s v="미완료"/>
    <s v="W25"/>
    <s v="미완료"/>
    <s v="미완료"/>
    <n v="80"/>
    <s v="SD"/>
    <s v="SD0370"/>
    <s v="출고처리 IF수신(WMS → ERP)"/>
    <m/>
    <m/>
    <m/>
    <m/>
    <m/>
    <s v="WMS"/>
    <s v="WMS"/>
    <m/>
    <s v="ERP"/>
    <s v="SD"/>
    <s v="AbapProxy"/>
    <s v="코비전"/>
    <s v="홍창수"/>
    <s v="김병선"/>
    <s v="Async"/>
    <s v="Batch"/>
    <s v="1.EAI"/>
    <m/>
    <m/>
    <m/>
    <s v="1차통테전"/>
    <m/>
    <d v="2020-12-24T00:00:00"/>
    <m/>
    <s v="김병선"/>
    <m/>
    <m/>
    <m/>
    <d v="2020-12-24T00:00:00"/>
    <m/>
    <s v="홍창수"/>
    <d v="2020-12-31T00:00:00"/>
    <m/>
    <s v="SD3"/>
    <m/>
    <m/>
    <m/>
  </r>
  <r>
    <s v="W25"/>
    <s v="미완료"/>
    <s v="W26"/>
    <s v="미완료"/>
    <s v="W26"/>
    <s v="미완료"/>
    <s v="계획필요"/>
    <s v="미완료"/>
    <s v="미완료"/>
    <n v="81"/>
    <s v="SD"/>
    <s v="SD0380"/>
    <s v="출고처리결과 IF송신(ERP → 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1차통테전"/>
    <m/>
    <d v="2020-12-31T00:00:00"/>
    <m/>
    <s v="김병선"/>
    <d v="2021-01-07T00:00:00"/>
    <m/>
    <s v="SD3"/>
    <d v="2021-01-04T00:00:00"/>
    <m/>
    <s v="홍창수"/>
    <m/>
    <m/>
    <m/>
    <m/>
    <m/>
    <m/>
  </r>
  <r>
    <s v="W24"/>
    <s v="미완료"/>
    <s v="계획필요"/>
    <s v="미완료"/>
    <s v="W24"/>
    <s v="미완료"/>
    <s v="W25"/>
    <s v="미완료"/>
    <s v="미완료"/>
    <n v="82"/>
    <s v="SD"/>
    <s v="SD0390"/>
    <s v="재고이관입고 확정 정보 수신 I/F(PRM → ERP)"/>
    <m/>
    <m/>
    <m/>
    <m/>
    <m/>
    <s v="PRM"/>
    <s v="POS/PRM"/>
    <m/>
    <s v="ERP"/>
    <s v="SD"/>
    <s v="AbapProxy"/>
    <s v="코비전"/>
    <s v="홍창수"/>
    <s v="김병선"/>
    <s v="Async"/>
    <s v="RealTime"/>
    <s v="1.EAI"/>
    <m/>
    <m/>
    <m/>
    <s v="1차통테전"/>
    <m/>
    <d v="2020-12-21T00:00:00"/>
    <m/>
    <s v="김병선"/>
    <m/>
    <m/>
    <m/>
    <d v="2020-12-21T00:00:00"/>
    <m/>
    <s v="홍창수"/>
    <d v="2020-12-28T00:00:00"/>
    <m/>
    <s v="김태형"/>
    <m/>
    <m/>
    <m/>
  </r>
  <r>
    <s v="W28"/>
    <s v="미완료"/>
    <s v="계획필요"/>
    <s v="미완료"/>
    <s v="W28"/>
    <s v="미완료"/>
    <s v="W29"/>
    <s v="미완료"/>
    <s v="미완료"/>
    <n v="83"/>
    <s v="SD"/>
    <s v="SD0400"/>
    <s v="물류센터 수출 출고처리 건의 여신체크 정보 IF(WMS → ERP → WMS)"/>
    <m/>
    <m/>
    <m/>
    <m/>
    <m/>
    <s v="WMS"/>
    <s v="WMS"/>
    <m/>
    <s v="ERP"/>
    <s v="SD"/>
    <s v="AbapProxy"/>
    <s v="코비전"/>
    <s v="홍창수"/>
    <s v="김병선"/>
    <s v="Sync"/>
    <s v="RealTime"/>
    <s v="1.EAI"/>
    <m/>
    <m/>
    <m/>
    <s v="1차통테전"/>
    <m/>
    <d v="2021-01-18T00:00:00"/>
    <m/>
    <s v="김병선"/>
    <m/>
    <m/>
    <m/>
    <d v="2021-01-19T00:00:00"/>
    <m/>
    <s v="홍창수"/>
    <d v="2021-01-25T00:00:00"/>
    <m/>
    <s v="김태형"/>
    <m/>
    <m/>
    <m/>
  </r>
  <r>
    <s v="W28"/>
    <s v="미완료"/>
    <s v="계획필요"/>
    <s v="미완료"/>
    <s v="W28"/>
    <s v="미완료"/>
    <s v="W29"/>
    <s v="미완료"/>
    <s v="미완료"/>
    <n v="84"/>
    <s v="SD"/>
    <s v="SD0410"/>
    <s v="수출 PACKING 정보 IF수신(WMS-&gt;ERP)"/>
    <m/>
    <m/>
    <m/>
    <m/>
    <m/>
    <s v="WMS"/>
    <s v="WMS"/>
    <m/>
    <s v="ERP"/>
    <s v="SD"/>
    <s v="AbapProxy"/>
    <s v="코비전"/>
    <s v="홍창수"/>
    <s v="김병선"/>
    <s v="Async"/>
    <s v="RealTime"/>
    <s v="1.EAI"/>
    <m/>
    <m/>
    <m/>
    <s v="1차통테전"/>
    <m/>
    <d v="2021-01-22T00:00:00"/>
    <m/>
    <s v="김병선"/>
    <m/>
    <m/>
    <m/>
    <d v="2021-01-22T00:00:00"/>
    <m/>
    <s v="홍창수"/>
    <d v="2021-01-29T00:00:00"/>
    <m/>
    <s v="김태형"/>
    <m/>
    <m/>
    <m/>
  </r>
  <r>
    <s v="W31"/>
    <s v="미완료"/>
    <s v="계획필요"/>
    <s v="미완료"/>
    <s v="W31"/>
    <s v="미완료"/>
    <s v="W32"/>
    <s v="미완료"/>
    <s v="미완료"/>
    <n v="85"/>
    <s v="SD"/>
    <s v="SD0420"/>
    <s v="출고지시취소 요청 IF수신(PRM → ERP)"/>
    <m/>
    <m/>
    <m/>
    <m/>
    <m/>
    <s v="PRM"/>
    <s v="POS/PRM"/>
    <m/>
    <s v="ERP"/>
    <s v="SD"/>
    <s v="AbapProxy"/>
    <s v="코비전"/>
    <s v="홍창수"/>
    <s v="김병선"/>
    <s v="Async"/>
    <s v="RealTime"/>
    <s v="1.EAI"/>
    <m/>
    <m/>
    <m/>
    <s v="2차통테전"/>
    <m/>
    <d v="2021-02-08T00:00:00"/>
    <m/>
    <s v="김병선"/>
    <m/>
    <m/>
    <m/>
    <d v="2021-02-08T00:00:00"/>
    <m/>
    <s v="홍창수"/>
    <d v="2021-02-15T00:00:00"/>
    <m/>
    <s v="김태형"/>
    <m/>
    <m/>
    <m/>
  </r>
  <r>
    <s v="W31"/>
    <s v="미완료"/>
    <s v="W32"/>
    <s v="미완료"/>
    <s v="W31"/>
    <s v="미완료"/>
    <s v="계획필요"/>
    <s v="미완료"/>
    <s v="미완료"/>
    <n v="86"/>
    <s v="SD"/>
    <s v="SD0430"/>
    <s v="출고지시취소 요청 IF송신(ERP → WMS)"/>
    <m/>
    <m/>
    <m/>
    <m/>
    <m/>
    <s v="ERP"/>
    <s v="SD"/>
    <s v="AbapProxy"/>
    <s v="WMS"/>
    <s v="WMS"/>
    <m/>
    <s v="김병선"/>
    <s v="홍창수"/>
    <s v="WMS"/>
    <s v="Async"/>
    <s v="Batch"/>
    <s v="1.EAI"/>
    <m/>
    <m/>
    <m/>
    <s v="2차통테전"/>
    <m/>
    <d v="2021-02-09T00:00:00"/>
    <m/>
    <s v="김병선"/>
    <d v="2021-02-16T00:00:00"/>
    <m/>
    <s v="김태형"/>
    <d v="2021-02-09T00:00:00"/>
    <m/>
    <s v="홍창수"/>
    <m/>
    <m/>
    <m/>
    <m/>
    <m/>
    <m/>
  </r>
  <r>
    <s v="W31"/>
    <s v="미완료"/>
    <s v="계획필요"/>
    <s v="미완료"/>
    <s v="W32"/>
    <s v="미완료"/>
    <s v="W32"/>
    <s v="미완료"/>
    <s v="미완료"/>
    <n v="87"/>
    <s v="SD"/>
    <s v="SD0440"/>
    <s v="출고지시취소 결과 IF수신(WMS → ERP)"/>
    <m/>
    <m/>
    <m/>
    <m/>
    <m/>
    <s v="WMS"/>
    <s v="WMS"/>
    <m/>
    <s v="ERP"/>
    <s v="SD"/>
    <s v="AbapProxy"/>
    <s v="코비전"/>
    <s v="홍창수"/>
    <s v="김병선"/>
    <s v="Async"/>
    <s v="RealTime"/>
    <s v="1.EAI"/>
    <m/>
    <m/>
    <m/>
    <s v="2차통테전"/>
    <m/>
    <d v="2021-02-10T00:00:00"/>
    <m/>
    <s v="김병선"/>
    <m/>
    <m/>
    <m/>
    <d v="2021-02-16T00:00:00"/>
    <m/>
    <s v="홍창수"/>
    <d v="2021-02-17T00:00:00"/>
    <m/>
    <s v="김태형"/>
    <m/>
    <m/>
    <m/>
  </r>
  <r>
    <s v="W31"/>
    <s v="미완료"/>
    <s v="W32"/>
    <s v="미완료"/>
    <s v="W32"/>
    <s v="미완료"/>
    <s v="계획필요"/>
    <s v="미완료"/>
    <s v="미완료"/>
    <n v="88"/>
    <s v="SD"/>
    <s v="SD0450"/>
    <s v="출고지시취소 결과 IF수신(ERP → PRM)"/>
    <m/>
    <m/>
    <m/>
    <m/>
    <m/>
    <s v="ERP"/>
    <s v="SD"/>
    <s v="AbapProxy"/>
    <s v="PRM"/>
    <s v="POS/PRM"/>
    <m/>
    <s v="김병선"/>
    <s v="홍창수"/>
    <s v="PRM"/>
    <s v="Async"/>
    <s v="Batch"/>
    <s v="1.EAI"/>
    <m/>
    <m/>
    <m/>
    <s v="2차통테전"/>
    <m/>
    <d v="2021-02-10T00:00:00"/>
    <m/>
    <s v="김병선"/>
    <d v="2021-02-18T00:00:00"/>
    <m/>
    <s v="김태형"/>
    <d v="2021-02-15T00:00:00"/>
    <m/>
    <s v="홍창수"/>
    <m/>
    <m/>
    <m/>
    <m/>
    <m/>
    <m/>
  </r>
  <r>
    <s v="W32"/>
    <s v="미완료"/>
    <s v="계획필요"/>
    <s v="미완료"/>
    <s v="W32"/>
    <s v="미완료"/>
    <s v="W33"/>
    <s v="미완료"/>
    <s v="미완료"/>
    <n v="89"/>
    <s v="SD"/>
    <s v="SD0460"/>
    <s v="프로모션별 가맹점 소비자판매실적 IF (PRM → ERP)"/>
    <m/>
    <m/>
    <m/>
    <m/>
    <m/>
    <s v="PRM"/>
    <s v="POS/PRM"/>
    <m/>
    <s v="ERP"/>
    <s v="SD"/>
    <s v="AbapProxy"/>
    <s v="코비전"/>
    <s v="홍창수"/>
    <s v="정한석"/>
    <s v="Async"/>
    <s v="RealTime"/>
    <s v="1.EAI"/>
    <m/>
    <m/>
    <m/>
    <s v="2차통테전"/>
    <m/>
    <d v="2021-02-18T00:00:00"/>
    <m/>
    <s v="정한석"/>
    <m/>
    <m/>
    <m/>
    <d v="2021-02-18T00:00:00"/>
    <m/>
    <s v="홍창수"/>
    <d v="2021-02-25T00:00:00"/>
    <m/>
    <s v="김진열"/>
    <m/>
    <m/>
    <m/>
  </r>
  <r>
    <s v="W32"/>
    <s v="미완료"/>
    <s v="계획필요"/>
    <s v="미완료"/>
    <s v="W32"/>
    <s v="미완료"/>
    <s v="W33"/>
    <s v="미완료"/>
    <s v="미완료"/>
    <n v="90"/>
    <s v="SD"/>
    <s v="SD0470"/>
    <s v="매출차감증액 IF수신(PRM-&gt;ERP),역매마일리지 포함"/>
    <m/>
    <m/>
    <m/>
    <m/>
    <m/>
    <s v="PRM"/>
    <s v="POS/PRM"/>
    <m/>
    <s v="ERP"/>
    <s v="SD"/>
    <s v="AbapProxy"/>
    <s v="코비전"/>
    <s v="홍창수"/>
    <s v="정한석"/>
    <s v="Async"/>
    <s v="RealTime"/>
    <s v="1.EAI"/>
    <m/>
    <m/>
    <m/>
    <s v="2차통테전"/>
    <m/>
    <d v="2021-02-17T00:00:00"/>
    <m/>
    <s v="정한석"/>
    <m/>
    <m/>
    <m/>
    <d v="2021-02-17T00:00:00"/>
    <m/>
    <s v="홍창수"/>
    <d v="2021-02-24T00:00:00"/>
    <m/>
    <s v="김진열"/>
    <m/>
    <m/>
    <m/>
  </r>
  <r>
    <s v="W29"/>
    <s v="미완료"/>
    <s v="W30"/>
    <s v="미완료"/>
    <s v="W29"/>
    <s v="미완료"/>
    <s v="계획필요"/>
    <s v="미완료"/>
    <s v="미완료"/>
    <n v="91"/>
    <s v="SD"/>
    <s v="SD0480"/>
    <s v="가용성 체크(ERP -&gt; OMS -&gt; ERP)"/>
    <m/>
    <m/>
    <m/>
    <m/>
    <m/>
    <s v="ERP"/>
    <s v="SD"/>
    <s v="AbapProxy"/>
    <s v="OMS"/>
    <s v="OMS"/>
    <m/>
    <s v="정한석"/>
    <s v="홍창수"/>
    <s v="OMS"/>
    <s v="Sync"/>
    <s v="Batch"/>
    <s v="1.EAI"/>
    <m/>
    <m/>
    <m/>
    <s v="1차통테전"/>
    <m/>
    <d v="2021-01-25T00:00:00"/>
    <m/>
    <s v="정한석"/>
    <d v="2021-02-01T00:00:00"/>
    <m/>
    <s v="김진열"/>
    <d v="2021-01-25T00:00:00"/>
    <m/>
    <s v="홍창수"/>
    <m/>
    <m/>
    <m/>
    <m/>
    <m/>
    <m/>
  </r>
  <r>
    <s v="W33"/>
    <s v="미완료"/>
    <s v="계획필요"/>
    <s v="미완료"/>
    <s v="W33"/>
    <s v="미완료"/>
    <s v="W34"/>
    <s v="미완료"/>
    <s v="미완료"/>
    <n v="92"/>
    <s v="SD"/>
    <s v="SD0490"/>
    <s v="온라인 위탁상품에 대한 자재마스터 등록 I/F(OMS -&gt;ERP)"/>
    <m/>
    <m/>
    <m/>
    <m/>
    <m/>
    <s v="OMS"/>
    <s v="OMS"/>
    <m/>
    <s v="ERP"/>
    <s v="SD"/>
    <s v="AbapProxy"/>
    <s v="코비전"/>
    <s v="홍창수"/>
    <s v="정한석"/>
    <s v="Async"/>
    <s v="Batch"/>
    <s v="1.EAI"/>
    <m/>
    <m/>
    <m/>
    <s v="2차통테전"/>
    <m/>
    <d v="2021-02-25T00:00:00"/>
    <m/>
    <s v="정한석"/>
    <m/>
    <m/>
    <m/>
    <d v="2021-02-25T00:00:00"/>
    <m/>
    <s v="홍창수"/>
    <d v="2021-03-04T00:00:00"/>
    <m/>
    <s v="김진열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V2:X19" firstHeaderRow="1" firstDataRow="1" firstDataCol="0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159" Type="http://schemas.openxmlformats.org/officeDocument/2006/relationships/revisionLog" Target="revisionLog6.xml"/><Relationship Id="rId158" Type="http://schemas.openxmlformats.org/officeDocument/2006/relationships/revisionLog" Target="revisionLog5.xml"/><Relationship Id="rId157" Type="http://schemas.openxmlformats.org/officeDocument/2006/relationships/revisionLog" Target="revisionLog4.xml"/><Relationship Id="rId160" Type="http://schemas.openxmlformats.org/officeDocument/2006/relationships/revisionLog" Target="revisionLog7.xml"/><Relationship Id="rId156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F293F7-2239-4F28-8ED3-CB2E94D86A07}" diskRevisions="1" revisionId="889" version="7">
  <header guid="{9CEAE28C-99AB-44C4-A6D3-415F8E14E294}" dateTime="2021-04-06T10:35:39" maxSheetId="9" userName="정한석" r:id="rId156" minRId="807" maxRId="808">
    <sheetIdMap count="8">
      <sheetId val="1"/>
      <sheetId val="2"/>
      <sheetId val="3"/>
      <sheetId val="4"/>
      <sheetId val="5"/>
      <sheetId val="6"/>
      <sheetId val="7"/>
      <sheetId val="8"/>
    </sheetIdMap>
  </header>
  <header guid="{598A3D85-1611-48F1-9EF1-3F68D6DFC1DC}" dateTime="2021-04-12T11:44:58" maxSheetId="10" userName="탁창범" r:id="rId157" minRId="812" maxRId="875">
    <sheetIdMap count="9">
      <sheetId val="1"/>
      <sheetId val="2"/>
      <sheetId val="3"/>
      <sheetId val="9"/>
      <sheetId val="4"/>
      <sheetId val="5"/>
      <sheetId val="6"/>
      <sheetId val="7"/>
      <sheetId val="8"/>
    </sheetIdMap>
  </header>
  <header guid="{CAC2AFE0-830F-4BDE-987C-CAD87EA2D708}" dateTime="2021-04-12T11:52:41" maxSheetId="10" userName="탁창범" r:id="rId158" minRId="879" maxRId="885">
    <sheetIdMap count="9">
      <sheetId val="1"/>
      <sheetId val="2"/>
      <sheetId val="3"/>
      <sheetId val="9"/>
      <sheetId val="4"/>
      <sheetId val="5"/>
      <sheetId val="6"/>
      <sheetId val="7"/>
      <sheetId val="8"/>
    </sheetIdMap>
  </header>
  <header guid="{46CCC460-4DAB-4532-8B62-DC78F75194DF}" dateTime="2021-04-12T11:53:07" maxSheetId="10" userName="탁창범" r:id="rId159" minRId="886">
    <sheetIdMap count="9">
      <sheetId val="1"/>
      <sheetId val="2"/>
      <sheetId val="3"/>
      <sheetId val="9"/>
      <sheetId val="4"/>
      <sheetId val="5"/>
      <sheetId val="6"/>
      <sheetId val="7"/>
      <sheetId val="8"/>
    </sheetIdMap>
  </header>
  <header guid="{1BF293F7-2239-4F28-8ED3-CB2E94D86A07}" dateTime="2021-04-12T11:58:01" maxSheetId="10" userName="탁창범" r:id="rId160">
    <sheetIdMap count="9">
      <sheetId val="1"/>
      <sheetId val="2"/>
      <sheetId val="3"/>
      <sheetId val="9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rc rId="807" sId="3" ref="C1:C1048576" action="insertCol">
    <undo index="4" exp="area" ref3D="1" dr="AB$1:AB$1048576" r="Q30" sId="8"/>
    <undo index="2" exp="area" ref3D="1" dr="D$1:D$1048576" r="Q30" sId="8"/>
    <undo index="0" exp="area" ref3D="1" dr="C$1:C$1048576" r="Q30" sId="8"/>
    <undo index="17" exp="area" ref3D="1" dr="AA$1:AA$1048576" r="N30" sId="8"/>
    <undo index="15" exp="area" ref3D="1" dr="D$1:D$1048576" r="N30" sId="8"/>
    <undo index="13" exp="area" ref3D="1" dr="AJ$1:AJ$1048576" r="N30" sId="8"/>
    <undo index="11" exp="area" ref3D="1" dr="C$1:C$1048576" r="N30" sId="8"/>
    <undo index="6" exp="area" ref3D="1" dr="AA$1:AA$1048576" r="N30" sId="8"/>
    <undo index="4" exp="area" ref3D="1" dr="D$1:D$1048576" r="N30" sId="8"/>
    <undo index="2" exp="area" ref3D="1" dr="AJ$1:AJ$1048576" r="N30" sId="8"/>
    <undo index="0" exp="area" ref3D="1" dr="C$1:C$1048576" r="N30" sId="8"/>
    <undo index="11" exp="area" ref3D="1" dr="D$1:D$1048576" r="M30" sId="8"/>
    <undo index="9" exp="area" ref3D="1" dr="AJ$1:AJ$1048576" r="M30" sId="8"/>
    <undo index="7" exp="area" ref3D="1" dr="C$1:C$1048576" r="M30" sId="8"/>
    <undo index="4" exp="area" ref3D="1" dr="D$1:D$1048576" r="M30" sId="8"/>
    <undo index="2" exp="area" ref3D="1" dr="AJ$1:AJ$1048576" r="M30" sId="8"/>
    <undo index="0" exp="area" ref3D="1" dr="C$1:C$1048576" r="M30" sId="8"/>
    <undo index="4" exp="area" ref3D="1" dr="AA$1:AA$1048576" r="J30" sId="8"/>
    <undo index="2" exp="area" ref3D="1" dr="D$1:D$1048576" r="J30" sId="8"/>
    <undo index="0" exp="area" ref3D="1" dr="C$1:C$1048576" r="J30" sId="8"/>
    <undo index="4" exp="area" ref3D="1" dr="X$1:X$1048576" r="I30" sId="8"/>
    <undo index="2" exp="area" ref3D="1" dr="D$1:D$1048576" r="I30" sId="8"/>
    <undo index="0" exp="area" ref3D="1" dr="C$1:C$1048576" r="I30" sId="8"/>
    <undo index="4" exp="area" ref3D="1" dr="V$1:V$1048576" r="F30" sId="8"/>
    <undo index="2" exp="area" ref3D="1" dr="D$1:D$1048576" r="F30" sId="8"/>
    <undo index="0" exp="area" ref3D="1" dr="C$1:C$1048576" r="F30" sId="8"/>
    <undo index="4" exp="area" ref3D="1" dr="U$1:U$1048576" r="E30" sId="8"/>
    <undo index="2" exp="area" ref3D="1" dr="D$1:D$1048576" r="E30" sId="8"/>
    <undo index="0" exp="area" ref3D="1" dr="C$1:C$1048576" r="E30" sId="8"/>
    <undo index="2" exp="area" ref3D="1" dr="D$1:D$1048576" r="D30" sId="8"/>
    <undo index="0" exp="area" ref3D="1" dr="C$1:C$1048576" r="D30" sId="8"/>
    <undo index="4" exp="area" ref3D="1" dr="AB$1:AB$1048576" r="Q29" sId="8"/>
    <undo index="2" exp="area" ref3D="1" dr="D$1:D$1048576" r="Q29" sId="8"/>
    <undo index="0" exp="area" ref3D="1" dr="C$1:C$1048576" r="Q29" sId="8"/>
    <undo index="17" exp="area" ref3D="1" dr="AA$1:AA$1048576" r="N29" sId="8"/>
    <undo index="15" exp="area" ref3D="1" dr="D$1:D$1048576" r="N29" sId="8"/>
    <undo index="13" exp="area" ref3D="1" dr="AJ$1:AJ$1048576" r="N29" sId="8"/>
    <undo index="11" exp="area" ref3D="1" dr="C$1:C$1048576" r="N29" sId="8"/>
    <undo index="6" exp="area" ref3D="1" dr="AA$1:AA$1048576" r="N29" sId="8"/>
    <undo index="4" exp="area" ref3D="1" dr="D$1:D$1048576" r="N29" sId="8"/>
    <undo index="2" exp="area" ref3D="1" dr="AJ$1:AJ$1048576" r="N29" sId="8"/>
    <undo index="0" exp="area" ref3D="1" dr="C$1:C$1048576" r="N29" sId="8"/>
    <undo index="11" exp="area" ref3D="1" dr="D$1:D$1048576" r="M29" sId="8"/>
    <undo index="9" exp="area" ref3D="1" dr="AJ$1:AJ$1048576" r="M29" sId="8"/>
    <undo index="7" exp="area" ref3D="1" dr="C$1:C$1048576" r="M29" sId="8"/>
    <undo index="4" exp="area" ref3D="1" dr="D$1:D$1048576" r="M29" sId="8"/>
    <undo index="2" exp="area" ref3D="1" dr="AJ$1:AJ$1048576" r="M29" sId="8"/>
    <undo index="0" exp="area" ref3D="1" dr="C$1:C$1048576" r="M29" sId="8"/>
    <undo index="4" exp="area" ref3D="1" dr="AA$1:AA$1048576" r="J29" sId="8"/>
    <undo index="2" exp="area" ref3D="1" dr="D$1:D$1048576" r="J29" sId="8"/>
    <undo index="0" exp="area" ref3D="1" dr="C$1:C$1048576" r="J29" sId="8"/>
    <undo index="4" exp="area" ref3D="1" dr="X$1:X$1048576" r="I29" sId="8"/>
    <undo index="2" exp="area" ref3D="1" dr="D$1:D$1048576" r="I29" sId="8"/>
    <undo index="0" exp="area" ref3D="1" dr="C$1:C$1048576" r="I29" sId="8"/>
    <undo index="4" exp="area" ref3D="1" dr="V$1:V$1048576" r="F29" sId="8"/>
    <undo index="2" exp="area" ref3D="1" dr="D$1:D$1048576" r="F29" sId="8"/>
    <undo index="0" exp="area" ref3D="1" dr="C$1:C$1048576" r="F29" sId="8"/>
    <undo index="4" exp="area" ref3D="1" dr="U$1:U$1048576" r="E29" sId="8"/>
    <undo index="2" exp="area" ref3D="1" dr="D$1:D$1048576" r="E29" sId="8"/>
    <undo index="0" exp="area" ref3D="1" dr="C$1:C$1048576" r="E29" sId="8"/>
    <undo index="2" exp="area" ref3D="1" dr="D$1:D$1048576" r="D29" sId="8"/>
    <undo index="0" exp="area" ref3D="1" dr="C$1:C$1048576" r="D29" sId="8"/>
    <undo index="4" exp="area" ref3D="1" dr="AB$1:AB$1048576" r="Q28" sId="8"/>
    <undo index="2" exp="area" ref3D="1" dr="D$1:D$1048576" r="Q28" sId="8"/>
    <undo index="0" exp="area" ref3D="1" dr="C$1:C$1048576" r="Q28" sId="8"/>
    <undo index="17" exp="area" ref3D="1" dr="AA$1:AA$1048576" r="N28" sId="8"/>
    <undo index="15" exp="area" ref3D="1" dr="D$1:D$1048576" r="N28" sId="8"/>
    <undo index="13" exp="area" ref3D="1" dr="AJ$1:AJ$1048576" r="N28" sId="8"/>
    <undo index="11" exp="area" ref3D="1" dr="C$1:C$1048576" r="N28" sId="8"/>
    <undo index="6" exp="area" ref3D="1" dr="AA$1:AA$1048576" r="N28" sId="8"/>
    <undo index="4" exp="area" ref3D="1" dr="D$1:D$1048576" r="N28" sId="8"/>
    <undo index="2" exp="area" ref3D="1" dr="AJ$1:AJ$1048576" r="N28" sId="8"/>
    <undo index="0" exp="area" ref3D="1" dr="C$1:C$1048576" r="N28" sId="8"/>
    <undo index="11" exp="area" ref3D="1" dr="D$1:D$1048576" r="M28" sId="8"/>
    <undo index="9" exp="area" ref3D="1" dr="AJ$1:AJ$1048576" r="M28" sId="8"/>
    <undo index="7" exp="area" ref3D="1" dr="C$1:C$1048576" r="M28" sId="8"/>
    <undo index="4" exp="area" ref3D="1" dr="D$1:D$1048576" r="M28" sId="8"/>
    <undo index="2" exp="area" ref3D="1" dr="AJ$1:AJ$1048576" r="M28" sId="8"/>
    <undo index="0" exp="area" ref3D="1" dr="C$1:C$1048576" r="M28" sId="8"/>
    <undo index="4" exp="area" ref3D="1" dr="AA$1:AA$1048576" r="J28" sId="8"/>
    <undo index="2" exp="area" ref3D="1" dr="D$1:D$1048576" r="J28" sId="8"/>
    <undo index="0" exp="area" ref3D="1" dr="C$1:C$1048576" r="J28" sId="8"/>
    <undo index="4" exp="area" ref3D="1" dr="X$1:X$1048576" r="I28" sId="8"/>
    <undo index="2" exp="area" ref3D="1" dr="D$1:D$1048576" r="I28" sId="8"/>
    <undo index="0" exp="area" ref3D="1" dr="C$1:C$1048576" r="I28" sId="8"/>
    <undo index="4" exp="area" ref3D="1" dr="V$1:V$1048576" r="F28" sId="8"/>
    <undo index="2" exp="area" ref3D="1" dr="D$1:D$1048576" r="F28" sId="8"/>
    <undo index="0" exp="area" ref3D="1" dr="C$1:C$1048576" r="F28" sId="8"/>
    <undo index="4" exp="area" ref3D="1" dr="U$1:U$1048576" r="E28" sId="8"/>
    <undo index="2" exp="area" ref3D="1" dr="D$1:D$1048576" r="E28" sId="8"/>
    <undo index="0" exp="area" ref3D="1" dr="C$1:C$1048576" r="E28" sId="8"/>
    <undo index="2" exp="area" ref3D="1" dr="D$1:D$1048576" r="D28" sId="8"/>
    <undo index="0" exp="area" ref3D="1" dr="C$1:C$1048576" r="D28" sId="8"/>
    <undo index="4" exp="area" ref3D="1" dr="AB$1:AB$1048576" r="Q27" sId="8"/>
    <undo index="2" exp="area" ref3D="1" dr="D$1:D$1048576" r="Q27" sId="8"/>
    <undo index="0" exp="area" ref3D="1" dr="C$1:C$1048576" r="Q27" sId="8"/>
    <undo index="17" exp="area" ref3D="1" dr="AA$1:AA$1048576" r="N27" sId="8"/>
    <undo index="15" exp="area" ref3D="1" dr="D$1:D$1048576" r="N27" sId="8"/>
    <undo index="13" exp="area" ref3D="1" dr="AJ$1:AJ$1048576" r="N27" sId="8"/>
    <undo index="11" exp="area" ref3D="1" dr="C$1:C$1048576" r="N27" sId="8"/>
    <undo index="6" exp="area" ref3D="1" dr="AA$1:AA$1048576" r="N27" sId="8"/>
    <undo index="4" exp="area" ref3D="1" dr="D$1:D$1048576" r="N27" sId="8"/>
    <undo index="2" exp="area" ref3D="1" dr="AJ$1:AJ$1048576" r="N27" sId="8"/>
    <undo index="0" exp="area" ref3D="1" dr="C$1:C$1048576" r="N27" sId="8"/>
    <undo index="11" exp="area" ref3D="1" dr="D$1:D$1048576" r="M27" sId="8"/>
    <undo index="9" exp="area" ref3D="1" dr="AJ$1:AJ$1048576" r="M27" sId="8"/>
    <undo index="7" exp="area" ref3D="1" dr="C$1:C$1048576" r="M27" sId="8"/>
    <undo index="4" exp="area" ref3D="1" dr="D$1:D$1048576" r="M27" sId="8"/>
    <undo index="2" exp="area" ref3D="1" dr="AJ$1:AJ$1048576" r="M27" sId="8"/>
    <undo index="0" exp="area" ref3D="1" dr="C$1:C$1048576" r="M27" sId="8"/>
    <undo index="4" exp="area" ref3D="1" dr="AA$1:AA$1048576" r="J27" sId="8"/>
    <undo index="2" exp="area" ref3D="1" dr="D$1:D$1048576" r="J27" sId="8"/>
    <undo index="0" exp="area" ref3D="1" dr="C$1:C$1048576" r="J27" sId="8"/>
    <undo index="4" exp="area" ref3D="1" dr="X$1:X$1048576" r="I27" sId="8"/>
    <undo index="2" exp="area" ref3D="1" dr="D$1:D$1048576" r="I27" sId="8"/>
    <undo index="0" exp="area" ref3D="1" dr="C$1:C$1048576" r="I27" sId="8"/>
    <undo index="4" exp="area" ref3D="1" dr="V$1:V$1048576" r="F27" sId="8"/>
    <undo index="2" exp="area" ref3D="1" dr="D$1:D$1048576" r="F27" sId="8"/>
    <undo index="0" exp="area" ref3D="1" dr="C$1:C$1048576" r="F27" sId="8"/>
    <undo index="4" exp="area" ref3D="1" dr="U$1:U$1048576" r="E27" sId="8"/>
    <undo index="2" exp="area" ref3D="1" dr="D$1:D$1048576" r="E27" sId="8"/>
    <undo index="0" exp="area" ref3D="1" dr="C$1:C$1048576" r="E27" sId="8"/>
    <undo index="2" exp="area" ref3D="1" dr="D$1:D$1048576" r="D27" sId="8"/>
    <undo index="0" exp="area" ref3D="1" dr="C$1:C$1048576" r="D27" sId="8"/>
    <undo index="4" exp="area" ref3D="1" dr="AB$1:AB$1048576" r="Q26" sId="8"/>
    <undo index="2" exp="area" ref3D="1" dr="D$1:D$1048576" r="Q26" sId="8"/>
    <undo index="0" exp="area" ref3D="1" dr="C$1:C$1048576" r="Q26" sId="8"/>
    <undo index="17" exp="area" ref3D="1" dr="AA$1:AA$1048576" r="N26" sId="8"/>
    <undo index="15" exp="area" ref3D="1" dr="D$1:D$1048576" r="N26" sId="8"/>
    <undo index="13" exp="area" ref3D="1" dr="AJ$1:AJ$1048576" r="N26" sId="8"/>
    <undo index="11" exp="area" ref3D="1" dr="C$1:C$1048576" r="N26" sId="8"/>
    <undo index="6" exp="area" ref3D="1" dr="AA$1:AA$1048576" r="N26" sId="8"/>
    <undo index="4" exp="area" ref3D="1" dr="D$1:D$1048576" r="N26" sId="8"/>
    <undo index="2" exp="area" ref3D="1" dr="AJ$1:AJ$1048576" r="N26" sId="8"/>
    <undo index="0" exp="area" ref3D="1" dr="C$1:C$1048576" r="N26" sId="8"/>
    <undo index="11" exp="area" ref3D="1" dr="D$1:D$1048576" r="M26" sId="8"/>
    <undo index="9" exp="area" ref3D="1" dr="AJ$1:AJ$1048576" r="M26" sId="8"/>
    <undo index="7" exp="area" ref3D="1" dr="C$1:C$1048576" r="M26" sId="8"/>
    <undo index="4" exp="area" ref3D="1" dr="D$1:D$1048576" r="M26" sId="8"/>
    <undo index="2" exp="area" ref3D="1" dr="AJ$1:AJ$1048576" r="M26" sId="8"/>
    <undo index="0" exp="area" ref3D="1" dr="C$1:C$1048576" r="M26" sId="8"/>
    <undo index="4" exp="area" ref3D="1" dr="AA$1:AA$1048576" r="J26" sId="8"/>
    <undo index="2" exp="area" ref3D="1" dr="D$1:D$1048576" r="J26" sId="8"/>
    <undo index="0" exp="area" ref3D="1" dr="C$1:C$1048576" r="J26" sId="8"/>
    <undo index="4" exp="area" ref3D="1" dr="X$1:X$1048576" r="I26" sId="8"/>
    <undo index="2" exp="area" ref3D="1" dr="D$1:D$1048576" r="I26" sId="8"/>
    <undo index="0" exp="area" ref3D="1" dr="C$1:C$1048576" r="I26" sId="8"/>
    <undo index="4" exp="area" ref3D="1" dr="V$1:V$1048576" r="F26" sId="8"/>
    <undo index="2" exp="area" ref3D="1" dr="D$1:D$1048576" r="F26" sId="8"/>
    <undo index="0" exp="area" ref3D="1" dr="C$1:C$1048576" r="F26" sId="8"/>
    <undo index="4" exp="area" ref3D="1" dr="U$1:U$1048576" r="E26" sId="8"/>
    <undo index="2" exp="area" ref3D="1" dr="D$1:D$1048576" r="E26" sId="8"/>
    <undo index="0" exp="area" ref3D="1" dr="C$1:C$1048576" r="E26" sId="8"/>
    <undo index="2" exp="area" ref3D="1" dr="D$1:D$1048576" r="D26" sId="8"/>
    <undo index="0" exp="area" ref3D="1" dr="C$1:C$1048576" r="D26" sId="8"/>
    <undo index="4" exp="area" ref3D="1" dr="AB$1:AB$1048576" r="Q25" sId="8"/>
    <undo index="2" exp="area" ref3D="1" dr="D$1:D$1048576" r="Q25" sId="8"/>
    <undo index="0" exp="area" ref3D="1" dr="C$1:C$1048576" r="Q25" sId="8"/>
    <undo index="17" exp="area" ref3D="1" dr="AA$1:AA$1048576" r="N25" sId="8"/>
    <undo index="15" exp="area" ref3D="1" dr="D$1:D$1048576" r="N25" sId="8"/>
    <undo index="13" exp="area" ref3D="1" dr="AJ$1:AJ$1048576" r="N25" sId="8"/>
    <undo index="11" exp="area" ref3D="1" dr="C$1:C$1048576" r="N25" sId="8"/>
    <undo index="6" exp="area" ref3D="1" dr="AA$1:AA$1048576" r="N25" sId="8"/>
    <undo index="4" exp="area" ref3D="1" dr="D$1:D$1048576" r="N25" sId="8"/>
    <undo index="2" exp="area" ref3D="1" dr="AJ$1:AJ$1048576" r="N25" sId="8"/>
    <undo index="0" exp="area" ref3D="1" dr="C$1:C$1048576" r="N25" sId="8"/>
    <undo index="11" exp="area" ref3D="1" dr="D$1:D$1048576" r="M25" sId="8"/>
    <undo index="9" exp="area" ref3D="1" dr="AJ$1:AJ$1048576" r="M25" sId="8"/>
    <undo index="7" exp="area" ref3D="1" dr="C$1:C$1048576" r="M25" sId="8"/>
    <undo index="4" exp="area" ref3D="1" dr="D$1:D$1048576" r="M25" sId="8"/>
    <undo index="2" exp="area" ref3D="1" dr="AJ$1:AJ$1048576" r="M25" sId="8"/>
    <undo index="0" exp="area" ref3D="1" dr="C$1:C$1048576" r="M25" sId="8"/>
    <undo index="4" exp="area" ref3D="1" dr="AA$1:AA$1048576" r="J25" sId="8"/>
    <undo index="2" exp="area" ref3D="1" dr="D$1:D$1048576" r="J25" sId="8"/>
    <undo index="0" exp="area" ref3D="1" dr="C$1:C$1048576" r="J25" sId="8"/>
    <undo index="4" exp="area" ref3D="1" dr="X$1:X$1048576" r="I25" sId="8"/>
    <undo index="2" exp="area" ref3D="1" dr="D$1:D$1048576" r="I25" sId="8"/>
    <undo index="0" exp="area" ref3D="1" dr="C$1:C$1048576" r="I25" sId="8"/>
    <undo index="4" exp="area" ref3D="1" dr="V$1:V$1048576" r="F25" sId="8"/>
    <undo index="2" exp="area" ref3D="1" dr="D$1:D$1048576" r="F25" sId="8"/>
    <undo index="0" exp="area" ref3D="1" dr="C$1:C$1048576" r="F25" sId="8"/>
    <undo index="4" exp="area" ref3D="1" dr="U$1:U$1048576" r="E25" sId="8"/>
    <undo index="2" exp="area" ref3D="1" dr="D$1:D$1048576" r="E25" sId="8"/>
    <undo index="0" exp="area" ref3D="1" dr="C$1:C$1048576" r="E25" sId="8"/>
    <undo index="2" exp="area" ref3D="1" dr="D$1:D$1048576" r="D25" sId="8"/>
    <undo index="0" exp="area" ref3D="1" dr="C$1:C$1048576" r="D25" sId="8"/>
    <undo index="4" exp="area" ref3D="1" dr="AB$1:AB$1048576" r="Q24" sId="8"/>
    <undo index="2" exp="area" ref3D="1" dr="D$1:D$1048576" r="Q24" sId="8"/>
    <undo index="0" exp="area" ref3D="1" dr="C$1:C$1048576" r="Q24" sId="8"/>
    <undo index="17" exp="area" ref3D="1" dr="AA$1:AA$1048576" r="N24" sId="8"/>
    <undo index="15" exp="area" ref3D="1" dr="D$1:D$1048576" r="N24" sId="8"/>
    <undo index="13" exp="area" ref3D="1" dr="AJ$1:AJ$1048576" r="N24" sId="8"/>
    <undo index="11" exp="area" ref3D="1" dr="C$1:C$1048576" r="N24" sId="8"/>
    <undo index="6" exp="area" ref3D="1" dr="AA$1:AA$1048576" r="N24" sId="8"/>
    <undo index="4" exp="area" ref3D="1" dr="D$1:D$1048576" r="N24" sId="8"/>
    <undo index="2" exp="area" ref3D="1" dr="AJ$1:AJ$1048576" r="N24" sId="8"/>
    <undo index="0" exp="area" ref3D="1" dr="C$1:C$1048576" r="N24" sId="8"/>
    <undo index="11" exp="area" ref3D="1" dr="D$1:D$1048576" r="M24" sId="8"/>
    <undo index="9" exp="area" ref3D="1" dr="AJ$1:AJ$1048576" r="M24" sId="8"/>
    <undo index="7" exp="area" ref3D="1" dr="C$1:C$1048576" r="M24" sId="8"/>
    <undo index="4" exp="area" ref3D="1" dr="D$1:D$1048576" r="M24" sId="8"/>
    <undo index="2" exp="area" ref3D="1" dr="AJ$1:AJ$1048576" r="M24" sId="8"/>
    <undo index="0" exp="area" ref3D="1" dr="C$1:C$1048576" r="M24" sId="8"/>
    <undo index="4" exp="area" ref3D="1" dr="AA$1:AA$1048576" r="J24" sId="8"/>
    <undo index="2" exp="area" ref3D="1" dr="D$1:D$1048576" r="J24" sId="8"/>
    <undo index="0" exp="area" ref3D="1" dr="C$1:C$1048576" r="J24" sId="8"/>
    <undo index="4" exp="area" ref3D="1" dr="X$1:X$1048576" r="I24" sId="8"/>
    <undo index="2" exp="area" ref3D="1" dr="D$1:D$1048576" r="I24" sId="8"/>
    <undo index="0" exp="area" ref3D="1" dr="C$1:C$1048576" r="I24" sId="8"/>
    <undo index="4" exp="area" ref3D="1" dr="V$1:V$1048576" r="F24" sId="8"/>
    <undo index="2" exp="area" ref3D="1" dr="D$1:D$1048576" r="F24" sId="8"/>
    <undo index="0" exp="area" ref3D="1" dr="C$1:C$1048576" r="F24" sId="8"/>
    <undo index="4" exp="area" ref3D="1" dr="U$1:U$1048576" r="E24" sId="8"/>
    <undo index="2" exp="area" ref3D="1" dr="D$1:D$1048576" r="E24" sId="8"/>
    <undo index="0" exp="area" ref3D="1" dr="C$1:C$1048576" r="E24" sId="8"/>
    <undo index="2" exp="area" ref3D="1" dr="D$1:D$1048576" r="D24" sId="8"/>
    <undo index="0" exp="area" ref3D="1" dr="C$1:C$1048576" r="D24" sId="8"/>
    <undo index="4" exp="area" ref3D="1" dr="AB$1:AB$1048576" r="Q23" sId="8"/>
    <undo index="2" exp="area" ref3D="1" dr="D$1:D$1048576" r="Q23" sId="8"/>
    <undo index="0" exp="area" ref3D="1" dr="C$1:C$1048576" r="Q23" sId="8"/>
    <undo index="17" exp="area" ref3D="1" dr="AA$1:AA$1048576" r="N23" sId="8"/>
    <undo index="15" exp="area" ref3D="1" dr="D$1:D$1048576" r="N23" sId="8"/>
    <undo index="13" exp="area" ref3D="1" dr="AJ$1:AJ$1048576" r="N23" sId="8"/>
    <undo index="11" exp="area" ref3D="1" dr="C$1:C$1048576" r="N23" sId="8"/>
    <undo index="6" exp="area" ref3D="1" dr="AA$1:AA$1048576" r="N23" sId="8"/>
    <undo index="4" exp="area" ref3D="1" dr="D$1:D$1048576" r="N23" sId="8"/>
    <undo index="2" exp="area" ref3D="1" dr="AJ$1:AJ$1048576" r="N23" sId="8"/>
    <undo index="0" exp="area" ref3D="1" dr="C$1:C$1048576" r="N23" sId="8"/>
    <undo index="11" exp="area" ref3D="1" dr="D$1:D$1048576" r="M23" sId="8"/>
    <undo index="9" exp="area" ref3D="1" dr="AJ$1:AJ$1048576" r="M23" sId="8"/>
    <undo index="7" exp="area" ref3D="1" dr="C$1:C$1048576" r="M23" sId="8"/>
    <undo index="4" exp="area" ref3D="1" dr="D$1:D$1048576" r="M23" sId="8"/>
    <undo index="2" exp="area" ref3D="1" dr="AJ$1:AJ$1048576" r="M23" sId="8"/>
    <undo index="0" exp="area" ref3D="1" dr="C$1:C$1048576" r="M23" sId="8"/>
    <undo index="4" exp="area" ref3D="1" dr="AA$1:AA$1048576" r="J23" sId="8"/>
    <undo index="2" exp="area" ref3D="1" dr="D$1:D$1048576" r="J23" sId="8"/>
    <undo index="0" exp="area" ref3D="1" dr="C$1:C$1048576" r="J23" sId="8"/>
    <undo index="4" exp="area" ref3D="1" dr="X$1:X$1048576" r="I23" sId="8"/>
    <undo index="2" exp="area" ref3D="1" dr="D$1:D$1048576" r="I23" sId="8"/>
    <undo index="0" exp="area" ref3D="1" dr="C$1:C$1048576" r="I23" sId="8"/>
    <undo index="4" exp="area" ref3D="1" dr="V$1:V$1048576" r="F23" sId="8"/>
    <undo index="2" exp="area" ref3D="1" dr="D$1:D$1048576" r="F23" sId="8"/>
    <undo index="0" exp="area" ref3D="1" dr="C$1:C$1048576" r="F23" sId="8"/>
    <undo index="4" exp="area" ref3D="1" dr="U$1:U$1048576" r="E23" sId="8"/>
    <undo index="2" exp="area" ref3D="1" dr="D$1:D$1048576" r="E23" sId="8"/>
    <undo index="0" exp="area" ref3D="1" dr="C$1:C$1048576" r="E23" sId="8"/>
    <undo index="2" exp="area" ref3D="1" dr="D$1:D$1048576" r="D23" sId="8"/>
    <undo index="0" exp="area" ref3D="1" dr="C$1:C$1048576" r="D23" sId="8"/>
    <undo index="4" exp="area" ref3D="1" dr="AB$1:AB$1048576" r="Q22" sId="8"/>
    <undo index="2" exp="area" ref3D="1" dr="D$1:D$1048576" r="Q22" sId="8"/>
    <undo index="0" exp="area" ref3D="1" dr="C$1:C$1048576" r="Q22" sId="8"/>
    <undo index="17" exp="area" ref3D="1" dr="AA$1:AA$1048576" r="N22" sId="8"/>
    <undo index="15" exp="area" ref3D="1" dr="D$1:D$1048576" r="N22" sId="8"/>
    <undo index="13" exp="area" ref3D="1" dr="AJ$1:AJ$1048576" r="N22" sId="8"/>
    <undo index="11" exp="area" ref3D="1" dr="C$1:C$1048576" r="N22" sId="8"/>
    <undo index="6" exp="area" ref3D="1" dr="AA$1:AA$1048576" r="N22" sId="8"/>
    <undo index="4" exp="area" ref3D="1" dr="D$1:D$1048576" r="N22" sId="8"/>
    <undo index="2" exp="area" ref3D="1" dr="AJ$1:AJ$1048576" r="N22" sId="8"/>
    <undo index="0" exp="area" ref3D="1" dr="C$1:C$1048576" r="N22" sId="8"/>
    <undo index="11" exp="area" ref3D="1" dr="D$1:D$1048576" r="M22" sId="8"/>
    <undo index="9" exp="area" ref3D="1" dr="AJ$1:AJ$1048576" r="M22" sId="8"/>
    <undo index="7" exp="area" ref3D="1" dr="C$1:C$1048576" r="M22" sId="8"/>
    <undo index="4" exp="area" ref3D="1" dr="D$1:D$1048576" r="M22" sId="8"/>
    <undo index="2" exp="area" ref3D="1" dr="AJ$1:AJ$1048576" r="M22" sId="8"/>
    <undo index="0" exp="area" ref3D="1" dr="C$1:C$1048576" r="M22" sId="8"/>
    <undo index="4" exp="area" ref3D="1" dr="AA$1:AA$1048576" r="J22" sId="8"/>
    <undo index="2" exp="area" ref3D="1" dr="D$1:D$1048576" r="J22" sId="8"/>
    <undo index="0" exp="area" ref3D="1" dr="C$1:C$1048576" r="J22" sId="8"/>
    <undo index="4" exp="area" ref3D="1" dr="X$1:X$1048576" r="I22" sId="8"/>
    <undo index="2" exp="area" ref3D="1" dr="D$1:D$1048576" r="I22" sId="8"/>
    <undo index="0" exp="area" ref3D="1" dr="C$1:C$1048576" r="I22" sId="8"/>
    <undo index="4" exp="area" ref3D="1" dr="V$1:V$1048576" r="F22" sId="8"/>
    <undo index="2" exp="area" ref3D="1" dr="D$1:D$1048576" r="F22" sId="8"/>
    <undo index="0" exp="area" ref3D="1" dr="C$1:C$1048576" r="F22" sId="8"/>
    <undo index="4" exp="area" ref3D="1" dr="U$1:U$1048576" r="E22" sId="8"/>
    <undo index="2" exp="area" ref3D="1" dr="D$1:D$1048576" r="E22" sId="8"/>
    <undo index="0" exp="area" ref3D="1" dr="C$1:C$1048576" r="E22" sId="8"/>
    <undo index="2" exp="area" ref3D="1" dr="D$1:D$1048576" r="D22" sId="8"/>
    <undo index="0" exp="area" ref3D="1" dr="C$1:C$1048576" r="D22" sId="8"/>
    <undo index="4" exp="area" ref3D="1" dr="AB$1:AB$1048576" r="Q21" sId="8"/>
    <undo index="2" exp="area" ref3D="1" dr="D$1:D$1048576" r="Q21" sId="8"/>
    <undo index="0" exp="area" ref3D="1" dr="C$1:C$1048576" r="Q21" sId="8"/>
    <undo index="17" exp="area" ref3D="1" dr="AA$1:AA$1048576" r="N21" sId="8"/>
    <undo index="15" exp="area" ref3D="1" dr="D$1:D$1048576" r="N21" sId="8"/>
    <undo index="13" exp="area" ref3D="1" dr="AJ$1:AJ$1048576" r="N21" sId="8"/>
    <undo index="11" exp="area" ref3D="1" dr="C$1:C$1048576" r="N21" sId="8"/>
    <undo index="6" exp="area" ref3D="1" dr="AA$1:AA$1048576" r="N21" sId="8"/>
    <undo index="4" exp="area" ref3D="1" dr="D$1:D$1048576" r="N21" sId="8"/>
    <undo index="2" exp="area" ref3D="1" dr="AJ$1:AJ$1048576" r="N21" sId="8"/>
    <undo index="0" exp="area" ref3D="1" dr="C$1:C$1048576" r="N21" sId="8"/>
    <undo index="11" exp="area" ref3D="1" dr="D$1:D$1048576" r="M21" sId="8"/>
    <undo index="9" exp="area" ref3D="1" dr="AJ$1:AJ$1048576" r="M21" sId="8"/>
    <undo index="7" exp="area" ref3D="1" dr="C$1:C$1048576" r="M21" sId="8"/>
    <undo index="4" exp="area" ref3D="1" dr="D$1:D$1048576" r="M21" sId="8"/>
    <undo index="2" exp="area" ref3D="1" dr="AJ$1:AJ$1048576" r="M21" sId="8"/>
    <undo index="0" exp="area" ref3D="1" dr="C$1:C$1048576" r="M21" sId="8"/>
    <undo index="4" exp="area" ref3D="1" dr="AA$1:AA$1048576" r="J21" sId="8"/>
    <undo index="2" exp="area" ref3D="1" dr="D$1:D$1048576" r="J21" sId="8"/>
    <undo index="0" exp="area" ref3D="1" dr="C$1:C$1048576" r="J21" sId="8"/>
    <undo index="4" exp="area" ref3D="1" dr="X$1:X$1048576" r="I21" sId="8"/>
    <undo index="2" exp="area" ref3D="1" dr="D$1:D$1048576" r="I21" sId="8"/>
    <undo index="0" exp="area" ref3D="1" dr="C$1:C$1048576" r="I21" sId="8"/>
    <undo index="4" exp="area" ref3D="1" dr="V$1:V$1048576" r="F21" sId="8"/>
    <undo index="2" exp="area" ref3D="1" dr="D$1:D$1048576" r="F21" sId="8"/>
    <undo index="0" exp="area" ref3D="1" dr="C$1:C$1048576" r="F21" sId="8"/>
    <undo index="4" exp="area" ref3D="1" dr="U$1:U$1048576" r="E21" sId="8"/>
    <undo index="2" exp="area" ref3D="1" dr="D$1:D$1048576" r="E21" sId="8"/>
    <undo index="0" exp="area" ref3D="1" dr="C$1:C$1048576" r="E21" sId="8"/>
    <undo index="2" exp="area" ref3D="1" dr="D$1:D$1048576" r="D21" sId="8"/>
    <undo index="0" exp="area" ref3D="1" dr="C$1:C$1048576" r="D21" sId="8"/>
    <undo index="13" exp="area" ref3D="1" dr="AB$1:AB$1048576" r="Q15" sId="8"/>
    <undo index="11" exp="area" ref3D="1" dr="K$1:K$1048576" r="Q15" sId="8"/>
    <undo index="9" exp="area" ref3D="1" dr="C$1:C$1048576" r="Q15" sId="8"/>
    <undo index="4" exp="area" ref3D="1" dr="AB$1:AB$1048576" r="Q15" sId="8"/>
    <undo index="2" exp="area" ref3D="1" dr="H$1:H$1048576" r="Q15" sId="8"/>
    <undo index="0" exp="area" ref3D="1" dr="C$1:C$1048576" r="Q15" sId="8"/>
    <undo index="13" exp="area" ref3D="1" dr="AB$1:AB$1048576" r="Q13" sId="8"/>
    <undo index="11" exp="area" ref3D="1" dr="K$1:K$1048576" r="Q13" sId="8"/>
    <undo index="9" exp="area" ref3D="1" dr="C$1:C$1048576" r="Q13" sId="8"/>
    <undo index="4" exp="area" ref3D="1" dr="AB$1:AB$1048576" r="Q13" sId="8"/>
    <undo index="2" exp="area" ref3D="1" dr="H$1:H$1048576" r="Q13" sId="8"/>
    <undo index="0" exp="area" ref3D="1" dr="C$1:C$1048576" r="Q13" sId="8"/>
    <undo index="13" exp="area" ref3D="1" dr="AB$1:AB$1048576" r="Q12" sId="8"/>
    <undo index="11" exp="area" ref3D="1" dr="K$1:K$1048576" r="Q12" sId="8"/>
    <undo index="9" exp="area" ref3D="1" dr="C$1:C$1048576" r="Q12" sId="8"/>
    <undo index="4" exp="area" ref3D="1" dr="AB$1:AB$1048576" r="Q12" sId="8"/>
    <undo index="2" exp="area" ref3D="1" dr="H$1:H$1048576" r="Q12" sId="8"/>
    <undo index="0" exp="area" ref3D="1" dr="C$1:C$1048576" r="Q12" sId="8"/>
    <undo index="13" exp="area" ref3D="1" dr="AB$1:AB$1048576" r="Q11" sId="8"/>
    <undo index="11" exp="area" ref3D="1" dr="K$1:K$1048576" r="Q11" sId="8"/>
    <undo index="9" exp="area" ref3D="1" dr="C$1:C$1048576" r="Q11" sId="8"/>
    <undo index="4" exp="area" ref3D="1" dr="AB$1:AB$1048576" r="Q11" sId="8"/>
    <undo index="2" exp="area" ref3D="1" dr="H$1:H$1048576" r="Q11" sId="8"/>
    <undo index="0" exp="area" ref3D="1" dr="C$1:C$1048576" r="Q11" sId="8"/>
    <undo index="13" exp="area" ref3D="1" dr="AB$1:AB$1048576" r="Q9" sId="8"/>
    <undo index="11" exp="area" ref3D="1" dr="K$1:K$1048576" r="Q9" sId="8"/>
    <undo index="9" exp="area" ref3D="1" dr="C$1:C$1048576" r="Q9" sId="8"/>
    <undo index="4" exp="area" ref3D="1" dr="AB$1:AB$1048576" r="Q9" sId="8"/>
    <undo index="2" exp="area" ref3D="1" dr="H$1:H$1048576" r="Q9" sId="8"/>
    <undo index="0" exp="area" ref3D="1" dr="C$1:C$1048576" r="Q9" sId="8"/>
    <undo index="13" exp="area" ref3D="1" dr="AB$1:AB$1048576" r="Q8" sId="8"/>
    <undo index="11" exp="area" ref3D="1" dr="K$1:K$1048576" r="Q8" sId="8"/>
    <undo index="9" exp="area" ref3D="1" dr="C$1:C$1048576" r="Q8" sId="8"/>
    <undo index="4" exp="area" ref3D="1" dr="AB$1:AB$1048576" r="Q8" sId="8"/>
    <undo index="2" exp="area" ref3D="1" dr="H$1:H$1048576" r="Q8" sId="8"/>
    <undo index="0" exp="area" ref3D="1" dr="C$1:C$1048576" r="Q8" sId="8"/>
    <undo index="13" exp="area" ref3D="1" dr="AB$1:AB$1048576" r="Q6" sId="8"/>
    <undo index="11" exp="area" ref3D="1" dr="K$1:K$1048576" r="Q6" sId="8"/>
    <undo index="9" exp="area" ref3D="1" dr="C$1:C$1048576" r="Q6" sId="8"/>
    <undo index="4" exp="area" ref3D="1" dr="AB$1:AB$1048576" r="Q6" sId="8"/>
    <undo index="2" exp="area" ref3D="1" dr="H$1:H$1048576" r="Q6" sId="8"/>
    <undo index="0" exp="area" ref3D="1" dr="C$1:C$1048576" r="Q6" sId="8"/>
    <undo index="13" exp="area" ref3D="1" dr="AB$1:AB$1048576" r="Q5" sId="8"/>
    <undo index="11" exp="area" ref3D="1" dr="K$1:K$1048576" r="Q5" sId="8"/>
    <undo index="9" exp="area" ref3D="1" dr="C$1:C$1048576" r="Q5" sId="8"/>
    <undo index="4" exp="area" ref3D="1" dr="AB$1:AB$1048576" r="Q5" sId="8"/>
    <undo index="2" exp="area" ref3D="1" dr="H$1:H$1048576" r="Q5" sId="8"/>
    <undo index="0" exp="area" ref3D="1" dr="C$1:C$1048576" r="Q5" sId="8"/>
    <undo index="13" exp="area" ref3D="1" dr="AB$1:AB$1048576" r="Q4" sId="8"/>
    <undo index="11" exp="area" ref3D="1" dr="K$1:K$1048576" r="Q4" sId="8"/>
    <undo index="9" exp="area" ref3D="1" dr="C$1:C$1048576" r="Q4" sId="8"/>
    <undo index="4" exp="area" ref3D="1" dr="AB$1:AB$1048576" r="Q4" sId="8"/>
    <undo index="2" exp="area" ref3D="1" dr="H$1:H$1048576" r="Q4" sId="8"/>
    <undo index="0" exp="area" ref3D="1" dr="C$1:C$1048576" r="Q4" sId="8"/>
    <undo index="27" exp="area" ref3D="1" dr="K$1:K$1048576" r="M15" sId="8"/>
    <undo index="25" exp="area" ref3D="1" dr="AJ$1:AJ$1048576" r="M15" sId="8"/>
    <undo index="23" exp="area" ref3D="1" dr="C$1:C$1048576" r="M15" sId="8"/>
    <undo index="19" exp="area" ref3D="1" dr="H$1:H$1048576" r="M15" sId="8"/>
    <undo index="17" exp="area" ref3D="1" dr="AJ$1:AJ$1048576" r="M15" sId="8"/>
    <undo index="15" exp="area" ref3D="1" dr="C$1:C$1048576" r="M15" sId="8"/>
    <undo index="11" exp="area" ref3D="1" dr="K$1:K$1048576" r="M15" sId="8"/>
    <undo index="9" exp="area" ref3D="1" dr="AJ$1:AJ$1048576" r="M15" sId="8"/>
    <undo index="7" exp="area" ref3D="1" dr="C$1:C$1048576" r="M15" sId="8"/>
    <undo index="4" exp="area" ref3D="1" dr="H$1:H$1048576" r="M15" sId="8"/>
    <undo index="2" exp="area" ref3D="1" dr="AJ$1:AJ$1048576" r="M15" sId="8"/>
    <undo index="0" exp="area" ref3D="1" dr="C$1:C$1048576" r="M15" sId="8"/>
    <undo index="13" exp="area" ref3D="1" dr="Y$1:Y$1048576" r="J15" sId="8"/>
    <undo index="11" exp="area" ref3D="1" dr="K$1:K$1048576" r="J15" sId="8"/>
    <undo index="9" exp="area" ref3D="1" dr="C$1:C$1048576" r="J15" sId="8"/>
    <undo index="4" exp="area" ref3D="1" dr="Y$1:Y$1048576" r="J15" sId="8"/>
    <undo index="2" exp="area" ref3D="1" dr="H$1:H$1048576" r="J15" sId="8"/>
    <undo index="0" exp="area" ref3D="1" dr="C$1:C$1048576" r="J15" sId="8"/>
    <undo index="13" exp="area" ref3D="1" dr="X$1:X$1048576" r="I15" sId="8"/>
    <undo index="11" exp="area" ref3D="1" dr="K$1:K$1048576" r="I15" sId="8"/>
    <undo index="9" exp="area" ref3D="1" dr="C$1:C$1048576" r="I15" sId="8"/>
    <undo index="4" exp="area" ref3D="1" dr="X$1:X$1048576" r="I15" sId="8"/>
    <undo index="2" exp="area" ref3D="1" dr="H$1:H$1048576" r="I15" sId="8"/>
    <undo index="0" exp="area" ref3D="1" dr="C$1:C$1048576" r="I15" sId="8"/>
    <undo index="13" exp="area" ref3D="1" dr="V$1:V$1048576" r="F15" sId="8"/>
    <undo index="11" exp="area" ref3D="1" dr="K$1:K$1048576" r="F15" sId="8"/>
    <undo index="9" exp="area" ref3D="1" dr="C$1:C$1048576" r="F15" sId="8"/>
    <undo index="4" exp="area" ref3D="1" dr="V$1:V$1048576" r="F15" sId="8"/>
    <undo index="2" exp="area" ref3D="1" dr="H$1:H$1048576" r="F15" sId="8"/>
    <undo index="0" exp="area" ref3D="1" dr="C$1:C$1048576" r="F15" sId="8"/>
    <undo index="13" exp="area" ref3D="1" dr="U$1:U$1048576" r="E15" sId="8"/>
    <undo index="11" exp="area" ref3D="1" dr="K$1:K$1048576" r="E15" sId="8"/>
    <undo index="9" exp="area" ref3D="1" dr="C$1:C$1048576" r="E15" sId="8"/>
    <undo index="4" exp="area" ref3D="1" dr="U$1:U$1048576" r="E15" sId="8"/>
    <undo index="2" exp="area" ref3D="1" dr="H$1:H$1048576" r="E15" sId="8"/>
    <undo index="0" exp="area" ref3D="1" dr="C$1:C$1048576" r="E15" sId="8"/>
    <undo index="7" exp="area" ref3D="1" dr="K$1:K$1048576" r="D15" sId="8"/>
    <undo index="5" exp="area" ref3D="1" dr="C$1:C$1048576" r="D15" sId="8"/>
    <undo index="2" exp="area" ref3D="1" dr="H$1:H$1048576" r="D15" sId="8"/>
    <undo index="0" exp="area" ref3D="1" dr="C$1:C$1048576" r="D15" sId="8"/>
    <undo index="27" exp="area" ref3D="1" dr="K$1:K$1048576" r="M13" sId="8"/>
    <undo index="25" exp="area" ref3D="1" dr="AJ$1:AJ$1048576" r="M13" sId="8"/>
    <undo index="23" exp="area" ref3D="1" dr="C$1:C$1048576" r="M13" sId="8"/>
    <undo index="19" exp="area" ref3D="1" dr="H$1:H$1048576" r="M13" sId="8"/>
    <undo index="17" exp="area" ref3D="1" dr="AJ$1:AJ$1048576" r="M13" sId="8"/>
    <undo index="15" exp="area" ref3D="1" dr="C$1:C$1048576" r="M13" sId="8"/>
    <undo index="11" exp="area" ref3D="1" dr="K$1:K$1048576" r="M13" sId="8"/>
    <undo index="9" exp="area" ref3D="1" dr="AJ$1:AJ$1048576" r="M13" sId="8"/>
    <undo index="7" exp="area" ref3D="1" dr="C$1:C$1048576" r="M13" sId="8"/>
    <undo index="4" exp="area" ref3D="1" dr="H$1:H$1048576" r="M13" sId="8"/>
    <undo index="2" exp="area" ref3D="1" dr="AJ$1:AJ$1048576" r="M13" sId="8"/>
    <undo index="0" exp="area" ref3D="1" dr="C$1:C$1048576" r="M13" sId="8"/>
    <undo index="13" exp="area" ref3D="1" dr="Y$1:Y$1048576" r="J13" sId="8"/>
    <undo index="11" exp="area" ref3D="1" dr="K$1:K$1048576" r="J13" sId="8"/>
    <undo index="9" exp="area" ref3D="1" dr="C$1:C$1048576" r="J13" sId="8"/>
    <undo index="4" exp="area" ref3D="1" dr="Y$1:Y$1048576" r="J13" sId="8"/>
    <undo index="2" exp="area" ref3D="1" dr="H$1:H$1048576" r="J13" sId="8"/>
    <undo index="0" exp="area" ref3D="1" dr="C$1:C$1048576" r="J13" sId="8"/>
    <undo index="13" exp="area" ref3D="1" dr="X$1:X$1048576" r="I13" sId="8"/>
    <undo index="11" exp="area" ref3D="1" dr="K$1:K$1048576" r="I13" sId="8"/>
    <undo index="9" exp="area" ref3D="1" dr="C$1:C$1048576" r="I13" sId="8"/>
    <undo index="4" exp="area" ref3D="1" dr="X$1:X$1048576" r="I13" sId="8"/>
    <undo index="2" exp="area" ref3D="1" dr="H$1:H$1048576" r="I13" sId="8"/>
    <undo index="0" exp="area" ref3D="1" dr="C$1:C$1048576" r="I13" sId="8"/>
    <undo index="13" exp="area" ref3D="1" dr="V$1:V$1048576" r="F13" sId="8"/>
    <undo index="11" exp="area" ref3D="1" dr="K$1:K$1048576" r="F13" sId="8"/>
    <undo index="9" exp="area" ref3D="1" dr="C$1:C$1048576" r="F13" sId="8"/>
    <undo index="4" exp="area" ref3D="1" dr="V$1:V$1048576" r="F13" sId="8"/>
    <undo index="2" exp="area" ref3D="1" dr="H$1:H$1048576" r="F13" sId="8"/>
    <undo index="0" exp="area" ref3D="1" dr="C$1:C$1048576" r="F13" sId="8"/>
    <undo index="13" exp="area" ref3D="1" dr="U$1:U$1048576" r="E13" sId="8"/>
    <undo index="11" exp="area" ref3D="1" dr="K$1:K$1048576" r="E13" sId="8"/>
    <undo index="9" exp="area" ref3D="1" dr="C$1:C$1048576" r="E13" sId="8"/>
    <undo index="4" exp="area" ref3D="1" dr="U$1:U$1048576" r="E13" sId="8"/>
    <undo index="2" exp="area" ref3D="1" dr="H$1:H$1048576" r="E13" sId="8"/>
    <undo index="0" exp="area" ref3D="1" dr="C$1:C$1048576" r="E13" sId="8"/>
    <undo index="7" exp="area" ref3D="1" dr="K$1:K$1048576" r="D13" sId="8"/>
    <undo index="5" exp="area" ref3D="1" dr="C$1:C$1048576" r="D13" sId="8"/>
    <undo index="2" exp="area" ref3D="1" dr="H$1:H$1048576" r="D13" sId="8"/>
    <undo index="0" exp="area" ref3D="1" dr="C$1:C$1048576" r="D13" sId="8"/>
    <undo index="27" exp="area" ref3D="1" dr="K$1:K$1048576" r="M12" sId="8"/>
    <undo index="25" exp="area" ref3D="1" dr="AJ$1:AJ$1048576" r="M12" sId="8"/>
    <undo index="23" exp="area" ref3D="1" dr="C$1:C$1048576" r="M12" sId="8"/>
    <undo index="19" exp="area" ref3D="1" dr="H$1:H$1048576" r="M12" sId="8"/>
    <undo index="17" exp="area" ref3D="1" dr="AJ$1:AJ$1048576" r="M12" sId="8"/>
    <undo index="15" exp="area" ref3D="1" dr="C$1:C$1048576" r="M12" sId="8"/>
    <undo index="11" exp="area" ref3D="1" dr="K$1:K$1048576" r="M12" sId="8"/>
    <undo index="9" exp="area" ref3D="1" dr="AJ$1:AJ$1048576" r="M12" sId="8"/>
    <undo index="7" exp="area" ref3D="1" dr="C$1:C$1048576" r="M12" sId="8"/>
    <undo index="4" exp="area" ref3D="1" dr="H$1:H$1048576" r="M12" sId="8"/>
    <undo index="2" exp="area" ref3D="1" dr="AJ$1:AJ$1048576" r="M12" sId="8"/>
    <undo index="0" exp="area" ref3D="1" dr="C$1:C$1048576" r="M12" sId="8"/>
    <undo index="13" exp="area" ref3D="1" dr="Y$1:Y$1048576" r="J12" sId="8"/>
    <undo index="11" exp="area" ref3D="1" dr="K$1:K$1048576" r="J12" sId="8"/>
    <undo index="9" exp="area" ref3D="1" dr="C$1:C$1048576" r="J12" sId="8"/>
    <undo index="4" exp="area" ref3D="1" dr="Y$1:Y$1048576" r="J12" sId="8"/>
    <undo index="2" exp="area" ref3D="1" dr="H$1:H$1048576" r="J12" sId="8"/>
    <undo index="0" exp="area" ref3D="1" dr="C$1:C$1048576" r="J12" sId="8"/>
    <undo index="13" exp="area" ref3D="1" dr="X$1:X$1048576" r="I12" sId="8"/>
    <undo index="11" exp="area" ref3D="1" dr="K$1:K$1048576" r="I12" sId="8"/>
    <undo index="9" exp="area" ref3D="1" dr="C$1:C$1048576" r="I12" sId="8"/>
    <undo index="4" exp="area" ref3D="1" dr="X$1:X$1048576" r="I12" sId="8"/>
    <undo index="2" exp="area" ref3D="1" dr="H$1:H$1048576" r="I12" sId="8"/>
    <undo index="0" exp="area" ref3D="1" dr="C$1:C$1048576" r="I12" sId="8"/>
    <undo index="13" exp="area" ref3D="1" dr="V$1:V$1048576" r="F12" sId="8"/>
    <undo index="11" exp="area" ref3D="1" dr="K$1:K$1048576" r="F12" sId="8"/>
    <undo index="9" exp="area" ref3D="1" dr="C$1:C$1048576" r="F12" sId="8"/>
    <undo index="4" exp="area" ref3D="1" dr="V$1:V$1048576" r="F12" sId="8"/>
    <undo index="2" exp="area" ref3D="1" dr="H$1:H$1048576" r="F12" sId="8"/>
    <undo index="0" exp="area" ref3D="1" dr="C$1:C$1048576" r="F12" sId="8"/>
    <undo index="13" exp="area" ref3D="1" dr="U$1:U$1048576" r="E12" sId="8"/>
    <undo index="11" exp="area" ref3D="1" dr="K$1:K$1048576" r="E12" sId="8"/>
    <undo index="9" exp="area" ref3D="1" dr="C$1:C$1048576" r="E12" sId="8"/>
    <undo index="4" exp="area" ref3D="1" dr="U$1:U$1048576" r="E12" sId="8"/>
    <undo index="2" exp="area" ref3D="1" dr="H$1:H$1048576" r="E12" sId="8"/>
    <undo index="0" exp="area" ref3D="1" dr="C$1:C$1048576" r="E12" sId="8"/>
    <undo index="7" exp="area" ref3D="1" dr="K$1:K$1048576" r="D12" sId="8"/>
    <undo index="5" exp="area" ref3D="1" dr="C$1:C$1048576" r="D12" sId="8"/>
    <undo index="2" exp="area" ref3D="1" dr="H$1:H$1048576" r="D12" sId="8"/>
    <undo index="0" exp="area" ref3D="1" dr="C$1:C$1048576" r="D12" sId="8"/>
    <undo index="27" exp="area" ref3D="1" dr="K$1:K$1048576" r="M11" sId="8"/>
    <undo index="25" exp="area" ref3D="1" dr="AJ$1:AJ$1048576" r="M11" sId="8"/>
    <undo index="23" exp="area" ref3D="1" dr="C$1:C$1048576" r="M11" sId="8"/>
    <undo index="19" exp="area" ref3D="1" dr="H$1:H$1048576" r="M11" sId="8"/>
    <undo index="17" exp="area" ref3D="1" dr="AJ$1:AJ$1048576" r="M11" sId="8"/>
    <undo index="15" exp="area" ref3D="1" dr="C$1:C$1048576" r="M11" sId="8"/>
    <undo index="11" exp="area" ref3D="1" dr="K$1:K$1048576" r="M11" sId="8"/>
    <undo index="9" exp="area" ref3D="1" dr="AJ$1:AJ$1048576" r="M11" sId="8"/>
    <undo index="7" exp="area" ref3D="1" dr="C$1:C$1048576" r="M11" sId="8"/>
    <undo index="4" exp="area" ref3D="1" dr="H$1:H$1048576" r="M11" sId="8"/>
    <undo index="2" exp="area" ref3D="1" dr="AJ$1:AJ$1048576" r="M11" sId="8"/>
    <undo index="0" exp="area" ref3D="1" dr="C$1:C$1048576" r="M11" sId="8"/>
    <undo index="13" exp="area" ref3D="1" dr="Y$1:Y$1048576" r="J11" sId="8"/>
    <undo index="11" exp="area" ref3D="1" dr="K$1:K$1048576" r="J11" sId="8"/>
    <undo index="9" exp="area" ref3D="1" dr="C$1:C$1048576" r="J11" sId="8"/>
    <undo index="4" exp="area" ref3D="1" dr="Y$1:Y$1048576" r="J11" sId="8"/>
    <undo index="2" exp="area" ref3D="1" dr="H$1:H$1048576" r="J11" sId="8"/>
    <undo index="0" exp="area" ref3D="1" dr="C$1:C$1048576" r="J11" sId="8"/>
    <undo index="13" exp="area" ref3D="1" dr="X$1:X$1048576" r="I11" sId="8"/>
    <undo index="11" exp="area" ref3D="1" dr="K$1:K$1048576" r="I11" sId="8"/>
    <undo index="9" exp="area" ref3D="1" dr="C$1:C$1048576" r="I11" sId="8"/>
    <undo index="4" exp="area" ref3D="1" dr="X$1:X$1048576" r="I11" sId="8"/>
    <undo index="2" exp="area" ref3D="1" dr="H$1:H$1048576" r="I11" sId="8"/>
    <undo index="0" exp="area" ref3D="1" dr="C$1:C$1048576" r="I11" sId="8"/>
    <undo index="13" exp="area" ref3D="1" dr="V$1:V$1048576" r="F11" sId="8"/>
    <undo index="11" exp="area" ref3D="1" dr="K$1:K$1048576" r="F11" sId="8"/>
    <undo index="9" exp="area" ref3D="1" dr="C$1:C$1048576" r="F11" sId="8"/>
    <undo index="4" exp="area" ref3D="1" dr="V$1:V$1048576" r="F11" sId="8"/>
    <undo index="2" exp="area" ref3D="1" dr="H$1:H$1048576" r="F11" sId="8"/>
    <undo index="0" exp="area" ref3D="1" dr="C$1:C$1048576" r="F11" sId="8"/>
    <undo index="13" exp="area" ref3D="1" dr="U$1:U$1048576" r="E11" sId="8"/>
    <undo index="11" exp="area" ref3D="1" dr="K$1:K$1048576" r="E11" sId="8"/>
    <undo index="9" exp="area" ref3D="1" dr="C$1:C$1048576" r="E11" sId="8"/>
    <undo index="4" exp="area" ref3D="1" dr="U$1:U$1048576" r="E11" sId="8"/>
    <undo index="2" exp="area" ref3D="1" dr="H$1:H$1048576" r="E11" sId="8"/>
    <undo index="0" exp="area" ref3D="1" dr="C$1:C$1048576" r="E11" sId="8"/>
    <undo index="7" exp="area" ref3D="1" dr="K$1:K$1048576" r="D11" sId="8"/>
    <undo index="5" exp="area" ref3D="1" dr="C$1:C$1048576" r="D11" sId="8"/>
    <undo index="2" exp="area" ref3D="1" dr="H$1:H$1048576" r="D11" sId="8"/>
    <undo index="0" exp="area" ref3D="1" dr="C$1:C$1048576" r="D11" sId="8"/>
    <undo index="27" exp="area" ref3D="1" dr="K$1:K$1048576" r="M9" sId="8"/>
    <undo index="25" exp="area" ref3D="1" dr="AJ$1:AJ$1048576" r="M9" sId="8"/>
    <undo index="23" exp="area" ref3D="1" dr="C$1:C$1048576" r="M9" sId="8"/>
    <undo index="19" exp="area" ref3D="1" dr="H$1:H$1048576" r="M9" sId="8"/>
    <undo index="17" exp="area" ref3D="1" dr="AJ$1:AJ$1048576" r="M9" sId="8"/>
    <undo index="15" exp="area" ref3D="1" dr="C$1:C$1048576" r="M9" sId="8"/>
    <undo index="11" exp="area" ref3D="1" dr="K$1:K$1048576" r="M9" sId="8"/>
    <undo index="9" exp="area" ref3D="1" dr="AJ$1:AJ$1048576" r="M9" sId="8"/>
    <undo index="7" exp="area" ref3D="1" dr="C$1:C$1048576" r="M9" sId="8"/>
    <undo index="4" exp="area" ref3D="1" dr="H$1:H$1048576" r="M9" sId="8"/>
    <undo index="2" exp="area" ref3D="1" dr="AJ$1:AJ$1048576" r="M9" sId="8"/>
    <undo index="0" exp="area" ref3D="1" dr="C$1:C$1048576" r="M9" sId="8"/>
    <undo index="13" exp="area" ref3D="1" dr="Y$1:Y$1048576" r="J9" sId="8"/>
    <undo index="11" exp="area" ref3D="1" dr="K$1:K$1048576" r="J9" sId="8"/>
    <undo index="9" exp="area" ref3D="1" dr="C$1:C$1048576" r="J9" sId="8"/>
    <undo index="4" exp="area" ref3D="1" dr="Y$1:Y$1048576" r="J9" sId="8"/>
    <undo index="2" exp="area" ref3D="1" dr="H$1:H$1048576" r="J9" sId="8"/>
    <undo index="0" exp="area" ref3D="1" dr="C$1:C$1048576" r="J9" sId="8"/>
    <undo index="13" exp="area" ref3D="1" dr="X$1:X$1048576" r="I9" sId="8"/>
    <undo index="11" exp="area" ref3D="1" dr="K$1:K$1048576" r="I9" sId="8"/>
    <undo index="9" exp="area" ref3D="1" dr="C$1:C$1048576" r="I9" sId="8"/>
    <undo index="4" exp="area" ref3D="1" dr="X$1:X$1048576" r="I9" sId="8"/>
    <undo index="2" exp="area" ref3D="1" dr="H$1:H$1048576" r="I9" sId="8"/>
    <undo index="0" exp="area" ref3D="1" dr="C$1:C$1048576" r="I9" sId="8"/>
    <undo index="13" exp="area" ref3D="1" dr="V$1:V$1048576" r="F9" sId="8"/>
    <undo index="11" exp="area" ref3D="1" dr="K$1:K$1048576" r="F9" sId="8"/>
    <undo index="9" exp="area" ref3D="1" dr="C$1:C$1048576" r="F9" sId="8"/>
    <undo index="4" exp="area" ref3D="1" dr="V$1:V$1048576" r="F9" sId="8"/>
    <undo index="2" exp="area" ref3D="1" dr="H$1:H$1048576" r="F9" sId="8"/>
    <undo index="0" exp="area" ref3D="1" dr="C$1:C$1048576" r="F9" sId="8"/>
    <undo index="13" exp="area" ref3D="1" dr="U$1:U$1048576" r="E9" sId="8"/>
    <undo index="11" exp="area" ref3D="1" dr="K$1:K$1048576" r="E9" sId="8"/>
    <undo index="9" exp="area" ref3D="1" dr="C$1:C$1048576" r="E9" sId="8"/>
    <undo index="4" exp="area" ref3D="1" dr="U$1:U$1048576" r="E9" sId="8"/>
    <undo index="2" exp="area" ref3D="1" dr="H$1:H$1048576" r="E9" sId="8"/>
    <undo index="0" exp="area" ref3D="1" dr="C$1:C$1048576" r="E9" sId="8"/>
    <undo index="7" exp="area" ref3D="1" dr="K$1:K$1048576" r="D9" sId="8"/>
    <undo index="5" exp="area" ref3D="1" dr="C$1:C$1048576" r="D9" sId="8"/>
    <undo index="2" exp="area" ref3D="1" dr="H$1:H$1048576" r="D9" sId="8"/>
    <undo index="0" exp="area" ref3D="1" dr="C$1:C$1048576" r="D9" sId="8"/>
    <undo index="27" exp="area" ref3D="1" dr="K$1:K$1048576" r="M8" sId="8"/>
    <undo index="25" exp="area" ref3D="1" dr="AJ$1:AJ$1048576" r="M8" sId="8"/>
    <undo index="23" exp="area" ref3D="1" dr="C$1:C$1048576" r="M8" sId="8"/>
    <undo index="19" exp="area" ref3D="1" dr="H$1:H$1048576" r="M8" sId="8"/>
    <undo index="17" exp="area" ref3D="1" dr="AJ$1:AJ$1048576" r="M8" sId="8"/>
    <undo index="15" exp="area" ref3D="1" dr="C$1:C$1048576" r="M8" sId="8"/>
    <undo index="11" exp="area" ref3D="1" dr="K$1:K$1048576" r="M8" sId="8"/>
    <undo index="9" exp="area" ref3D="1" dr="AJ$1:AJ$1048576" r="M8" sId="8"/>
    <undo index="7" exp="area" ref3D="1" dr="C$1:C$1048576" r="M8" sId="8"/>
    <undo index="4" exp="area" ref3D="1" dr="H$1:H$1048576" r="M8" sId="8"/>
    <undo index="2" exp="area" ref3D="1" dr="AJ$1:AJ$1048576" r="M8" sId="8"/>
    <undo index="0" exp="area" ref3D="1" dr="C$1:C$1048576" r="M8" sId="8"/>
    <undo index="13" exp="area" ref3D="1" dr="Y$1:Y$1048576" r="J8" sId="8"/>
    <undo index="11" exp="area" ref3D="1" dr="K$1:K$1048576" r="J8" sId="8"/>
    <undo index="9" exp="area" ref3D="1" dr="C$1:C$1048576" r="J8" sId="8"/>
    <undo index="4" exp="area" ref3D="1" dr="Y$1:Y$1048576" r="J8" sId="8"/>
    <undo index="2" exp="area" ref3D="1" dr="H$1:H$1048576" r="J8" sId="8"/>
    <undo index="0" exp="area" ref3D="1" dr="C$1:C$1048576" r="J8" sId="8"/>
    <undo index="13" exp="area" ref3D="1" dr="X$1:X$1048576" r="I8" sId="8"/>
    <undo index="11" exp="area" ref3D="1" dr="K$1:K$1048576" r="I8" sId="8"/>
    <undo index="9" exp="area" ref3D="1" dr="C$1:C$1048576" r="I8" sId="8"/>
    <undo index="4" exp="area" ref3D="1" dr="X$1:X$1048576" r="I8" sId="8"/>
    <undo index="2" exp="area" ref3D="1" dr="H$1:H$1048576" r="I8" sId="8"/>
    <undo index="0" exp="area" ref3D="1" dr="C$1:C$1048576" r="I8" sId="8"/>
    <undo index="13" exp="area" ref3D="1" dr="V$1:V$1048576" r="F8" sId="8"/>
    <undo index="11" exp="area" ref3D="1" dr="K$1:K$1048576" r="F8" sId="8"/>
    <undo index="9" exp="area" ref3D="1" dr="C$1:C$1048576" r="F8" sId="8"/>
    <undo index="4" exp="area" ref3D="1" dr="V$1:V$1048576" r="F8" sId="8"/>
    <undo index="2" exp="area" ref3D="1" dr="H$1:H$1048576" r="F8" sId="8"/>
    <undo index="0" exp="area" ref3D="1" dr="C$1:C$1048576" r="F8" sId="8"/>
    <undo index="13" exp="area" ref3D="1" dr="U$1:U$1048576" r="E8" sId="8"/>
    <undo index="11" exp="area" ref3D="1" dr="K$1:K$1048576" r="E8" sId="8"/>
    <undo index="9" exp="area" ref3D="1" dr="C$1:C$1048576" r="E8" sId="8"/>
    <undo index="4" exp="area" ref3D="1" dr="U$1:U$1048576" r="E8" sId="8"/>
    <undo index="2" exp="area" ref3D="1" dr="H$1:H$1048576" r="E8" sId="8"/>
    <undo index="0" exp="area" ref3D="1" dr="C$1:C$1048576" r="E8" sId="8"/>
    <undo index="7" exp="area" ref3D="1" dr="K$1:K$1048576" r="D8" sId="8"/>
    <undo index="5" exp="area" ref3D="1" dr="C$1:C$1048576" r="D8" sId="8"/>
    <undo index="2" exp="area" ref3D="1" dr="H$1:H$1048576" r="D8" sId="8"/>
    <undo index="0" exp="area" ref3D="1" dr="C$1:C$1048576" r="D8" sId="8"/>
    <undo index="27" exp="area" ref3D="1" dr="K$1:K$1048576" r="M6" sId="8"/>
    <undo index="25" exp="area" ref3D="1" dr="AJ$1:AJ$1048576" r="M6" sId="8"/>
    <undo index="23" exp="area" ref3D="1" dr="C$1:C$1048576" r="M6" sId="8"/>
    <undo index="19" exp="area" ref3D="1" dr="H$1:H$1048576" r="M6" sId="8"/>
    <undo index="17" exp="area" ref3D="1" dr="AJ$1:AJ$1048576" r="M6" sId="8"/>
    <undo index="15" exp="area" ref3D="1" dr="C$1:C$1048576" r="M6" sId="8"/>
    <undo index="11" exp="area" ref3D="1" dr="K$1:K$1048576" r="M6" sId="8"/>
    <undo index="9" exp="area" ref3D="1" dr="AJ$1:AJ$1048576" r="M6" sId="8"/>
    <undo index="7" exp="area" ref3D="1" dr="C$1:C$1048576" r="M6" sId="8"/>
    <undo index="4" exp="area" ref3D="1" dr="H$1:H$1048576" r="M6" sId="8"/>
    <undo index="2" exp="area" ref3D="1" dr="AJ$1:AJ$1048576" r="M6" sId="8"/>
    <undo index="0" exp="area" ref3D="1" dr="C$1:C$1048576" r="M6" sId="8"/>
    <undo index="13" exp="area" ref3D="1" dr="Y$1:Y$1048576" r="J6" sId="8"/>
    <undo index="11" exp="area" ref3D="1" dr="K$1:K$1048576" r="J6" sId="8"/>
    <undo index="9" exp="area" ref3D="1" dr="C$1:C$1048576" r="J6" sId="8"/>
    <undo index="4" exp="area" ref3D="1" dr="Y$1:Y$1048576" r="J6" sId="8"/>
    <undo index="2" exp="area" ref3D="1" dr="H$1:H$1048576" r="J6" sId="8"/>
    <undo index="0" exp="area" ref3D="1" dr="C$1:C$1048576" r="J6" sId="8"/>
    <undo index="13" exp="area" ref3D="1" dr="X$1:X$1048576" r="I6" sId="8"/>
    <undo index="11" exp="area" ref3D="1" dr="K$1:K$1048576" r="I6" sId="8"/>
    <undo index="9" exp="area" ref3D="1" dr="C$1:C$1048576" r="I6" sId="8"/>
    <undo index="4" exp="area" ref3D="1" dr="X$1:X$1048576" r="I6" sId="8"/>
    <undo index="2" exp="area" ref3D="1" dr="H$1:H$1048576" r="I6" sId="8"/>
    <undo index="0" exp="area" ref3D="1" dr="C$1:C$1048576" r="I6" sId="8"/>
    <undo index="13" exp="area" ref3D="1" dr="V$1:V$1048576" r="F6" sId="8"/>
    <undo index="11" exp="area" ref3D="1" dr="K$1:K$1048576" r="F6" sId="8"/>
    <undo index="9" exp="area" ref3D="1" dr="C$1:C$1048576" r="F6" sId="8"/>
    <undo index="4" exp="area" ref3D="1" dr="V$1:V$1048576" r="F6" sId="8"/>
    <undo index="2" exp="area" ref3D="1" dr="H$1:H$1048576" r="F6" sId="8"/>
    <undo index="0" exp="area" ref3D="1" dr="C$1:C$1048576" r="F6" sId="8"/>
    <undo index="13" exp="area" ref3D="1" dr="U$1:U$1048576" r="E6" sId="8"/>
    <undo index="11" exp="area" ref3D="1" dr="K$1:K$1048576" r="E6" sId="8"/>
    <undo index="9" exp="area" ref3D="1" dr="C$1:C$1048576" r="E6" sId="8"/>
    <undo index="4" exp="area" ref3D="1" dr="U$1:U$1048576" r="E6" sId="8"/>
    <undo index="2" exp="area" ref3D="1" dr="H$1:H$1048576" r="E6" sId="8"/>
    <undo index="0" exp="area" ref3D="1" dr="C$1:C$1048576" r="E6" sId="8"/>
    <undo index="7" exp="area" ref3D="1" dr="K$1:K$1048576" r="D6" sId="8"/>
    <undo index="5" exp="area" ref3D="1" dr="C$1:C$1048576" r="D6" sId="8"/>
    <undo index="2" exp="area" ref3D="1" dr="H$1:H$1048576" r="D6" sId="8"/>
    <undo index="0" exp="area" ref3D="1" dr="C$1:C$1048576" r="D6" sId="8"/>
    <undo index="27" exp="area" ref3D="1" dr="K$1:K$1048576" r="M5" sId="8"/>
    <undo index="25" exp="area" ref3D="1" dr="AJ$1:AJ$1048576" r="M5" sId="8"/>
    <undo index="23" exp="area" ref3D="1" dr="C$1:C$1048576" r="M5" sId="8"/>
    <undo index="19" exp="area" ref3D="1" dr="H$1:H$1048576" r="M5" sId="8"/>
    <undo index="17" exp="area" ref3D="1" dr="AJ$1:AJ$1048576" r="M5" sId="8"/>
    <undo index="15" exp="area" ref3D="1" dr="C$1:C$1048576" r="M5" sId="8"/>
    <undo index="11" exp="area" ref3D="1" dr="K$1:K$1048576" r="M5" sId="8"/>
    <undo index="9" exp="area" ref3D="1" dr="AJ$1:AJ$1048576" r="M5" sId="8"/>
    <undo index="7" exp="area" ref3D="1" dr="C$1:C$1048576" r="M5" sId="8"/>
    <undo index="4" exp="area" ref3D="1" dr="H$1:H$1048576" r="M5" sId="8"/>
    <undo index="2" exp="area" ref3D="1" dr="AJ$1:AJ$1048576" r="M5" sId="8"/>
    <undo index="0" exp="area" ref3D="1" dr="C$1:C$1048576" r="M5" sId="8"/>
    <undo index="13" exp="area" ref3D="1" dr="Y$1:Y$1048576" r="J5" sId="8"/>
    <undo index="11" exp="area" ref3D="1" dr="K$1:K$1048576" r="J5" sId="8"/>
    <undo index="9" exp="area" ref3D="1" dr="C$1:C$1048576" r="J5" sId="8"/>
    <undo index="4" exp="area" ref3D="1" dr="Y$1:Y$1048576" r="J5" sId="8"/>
    <undo index="2" exp="area" ref3D="1" dr="H$1:H$1048576" r="J5" sId="8"/>
    <undo index="0" exp="area" ref3D="1" dr="C$1:C$1048576" r="J5" sId="8"/>
    <undo index="13" exp="area" ref3D="1" dr="X$1:X$1048576" r="I5" sId="8"/>
    <undo index="11" exp="area" ref3D="1" dr="K$1:K$1048576" r="I5" sId="8"/>
    <undo index="9" exp="area" ref3D="1" dr="C$1:C$1048576" r="I5" sId="8"/>
    <undo index="4" exp="area" ref3D="1" dr="X$1:X$1048576" r="I5" sId="8"/>
    <undo index="2" exp="area" ref3D="1" dr="H$1:H$1048576" r="I5" sId="8"/>
    <undo index="0" exp="area" ref3D="1" dr="C$1:C$1048576" r="I5" sId="8"/>
    <undo index="13" exp="area" ref3D="1" dr="V$1:V$1048576" r="F5" sId="8"/>
    <undo index="11" exp="area" ref3D="1" dr="K$1:K$1048576" r="F5" sId="8"/>
    <undo index="9" exp="area" ref3D="1" dr="C$1:C$1048576" r="F5" sId="8"/>
    <undo index="4" exp="area" ref3D="1" dr="V$1:V$1048576" r="F5" sId="8"/>
    <undo index="2" exp="area" ref3D="1" dr="H$1:H$1048576" r="F5" sId="8"/>
    <undo index="0" exp="area" ref3D="1" dr="C$1:C$1048576" r="F5" sId="8"/>
    <undo index="13" exp="area" ref3D="1" dr="U$1:U$1048576" r="E5" sId="8"/>
    <undo index="11" exp="area" ref3D="1" dr="K$1:K$1048576" r="E5" sId="8"/>
    <undo index="9" exp="area" ref3D="1" dr="C$1:C$1048576" r="E5" sId="8"/>
    <undo index="4" exp="area" ref3D="1" dr="U$1:U$1048576" r="E5" sId="8"/>
    <undo index="2" exp="area" ref3D="1" dr="H$1:H$1048576" r="E5" sId="8"/>
    <undo index="0" exp="area" ref3D="1" dr="C$1:C$1048576" r="E5" sId="8"/>
    <undo index="7" exp="area" ref3D="1" dr="K$1:K$1048576" r="D5" sId="8"/>
    <undo index="5" exp="area" ref3D="1" dr="C$1:C$1048576" r="D5" sId="8"/>
    <undo index="2" exp="area" ref3D="1" dr="H$1:H$1048576" r="D5" sId="8"/>
    <undo index="0" exp="area" ref3D="1" dr="C$1:C$1048576" r="D5" sId="8"/>
    <undo index="27" exp="area" ref3D="1" dr="K$1:K$1048576" r="M4" sId="8"/>
    <undo index="25" exp="area" ref3D="1" dr="AJ$1:AJ$1048576" r="M4" sId="8"/>
    <undo index="23" exp="area" ref3D="1" dr="C$1:C$1048576" r="M4" sId="8"/>
    <undo index="19" exp="area" ref3D="1" dr="H$1:H$1048576" r="M4" sId="8"/>
    <undo index="17" exp="area" ref3D="1" dr="AJ$1:AJ$1048576" r="M4" sId="8"/>
    <undo index="15" exp="area" ref3D="1" dr="C$1:C$1048576" r="M4" sId="8"/>
    <undo index="11" exp="area" ref3D="1" dr="K$1:K$1048576" r="M4" sId="8"/>
    <undo index="9" exp="area" ref3D="1" dr="AJ$1:AJ$1048576" r="M4" sId="8"/>
    <undo index="7" exp="area" ref3D="1" dr="C$1:C$1048576" r="M4" sId="8"/>
    <undo index="4" exp="area" ref3D="1" dr="H$1:H$1048576" r="M4" sId="8"/>
    <undo index="2" exp="area" ref3D="1" dr="AJ$1:AJ$1048576" r="M4" sId="8"/>
    <undo index="0" exp="area" ref3D="1" dr="C$1:C$1048576" r="M4" sId="8"/>
    <undo index="13" exp="area" ref3D="1" dr="Y$1:Y$1048576" r="J4" sId="8"/>
    <undo index="11" exp="area" ref3D="1" dr="K$1:K$1048576" r="J4" sId="8"/>
    <undo index="9" exp="area" ref3D="1" dr="C$1:C$1048576" r="J4" sId="8"/>
    <undo index="4" exp="area" ref3D="1" dr="Y$1:Y$1048576" r="J4" sId="8"/>
    <undo index="2" exp="area" ref3D="1" dr="H$1:H$1048576" r="J4" sId="8"/>
    <undo index="0" exp="area" ref3D="1" dr="C$1:C$1048576" r="J4" sId="8"/>
    <undo index="13" exp="area" ref3D="1" dr="X$1:X$1048576" r="I4" sId="8"/>
    <undo index="11" exp="area" ref3D="1" dr="K$1:K$1048576" r="I4" sId="8"/>
    <undo index="9" exp="area" ref3D="1" dr="C$1:C$1048576" r="I4" sId="8"/>
    <undo index="4" exp="area" ref3D="1" dr="X$1:X$1048576" r="I4" sId="8"/>
    <undo index="2" exp="area" ref3D="1" dr="H$1:H$1048576" r="I4" sId="8"/>
    <undo index="0" exp="area" ref3D="1" dr="C$1:C$1048576" r="I4" sId="8"/>
    <undo index="13" exp="area" ref3D="1" dr="V$1:V$1048576" r="F4" sId="8"/>
    <undo index="11" exp="area" ref3D="1" dr="K$1:K$1048576" r="F4" sId="8"/>
    <undo index="9" exp="area" ref3D="1" dr="C$1:C$1048576" r="F4" sId="8"/>
    <undo index="4" exp="area" ref3D="1" dr="V$1:V$1048576" r="F4" sId="8"/>
    <undo index="2" exp="area" ref3D="1" dr="H$1:H$1048576" r="F4" sId="8"/>
    <undo index="0" exp="area" ref3D="1" dr="C$1:C$1048576" r="F4" sId="8"/>
    <undo index="13" exp="area" ref3D="1" dr="U$1:U$1048576" r="E4" sId="8"/>
    <undo index="11" exp="area" ref3D="1" dr="K$1:K$1048576" r="E4" sId="8"/>
    <undo index="9" exp="area" ref3D="1" dr="C$1:C$1048576" r="E4" sId="8"/>
    <undo index="4" exp="area" ref3D="1" dr="U$1:U$1048576" r="E4" sId="8"/>
    <undo index="2" exp="area" ref3D="1" dr="H$1:H$1048576" r="E4" sId="8"/>
    <undo index="0" exp="area" ref3D="1" dr="C$1:C$1048576" r="E4" sId="8"/>
    <undo index="7" exp="area" ref3D="1" dr="K$1:K$1048576" r="D4" sId="8"/>
    <undo index="5" exp="area" ref3D="1" dr="C$1:C$1048576" r="D4" sId="8"/>
    <undo index="2" exp="area" ref3D="1" dr="H$1:H$1048576" r="D4" sId="8"/>
    <undo index="0" exp="area" ref3D="1" dr="C$1:C$1048576" r="D4" sId="8"/>
    <undo index="2" exp="area" ref3D="1" dr="AB$1:AB$1048576" r="H10" sId="7"/>
    <undo index="0" exp="area" ref3D="1" dr="C$1:C$1048576" r="H10" sId="7"/>
    <undo index="2" exp="area" ref3D="1" dr="AB$1:AB$1048576" r="G10" sId="7"/>
    <undo index="0" exp="area" ref3D="1" dr="C$1:C$1048576" r="G10" sId="7"/>
    <undo index="2" exp="area" ref3D="1" dr="AB$1:AB$1048576" r="F10" sId="7"/>
    <undo index="0" exp="area" ref3D="1" dr="C$1:C$1048576" r="F10" sId="7"/>
    <undo index="2" exp="area" ref3D="1" dr="AB$1:AB$1048576" r="E10" sId="7"/>
    <undo index="0" exp="area" ref3D="1" dr="C$1:C$1048576" r="E10" sId="7"/>
    <undo index="2" exp="area" ref3D="1" dr="AB$1:AB$1048576" r="D10" sId="7"/>
    <undo index="0" exp="area" ref3D="1" dr="C$1:C$1048576" r="D10" sId="7"/>
    <undo index="10" exp="area" ref3D="1" dr="Y$1:Y$1048576" r="H9" sId="7"/>
    <undo index="8" exp="area" ref3D="1" dr="C$1:C$1048576" r="H9" sId="7"/>
    <undo index="3" exp="area" ref3D="1" dr="X$1:X$1048576" r="H9" sId="7"/>
    <undo index="1" exp="area" ref3D="1" dr="C$1:C$1048576" r="H9" sId="7"/>
    <undo index="10" exp="area" ref3D="1" dr="Y$1:Y$1048576" r="G9" sId="7"/>
    <undo index="8" exp="area" ref3D="1" dr="C$1:C$1048576" r="G9" sId="7"/>
    <undo index="3" exp="area" ref3D="1" dr="X$1:X$1048576" r="G9" sId="7"/>
    <undo index="1" exp="area" ref3D="1" dr="C$1:C$1048576" r="G9" sId="7"/>
    <undo index="10" exp="area" ref3D="1" dr="Y$1:Y$1048576" r="F9" sId="7"/>
    <undo index="8" exp="area" ref3D="1" dr="C$1:C$1048576" r="F9" sId="7"/>
    <undo index="3" exp="area" ref3D="1" dr="X$1:X$1048576" r="F9" sId="7"/>
    <undo index="1" exp="area" ref3D="1" dr="C$1:C$1048576" r="F9" sId="7"/>
    <undo index="10" exp="area" ref3D="1" dr="Y$1:Y$1048576" r="E9" sId="7"/>
    <undo index="8" exp="area" ref3D="1" dr="C$1:C$1048576" r="E9" sId="7"/>
    <undo index="3" exp="area" ref3D="1" dr="X$1:X$1048576" r="E9" sId="7"/>
    <undo index="1" exp="area" ref3D="1" dr="C$1:C$1048576" r="E9" sId="7"/>
    <undo index="10" exp="area" ref3D="1" dr="Y$1:Y$1048576" r="D9" sId="7"/>
    <undo index="8" exp="area" ref3D="1" dr="C$1:C$1048576" r="D9" sId="7"/>
    <undo index="3" exp="area" ref3D="1" dr="X$1:X$1048576" r="D9" sId="7"/>
    <undo index="1" exp="area" ref3D="1" dr="C$1:C$1048576" r="D9" sId="7"/>
    <undo index="2" exp="area" ref3D="1" dr="Y$1:Y$1048576" r="H8" sId="7"/>
    <undo index="0" exp="area" ref3D="1" dr="C$1:C$1048576" r="H8" sId="7"/>
    <undo index="2" exp="area" ref3D="1" dr="Y$1:Y$1048576" r="G8" sId="7"/>
    <undo index="0" exp="area" ref3D="1" dr="C$1:C$1048576" r="G8" sId="7"/>
    <undo index="2" exp="area" ref3D="1" dr="Y$1:Y$1048576" r="F8" sId="7"/>
    <undo index="0" exp="area" ref3D="1" dr="C$1:C$1048576" r="F8" sId="7"/>
    <undo index="2" exp="area" ref3D="1" dr="Y$1:Y$1048576" r="E8" sId="7"/>
    <undo index="0" exp="area" ref3D="1" dr="C$1:C$1048576" r="E8" sId="7"/>
    <undo index="2" exp="area" ref3D="1" dr="Y$1:Y$1048576" r="D8" sId="7"/>
    <undo index="0" exp="area" ref3D="1" dr="C$1:C$1048576" r="D8" sId="7"/>
    <undo index="2" exp="area" ref3D="1" dr="X$1:X$1048576" r="H7" sId="7"/>
    <undo index="0" exp="area" ref3D="1" dr="C$1:C$1048576" r="H7" sId="7"/>
    <undo index="2" exp="area" ref3D="1" dr="X$1:X$1048576" r="G7" sId="7"/>
    <undo index="0" exp="area" ref3D="1" dr="C$1:C$1048576" r="G7" sId="7"/>
    <undo index="2" exp="area" ref3D="1" dr="X$1:X$1048576" r="F7" sId="7"/>
    <undo index="0" exp="area" ref3D="1" dr="C$1:C$1048576" r="F7" sId="7"/>
    <undo index="2" exp="area" ref3D="1" dr="X$1:X$1048576" r="E7" sId="7"/>
    <undo index="0" exp="area" ref3D="1" dr="C$1:C$1048576" r="E7" sId="7"/>
    <undo index="2" exp="area" ref3D="1" dr="X$1:X$1048576" r="D7" sId="7"/>
    <undo index="0" exp="area" ref3D="1" dr="C$1:C$1048576" r="D7" sId="7"/>
    <undo index="10" exp="area" ref3D="1" dr="V$1:V$1048576" r="H6" sId="7"/>
    <undo index="8" exp="area" ref3D="1" dr="C$1:C$1048576" r="H6" sId="7"/>
    <undo index="3" exp="area" ref3D="1" dr="U$1:U$1048576" r="H6" sId="7"/>
    <undo index="1" exp="area" ref3D="1" dr="C$1:C$1048576" r="H6" sId="7"/>
    <undo index="10" exp="area" ref3D="1" dr="V$1:V$1048576" r="G6" sId="7"/>
    <undo index="8" exp="area" ref3D="1" dr="C$1:C$1048576" r="G6" sId="7"/>
    <undo index="3" exp="area" ref3D="1" dr="U$1:U$1048576" r="G6" sId="7"/>
    <undo index="1" exp="area" ref3D="1" dr="C$1:C$1048576" r="G6" sId="7"/>
    <undo index="3" exp="area" ref3D="1" dr="U$1:U$1048576" r="F6" sId="7"/>
    <undo index="1" exp="area" ref3D="1" dr="C$1:C$1048576" r="F6" sId="7"/>
    <undo index="10" exp="area" ref3D="1" dr="V$1:V$1048576" r="E6" sId="7"/>
    <undo index="8" exp="area" ref3D="1" dr="C$1:C$1048576" r="E6" sId="7"/>
    <undo index="3" exp="area" ref3D="1" dr="U$1:U$1048576" r="E6" sId="7"/>
    <undo index="1" exp="area" ref3D="1" dr="C$1:C$1048576" r="E6" sId="7"/>
    <undo index="10" exp="area" ref3D="1" dr="V$1:V$1048576" r="D6" sId="7"/>
    <undo index="8" exp="area" ref3D="1" dr="C$1:C$1048576" r="D6" sId="7"/>
    <undo index="3" exp="area" ref3D="1" dr="U$1:U$1048576" r="D6" sId="7"/>
    <undo index="1" exp="area" ref3D="1" dr="C$1:C$1048576" r="D6" sId="7"/>
    <undo index="2" exp="area" ref3D="1" dr="V$1:V$1048576" r="H5" sId="7"/>
    <undo index="0" exp="area" ref3D="1" dr="C$1:C$1048576" r="H5" sId="7"/>
    <undo index="2" exp="area" ref3D="1" dr="V$1:V$1048576" r="G5" sId="7"/>
    <undo index="0" exp="area" ref3D="1" dr="C$1:C$1048576" r="G5" sId="7"/>
    <undo index="2" exp="area" ref3D="1" dr="V$1:V$1048576" r="F5" sId="7"/>
    <undo index="0" exp="area" ref3D="1" dr="C$1:C$1048576" r="F5" sId="7"/>
    <undo index="2" exp="area" ref3D="1" dr="V$1:V$1048576" r="E5" sId="7"/>
    <undo index="0" exp="area" ref3D="1" dr="C$1:C$1048576" r="E5" sId="7"/>
    <undo index="2" exp="area" ref3D="1" dr="V$1:V$1048576" r="D5" sId="7"/>
    <undo index="0" exp="area" ref3D="1" dr="C$1:C$1048576" r="D5" sId="7"/>
    <undo index="2" exp="area" ref3D="1" dr="U$1:U$1048576" r="H4" sId="7"/>
    <undo index="0" exp="area" ref3D="1" dr="C$1:C$1048576" r="H4" sId="7"/>
    <undo index="2" exp="area" ref3D="1" dr="U$1:U$1048576" r="G4" sId="7"/>
    <undo index="0" exp="area" ref3D="1" dr="C$1:C$1048576" r="G4" sId="7"/>
    <undo index="2" exp="area" ref3D="1" dr="U$1:U$1048576" r="F4" sId="7"/>
    <undo index="0" exp="area" ref3D="1" dr="C$1:C$1048576" r="F4" sId="7"/>
    <undo index="2" exp="area" ref3D="1" dr="U$1:U$1048576" r="E4" sId="7"/>
    <undo index="0" exp="area" ref3D="1" dr="C$1:C$1048576" r="E4" sId="7"/>
    <undo index="2" exp="area" ref3D="1" dr="U$1:U$1048576" r="D4" sId="7"/>
    <undo index="0" exp="area" ref3D="1" dr="C$1:C$1048576" r="D4" sId="7"/>
    <undo index="0" exp="area" ref3D="1" dr="C$1:C$1048576" r="H3" sId="7"/>
    <undo index="0" exp="area" ref3D="1" dr="C$1:C$1048576" r="G3" sId="7"/>
    <undo index="0" exp="area" ref3D="1" dr="C$1:C$1048576" r="F3" sId="7"/>
    <undo index="0" exp="area" ref3D="1" dr="C$1:C$1048576" r="E3" sId="7"/>
    <undo index="0" exp="area" ref3D="1" dr="C$1:C$1048576" r="D3" sId="7"/>
    <undo index="2" exp="area" ref3D="1" dr="$N$1:$AJ$1048576" dn="Z_FB6FFE74_0C5E_48AD_A444_AFDEA41DCEE7_.wvu.Cols" sId="3"/>
    <undo index="1" exp="area" ref3D="1" dr="$AH$1:$AI$1048576" dn="Z_FB6FFE74_0C5E_48AD_A444_AFDEA41DCEE7_.wvu.Cols" sId="3"/>
    <undo index="0" exp="area" ref3D="1" dr="$AQ$1:$AS$1048576" dn="Z_D9487573_9FA2_497E_843A_7FF8258CCFB0_.wvu.Cols" sId="3"/>
    <undo index="2" exp="area" ref3D="1" dr="$AH$1:$AI$1048576" dn="Z_D15C44AF_0188_43AD_85C3_723784A3432F_.wvu.Cols" sId="3"/>
    <undo index="1" exp="area" ref3D="1" dr="$P$1:$T$1048576" dn="Z_D15C44AF_0188_43AD_85C3_723784A3432F_.wvu.Cols" sId="3"/>
    <undo index="4" exp="area" ref3D="1" dr="$AH$1:$AI$1048576" dn="Z_D096FF35_542B_4691_BEFD_FD1E12D459D4_.wvu.Cols" sId="3"/>
    <undo index="2" exp="area" ref3D="1" dr="$P$1:$T$1048576" dn="Z_D096FF35_542B_4691_BEFD_FD1E12D459D4_.wvu.Cols" sId="3"/>
    <undo index="2" exp="area" ref3D="1" dr="$N$1:$AJ$1048576" dn="Z_D07BD0C8_2C09_49D9_B9AE_43882E41A1A1_.wvu.Cols" sId="3"/>
    <undo index="1" exp="area" ref3D="1" dr="$AH$1:$AI$1048576" dn="Z_D07BD0C8_2C09_49D9_B9AE_43882E41A1A1_.wvu.Cols" sId="3"/>
    <undo index="8" exp="area" ref3D="1" dr="$R$1:$S$1048576" dn="Z_CEA4BE4F_081E_4347_B6DC_7D60391B2BEE_.wvu.Cols" sId="3"/>
    <undo index="6" exp="area" ref3D="1" dr="$L$1:$L$1048576" dn="Z_CEA4BE4F_081E_4347_B6DC_7D60391B2BEE_.wvu.Cols" sId="3"/>
    <undo index="4" exp="area" ref3D="1" dr="$I$1:$I$1048576" dn="Z_CEA4BE4F_081E_4347_B6DC_7D60391B2BEE_.wvu.Cols" sId="3"/>
    <undo index="2" exp="area" ref3D="1" dr="$AH$1:$AI$1048576" dn="Z_CEA4BE4F_081E_4347_B6DC_7D60391B2BEE_.wvu.Cols" sId="3"/>
    <undo index="2" exp="area" ref3D="1" dr="$AH$1:$AI$1048576" dn="Z_B32DF6D4_B4FC_4D21_932F_8389C8D7FEB3_.wvu.Cols" sId="3"/>
    <undo index="1" exp="area" ref3D="1" dr="$P$1:$T$1048576" dn="Z_B32DF6D4_B4FC_4D21_932F_8389C8D7FEB3_.wvu.Cols" sId="3"/>
    <undo index="0" exp="area" ref3D="1" dr="$H$1:$T$1048576" dn="Z_9C42C749_E16E_4DC0_991F_1D38A2D3BBE1_.wvu.Cols" sId="3"/>
    <undo index="0" exp="area" ref3D="1" dr="$AH$1:$AI$1048576" dn="Z_8743E475_82A8_40E3_A89F_2D0E584F91E0_.wvu.Cols" sId="3"/>
    <undo index="0" exp="area" ref3D="1" dr="$AH$1:$AI$1048576" dn="Z_8469C684_BE99_40EE_BB9E_2CBDA6F12C64_.wvu.Cols" sId="3"/>
    <undo index="2" exp="area" ref3D="1" dr="$AH$1:$AI$1048576" dn="Z_7AA70812_ECD5_46F1_9429_36F5BE8AAEE9_.wvu.Cols" sId="3"/>
    <undo index="1" exp="area" ref3D="1" dr="$H$1:$AD$1048576" dn="Z_7AA70812_ECD5_46F1_9429_36F5BE8AAEE9_.wvu.Cols" sId="3"/>
    <undo index="0" exp="area" ref3D="1" dr="$AQ$1:$AS$1048576" dn="Z_707CEF9F_EED6_45AD_A30A_C07C3CF5D13E_.wvu.Cols" sId="3"/>
    <undo index="2" exp="area" ref3D="1" dr="$AH$1:$AI$1048576" dn="Z_53F47E00_189D_4661_B9AF_1164B563763A_.wvu.Cols" sId="3"/>
    <undo index="1" exp="area" ref3D="1" dr="$H$1:$AD$1048576" dn="Z_53F47E00_189D_4661_B9AF_1164B563763A_.wvu.Cols" sId="3"/>
    <undo index="0" exp="area" ref3D="1" dr="$AQ$1:$AS$1048576" dn="Z_4F87B191_53F3_42C1_9336_83B180F7078E_.wvu.Cols" sId="3"/>
    <undo index="0" exp="area" ref3D="1" dr="$AQ$1:$AS$1048576" dn="Z_2D2FCC89_2534_40CD_805E_03DAE79152F6_.wvu.Cols" sId="3"/>
    <undo index="2" exp="area" ref3D="1" dr="$N$1:$AJ$1048576" dn="Z_29BBA2BD_61C8_4425_A2CE_5D8CF2C4358E_.wvu.Cols" sId="3"/>
    <undo index="1" exp="area" ref3D="1" dr="$AH$1:$AI$1048576" dn="Z_29BBA2BD_61C8_4425_A2CE_5D8CF2C4358E_.wvu.Cols" sId="3"/>
    <undo index="2" exp="area" ref3D="1" dr="$AQ$1:$AS$1048576" dn="Z_124A8991_0BD8_45C5_BD34_63CBDC6C6248_.wvu.Cols" sId="3"/>
    <undo index="1" exp="area" ref3D="1" dr="$AH$1:$AI$1048576" dn="Z_124A8991_0BD8_45C5_BD34_63CBDC6C6248_.wvu.Cols" sId="3"/>
  </rrc>
  <rcc rId="808" sId="3">
    <nc r="C2" t="inlineStr">
      <is>
        <t>PRM 안</t>
        <phoneticPr fontId="0" type="noConversion"/>
      </is>
    </nc>
  </rcc>
  <rfmt sheetId="3" sqref="C2 C6 C43 C46 C48 C50 C53 C55:C56 C58 C60:C61 C64:C72 C74:C78 C82 C84:C85 C88 C90:C92 C95:C96 C98 C102:C103">
    <dxf>
      <fill>
        <patternFill>
          <bgColor rgb="FFFFFF00"/>
        </patternFill>
      </fill>
    </dxf>
  </rfmt>
  <rcv guid="{8743E475-82A8-40E3-A89F-2D0E584F91E0}" action="delete"/>
  <rdn rId="0" localSheetId="1" customView="1" name="Z_8743E475_82A8_40E3_A89F_2D0E584F91E0_.wvu.PrintArea" hidden="1" oldHidden="1">
    <formula>'개정 이력'!$A$1:$G$27</formula>
    <oldFormula>'개정 이력'!$A$1:$G$27</oldFormula>
  </rdn>
  <rdn rId="0" localSheetId="3" customView="1" name="Z_8743E475_82A8_40E3_A89F_2D0E584F91E0_.wvu.Cols" hidden="1" oldHidden="1">
    <formula>'Interface 현황 List'!$AI:$AJ</formula>
    <oldFormula>'Interface 현황 List'!$AI:$AJ</oldFormula>
  </rdn>
  <rdn rId="0" localSheetId="3" customView="1" name="Z_8743E475_82A8_40E3_A89F_2D0E584F91E0_.wvu.FilterData" hidden="1" oldHidden="1">
    <formula>'Interface 현황 List'!$A$2:$AQ$104</formula>
    <oldFormula>'Interface 현황 List'!$A$2:$AQ$104</oldFormula>
  </rdn>
  <rcv guid="{8743E475-82A8-40E3-A89F-2D0E584F91E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812" sheetId="9" name="[Able CnC_Interface List_v1.0_20200312_운영시스템 연결_PRM.xlsx]Sheet3" sheetPosition="3"/>
  <rcc rId="813" sId="9" odxf="1" dxf="1" numFmtId="19">
    <nc r="A1">
      <v>44302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1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4" sId="9" odxf="1" dxf="1">
    <nc r="C1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5" sId="9" odxf="1" dxf="1">
    <nc r="D1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6" sId="9" odxf="1" dxf="1" quotePrefix="1">
    <nc r="E1" t="inlineStr">
      <is>
        <t>SD0010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7" sId="9" odxf="1" dxf="1">
    <nc r="F1" t="inlineStr">
      <is>
        <t>거래처,매장,납품처 마스터 IF송신(ERP-&gt;PRM)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18" sId="9" odxf="1" dxf="1" numFmtId="19">
    <nc r="A2">
      <v>44305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2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9" sId="9" odxf="1" dxf="1">
    <nc r="C2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" sId="9" odxf="1" dxf="1">
    <nc r="D2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" sId="9" odxf="1" dxf="1" quotePrefix="1">
    <nc r="E2" t="inlineStr">
      <is>
        <t>SD0020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9" odxf="1" dxf="1">
    <nc r="F2" t="inlineStr">
      <is>
        <t>매장별 영업사원 정보 IF송신(ERP-&gt;PRM)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9" odxf="1" dxf="1" numFmtId="19">
    <nc r="A3">
      <v>44307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3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9" odxf="1" dxf="1">
    <nc r="C3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" sId="9" odxf="1" dxf="1">
    <nc r="D3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" sId="9" odxf="1" dxf="1" quotePrefix="1">
    <nc r="E3" t="inlineStr">
      <is>
        <t>SD0030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" sId="9" odxf="1" dxf="1">
    <nc r="F3" t="inlineStr">
      <is>
        <t>가격정보_공급가_공급율,수수료율(ERP-&gt;PRM)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" sId="9" odxf="1" dxf="1" numFmtId="19">
    <nc r="A4">
      <v>44305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4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" sId="9" odxf="1" dxf="1">
    <nc r="C4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" sId="9" odxf="1" dxf="1">
    <nc r="D4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" sId="9" odxf="1" dxf="1" quotePrefix="1">
    <nc r="E4" t="inlineStr">
      <is>
        <t>SD0040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" sId="9" odxf="1" dxf="1">
    <nc r="F4" t="inlineStr">
      <is>
        <t>자재마스터 IF송신(ERP-&gt;PRM)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" sId="9" odxf="1" dxf="1" numFmtId="19">
    <nc r="A5">
      <v>44312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5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" sId="9" odxf="1" dxf="1">
    <nc r="C5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" sId="9" odxf="1" dxf="1">
    <nc r="D5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" sId="9" odxf="1" dxf="1" quotePrefix="1">
    <nc r="E5" t="inlineStr">
      <is>
        <t>SD0050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" sId="9" odxf="1" dxf="1">
    <nc r="F5" t="inlineStr">
      <is>
        <t>허용제외 마스터 IF송신(ERP-&gt;PRM)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" sId="9" odxf="1" dxf="1" numFmtId="19">
    <nc r="A6">
      <v>44312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6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" sId="9" odxf="1" dxf="1">
    <nc r="C6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" sId="9" odxf="1" dxf="1">
    <nc r="D6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" sId="9" odxf="1" dxf="1" quotePrefix="1">
    <nc r="E6" t="inlineStr">
      <is>
        <t>SD0080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" sId="9" odxf="1" dxf="1">
    <nc r="F6" t="inlineStr">
      <is>
        <t>프로모션계획 IF송신(ERP-&gt;PRM)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" sId="9" odxf="1" dxf="1" numFmtId="19">
    <nc r="A7">
      <v>44302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7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" sId="9" odxf="1" dxf="1">
    <nc r="C7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" sId="9" odxf="1" dxf="1">
    <nc r="D7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" sId="9" odxf="1" dxf="1" quotePrefix="1">
    <nc r="E7" t="inlineStr">
      <is>
        <t>SD0360</t>
        <phoneticPr fontId="0" type="noConversion"/>
      </is>
    </nc>
    <odxf>
      <font>
        <b val="0"/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9"/>
        <color rgb="FF0070C0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" sId="9" odxf="1" dxf="1">
    <nc r="F7" t="inlineStr">
      <is>
        <t>매장별 가상계좌 정보 송신(SAP-&gt;PRM)</t>
        <phoneticPr fontId="0" type="noConversion"/>
      </is>
    </nc>
    <odxf>
      <font>
        <b val="0"/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b/>
        <sz val="9"/>
        <color rgb="FF0070C0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" sId="9" odxf="1" dxf="1" numFmtId="19">
    <nc r="A8">
      <v>44301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8" start="0" length="0">
    <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9" sId="9" odxf="1" dxf="1">
    <nc r="C8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" sId="9" odxf="1" dxf="1">
    <nc r="D8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1" sId="9" odxf="1" dxf="1" quotePrefix="1">
    <nc r="E8" t="inlineStr">
      <is>
        <t>SD0440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" sId="9" odxf="1" dxf="1">
    <nc r="F8" t="inlineStr">
      <is>
        <t>배송조 요일 관리 정보 송신 (SAP → 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3" sId="9" odxf="1" dxf="1" numFmtId="19">
    <nc r="A9">
      <v>44301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9" start="0" length="0">
    <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4" sId="9" odxf="1" dxf="1">
    <nc r="C9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5" sId="9" odxf="1" dxf="1">
    <nc r="D9" t="inlineStr">
      <is>
        <t>PRM</t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" sId="9" odxf="1" dxf="1" quotePrefix="1">
    <nc r="E9" t="inlineStr">
      <is>
        <t>SD0460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" sId="9" odxf="1" dxf="1">
    <nc r="F9" t="inlineStr">
      <is>
        <t>매장별 대체 배송일 정보 송신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8" sId="9" odxf="1" dxf="1" numFmtId="19">
    <nc r="A10">
      <v>44312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B10" start="0" length="0">
    <dxf>
      <font>
        <sz val="9"/>
        <color auto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9" sId="9" odxf="1" dxf="1">
    <nc r="C10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" sId="9" odxf="1" dxf="1">
    <nc r="D10" t="inlineStr">
      <is>
        <t>PRM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1" sId="9" odxf="1" dxf="1" quotePrefix="1">
    <nc r="E10" t="inlineStr">
      <is>
        <t>SD0510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2" sId="9" odxf="1" dxf="1">
    <nc r="F10" t="inlineStr">
      <is>
        <t>월간 판매계획 I/F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863" sId="9" ref="B1:B1048576" action="insertCol"/>
  <rcc rId="864" sId="9" numFmtId="19">
    <nc r="B1">
      <v>44305</v>
    </nc>
  </rcc>
  <rcc rId="865" sId="9" numFmtId="19">
    <nc r="B8">
      <v>44305</v>
    </nc>
  </rcc>
  <rcc rId="866" sId="9" numFmtId="19">
    <nc r="B7">
      <v>44306</v>
    </nc>
  </rcc>
  <rcc rId="867" sId="9" numFmtId="19">
    <nc r="B4">
      <v>44306</v>
    </nc>
  </rcc>
  <rcc rId="868" sId="9" numFmtId="19">
    <nc r="B9">
      <v>44306</v>
    </nc>
  </rcc>
  <rcc rId="869" sId="9" odxf="1" dxf="1" numFmtId="19">
    <nc r="A11">
      <v>44316</v>
    </nc>
    <odxf>
      <font>
        <sz val="11"/>
        <color theme="1"/>
        <name val="맑은 고딕"/>
        <family val="2"/>
        <charset val="129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C11" start="0" length="0">
    <dxf>
      <font>
        <sz val="9"/>
        <color theme="1"/>
        <name val="맑은 고딕"/>
        <family val="3"/>
        <charset val="129"/>
        <scheme val="major"/>
      </font>
      <numFmt numFmtId="178" formatCode="mm&quot;월&quot;\ dd&quot;일&quot;"/>
      <fill>
        <patternFill patternType="solid">
          <bgColor rgb="FFFFFF0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0" sId="9" odxf="1" dxf="1">
    <nc r="D11" t="inlineStr">
      <is>
        <t>SD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auto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E11" start="0" length="0">
    <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1" sId="9" odxf="1" dxf="1" quotePrefix="1">
    <nc r="F11" t="inlineStr">
      <is>
        <t>SD0060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righ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2" sId="9" odxf="1" dxf="1">
    <nc r="G11" t="inlineStr">
      <is>
        <t>주문 BOM Interface 송신(ERP → PRM)</t>
        <phoneticPr fontId="0" type="noConversion"/>
      </is>
    </nc>
    <odxf>
      <font>
        <sz val="11"/>
        <color theme="1"/>
        <name val="맑은 고딕"/>
        <family val="2"/>
        <charset val="129"/>
        <scheme val="minor"/>
      </font>
      <alignment horizontal="general" vertical="center"/>
      <border outline="0">
        <left/>
        <top/>
        <bottom/>
      </border>
    </odxf>
    <ndxf>
      <font>
        <sz val="9"/>
        <color theme="1"/>
        <name val="맑은 고딕"/>
        <family val="3"/>
        <charset val="129"/>
        <scheme val="minor"/>
      </font>
      <alignment horizontal="left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3" sId="9">
    <nc r="E11" t="inlineStr">
      <is>
        <t>PRM</t>
        <phoneticPr fontId="0" type="noConversion"/>
      </is>
    </nc>
  </rcc>
  <rfmt sheetId="9" sqref="B11" start="0" length="0">
    <dxf>
      <numFmt numFmtId="178" formatCode="mm&quot;월&quot;\ dd&quot;일&quot;"/>
    </dxf>
  </rfmt>
  <rfmt sheetId="9" sqref="B11" start="0" length="0">
    <dxf>
      <font>
        <sz val="9"/>
        <color auto="1"/>
        <name val="맑은 고딕"/>
        <family val="3"/>
        <charset val="129"/>
        <scheme val="maj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4" sId="9" numFmtId="19">
    <nc r="B11">
      <v>44330</v>
    </nc>
  </rcc>
  <rcc rId="875" sId="9" numFmtId="19">
    <nc r="B2">
      <v>44307</v>
    </nc>
  </rcc>
  <rfmt sheetId="3" sqref="B6" start="0" length="0">
    <dxf>
      <font>
        <sz val="9"/>
        <color auto="1"/>
        <family val="3"/>
      </font>
      <numFmt numFmtId="178" formatCode="mm&quot;월&quot;\ dd&quot;일&quot;"/>
    </dxf>
  </rfmt>
  <rdn rId="0" localSheetId="1" customView="1" name="Z_94F6EF88_F3F3_4147_A0A6_D7D872310F87_.wvu.PrintArea" hidden="1" oldHidden="1">
    <formula>'개정 이력'!$A$1:$G$27</formula>
  </rdn>
  <rdn rId="0" localSheetId="3" customView="1" name="Z_94F6EF88_F3F3_4147_A0A6_D7D872310F87_.wvu.Cols" hidden="1" oldHidden="1">
    <formula>'Interface 현황 List'!$AI:$AJ</formula>
  </rdn>
  <rdn rId="0" localSheetId="3" customView="1" name="Z_94F6EF88_F3F3_4147_A0A6_D7D872310F87_.wvu.FilterData" hidden="1" oldHidden="1">
    <formula>'Interface 현황 List'!$A$2:$AQ$104</formula>
  </rdn>
  <rcv guid="{94F6EF88-F3F3-4147-A0A6-D7D872310F8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9" sId="3" ref="C1:C1048576" action="insertCol">
    <undo index="65535" exp="area" ref3D="1" dr="AC$1:AC$1048576" r="Q30" sId="8"/>
    <undo index="65535" exp="area" ref3D="1" dr="E$1:E$1048576" r="Q30" sId="8"/>
    <undo index="0" exp="area" ref3D="1" dr="D$1:D$1048576" r="Q30" sId="8"/>
    <undo index="65535" exp="area" ref3D="1" dr="AB$1:AB$1048576" r="N30" sId="8"/>
    <undo index="65535" exp="area" ref3D="1" dr="E$1:E$1048576" r="N30" sId="8"/>
    <undo index="65535" exp="area" ref3D="1" dr="AK$1:AK$1048576" r="N30" sId="8"/>
    <undo index="11" exp="area" ref3D="1" dr="D$1:D$1048576" r="N30" sId="8"/>
    <undo index="65535" exp="area" ref3D="1" dr="AB$1:AB$1048576" r="N30" sId="8"/>
    <undo index="65535" exp="area" ref3D="1" dr="E$1:E$1048576" r="N30" sId="8"/>
    <undo index="65535" exp="area" ref3D="1" dr="AK$1:AK$1048576" r="N30" sId="8"/>
    <undo index="0" exp="area" ref3D="1" dr="D$1:D$1048576" r="N30" sId="8"/>
    <undo index="65535" exp="area" ref3D="1" dr="E$1:E$1048576" r="M30" sId="8"/>
    <undo index="65535" exp="area" ref3D="1" dr="AK$1:AK$1048576" r="M30" sId="8"/>
    <undo index="7" exp="area" ref3D="1" dr="D$1:D$1048576" r="M30" sId="8"/>
    <undo index="65535" exp="area" ref3D="1" dr="E$1:E$1048576" r="M30" sId="8"/>
    <undo index="65535" exp="area" ref3D="1" dr="AK$1:AK$1048576" r="M30" sId="8"/>
    <undo index="0" exp="area" ref3D="1" dr="D$1:D$1048576" r="M30" sId="8"/>
    <undo index="65535" exp="area" ref3D="1" dr="AB$1:AB$1048576" r="J30" sId="8"/>
    <undo index="65535" exp="area" ref3D="1" dr="E$1:E$1048576" r="J30" sId="8"/>
    <undo index="0" exp="area" ref3D="1" dr="D$1:D$1048576" r="J30" sId="8"/>
    <undo index="65535" exp="area" ref3D="1" dr="Y$1:Y$1048576" r="I30" sId="8"/>
    <undo index="65535" exp="area" ref3D="1" dr="E$1:E$1048576" r="I30" sId="8"/>
    <undo index="0" exp="area" ref3D="1" dr="D$1:D$1048576" r="I30" sId="8"/>
    <undo index="65535" exp="area" ref3D="1" dr="W$1:W$1048576" r="F30" sId="8"/>
    <undo index="65535" exp="area" ref3D="1" dr="E$1:E$1048576" r="F30" sId="8"/>
    <undo index="0" exp="area" ref3D="1" dr="D$1:D$1048576" r="F30" sId="8"/>
    <undo index="65535" exp="area" ref3D="1" dr="V$1:V$1048576" r="E30" sId="8"/>
    <undo index="65535" exp="area" ref3D="1" dr="E$1:E$1048576" r="E30" sId="8"/>
    <undo index="0" exp="area" ref3D="1" dr="D$1:D$1048576" r="E30" sId="8"/>
    <undo index="65535" exp="area" ref3D="1" dr="E$1:E$1048576" r="D30" sId="8"/>
    <undo index="0" exp="area" ref3D="1" dr="D$1:D$1048576" r="D30" sId="8"/>
    <undo index="65535" exp="area" ref3D="1" dr="AC$1:AC$1048576" r="Q29" sId="8"/>
    <undo index="65535" exp="area" ref3D="1" dr="E$1:E$1048576" r="Q29" sId="8"/>
    <undo index="0" exp="area" ref3D="1" dr="D$1:D$1048576" r="Q29" sId="8"/>
    <undo index="65535" exp="area" ref3D="1" dr="AB$1:AB$1048576" r="N29" sId="8"/>
    <undo index="65535" exp="area" ref3D="1" dr="E$1:E$1048576" r="N29" sId="8"/>
    <undo index="65535" exp="area" ref3D="1" dr="AK$1:AK$1048576" r="N29" sId="8"/>
    <undo index="11" exp="area" ref3D="1" dr="D$1:D$1048576" r="N29" sId="8"/>
    <undo index="65535" exp="area" ref3D="1" dr="AB$1:AB$1048576" r="N29" sId="8"/>
    <undo index="65535" exp="area" ref3D="1" dr="E$1:E$1048576" r="N29" sId="8"/>
    <undo index="65535" exp="area" ref3D="1" dr="AK$1:AK$1048576" r="N29" sId="8"/>
    <undo index="0" exp="area" ref3D="1" dr="D$1:D$1048576" r="N29" sId="8"/>
    <undo index="65535" exp="area" ref3D="1" dr="E$1:E$1048576" r="M29" sId="8"/>
    <undo index="65535" exp="area" ref3D="1" dr="AK$1:AK$1048576" r="M29" sId="8"/>
    <undo index="7" exp="area" ref3D="1" dr="D$1:D$1048576" r="M29" sId="8"/>
    <undo index="65535" exp="area" ref3D="1" dr="E$1:E$1048576" r="M29" sId="8"/>
    <undo index="65535" exp="area" ref3D="1" dr="AK$1:AK$1048576" r="M29" sId="8"/>
    <undo index="0" exp="area" ref3D="1" dr="D$1:D$1048576" r="M29" sId="8"/>
    <undo index="65535" exp="area" ref3D="1" dr="AB$1:AB$1048576" r="J29" sId="8"/>
    <undo index="65535" exp="area" ref3D="1" dr="E$1:E$1048576" r="J29" sId="8"/>
    <undo index="0" exp="area" ref3D="1" dr="D$1:D$1048576" r="J29" sId="8"/>
    <undo index="65535" exp="area" ref3D="1" dr="Y$1:Y$1048576" r="I29" sId="8"/>
    <undo index="65535" exp="area" ref3D="1" dr="E$1:E$1048576" r="I29" sId="8"/>
    <undo index="0" exp="area" ref3D="1" dr="D$1:D$1048576" r="I29" sId="8"/>
    <undo index="65535" exp="area" ref3D="1" dr="W$1:W$1048576" r="F29" sId="8"/>
    <undo index="65535" exp="area" ref3D="1" dr="E$1:E$1048576" r="F29" sId="8"/>
    <undo index="0" exp="area" ref3D="1" dr="D$1:D$1048576" r="F29" sId="8"/>
    <undo index="65535" exp="area" ref3D="1" dr="V$1:V$1048576" r="E29" sId="8"/>
    <undo index="65535" exp="area" ref3D="1" dr="E$1:E$1048576" r="E29" sId="8"/>
    <undo index="0" exp="area" ref3D="1" dr="D$1:D$1048576" r="E29" sId="8"/>
    <undo index="65535" exp="area" ref3D="1" dr="E$1:E$1048576" r="D29" sId="8"/>
    <undo index="0" exp="area" ref3D="1" dr="D$1:D$1048576" r="D29" sId="8"/>
    <undo index="65535" exp="area" ref3D="1" dr="AC$1:AC$1048576" r="Q28" sId="8"/>
    <undo index="65535" exp="area" ref3D="1" dr="E$1:E$1048576" r="Q28" sId="8"/>
    <undo index="0" exp="area" ref3D="1" dr="D$1:D$1048576" r="Q28" sId="8"/>
    <undo index="65535" exp="area" ref3D="1" dr="AB$1:AB$1048576" r="N28" sId="8"/>
    <undo index="65535" exp="area" ref3D="1" dr="E$1:E$1048576" r="N28" sId="8"/>
    <undo index="65535" exp="area" ref3D="1" dr="AK$1:AK$1048576" r="N28" sId="8"/>
    <undo index="11" exp="area" ref3D="1" dr="D$1:D$1048576" r="N28" sId="8"/>
    <undo index="65535" exp="area" ref3D="1" dr="AB$1:AB$1048576" r="N28" sId="8"/>
    <undo index="65535" exp="area" ref3D="1" dr="E$1:E$1048576" r="N28" sId="8"/>
    <undo index="65535" exp="area" ref3D="1" dr="AK$1:AK$1048576" r="N28" sId="8"/>
    <undo index="0" exp="area" ref3D="1" dr="D$1:D$1048576" r="N28" sId="8"/>
    <undo index="65535" exp="area" ref3D="1" dr="E$1:E$1048576" r="M28" sId="8"/>
    <undo index="65535" exp="area" ref3D="1" dr="AK$1:AK$1048576" r="M28" sId="8"/>
    <undo index="7" exp="area" ref3D="1" dr="D$1:D$1048576" r="M28" sId="8"/>
    <undo index="65535" exp="area" ref3D="1" dr="E$1:E$1048576" r="M28" sId="8"/>
    <undo index="65535" exp="area" ref3D="1" dr="AK$1:AK$1048576" r="M28" sId="8"/>
    <undo index="0" exp="area" ref3D="1" dr="D$1:D$1048576" r="M28" sId="8"/>
    <undo index="65535" exp="area" ref3D="1" dr="AB$1:AB$1048576" r="J28" sId="8"/>
    <undo index="65535" exp="area" ref3D="1" dr="E$1:E$1048576" r="J28" sId="8"/>
    <undo index="0" exp="area" ref3D="1" dr="D$1:D$1048576" r="J28" sId="8"/>
    <undo index="65535" exp="area" ref3D="1" dr="Y$1:Y$1048576" r="I28" sId="8"/>
    <undo index="65535" exp="area" ref3D="1" dr="E$1:E$1048576" r="I28" sId="8"/>
    <undo index="0" exp="area" ref3D="1" dr="D$1:D$1048576" r="I28" sId="8"/>
    <undo index="65535" exp="area" ref3D="1" dr="W$1:W$1048576" r="F28" sId="8"/>
    <undo index="65535" exp="area" ref3D="1" dr="E$1:E$1048576" r="F28" sId="8"/>
    <undo index="0" exp="area" ref3D="1" dr="D$1:D$1048576" r="F28" sId="8"/>
    <undo index="65535" exp="area" ref3D="1" dr="V$1:V$1048576" r="E28" sId="8"/>
    <undo index="65535" exp="area" ref3D="1" dr="E$1:E$1048576" r="E28" sId="8"/>
    <undo index="0" exp="area" ref3D="1" dr="D$1:D$1048576" r="E28" sId="8"/>
    <undo index="65535" exp="area" ref3D="1" dr="E$1:E$1048576" r="D28" sId="8"/>
    <undo index="0" exp="area" ref3D="1" dr="D$1:D$1048576" r="D28" sId="8"/>
    <undo index="65535" exp="area" ref3D="1" dr="AC$1:AC$1048576" r="Q27" sId="8"/>
    <undo index="65535" exp="area" ref3D="1" dr="E$1:E$1048576" r="Q27" sId="8"/>
    <undo index="0" exp="area" ref3D="1" dr="D$1:D$1048576" r="Q27" sId="8"/>
    <undo index="65535" exp="area" ref3D="1" dr="AB$1:AB$1048576" r="N27" sId="8"/>
    <undo index="65535" exp="area" ref3D="1" dr="E$1:E$1048576" r="N27" sId="8"/>
    <undo index="65535" exp="area" ref3D="1" dr="AK$1:AK$1048576" r="N27" sId="8"/>
    <undo index="11" exp="area" ref3D="1" dr="D$1:D$1048576" r="N27" sId="8"/>
    <undo index="65535" exp="area" ref3D="1" dr="AB$1:AB$1048576" r="N27" sId="8"/>
    <undo index="65535" exp="area" ref3D="1" dr="E$1:E$1048576" r="N27" sId="8"/>
    <undo index="65535" exp="area" ref3D="1" dr="AK$1:AK$1048576" r="N27" sId="8"/>
    <undo index="0" exp="area" ref3D="1" dr="D$1:D$1048576" r="N27" sId="8"/>
    <undo index="65535" exp="area" ref3D="1" dr="E$1:E$1048576" r="M27" sId="8"/>
    <undo index="65535" exp="area" ref3D="1" dr="AK$1:AK$1048576" r="M27" sId="8"/>
    <undo index="7" exp="area" ref3D="1" dr="D$1:D$1048576" r="M27" sId="8"/>
    <undo index="65535" exp="area" ref3D="1" dr="E$1:E$1048576" r="M27" sId="8"/>
    <undo index="65535" exp="area" ref3D="1" dr="AK$1:AK$1048576" r="M27" sId="8"/>
    <undo index="0" exp="area" ref3D="1" dr="D$1:D$1048576" r="M27" sId="8"/>
    <undo index="65535" exp="area" ref3D="1" dr="AB$1:AB$1048576" r="J27" sId="8"/>
    <undo index="65535" exp="area" ref3D="1" dr="E$1:E$1048576" r="J27" sId="8"/>
    <undo index="0" exp="area" ref3D="1" dr="D$1:D$1048576" r="J27" sId="8"/>
    <undo index="65535" exp="area" ref3D="1" dr="Y$1:Y$1048576" r="I27" sId="8"/>
    <undo index="65535" exp="area" ref3D="1" dr="E$1:E$1048576" r="I27" sId="8"/>
    <undo index="0" exp="area" ref3D="1" dr="D$1:D$1048576" r="I27" sId="8"/>
    <undo index="65535" exp="area" ref3D="1" dr="W$1:W$1048576" r="F27" sId="8"/>
    <undo index="65535" exp="area" ref3D="1" dr="E$1:E$1048576" r="F27" sId="8"/>
    <undo index="0" exp="area" ref3D="1" dr="D$1:D$1048576" r="F27" sId="8"/>
    <undo index="65535" exp="area" ref3D="1" dr="V$1:V$1048576" r="E27" sId="8"/>
    <undo index="65535" exp="area" ref3D="1" dr="E$1:E$1048576" r="E27" sId="8"/>
    <undo index="0" exp="area" ref3D="1" dr="D$1:D$1048576" r="E27" sId="8"/>
    <undo index="65535" exp="area" ref3D="1" dr="E$1:E$1048576" r="D27" sId="8"/>
    <undo index="0" exp="area" ref3D="1" dr="D$1:D$1048576" r="D27" sId="8"/>
    <undo index="65535" exp="area" ref3D="1" dr="AC$1:AC$1048576" r="Q26" sId="8"/>
    <undo index="65535" exp="area" ref3D="1" dr="E$1:E$1048576" r="Q26" sId="8"/>
    <undo index="0" exp="area" ref3D="1" dr="D$1:D$1048576" r="Q26" sId="8"/>
    <undo index="65535" exp="area" ref3D="1" dr="AB$1:AB$1048576" r="N26" sId="8"/>
    <undo index="65535" exp="area" ref3D="1" dr="E$1:E$1048576" r="N26" sId="8"/>
    <undo index="65535" exp="area" ref3D="1" dr="AK$1:AK$1048576" r="N26" sId="8"/>
    <undo index="11" exp="area" ref3D="1" dr="D$1:D$1048576" r="N26" sId="8"/>
    <undo index="65535" exp="area" ref3D="1" dr="AB$1:AB$1048576" r="N26" sId="8"/>
    <undo index="65535" exp="area" ref3D="1" dr="E$1:E$1048576" r="N26" sId="8"/>
    <undo index="65535" exp="area" ref3D="1" dr="AK$1:AK$1048576" r="N26" sId="8"/>
    <undo index="0" exp="area" ref3D="1" dr="D$1:D$1048576" r="N26" sId="8"/>
    <undo index="65535" exp="area" ref3D="1" dr="E$1:E$1048576" r="M26" sId="8"/>
    <undo index="65535" exp="area" ref3D="1" dr="AK$1:AK$1048576" r="M26" sId="8"/>
    <undo index="7" exp="area" ref3D="1" dr="D$1:D$1048576" r="M26" sId="8"/>
    <undo index="65535" exp="area" ref3D="1" dr="E$1:E$1048576" r="M26" sId="8"/>
    <undo index="65535" exp="area" ref3D="1" dr="AK$1:AK$1048576" r="M26" sId="8"/>
    <undo index="0" exp="area" ref3D="1" dr="D$1:D$1048576" r="M26" sId="8"/>
    <undo index="65535" exp="area" ref3D="1" dr="AB$1:AB$1048576" r="J26" sId="8"/>
    <undo index="65535" exp="area" ref3D="1" dr="E$1:E$1048576" r="J26" sId="8"/>
    <undo index="0" exp="area" ref3D="1" dr="D$1:D$1048576" r="J26" sId="8"/>
    <undo index="65535" exp="area" ref3D="1" dr="Y$1:Y$1048576" r="I26" sId="8"/>
    <undo index="65535" exp="area" ref3D="1" dr="E$1:E$1048576" r="I26" sId="8"/>
    <undo index="0" exp="area" ref3D="1" dr="D$1:D$1048576" r="I26" sId="8"/>
    <undo index="65535" exp="area" ref3D="1" dr="W$1:W$1048576" r="F26" sId="8"/>
    <undo index="65535" exp="area" ref3D="1" dr="E$1:E$1048576" r="F26" sId="8"/>
    <undo index="0" exp="area" ref3D="1" dr="D$1:D$1048576" r="F26" sId="8"/>
    <undo index="65535" exp="area" ref3D="1" dr="V$1:V$1048576" r="E26" sId="8"/>
    <undo index="65535" exp="area" ref3D="1" dr="E$1:E$1048576" r="E26" sId="8"/>
    <undo index="0" exp="area" ref3D="1" dr="D$1:D$1048576" r="E26" sId="8"/>
    <undo index="65535" exp="area" ref3D="1" dr="E$1:E$1048576" r="D26" sId="8"/>
    <undo index="0" exp="area" ref3D="1" dr="D$1:D$1048576" r="D26" sId="8"/>
    <undo index="65535" exp="area" ref3D="1" dr="AC$1:AC$1048576" r="Q25" sId="8"/>
    <undo index="65535" exp="area" ref3D="1" dr="E$1:E$1048576" r="Q25" sId="8"/>
    <undo index="0" exp="area" ref3D="1" dr="D$1:D$1048576" r="Q25" sId="8"/>
    <undo index="65535" exp="area" ref3D="1" dr="AB$1:AB$1048576" r="N25" sId="8"/>
    <undo index="65535" exp="area" ref3D="1" dr="E$1:E$1048576" r="N25" sId="8"/>
    <undo index="65535" exp="area" ref3D="1" dr="AK$1:AK$1048576" r="N25" sId="8"/>
    <undo index="11" exp="area" ref3D="1" dr="D$1:D$1048576" r="N25" sId="8"/>
    <undo index="65535" exp="area" ref3D="1" dr="AB$1:AB$1048576" r="N25" sId="8"/>
    <undo index="65535" exp="area" ref3D="1" dr="E$1:E$1048576" r="N25" sId="8"/>
    <undo index="65535" exp="area" ref3D="1" dr="AK$1:AK$1048576" r="N25" sId="8"/>
    <undo index="0" exp="area" ref3D="1" dr="D$1:D$1048576" r="N25" sId="8"/>
    <undo index="65535" exp="area" ref3D="1" dr="E$1:E$1048576" r="M25" sId="8"/>
    <undo index="65535" exp="area" ref3D="1" dr="AK$1:AK$1048576" r="M25" sId="8"/>
    <undo index="7" exp="area" ref3D="1" dr="D$1:D$1048576" r="M25" sId="8"/>
    <undo index="65535" exp="area" ref3D="1" dr="E$1:E$1048576" r="M25" sId="8"/>
    <undo index="65535" exp="area" ref3D="1" dr="AK$1:AK$1048576" r="M25" sId="8"/>
    <undo index="0" exp="area" ref3D="1" dr="D$1:D$1048576" r="M25" sId="8"/>
    <undo index="65535" exp="area" ref3D="1" dr="AB$1:AB$1048576" r="J25" sId="8"/>
    <undo index="65535" exp="area" ref3D="1" dr="E$1:E$1048576" r="J25" sId="8"/>
    <undo index="0" exp="area" ref3D="1" dr="D$1:D$1048576" r="J25" sId="8"/>
    <undo index="65535" exp="area" ref3D="1" dr="Y$1:Y$1048576" r="I25" sId="8"/>
    <undo index="65535" exp="area" ref3D="1" dr="E$1:E$1048576" r="I25" sId="8"/>
    <undo index="0" exp="area" ref3D="1" dr="D$1:D$1048576" r="I25" sId="8"/>
    <undo index="65535" exp="area" ref3D="1" dr="W$1:W$1048576" r="F25" sId="8"/>
    <undo index="65535" exp="area" ref3D="1" dr="E$1:E$1048576" r="F25" sId="8"/>
    <undo index="0" exp="area" ref3D="1" dr="D$1:D$1048576" r="F25" sId="8"/>
    <undo index="65535" exp="area" ref3D="1" dr="V$1:V$1048576" r="E25" sId="8"/>
    <undo index="65535" exp="area" ref3D="1" dr="E$1:E$1048576" r="E25" sId="8"/>
    <undo index="0" exp="area" ref3D="1" dr="D$1:D$1048576" r="E25" sId="8"/>
    <undo index="65535" exp="area" ref3D="1" dr="E$1:E$1048576" r="D25" sId="8"/>
    <undo index="0" exp="area" ref3D="1" dr="D$1:D$1048576" r="D25" sId="8"/>
    <undo index="65535" exp="area" ref3D="1" dr="AC$1:AC$1048576" r="Q24" sId="8"/>
    <undo index="65535" exp="area" ref3D="1" dr="E$1:E$1048576" r="Q24" sId="8"/>
    <undo index="0" exp="area" ref3D="1" dr="D$1:D$1048576" r="Q24" sId="8"/>
    <undo index="65535" exp="area" ref3D="1" dr="AB$1:AB$1048576" r="N24" sId="8"/>
    <undo index="65535" exp="area" ref3D="1" dr="E$1:E$1048576" r="N24" sId="8"/>
    <undo index="65535" exp="area" ref3D="1" dr="AK$1:AK$1048576" r="N24" sId="8"/>
    <undo index="11" exp="area" ref3D="1" dr="D$1:D$1048576" r="N24" sId="8"/>
    <undo index="65535" exp="area" ref3D="1" dr="AB$1:AB$1048576" r="N24" sId="8"/>
    <undo index="65535" exp="area" ref3D="1" dr="E$1:E$1048576" r="N24" sId="8"/>
    <undo index="65535" exp="area" ref3D="1" dr="AK$1:AK$1048576" r="N24" sId="8"/>
    <undo index="0" exp="area" ref3D="1" dr="D$1:D$1048576" r="N24" sId="8"/>
    <undo index="65535" exp="area" ref3D="1" dr="E$1:E$1048576" r="M24" sId="8"/>
    <undo index="65535" exp="area" ref3D="1" dr="AK$1:AK$1048576" r="M24" sId="8"/>
    <undo index="7" exp="area" ref3D="1" dr="D$1:D$1048576" r="M24" sId="8"/>
    <undo index="65535" exp="area" ref3D="1" dr="E$1:E$1048576" r="M24" sId="8"/>
    <undo index="65535" exp="area" ref3D="1" dr="AK$1:AK$1048576" r="M24" sId="8"/>
    <undo index="0" exp="area" ref3D="1" dr="D$1:D$1048576" r="M24" sId="8"/>
    <undo index="65535" exp="area" ref3D="1" dr="AB$1:AB$1048576" r="J24" sId="8"/>
    <undo index="65535" exp="area" ref3D="1" dr="E$1:E$1048576" r="J24" sId="8"/>
    <undo index="0" exp="area" ref3D="1" dr="D$1:D$1048576" r="J24" sId="8"/>
    <undo index="65535" exp="area" ref3D="1" dr="Y$1:Y$1048576" r="I24" sId="8"/>
    <undo index="65535" exp="area" ref3D="1" dr="E$1:E$1048576" r="I24" sId="8"/>
    <undo index="0" exp="area" ref3D="1" dr="D$1:D$1048576" r="I24" sId="8"/>
    <undo index="65535" exp="area" ref3D="1" dr="W$1:W$1048576" r="F24" sId="8"/>
    <undo index="65535" exp="area" ref3D="1" dr="E$1:E$1048576" r="F24" sId="8"/>
    <undo index="0" exp="area" ref3D="1" dr="D$1:D$1048576" r="F24" sId="8"/>
    <undo index="65535" exp="area" ref3D="1" dr="V$1:V$1048576" r="E24" sId="8"/>
    <undo index="65535" exp="area" ref3D="1" dr="E$1:E$1048576" r="E24" sId="8"/>
    <undo index="0" exp="area" ref3D="1" dr="D$1:D$1048576" r="E24" sId="8"/>
    <undo index="65535" exp="area" ref3D="1" dr="E$1:E$1048576" r="D24" sId="8"/>
    <undo index="0" exp="area" ref3D="1" dr="D$1:D$1048576" r="D24" sId="8"/>
    <undo index="65535" exp="area" ref3D="1" dr="AC$1:AC$1048576" r="Q23" sId="8"/>
    <undo index="65535" exp="area" ref3D="1" dr="E$1:E$1048576" r="Q23" sId="8"/>
    <undo index="0" exp="area" ref3D="1" dr="D$1:D$1048576" r="Q23" sId="8"/>
    <undo index="65535" exp="area" ref3D="1" dr="AB$1:AB$1048576" r="N23" sId="8"/>
    <undo index="65535" exp="area" ref3D="1" dr="E$1:E$1048576" r="N23" sId="8"/>
    <undo index="65535" exp="area" ref3D="1" dr="AK$1:AK$1048576" r="N23" sId="8"/>
    <undo index="11" exp="area" ref3D="1" dr="D$1:D$1048576" r="N23" sId="8"/>
    <undo index="65535" exp="area" ref3D="1" dr="AB$1:AB$1048576" r="N23" sId="8"/>
    <undo index="65535" exp="area" ref3D="1" dr="E$1:E$1048576" r="N23" sId="8"/>
    <undo index="65535" exp="area" ref3D="1" dr="AK$1:AK$1048576" r="N23" sId="8"/>
    <undo index="0" exp="area" ref3D="1" dr="D$1:D$1048576" r="N23" sId="8"/>
    <undo index="65535" exp="area" ref3D="1" dr="E$1:E$1048576" r="M23" sId="8"/>
    <undo index="65535" exp="area" ref3D="1" dr="AK$1:AK$1048576" r="M23" sId="8"/>
    <undo index="7" exp="area" ref3D="1" dr="D$1:D$1048576" r="M23" sId="8"/>
    <undo index="65535" exp="area" ref3D="1" dr="E$1:E$1048576" r="M23" sId="8"/>
    <undo index="65535" exp="area" ref3D="1" dr="AK$1:AK$1048576" r="M23" sId="8"/>
    <undo index="0" exp="area" ref3D="1" dr="D$1:D$1048576" r="M23" sId="8"/>
    <undo index="65535" exp="area" ref3D="1" dr="AB$1:AB$1048576" r="J23" sId="8"/>
    <undo index="65535" exp="area" ref3D="1" dr="E$1:E$1048576" r="J23" sId="8"/>
    <undo index="0" exp="area" ref3D="1" dr="D$1:D$1048576" r="J23" sId="8"/>
    <undo index="65535" exp="area" ref3D="1" dr="Y$1:Y$1048576" r="I23" sId="8"/>
    <undo index="65535" exp="area" ref3D="1" dr="E$1:E$1048576" r="I23" sId="8"/>
    <undo index="0" exp="area" ref3D="1" dr="D$1:D$1048576" r="I23" sId="8"/>
    <undo index="65535" exp="area" ref3D="1" dr="W$1:W$1048576" r="F23" sId="8"/>
    <undo index="65535" exp="area" ref3D="1" dr="E$1:E$1048576" r="F23" sId="8"/>
    <undo index="0" exp="area" ref3D="1" dr="D$1:D$1048576" r="F23" sId="8"/>
    <undo index="65535" exp="area" ref3D="1" dr="V$1:V$1048576" r="E23" sId="8"/>
    <undo index="65535" exp="area" ref3D="1" dr="E$1:E$1048576" r="E23" sId="8"/>
    <undo index="0" exp="area" ref3D="1" dr="D$1:D$1048576" r="E23" sId="8"/>
    <undo index="65535" exp="area" ref3D="1" dr="E$1:E$1048576" r="D23" sId="8"/>
    <undo index="0" exp="area" ref3D="1" dr="D$1:D$1048576" r="D23" sId="8"/>
    <undo index="65535" exp="area" ref3D="1" dr="AC$1:AC$1048576" r="Q22" sId="8"/>
    <undo index="65535" exp="area" ref3D="1" dr="E$1:E$1048576" r="Q22" sId="8"/>
    <undo index="0" exp="area" ref3D="1" dr="D$1:D$1048576" r="Q22" sId="8"/>
    <undo index="65535" exp="area" ref3D="1" dr="AB$1:AB$1048576" r="N22" sId="8"/>
    <undo index="65535" exp="area" ref3D="1" dr="E$1:E$1048576" r="N22" sId="8"/>
    <undo index="65535" exp="area" ref3D="1" dr="AK$1:AK$1048576" r="N22" sId="8"/>
    <undo index="11" exp="area" ref3D="1" dr="D$1:D$1048576" r="N22" sId="8"/>
    <undo index="65535" exp="area" ref3D="1" dr="AB$1:AB$1048576" r="N22" sId="8"/>
    <undo index="65535" exp="area" ref3D="1" dr="E$1:E$1048576" r="N22" sId="8"/>
    <undo index="65535" exp="area" ref3D="1" dr="AK$1:AK$1048576" r="N22" sId="8"/>
    <undo index="0" exp="area" ref3D="1" dr="D$1:D$1048576" r="N22" sId="8"/>
    <undo index="65535" exp="area" ref3D="1" dr="E$1:E$1048576" r="M22" sId="8"/>
    <undo index="65535" exp="area" ref3D="1" dr="AK$1:AK$1048576" r="M22" sId="8"/>
    <undo index="7" exp="area" ref3D="1" dr="D$1:D$1048576" r="M22" sId="8"/>
    <undo index="65535" exp="area" ref3D="1" dr="E$1:E$1048576" r="M22" sId="8"/>
    <undo index="65535" exp="area" ref3D="1" dr="AK$1:AK$1048576" r="M22" sId="8"/>
    <undo index="0" exp="area" ref3D="1" dr="D$1:D$1048576" r="M22" sId="8"/>
    <undo index="65535" exp="area" ref3D="1" dr="AB$1:AB$1048576" r="J22" sId="8"/>
    <undo index="65535" exp="area" ref3D="1" dr="E$1:E$1048576" r="J22" sId="8"/>
    <undo index="0" exp="area" ref3D="1" dr="D$1:D$1048576" r="J22" sId="8"/>
    <undo index="65535" exp="area" ref3D="1" dr="Y$1:Y$1048576" r="I22" sId="8"/>
    <undo index="65535" exp="area" ref3D="1" dr="E$1:E$1048576" r="I22" sId="8"/>
    <undo index="0" exp="area" ref3D="1" dr="D$1:D$1048576" r="I22" sId="8"/>
    <undo index="65535" exp="area" ref3D="1" dr="W$1:W$1048576" r="F22" sId="8"/>
    <undo index="65535" exp="area" ref3D="1" dr="E$1:E$1048576" r="F22" sId="8"/>
    <undo index="0" exp="area" ref3D="1" dr="D$1:D$1048576" r="F22" sId="8"/>
    <undo index="65535" exp="area" ref3D="1" dr="V$1:V$1048576" r="E22" sId="8"/>
    <undo index="65535" exp="area" ref3D="1" dr="E$1:E$1048576" r="E22" sId="8"/>
    <undo index="0" exp="area" ref3D="1" dr="D$1:D$1048576" r="E22" sId="8"/>
    <undo index="65535" exp="area" ref3D="1" dr="E$1:E$1048576" r="D22" sId="8"/>
    <undo index="0" exp="area" ref3D="1" dr="D$1:D$1048576" r="D22" sId="8"/>
    <undo index="65535" exp="area" ref3D="1" dr="AC$1:AC$1048576" r="Q21" sId="8"/>
    <undo index="65535" exp="area" ref3D="1" dr="E$1:E$1048576" r="Q21" sId="8"/>
    <undo index="0" exp="area" ref3D="1" dr="D$1:D$1048576" r="Q21" sId="8"/>
    <undo index="65535" exp="area" ref3D="1" dr="AB$1:AB$1048576" r="N21" sId="8"/>
    <undo index="65535" exp="area" ref3D="1" dr="E$1:E$1048576" r="N21" sId="8"/>
    <undo index="65535" exp="area" ref3D="1" dr="AK$1:AK$1048576" r="N21" sId="8"/>
    <undo index="11" exp="area" ref3D="1" dr="D$1:D$1048576" r="N21" sId="8"/>
    <undo index="65535" exp="area" ref3D="1" dr="AB$1:AB$1048576" r="N21" sId="8"/>
    <undo index="65535" exp="area" ref3D="1" dr="E$1:E$1048576" r="N21" sId="8"/>
    <undo index="65535" exp="area" ref3D="1" dr="AK$1:AK$1048576" r="N21" sId="8"/>
    <undo index="0" exp="area" ref3D="1" dr="D$1:D$1048576" r="N21" sId="8"/>
    <undo index="65535" exp="area" ref3D="1" dr="E$1:E$1048576" r="M21" sId="8"/>
    <undo index="65535" exp="area" ref3D="1" dr="AK$1:AK$1048576" r="M21" sId="8"/>
    <undo index="7" exp="area" ref3D="1" dr="D$1:D$1048576" r="M21" sId="8"/>
    <undo index="65535" exp="area" ref3D="1" dr="E$1:E$1048576" r="M21" sId="8"/>
    <undo index="65535" exp="area" ref3D="1" dr="AK$1:AK$1048576" r="M21" sId="8"/>
    <undo index="0" exp="area" ref3D="1" dr="D$1:D$1048576" r="M21" sId="8"/>
    <undo index="65535" exp="area" ref3D="1" dr="AB$1:AB$1048576" r="J21" sId="8"/>
    <undo index="65535" exp="area" ref3D="1" dr="E$1:E$1048576" r="J21" sId="8"/>
    <undo index="0" exp="area" ref3D="1" dr="D$1:D$1048576" r="J21" sId="8"/>
    <undo index="65535" exp="area" ref3D="1" dr="Y$1:Y$1048576" r="I21" sId="8"/>
    <undo index="65535" exp="area" ref3D="1" dr="E$1:E$1048576" r="I21" sId="8"/>
    <undo index="0" exp="area" ref3D="1" dr="D$1:D$1048576" r="I21" sId="8"/>
    <undo index="65535" exp="area" ref3D="1" dr="W$1:W$1048576" r="F21" sId="8"/>
    <undo index="65535" exp="area" ref3D="1" dr="E$1:E$1048576" r="F21" sId="8"/>
    <undo index="0" exp="area" ref3D="1" dr="D$1:D$1048576" r="F21" sId="8"/>
    <undo index="65535" exp="area" ref3D="1" dr="V$1:V$1048576" r="E21" sId="8"/>
    <undo index="65535" exp="area" ref3D="1" dr="E$1:E$1048576" r="E21" sId="8"/>
    <undo index="0" exp="area" ref3D="1" dr="D$1:D$1048576" r="E21" sId="8"/>
    <undo index="65535" exp="area" ref3D="1" dr="E$1:E$1048576" r="D21" sId="8"/>
    <undo index="0" exp="area" ref3D="1" dr="D$1:D$1048576" r="D21" sId="8"/>
    <undo index="65535" exp="area" ref3D="1" dr="AC$1:AC$1048576" r="Q15" sId="8"/>
    <undo index="65535" exp="area" ref3D="1" dr="L$1:L$1048576" r="Q15" sId="8"/>
    <undo index="9" exp="area" ref3D="1" dr="D$1:D$1048576" r="Q15" sId="8"/>
    <undo index="65535" exp="area" ref3D="1" dr="AC$1:AC$1048576" r="Q15" sId="8"/>
    <undo index="65535" exp="area" ref3D="1" dr="I$1:I$1048576" r="Q15" sId="8"/>
    <undo index="0" exp="area" ref3D="1" dr="D$1:D$1048576" r="Q15" sId="8"/>
    <undo index="65535" exp="area" ref3D="1" dr="AC$1:AC$1048576" r="Q13" sId="8"/>
    <undo index="65535" exp="area" ref3D="1" dr="L$1:L$1048576" r="Q13" sId="8"/>
    <undo index="9" exp="area" ref3D="1" dr="D$1:D$1048576" r="Q13" sId="8"/>
    <undo index="65535" exp="area" ref3D="1" dr="AC$1:AC$1048576" r="Q13" sId="8"/>
    <undo index="65535" exp="area" ref3D="1" dr="I$1:I$1048576" r="Q13" sId="8"/>
    <undo index="0" exp="area" ref3D="1" dr="D$1:D$1048576" r="Q13" sId="8"/>
    <undo index="65535" exp="area" ref3D="1" dr="AC$1:AC$1048576" r="Q12" sId="8"/>
    <undo index="65535" exp="area" ref3D="1" dr="L$1:L$1048576" r="Q12" sId="8"/>
    <undo index="9" exp="area" ref3D="1" dr="D$1:D$1048576" r="Q12" sId="8"/>
    <undo index="65535" exp="area" ref3D="1" dr="AC$1:AC$1048576" r="Q12" sId="8"/>
    <undo index="65535" exp="area" ref3D="1" dr="I$1:I$1048576" r="Q12" sId="8"/>
    <undo index="0" exp="area" ref3D="1" dr="D$1:D$1048576" r="Q12" sId="8"/>
    <undo index="65535" exp="area" ref3D="1" dr="AC$1:AC$1048576" r="Q11" sId="8"/>
    <undo index="65535" exp="area" ref3D="1" dr="L$1:L$1048576" r="Q11" sId="8"/>
    <undo index="9" exp="area" ref3D="1" dr="D$1:D$1048576" r="Q11" sId="8"/>
    <undo index="65535" exp="area" ref3D="1" dr="AC$1:AC$1048576" r="Q11" sId="8"/>
    <undo index="65535" exp="area" ref3D="1" dr="I$1:I$1048576" r="Q11" sId="8"/>
    <undo index="0" exp="area" ref3D="1" dr="D$1:D$1048576" r="Q11" sId="8"/>
    <undo index="65535" exp="area" ref3D="1" dr="AC$1:AC$1048576" r="Q9" sId="8"/>
    <undo index="65535" exp="area" ref3D="1" dr="L$1:L$1048576" r="Q9" sId="8"/>
    <undo index="9" exp="area" ref3D="1" dr="D$1:D$1048576" r="Q9" sId="8"/>
    <undo index="65535" exp="area" ref3D="1" dr="AC$1:AC$1048576" r="Q9" sId="8"/>
    <undo index="65535" exp="area" ref3D="1" dr="I$1:I$1048576" r="Q9" sId="8"/>
    <undo index="0" exp="area" ref3D="1" dr="D$1:D$1048576" r="Q9" sId="8"/>
    <undo index="65535" exp="area" ref3D="1" dr="AC$1:AC$1048576" r="Q8" sId="8"/>
    <undo index="65535" exp="area" ref3D="1" dr="L$1:L$1048576" r="Q8" sId="8"/>
    <undo index="9" exp="area" ref3D="1" dr="D$1:D$1048576" r="Q8" sId="8"/>
    <undo index="65535" exp="area" ref3D="1" dr="AC$1:AC$1048576" r="Q8" sId="8"/>
    <undo index="65535" exp="area" ref3D="1" dr="I$1:I$1048576" r="Q8" sId="8"/>
    <undo index="0" exp="area" ref3D="1" dr="D$1:D$1048576" r="Q8" sId="8"/>
    <undo index="65535" exp="area" ref3D="1" dr="AC$1:AC$1048576" r="Q6" sId="8"/>
    <undo index="65535" exp="area" ref3D="1" dr="L$1:L$1048576" r="Q6" sId="8"/>
    <undo index="9" exp="area" ref3D="1" dr="D$1:D$1048576" r="Q6" sId="8"/>
    <undo index="65535" exp="area" ref3D="1" dr="AC$1:AC$1048576" r="Q6" sId="8"/>
    <undo index="65535" exp="area" ref3D="1" dr="I$1:I$1048576" r="Q6" sId="8"/>
    <undo index="0" exp="area" ref3D="1" dr="D$1:D$1048576" r="Q6" sId="8"/>
    <undo index="65535" exp="area" ref3D="1" dr="AC$1:AC$1048576" r="Q5" sId="8"/>
    <undo index="65535" exp="area" ref3D="1" dr="L$1:L$1048576" r="Q5" sId="8"/>
    <undo index="9" exp="area" ref3D="1" dr="D$1:D$1048576" r="Q5" sId="8"/>
    <undo index="65535" exp="area" ref3D="1" dr="AC$1:AC$1048576" r="Q5" sId="8"/>
    <undo index="65535" exp="area" ref3D="1" dr="I$1:I$1048576" r="Q5" sId="8"/>
    <undo index="0" exp="area" ref3D="1" dr="D$1:D$1048576" r="Q5" sId="8"/>
    <undo index="65535" exp="area" ref3D="1" dr="AC$1:AC$1048576" r="Q4" sId="8"/>
    <undo index="65535" exp="area" ref3D="1" dr="L$1:L$1048576" r="Q4" sId="8"/>
    <undo index="9" exp="area" ref3D="1" dr="D$1:D$1048576" r="Q4" sId="8"/>
    <undo index="65535" exp="area" ref3D="1" dr="AC$1:AC$1048576" r="Q4" sId="8"/>
    <undo index="65535" exp="area" ref3D="1" dr="I$1:I$1048576" r="Q4" sId="8"/>
    <undo index="0" exp="area" ref3D="1" dr="D$1:D$1048576" r="Q4" sId="8"/>
    <undo index="65535" exp="area" ref3D="1" dr="L$1:L$1048576" r="M15" sId="8"/>
    <undo index="65535" exp="area" ref3D="1" dr="AK$1:AK$1048576" r="M15" sId="8"/>
    <undo index="23" exp="area" ref3D="1" dr="D$1:D$1048576" r="M15" sId="8"/>
    <undo index="65535" exp="area" ref3D="1" dr="I$1:I$1048576" r="M15" sId="8"/>
    <undo index="65535" exp="area" ref3D="1" dr="AK$1:AK$1048576" r="M15" sId="8"/>
    <undo index="15" exp="area" ref3D="1" dr="D$1:D$1048576" r="M15" sId="8"/>
    <undo index="65535" exp="area" ref3D="1" dr="L$1:L$1048576" r="M15" sId="8"/>
    <undo index="65535" exp="area" ref3D="1" dr="AK$1:AK$1048576" r="M15" sId="8"/>
    <undo index="7" exp="area" ref3D="1" dr="D$1:D$1048576" r="M15" sId="8"/>
    <undo index="65535" exp="area" ref3D="1" dr="I$1:I$1048576" r="M15" sId="8"/>
    <undo index="65535" exp="area" ref3D="1" dr="AK$1:AK$1048576" r="M15" sId="8"/>
    <undo index="0" exp="area" ref3D="1" dr="D$1:D$1048576" r="M15" sId="8"/>
    <undo index="65535" exp="area" ref3D="1" dr="Z$1:Z$1048576" r="J15" sId="8"/>
    <undo index="65535" exp="area" ref3D="1" dr="L$1:L$1048576" r="J15" sId="8"/>
    <undo index="9" exp="area" ref3D="1" dr="D$1:D$1048576" r="J15" sId="8"/>
    <undo index="65535" exp="area" ref3D="1" dr="Z$1:Z$1048576" r="J15" sId="8"/>
    <undo index="65535" exp="area" ref3D="1" dr="I$1:I$1048576" r="J15" sId="8"/>
    <undo index="0" exp="area" ref3D="1" dr="D$1:D$1048576" r="J15" sId="8"/>
    <undo index="65535" exp="area" ref3D="1" dr="Y$1:Y$1048576" r="I15" sId="8"/>
    <undo index="65535" exp="area" ref3D="1" dr="L$1:L$1048576" r="I15" sId="8"/>
    <undo index="9" exp="area" ref3D="1" dr="D$1:D$1048576" r="I15" sId="8"/>
    <undo index="65535" exp="area" ref3D="1" dr="Y$1:Y$1048576" r="I15" sId="8"/>
    <undo index="65535" exp="area" ref3D="1" dr="I$1:I$1048576" r="I15" sId="8"/>
    <undo index="0" exp="area" ref3D="1" dr="D$1:D$1048576" r="I15" sId="8"/>
    <undo index="65535" exp="area" ref3D="1" dr="W$1:W$1048576" r="F15" sId="8"/>
    <undo index="65535" exp="area" ref3D="1" dr="L$1:L$1048576" r="F15" sId="8"/>
    <undo index="9" exp="area" ref3D="1" dr="D$1:D$1048576" r="F15" sId="8"/>
    <undo index="65535" exp="area" ref3D="1" dr="W$1:W$1048576" r="F15" sId="8"/>
    <undo index="65535" exp="area" ref3D="1" dr="I$1:I$1048576" r="F15" sId="8"/>
    <undo index="0" exp="area" ref3D="1" dr="D$1:D$1048576" r="F15" sId="8"/>
    <undo index="65535" exp="area" ref3D="1" dr="V$1:V$1048576" r="E15" sId="8"/>
    <undo index="65535" exp="area" ref3D="1" dr="L$1:L$1048576" r="E15" sId="8"/>
    <undo index="9" exp="area" ref3D="1" dr="D$1:D$1048576" r="E15" sId="8"/>
    <undo index="65535" exp="area" ref3D="1" dr="V$1:V$1048576" r="E15" sId="8"/>
    <undo index="65535" exp="area" ref3D="1" dr="I$1:I$1048576" r="E15" sId="8"/>
    <undo index="0" exp="area" ref3D="1" dr="D$1:D$1048576" r="E15" sId="8"/>
    <undo index="65535" exp="area" ref3D="1" dr="L$1:L$1048576" r="D15" sId="8"/>
    <undo index="5" exp="area" ref3D="1" dr="D$1:D$1048576" r="D15" sId="8"/>
    <undo index="65535" exp="area" ref3D="1" dr="I$1:I$1048576" r="D15" sId="8"/>
    <undo index="0" exp="area" ref3D="1" dr="D$1:D$1048576" r="D15" sId="8"/>
    <undo index="65535" exp="area" ref3D="1" dr="L$1:L$1048576" r="M13" sId="8"/>
    <undo index="65535" exp="area" ref3D="1" dr="AK$1:AK$1048576" r="M13" sId="8"/>
    <undo index="23" exp="area" ref3D="1" dr="D$1:D$1048576" r="M13" sId="8"/>
    <undo index="65535" exp="area" ref3D="1" dr="I$1:I$1048576" r="M13" sId="8"/>
    <undo index="65535" exp="area" ref3D="1" dr="AK$1:AK$1048576" r="M13" sId="8"/>
    <undo index="15" exp="area" ref3D="1" dr="D$1:D$1048576" r="M13" sId="8"/>
    <undo index="65535" exp="area" ref3D="1" dr="L$1:L$1048576" r="M13" sId="8"/>
    <undo index="65535" exp="area" ref3D="1" dr="AK$1:AK$1048576" r="M13" sId="8"/>
    <undo index="7" exp="area" ref3D="1" dr="D$1:D$1048576" r="M13" sId="8"/>
    <undo index="65535" exp="area" ref3D="1" dr="I$1:I$1048576" r="M13" sId="8"/>
    <undo index="65535" exp="area" ref3D="1" dr="AK$1:AK$1048576" r="M13" sId="8"/>
    <undo index="0" exp="area" ref3D="1" dr="D$1:D$1048576" r="M13" sId="8"/>
    <undo index="65535" exp="area" ref3D="1" dr="Z$1:Z$1048576" r="J13" sId="8"/>
    <undo index="65535" exp="area" ref3D="1" dr="L$1:L$1048576" r="J13" sId="8"/>
    <undo index="9" exp="area" ref3D="1" dr="D$1:D$1048576" r="J13" sId="8"/>
    <undo index="65535" exp="area" ref3D="1" dr="Z$1:Z$1048576" r="J13" sId="8"/>
    <undo index="65535" exp="area" ref3D="1" dr="I$1:I$1048576" r="J13" sId="8"/>
    <undo index="0" exp="area" ref3D="1" dr="D$1:D$1048576" r="J13" sId="8"/>
    <undo index="65535" exp="area" ref3D="1" dr="Y$1:Y$1048576" r="I13" sId="8"/>
    <undo index="65535" exp="area" ref3D="1" dr="L$1:L$1048576" r="I13" sId="8"/>
    <undo index="9" exp="area" ref3D="1" dr="D$1:D$1048576" r="I13" sId="8"/>
    <undo index="65535" exp="area" ref3D="1" dr="Y$1:Y$1048576" r="I13" sId="8"/>
    <undo index="65535" exp="area" ref3D="1" dr="I$1:I$1048576" r="I13" sId="8"/>
    <undo index="0" exp="area" ref3D="1" dr="D$1:D$1048576" r="I13" sId="8"/>
    <undo index="65535" exp="area" ref3D="1" dr="W$1:W$1048576" r="F13" sId="8"/>
    <undo index="65535" exp="area" ref3D="1" dr="L$1:L$1048576" r="F13" sId="8"/>
    <undo index="9" exp="area" ref3D="1" dr="D$1:D$1048576" r="F13" sId="8"/>
    <undo index="65535" exp="area" ref3D="1" dr="W$1:W$1048576" r="F13" sId="8"/>
    <undo index="65535" exp="area" ref3D="1" dr="I$1:I$1048576" r="F13" sId="8"/>
    <undo index="0" exp="area" ref3D="1" dr="D$1:D$1048576" r="F13" sId="8"/>
    <undo index="65535" exp="area" ref3D="1" dr="V$1:V$1048576" r="E13" sId="8"/>
    <undo index="65535" exp="area" ref3D="1" dr="L$1:L$1048576" r="E13" sId="8"/>
    <undo index="9" exp="area" ref3D="1" dr="D$1:D$1048576" r="E13" sId="8"/>
    <undo index="65535" exp="area" ref3D="1" dr="V$1:V$1048576" r="E13" sId="8"/>
    <undo index="65535" exp="area" ref3D="1" dr="I$1:I$1048576" r="E13" sId="8"/>
    <undo index="0" exp="area" ref3D="1" dr="D$1:D$1048576" r="E13" sId="8"/>
    <undo index="65535" exp="area" ref3D="1" dr="L$1:L$1048576" r="D13" sId="8"/>
    <undo index="5" exp="area" ref3D="1" dr="D$1:D$1048576" r="D13" sId="8"/>
    <undo index="65535" exp="area" ref3D="1" dr="I$1:I$1048576" r="D13" sId="8"/>
    <undo index="0" exp="area" ref3D="1" dr="D$1:D$1048576" r="D13" sId="8"/>
    <undo index="65535" exp="area" ref3D="1" dr="L$1:L$1048576" r="M12" sId="8"/>
    <undo index="65535" exp="area" ref3D="1" dr="AK$1:AK$1048576" r="M12" sId="8"/>
    <undo index="23" exp="area" ref3D="1" dr="D$1:D$1048576" r="M12" sId="8"/>
    <undo index="65535" exp="area" ref3D="1" dr="I$1:I$1048576" r="M12" sId="8"/>
    <undo index="65535" exp="area" ref3D="1" dr="AK$1:AK$1048576" r="M12" sId="8"/>
    <undo index="15" exp="area" ref3D="1" dr="D$1:D$1048576" r="M12" sId="8"/>
    <undo index="65535" exp="area" ref3D="1" dr="L$1:L$1048576" r="M12" sId="8"/>
    <undo index="65535" exp="area" ref3D="1" dr="AK$1:AK$1048576" r="M12" sId="8"/>
    <undo index="7" exp="area" ref3D="1" dr="D$1:D$1048576" r="M12" sId="8"/>
    <undo index="65535" exp="area" ref3D="1" dr="I$1:I$1048576" r="M12" sId="8"/>
    <undo index="65535" exp="area" ref3D="1" dr="AK$1:AK$1048576" r="M12" sId="8"/>
    <undo index="0" exp="area" ref3D="1" dr="D$1:D$1048576" r="M12" sId="8"/>
    <undo index="65535" exp="area" ref3D="1" dr="Z$1:Z$1048576" r="J12" sId="8"/>
    <undo index="65535" exp="area" ref3D="1" dr="L$1:L$1048576" r="J12" sId="8"/>
    <undo index="9" exp="area" ref3D="1" dr="D$1:D$1048576" r="J12" sId="8"/>
    <undo index="65535" exp="area" ref3D="1" dr="Z$1:Z$1048576" r="J12" sId="8"/>
    <undo index="65535" exp="area" ref3D="1" dr="I$1:I$1048576" r="J12" sId="8"/>
    <undo index="0" exp="area" ref3D="1" dr="D$1:D$1048576" r="J12" sId="8"/>
    <undo index="65535" exp="area" ref3D="1" dr="Y$1:Y$1048576" r="I12" sId="8"/>
    <undo index="65535" exp="area" ref3D="1" dr="L$1:L$1048576" r="I12" sId="8"/>
    <undo index="9" exp="area" ref3D="1" dr="D$1:D$1048576" r="I12" sId="8"/>
    <undo index="65535" exp="area" ref3D="1" dr="Y$1:Y$1048576" r="I12" sId="8"/>
    <undo index="65535" exp="area" ref3D="1" dr="I$1:I$1048576" r="I12" sId="8"/>
    <undo index="0" exp="area" ref3D="1" dr="D$1:D$1048576" r="I12" sId="8"/>
    <undo index="65535" exp="area" ref3D="1" dr="W$1:W$1048576" r="F12" sId="8"/>
    <undo index="65535" exp="area" ref3D="1" dr="L$1:L$1048576" r="F12" sId="8"/>
    <undo index="9" exp="area" ref3D="1" dr="D$1:D$1048576" r="F12" sId="8"/>
    <undo index="65535" exp="area" ref3D="1" dr="W$1:W$1048576" r="F12" sId="8"/>
    <undo index="65535" exp="area" ref3D="1" dr="I$1:I$1048576" r="F12" sId="8"/>
    <undo index="0" exp="area" ref3D="1" dr="D$1:D$1048576" r="F12" sId="8"/>
    <undo index="65535" exp="area" ref3D="1" dr="V$1:V$1048576" r="E12" sId="8"/>
    <undo index="65535" exp="area" ref3D="1" dr="L$1:L$1048576" r="E12" sId="8"/>
    <undo index="9" exp="area" ref3D="1" dr="D$1:D$1048576" r="E12" sId="8"/>
    <undo index="65535" exp="area" ref3D="1" dr="V$1:V$1048576" r="E12" sId="8"/>
    <undo index="65535" exp="area" ref3D="1" dr="I$1:I$1048576" r="E12" sId="8"/>
    <undo index="0" exp="area" ref3D="1" dr="D$1:D$1048576" r="E12" sId="8"/>
    <undo index="65535" exp="area" ref3D="1" dr="L$1:L$1048576" r="D12" sId="8"/>
    <undo index="5" exp="area" ref3D="1" dr="D$1:D$1048576" r="D12" sId="8"/>
    <undo index="65535" exp="area" ref3D="1" dr="I$1:I$1048576" r="D12" sId="8"/>
    <undo index="0" exp="area" ref3D="1" dr="D$1:D$1048576" r="D12" sId="8"/>
    <undo index="65535" exp="area" ref3D="1" dr="L$1:L$1048576" r="M11" sId="8"/>
    <undo index="65535" exp="area" ref3D="1" dr="AK$1:AK$1048576" r="M11" sId="8"/>
    <undo index="23" exp="area" ref3D="1" dr="D$1:D$1048576" r="M11" sId="8"/>
    <undo index="65535" exp="area" ref3D="1" dr="I$1:I$1048576" r="M11" sId="8"/>
    <undo index="65535" exp="area" ref3D="1" dr="AK$1:AK$1048576" r="M11" sId="8"/>
    <undo index="15" exp="area" ref3D="1" dr="D$1:D$1048576" r="M11" sId="8"/>
    <undo index="65535" exp="area" ref3D="1" dr="L$1:L$1048576" r="M11" sId="8"/>
    <undo index="65535" exp="area" ref3D="1" dr="AK$1:AK$1048576" r="M11" sId="8"/>
    <undo index="7" exp="area" ref3D="1" dr="D$1:D$1048576" r="M11" sId="8"/>
    <undo index="65535" exp="area" ref3D="1" dr="I$1:I$1048576" r="M11" sId="8"/>
    <undo index="65535" exp="area" ref3D="1" dr="AK$1:AK$1048576" r="M11" sId="8"/>
    <undo index="0" exp="area" ref3D="1" dr="D$1:D$1048576" r="M11" sId="8"/>
    <undo index="65535" exp="area" ref3D="1" dr="Z$1:Z$1048576" r="J11" sId="8"/>
    <undo index="65535" exp="area" ref3D="1" dr="L$1:L$1048576" r="J11" sId="8"/>
    <undo index="9" exp="area" ref3D="1" dr="D$1:D$1048576" r="J11" sId="8"/>
    <undo index="65535" exp="area" ref3D="1" dr="Z$1:Z$1048576" r="J11" sId="8"/>
    <undo index="65535" exp="area" ref3D="1" dr="I$1:I$1048576" r="J11" sId="8"/>
    <undo index="0" exp="area" ref3D="1" dr="D$1:D$1048576" r="J11" sId="8"/>
    <undo index="65535" exp="area" ref3D="1" dr="Y$1:Y$1048576" r="I11" sId="8"/>
    <undo index="65535" exp="area" ref3D="1" dr="L$1:L$1048576" r="I11" sId="8"/>
    <undo index="9" exp="area" ref3D="1" dr="D$1:D$1048576" r="I11" sId="8"/>
    <undo index="65535" exp="area" ref3D="1" dr="Y$1:Y$1048576" r="I11" sId="8"/>
    <undo index="65535" exp="area" ref3D="1" dr="I$1:I$1048576" r="I11" sId="8"/>
    <undo index="0" exp="area" ref3D="1" dr="D$1:D$1048576" r="I11" sId="8"/>
    <undo index="65535" exp="area" ref3D="1" dr="W$1:W$1048576" r="F11" sId="8"/>
    <undo index="65535" exp="area" ref3D="1" dr="L$1:L$1048576" r="F11" sId="8"/>
    <undo index="9" exp="area" ref3D="1" dr="D$1:D$1048576" r="F11" sId="8"/>
    <undo index="65535" exp="area" ref3D="1" dr="W$1:W$1048576" r="F11" sId="8"/>
    <undo index="65535" exp="area" ref3D="1" dr="I$1:I$1048576" r="F11" sId="8"/>
    <undo index="0" exp="area" ref3D="1" dr="D$1:D$1048576" r="F11" sId="8"/>
    <undo index="65535" exp="area" ref3D="1" dr="V$1:V$1048576" r="E11" sId="8"/>
    <undo index="65535" exp="area" ref3D="1" dr="L$1:L$1048576" r="E11" sId="8"/>
    <undo index="9" exp="area" ref3D="1" dr="D$1:D$1048576" r="E11" sId="8"/>
    <undo index="65535" exp="area" ref3D="1" dr="V$1:V$1048576" r="E11" sId="8"/>
    <undo index="65535" exp="area" ref3D="1" dr="I$1:I$1048576" r="E11" sId="8"/>
    <undo index="0" exp="area" ref3D="1" dr="D$1:D$1048576" r="E11" sId="8"/>
    <undo index="65535" exp="area" ref3D="1" dr="L$1:L$1048576" r="D11" sId="8"/>
    <undo index="5" exp="area" ref3D="1" dr="D$1:D$1048576" r="D11" sId="8"/>
    <undo index="65535" exp="area" ref3D="1" dr="I$1:I$1048576" r="D11" sId="8"/>
    <undo index="0" exp="area" ref3D="1" dr="D$1:D$1048576" r="D11" sId="8"/>
    <undo index="65535" exp="area" ref3D="1" dr="L$1:L$1048576" r="M9" sId="8"/>
    <undo index="65535" exp="area" ref3D="1" dr="AK$1:AK$1048576" r="M9" sId="8"/>
    <undo index="23" exp="area" ref3D="1" dr="D$1:D$1048576" r="M9" sId="8"/>
    <undo index="65535" exp="area" ref3D="1" dr="I$1:I$1048576" r="M9" sId="8"/>
    <undo index="65535" exp="area" ref3D="1" dr="AK$1:AK$1048576" r="M9" sId="8"/>
    <undo index="15" exp="area" ref3D="1" dr="D$1:D$1048576" r="M9" sId="8"/>
    <undo index="65535" exp="area" ref3D="1" dr="L$1:L$1048576" r="M9" sId="8"/>
    <undo index="65535" exp="area" ref3D="1" dr="AK$1:AK$1048576" r="M9" sId="8"/>
    <undo index="7" exp="area" ref3D="1" dr="D$1:D$1048576" r="M9" sId="8"/>
    <undo index="65535" exp="area" ref3D="1" dr="I$1:I$1048576" r="M9" sId="8"/>
    <undo index="65535" exp="area" ref3D="1" dr="AK$1:AK$1048576" r="M9" sId="8"/>
    <undo index="0" exp="area" ref3D="1" dr="D$1:D$1048576" r="M9" sId="8"/>
    <undo index="65535" exp="area" ref3D="1" dr="Z$1:Z$1048576" r="J9" sId="8"/>
    <undo index="65535" exp="area" ref3D="1" dr="L$1:L$1048576" r="J9" sId="8"/>
    <undo index="9" exp="area" ref3D="1" dr="D$1:D$1048576" r="J9" sId="8"/>
    <undo index="65535" exp="area" ref3D="1" dr="Z$1:Z$1048576" r="J9" sId="8"/>
    <undo index="65535" exp="area" ref3D="1" dr="I$1:I$1048576" r="J9" sId="8"/>
    <undo index="0" exp="area" ref3D="1" dr="D$1:D$1048576" r="J9" sId="8"/>
    <undo index="65535" exp="area" ref3D="1" dr="Y$1:Y$1048576" r="I9" sId="8"/>
    <undo index="65535" exp="area" ref3D="1" dr="L$1:L$1048576" r="I9" sId="8"/>
    <undo index="9" exp="area" ref3D="1" dr="D$1:D$1048576" r="I9" sId="8"/>
    <undo index="65535" exp="area" ref3D="1" dr="Y$1:Y$1048576" r="I9" sId="8"/>
    <undo index="65535" exp="area" ref3D="1" dr="I$1:I$1048576" r="I9" sId="8"/>
    <undo index="0" exp="area" ref3D="1" dr="D$1:D$1048576" r="I9" sId="8"/>
    <undo index="65535" exp="area" ref3D="1" dr="W$1:W$1048576" r="F9" sId="8"/>
    <undo index="65535" exp="area" ref3D="1" dr="L$1:L$1048576" r="F9" sId="8"/>
    <undo index="9" exp="area" ref3D="1" dr="D$1:D$1048576" r="F9" sId="8"/>
    <undo index="65535" exp="area" ref3D="1" dr="W$1:W$1048576" r="F9" sId="8"/>
    <undo index="65535" exp="area" ref3D="1" dr="I$1:I$1048576" r="F9" sId="8"/>
    <undo index="0" exp="area" ref3D="1" dr="D$1:D$1048576" r="F9" sId="8"/>
    <undo index="65535" exp="area" ref3D="1" dr="V$1:V$1048576" r="E9" sId="8"/>
    <undo index="65535" exp="area" ref3D="1" dr="L$1:L$1048576" r="E9" sId="8"/>
    <undo index="9" exp="area" ref3D="1" dr="D$1:D$1048576" r="E9" sId="8"/>
    <undo index="65535" exp="area" ref3D="1" dr="V$1:V$1048576" r="E9" sId="8"/>
    <undo index="65535" exp="area" ref3D="1" dr="I$1:I$1048576" r="E9" sId="8"/>
    <undo index="0" exp="area" ref3D="1" dr="D$1:D$1048576" r="E9" sId="8"/>
    <undo index="65535" exp="area" ref3D="1" dr="L$1:L$1048576" r="D9" sId="8"/>
    <undo index="5" exp="area" ref3D="1" dr="D$1:D$1048576" r="D9" sId="8"/>
    <undo index="65535" exp="area" ref3D="1" dr="I$1:I$1048576" r="D9" sId="8"/>
    <undo index="0" exp="area" ref3D="1" dr="D$1:D$1048576" r="D9" sId="8"/>
    <undo index="65535" exp="area" ref3D="1" dr="L$1:L$1048576" r="M8" sId="8"/>
    <undo index="65535" exp="area" ref3D="1" dr="AK$1:AK$1048576" r="M8" sId="8"/>
    <undo index="23" exp="area" ref3D="1" dr="D$1:D$1048576" r="M8" sId="8"/>
    <undo index="65535" exp="area" ref3D="1" dr="I$1:I$1048576" r="M8" sId="8"/>
    <undo index="65535" exp="area" ref3D="1" dr="AK$1:AK$1048576" r="M8" sId="8"/>
    <undo index="15" exp="area" ref3D="1" dr="D$1:D$1048576" r="M8" sId="8"/>
    <undo index="65535" exp="area" ref3D="1" dr="L$1:L$1048576" r="M8" sId="8"/>
    <undo index="65535" exp="area" ref3D="1" dr="AK$1:AK$1048576" r="M8" sId="8"/>
    <undo index="7" exp="area" ref3D="1" dr="D$1:D$1048576" r="M8" sId="8"/>
    <undo index="65535" exp="area" ref3D="1" dr="I$1:I$1048576" r="M8" sId="8"/>
    <undo index="65535" exp="area" ref3D="1" dr="AK$1:AK$1048576" r="M8" sId="8"/>
    <undo index="0" exp="area" ref3D="1" dr="D$1:D$1048576" r="M8" sId="8"/>
    <undo index="65535" exp="area" ref3D="1" dr="Z$1:Z$1048576" r="J8" sId="8"/>
    <undo index="65535" exp="area" ref3D="1" dr="L$1:L$1048576" r="J8" sId="8"/>
    <undo index="9" exp="area" ref3D="1" dr="D$1:D$1048576" r="J8" sId="8"/>
    <undo index="65535" exp="area" ref3D="1" dr="Z$1:Z$1048576" r="J8" sId="8"/>
    <undo index="65535" exp="area" ref3D="1" dr="I$1:I$1048576" r="J8" sId="8"/>
    <undo index="0" exp="area" ref3D="1" dr="D$1:D$1048576" r="J8" sId="8"/>
    <undo index="65535" exp="area" ref3D="1" dr="Y$1:Y$1048576" r="I8" sId="8"/>
    <undo index="65535" exp="area" ref3D="1" dr="L$1:L$1048576" r="I8" sId="8"/>
    <undo index="9" exp="area" ref3D="1" dr="D$1:D$1048576" r="I8" sId="8"/>
    <undo index="65535" exp="area" ref3D="1" dr="Y$1:Y$1048576" r="I8" sId="8"/>
    <undo index="65535" exp="area" ref3D="1" dr="I$1:I$1048576" r="I8" sId="8"/>
    <undo index="0" exp="area" ref3D="1" dr="D$1:D$1048576" r="I8" sId="8"/>
    <undo index="65535" exp="area" ref3D="1" dr="W$1:W$1048576" r="F8" sId="8"/>
    <undo index="65535" exp="area" ref3D="1" dr="L$1:L$1048576" r="F8" sId="8"/>
    <undo index="9" exp="area" ref3D="1" dr="D$1:D$1048576" r="F8" sId="8"/>
    <undo index="65535" exp="area" ref3D="1" dr="W$1:W$1048576" r="F8" sId="8"/>
    <undo index="65535" exp="area" ref3D="1" dr="I$1:I$1048576" r="F8" sId="8"/>
    <undo index="0" exp="area" ref3D="1" dr="D$1:D$1048576" r="F8" sId="8"/>
    <undo index="65535" exp="area" ref3D="1" dr="V$1:V$1048576" r="E8" sId="8"/>
    <undo index="65535" exp="area" ref3D="1" dr="L$1:L$1048576" r="E8" sId="8"/>
    <undo index="9" exp="area" ref3D="1" dr="D$1:D$1048576" r="E8" sId="8"/>
    <undo index="65535" exp="area" ref3D="1" dr="V$1:V$1048576" r="E8" sId="8"/>
    <undo index="65535" exp="area" ref3D="1" dr="I$1:I$1048576" r="E8" sId="8"/>
    <undo index="0" exp="area" ref3D="1" dr="D$1:D$1048576" r="E8" sId="8"/>
    <undo index="65535" exp="area" ref3D="1" dr="L$1:L$1048576" r="D8" sId="8"/>
    <undo index="5" exp="area" ref3D="1" dr="D$1:D$1048576" r="D8" sId="8"/>
    <undo index="65535" exp="area" ref3D="1" dr="I$1:I$1048576" r="D8" sId="8"/>
    <undo index="0" exp="area" ref3D="1" dr="D$1:D$1048576" r="D8" sId="8"/>
    <undo index="65535" exp="area" ref3D="1" dr="L$1:L$1048576" r="M6" sId="8"/>
    <undo index="65535" exp="area" ref3D="1" dr="AK$1:AK$1048576" r="M6" sId="8"/>
    <undo index="23" exp="area" ref3D="1" dr="D$1:D$1048576" r="M6" sId="8"/>
    <undo index="65535" exp="area" ref3D="1" dr="I$1:I$1048576" r="M6" sId="8"/>
    <undo index="65535" exp="area" ref3D="1" dr="AK$1:AK$1048576" r="M6" sId="8"/>
    <undo index="15" exp="area" ref3D="1" dr="D$1:D$1048576" r="M6" sId="8"/>
    <undo index="65535" exp="area" ref3D="1" dr="L$1:L$1048576" r="M6" sId="8"/>
    <undo index="65535" exp="area" ref3D="1" dr="AK$1:AK$1048576" r="M6" sId="8"/>
    <undo index="7" exp="area" ref3D="1" dr="D$1:D$1048576" r="M6" sId="8"/>
    <undo index="65535" exp="area" ref3D="1" dr="I$1:I$1048576" r="M6" sId="8"/>
    <undo index="65535" exp="area" ref3D="1" dr="AK$1:AK$1048576" r="M6" sId="8"/>
    <undo index="0" exp="area" ref3D="1" dr="D$1:D$1048576" r="M6" sId="8"/>
    <undo index="65535" exp="area" ref3D="1" dr="Z$1:Z$1048576" r="J6" sId="8"/>
    <undo index="65535" exp="area" ref3D="1" dr="L$1:L$1048576" r="J6" sId="8"/>
    <undo index="9" exp="area" ref3D="1" dr="D$1:D$1048576" r="J6" sId="8"/>
    <undo index="65535" exp="area" ref3D="1" dr="Z$1:Z$1048576" r="J6" sId="8"/>
    <undo index="65535" exp="area" ref3D="1" dr="I$1:I$1048576" r="J6" sId="8"/>
    <undo index="0" exp="area" ref3D="1" dr="D$1:D$1048576" r="J6" sId="8"/>
    <undo index="65535" exp="area" ref3D="1" dr="Y$1:Y$1048576" r="I6" sId="8"/>
    <undo index="65535" exp="area" ref3D="1" dr="L$1:L$1048576" r="I6" sId="8"/>
    <undo index="9" exp="area" ref3D="1" dr="D$1:D$1048576" r="I6" sId="8"/>
    <undo index="65535" exp="area" ref3D="1" dr="Y$1:Y$1048576" r="I6" sId="8"/>
    <undo index="65535" exp="area" ref3D="1" dr="I$1:I$1048576" r="I6" sId="8"/>
    <undo index="0" exp="area" ref3D="1" dr="D$1:D$1048576" r="I6" sId="8"/>
    <undo index="65535" exp="area" ref3D="1" dr="W$1:W$1048576" r="F6" sId="8"/>
    <undo index="65535" exp="area" ref3D="1" dr="L$1:L$1048576" r="F6" sId="8"/>
    <undo index="9" exp="area" ref3D="1" dr="D$1:D$1048576" r="F6" sId="8"/>
    <undo index="65535" exp="area" ref3D="1" dr="W$1:W$1048576" r="F6" sId="8"/>
    <undo index="65535" exp="area" ref3D="1" dr="I$1:I$1048576" r="F6" sId="8"/>
    <undo index="0" exp="area" ref3D="1" dr="D$1:D$1048576" r="F6" sId="8"/>
    <undo index="65535" exp="area" ref3D="1" dr="V$1:V$1048576" r="E6" sId="8"/>
    <undo index="65535" exp="area" ref3D="1" dr="L$1:L$1048576" r="E6" sId="8"/>
    <undo index="9" exp="area" ref3D="1" dr="D$1:D$1048576" r="E6" sId="8"/>
    <undo index="65535" exp="area" ref3D="1" dr="V$1:V$1048576" r="E6" sId="8"/>
    <undo index="65535" exp="area" ref3D="1" dr="I$1:I$1048576" r="E6" sId="8"/>
    <undo index="0" exp="area" ref3D="1" dr="D$1:D$1048576" r="E6" sId="8"/>
    <undo index="65535" exp="area" ref3D="1" dr="L$1:L$1048576" r="D6" sId="8"/>
    <undo index="5" exp="area" ref3D="1" dr="D$1:D$1048576" r="D6" sId="8"/>
    <undo index="65535" exp="area" ref3D="1" dr="I$1:I$1048576" r="D6" sId="8"/>
    <undo index="0" exp="area" ref3D="1" dr="D$1:D$1048576" r="D6" sId="8"/>
    <undo index="65535" exp="area" ref3D="1" dr="L$1:L$1048576" r="M5" sId="8"/>
    <undo index="65535" exp="area" ref3D="1" dr="AK$1:AK$1048576" r="M5" sId="8"/>
    <undo index="23" exp="area" ref3D="1" dr="D$1:D$1048576" r="M5" sId="8"/>
    <undo index="65535" exp="area" ref3D="1" dr="I$1:I$1048576" r="M5" sId="8"/>
    <undo index="65535" exp="area" ref3D="1" dr="AK$1:AK$1048576" r="M5" sId="8"/>
    <undo index="15" exp="area" ref3D="1" dr="D$1:D$1048576" r="M5" sId="8"/>
    <undo index="65535" exp="area" ref3D="1" dr="L$1:L$1048576" r="M5" sId="8"/>
    <undo index="65535" exp="area" ref3D="1" dr="AK$1:AK$1048576" r="M5" sId="8"/>
    <undo index="7" exp="area" ref3D="1" dr="D$1:D$1048576" r="M5" sId="8"/>
    <undo index="65535" exp="area" ref3D="1" dr="I$1:I$1048576" r="M5" sId="8"/>
    <undo index="65535" exp="area" ref3D="1" dr="AK$1:AK$1048576" r="M5" sId="8"/>
    <undo index="0" exp="area" ref3D="1" dr="D$1:D$1048576" r="M5" sId="8"/>
    <undo index="65535" exp="area" ref3D="1" dr="Z$1:Z$1048576" r="J5" sId="8"/>
    <undo index="65535" exp="area" ref3D="1" dr="L$1:L$1048576" r="J5" sId="8"/>
    <undo index="9" exp="area" ref3D="1" dr="D$1:D$1048576" r="J5" sId="8"/>
    <undo index="65535" exp="area" ref3D="1" dr="Z$1:Z$1048576" r="J5" sId="8"/>
    <undo index="65535" exp="area" ref3D="1" dr="I$1:I$1048576" r="J5" sId="8"/>
    <undo index="0" exp="area" ref3D="1" dr="D$1:D$1048576" r="J5" sId="8"/>
    <undo index="65535" exp="area" ref3D="1" dr="Y$1:Y$1048576" r="I5" sId="8"/>
    <undo index="65535" exp="area" ref3D="1" dr="L$1:L$1048576" r="I5" sId="8"/>
    <undo index="9" exp="area" ref3D="1" dr="D$1:D$1048576" r="I5" sId="8"/>
    <undo index="65535" exp="area" ref3D="1" dr="Y$1:Y$1048576" r="I5" sId="8"/>
    <undo index="65535" exp="area" ref3D="1" dr="I$1:I$1048576" r="I5" sId="8"/>
    <undo index="0" exp="area" ref3D="1" dr="D$1:D$1048576" r="I5" sId="8"/>
    <undo index="65535" exp="area" ref3D="1" dr="W$1:W$1048576" r="F5" sId="8"/>
    <undo index="65535" exp="area" ref3D="1" dr="L$1:L$1048576" r="F5" sId="8"/>
    <undo index="9" exp="area" ref3D="1" dr="D$1:D$1048576" r="F5" sId="8"/>
    <undo index="65535" exp="area" ref3D="1" dr="W$1:W$1048576" r="F5" sId="8"/>
    <undo index="65535" exp="area" ref3D="1" dr="I$1:I$1048576" r="F5" sId="8"/>
    <undo index="0" exp="area" ref3D="1" dr="D$1:D$1048576" r="F5" sId="8"/>
    <undo index="65535" exp="area" ref3D="1" dr="V$1:V$1048576" r="E5" sId="8"/>
    <undo index="65535" exp="area" ref3D="1" dr="L$1:L$1048576" r="E5" sId="8"/>
    <undo index="9" exp="area" ref3D="1" dr="D$1:D$1048576" r="E5" sId="8"/>
    <undo index="65535" exp="area" ref3D="1" dr="V$1:V$1048576" r="E5" sId="8"/>
    <undo index="65535" exp="area" ref3D="1" dr="I$1:I$1048576" r="E5" sId="8"/>
    <undo index="0" exp="area" ref3D="1" dr="D$1:D$1048576" r="E5" sId="8"/>
    <undo index="65535" exp="area" ref3D="1" dr="L$1:L$1048576" r="D5" sId="8"/>
    <undo index="5" exp="area" ref3D="1" dr="D$1:D$1048576" r="D5" sId="8"/>
    <undo index="65535" exp="area" ref3D="1" dr="I$1:I$1048576" r="D5" sId="8"/>
    <undo index="0" exp="area" ref3D="1" dr="D$1:D$1048576" r="D5" sId="8"/>
    <undo index="65535" exp="area" ref3D="1" dr="L$1:L$1048576" r="M4" sId="8"/>
    <undo index="65535" exp="area" ref3D="1" dr="AK$1:AK$1048576" r="M4" sId="8"/>
    <undo index="23" exp="area" ref3D="1" dr="D$1:D$1048576" r="M4" sId="8"/>
    <undo index="65535" exp="area" ref3D="1" dr="I$1:I$1048576" r="M4" sId="8"/>
    <undo index="65535" exp="area" ref3D="1" dr="AK$1:AK$1048576" r="M4" sId="8"/>
    <undo index="15" exp="area" ref3D="1" dr="D$1:D$1048576" r="M4" sId="8"/>
    <undo index="65535" exp="area" ref3D="1" dr="L$1:L$1048576" r="M4" sId="8"/>
    <undo index="65535" exp="area" ref3D="1" dr="AK$1:AK$1048576" r="M4" sId="8"/>
    <undo index="7" exp="area" ref3D="1" dr="D$1:D$1048576" r="M4" sId="8"/>
    <undo index="65535" exp="area" ref3D="1" dr="I$1:I$1048576" r="M4" sId="8"/>
    <undo index="65535" exp="area" ref3D="1" dr="AK$1:AK$1048576" r="M4" sId="8"/>
    <undo index="0" exp="area" ref3D="1" dr="D$1:D$1048576" r="M4" sId="8"/>
    <undo index="65535" exp="area" ref3D="1" dr="Z$1:Z$1048576" r="J4" sId="8"/>
    <undo index="65535" exp="area" ref3D="1" dr="L$1:L$1048576" r="J4" sId="8"/>
    <undo index="9" exp="area" ref3D="1" dr="D$1:D$1048576" r="J4" sId="8"/>
    <undo index="65535" exp="area" ref3D="1" dr="Z$1:Z$1048576" r="J4" sId="8"/>
    <undo index="65535" exp="area" ref3D="1" dr="I$1:I$1048576" r="J4" sId="8"/>
    <undo index="0" exp="area" ref3D="1" dr="D$1:D$1048576" r="J4" sId="8"/>
    <undo index="65535" exp="area" ref3D="1" dr="Y$1:Y$1048576" r="I4" sId="8"/>
    <undo index="65535" exp="area" ref3D="1" dr="L$1:L$1048576" r="I4" sId="8"/>
    <undo index="9" exp="area" ref3D="1" dr="D$1:D$1048576" r="I4" sId="8"/>
    <undo index="65535" exp="area" ref3D="1" dr="Y$1:Y$1048576" r="I4" sId="8"/>
    <undo index="65535" exp="area" ref3D="1" dr="I$1:I$1048576" r="I4" sId="8"/>
    <undo index="0" exp="area" ref3D="1" dr="D$1:D$1048576" r="I4" sId="8"/>
    <undo index="65535" exp="area" ref3D="1" dr="W$1:W$1048576" r="F4" sId="8"/>
    <undo index="65535" exp="area" ref3D="1" dr="L$1:L$1048576" r="F4" sId="8"/>
    <undo index="9" exp="area" ref3D="1" dr="D$1:D$1048576" r="F4" sId="8"/>
    <undo index="65535" exp="area" ref3D="1" dr="W$1:W$1048576" r="F4" sId="8"/>
    <undo index="65535" exp="area" ref3D="1" dr="I$1:I$1048576" r="F4" sId="8"/>
    <undo index="0" exp="area" ref3D="1" dr="D$1:D$1048576" r="F4" sId="8"/>
    <undo index="65535" exp="area" ref3D="1" dr="V$1:V$1048576" r="E4" sId="8"/>
    <undo index="65535" exp="area" ref3D="1" dr="L$1:L$1048576" r="E4" sId="8"/>
    <undo index="9" exp="area" ref3D="1" dr="D$1:D$1048576" r="E4" sId="8"/>
    <undo index="65535" exp="area" ref3D="1" dr="V$1:V$1048576" r="E4" sId="8"/>
    <undo index="65535" exp="area" ref3D="1" dr="I$1:I$1048576" r="E4" sId="8"/>
    <undo index="0" exp="area" ref3D="1" dr="D$1:D$1048576" r="E4" sId="8"/>
    <undo index="65535" exp="area" ref3D="1" dr="L$1:L$1048576" r="D4" sId="8"/>
    <undo index="5" exp="area" ref3D="1" dr="D$1:D$1048576" r="D4" sId="8"/>
    <undo index="65535" exp="area" ref3D="1" dr="I$1:I$1048576" r="D4" sId="8"/>
    <undo index="0" exp="area" ref3D="1" dr="D$1:D$1048576" r="D4" sId="8"/>
    <undo index="65535" exp="area" ref3D="1" dr="AC$1:AC$1048576" r="H10" sId="7"/>
    <undo index="0" exp="area" ref3D="1" dr="D$1:D$1048576" r="H10" sId="7"/>
    <undo index="65535" exp="area" ref3D="1" dr="AC$1:AC$1048576" r="G10" sId="7"/>
    <undo index="0" exp="area" ref3D="1" dr="D$1:D$1048576" r="G10" sId="7"/>
    <undo index="65535" exp="area" ref3D="1" dr="AC$1:AC$1048576" r="F10" sId="7"/>
    <undo index="0" exp="area" ref3D="1" dr="D$1:D$1048576" r="F10" sId="7"/>
    <undo index="65535" exp="area" ref3D="1" dr="AC$1:AC$1048576" r="E10" sId="7"/>
    <undo index="0" exp="area" ref3D="1" dr="D$1:D$1048576" r="E10" sId="7"/>
    <undo index="65535" exp="area" ref3D="1" dr="AC$1:AC$1048576" r="D10" sId="7"/>
    <undo index="0" exp="area" ref3D="1" dr="D$1:D$1048576" r="D10" sId="7"/>
    <undo index="65535" exp="area" ref3D="1" dr="Z$1:Z$1048576" r="H9" sId="7"/>
    <undo index="8" exp="area" ref3D="1" dr="D$1:D$1048576" r="H9" sId="7"/>
    <undo index="65535" exp="area" ref3D="1" dr="Y$1:Y$1048576" r="H9" sId="7"/>
    <undo index="1" exp="area" ref3D="1" dr="D$1:D$1048576" r="H9" sId="7"/>
    <undo index="65535" exp="area" ref3D="1" dr="Z$1:Z$1048576" r="G9" sId="7"/>
    <undo index="8" exp="area" ref3D="1" dr="D$1:D$1048576" r="G9" sId="7"/>
    <undo index="65535" exp="area" ref3D="1" dr="Y$1:Y$1048576" r="G9" sId="7"/>
    <undo index="1" exp="area" ref3D="1" dr="D$1:D$1048576" r="G9" sId="7"/>
    <undo index="65535" exp="area" ref3D="1" dr="Z$1:Z$1048576" r="F9" sId="7"/>
    <undo index="8" exp="area" ref3D="1" dr="D$1:D$1048576" r="F9" sId="7"/>
    <undo index="65535" exp="area" ref3D="1" dr="Y$1:Y$1048576" r="F9" sId="7"/>
    <undo index="1" exp="area" ref3D="1" dr="D$1:D$1048576" r="F9" sId="7"/>
    <undo index="65535" exp="area" ref3D="1" dr="Z$1:Z$1048576" r="E9" sId="7"/>
    <undo index="8" exp="area" ref3D="1" dr="D$1:D$1048576" r="E9" sId="7"/>
    <undo index="65535" exp="area" ref3D="1" dr="Y$1:Y$1048576" r="E9" sId="7"/>
    <undo index="1" exp="area" ref3D="1" dr="D$1:D$1048576" r="E9" sId="7"/>
    <undo index="65535" exp="area" ref3D="1" dr="Z$1:Z$1048576" r="D9" sId="7"/>
    <undo index="8" exp="area" ref3D="1" dr="D$1:D$1048576" r="D9" sId="7"/>
    <undo index="65535" exp="area" ref3D="1" dr="Y$1:Y$1048576" r="D9" sId="7"/>
    <undo index="1" exp="area" ref3D="1" dr="D$1:D$1048576" r="D9" sId="7"/>
    <undo index="65535" exp="area" ref3D="1" dr="Z$1:Z$1048576" r="H8" sId="7"/>
    <undo index="0" exp="area" ref3D="1" dr="D$1:D$1048576" r="H8" sId="7"/>
    <undo index="65535" exp="area" ref3D="1" dr="Z$1:Z$1048576" r="G8" sId="7"/>
    <undo index="0" exp="area" ref3D="1" dr="D$1:D$1048576" r="G8" sId="7"/>
    <undo index="65535" exp="area" ref3D="1" dr="Z$1:Z$1048576" r="F8" sId="7"/>
    <undo index="0" exp="area" ref3D="1" dr="D$1:D$1048576" r="F8" sId="7"/>
    <undo index="65535" exp="area" ref3D="1" dr="Z$1:Z$1048576" r="E8" sId="7"/>
    <undo index="0" exp="area" ref3D="1" dr="D$1:D$1048576" r="E8" sId="7"/>
    <undo index="65535" exp="area" ref3D="1" dr="Z$1:Z$1048576" r="D8" sId="7"/>
    <undo index="0" exp="area" ref3D="1" dr="D$1:D$1048576" r="D8" sId="7"/>
    <undo index="65535" exp="area" ref3D="1" dr="Y$1:Y$1048576" r="H7" sId="7"/>
    <undo index="0" exp="area" ref3D="1" dr="D$1:D$1048576" r="H7" sId="7"/>
    <undo index="65535" exp="area" ref3D="1" dr="Y$1:Y$1048576" r="G7" sId="7"/>
    <undo index="0" exp="area" ref3D="1" dr="D$1:D$1048576" r="G7" sId="7"/>
    <undo index="65535" exp="area" ref3D="1" dr="Y$1:Y$1048576" r="F7" sId="7"/>
    <undo index="0" exp="area" ref3D="1" dr="D$1:D$1048576" r="F7" sId="7"/>
    <undo index="65535" exp="area" ref3D="1" dr="Y$1:Y$1048576" r="E7" sId="7"/>
    <undo index="0" exp="area" ref3D="1" dr="D$1:D$1048576" r="E7" sId="7"/>
    <undo index="65535" exp="area" ref3D="1" dr="Y$1:Y$1048576" r="D7" sId="7"/>
    <undo index="0" exp="area" ref3D="1" dr="D$1:D$1048576" r="D7" sId="7"/>
    <undo index="65535" exp="area" ref3D="1" dr="W$1:W$1048576" r="H6" sId="7"/>
    <undo index="8" exp="area" ref3D="1" dr="D$1:D$1048576" r="H6" sId="7"/>
    <undo index="65535" exp="area" ref3D="1" dr="V$1:V$1048576" r="H6" sId="7"/>
    <undo index="1" exp="area" ref3D="1" dr="D$1:D$1048576" r="H6" sId="7"/>
    <undo index="65535" exp="area" ref3D="1" dr="W$1:W$1048576" r="G6" sId="7"/>
    <undo index="8" exp="area" ref3D="1" dr="D$1:D$1048576" r="G6" sId="7"/>
    <undo index="65535" exp="area" ref3D="1" dr="V$1:V$1048576" r="G6" sId="7"/>
    <undo index="1" exp="area" ref3D="1" dr="D$1:D$1048576" r="G6" sId="7"/>
    <undo index="65535" exp="area" ref3D="1" dr="V$1:V$1048576" r="F6" sId="7"/>
    <undo index="1" exp="area" ref3D="1" dr="D$1:D$1048576" r="F6" sId="7"/>
    <undo index="65535" exp="area" ref3D="1" dr="W$1:W$1048576" r="E6" sId="7"/>
    <undo index="8" exp="area" ref3D="1" dr="D$1:D$1048576" r="E6" sId="7"/>
    <undo index="65535" exp="area" ref3D="1" dr="V$1:V$1048576" r="E6" sId="7"/>
    <undo index="1" exp="area" ref3D="1" dr="D$1:D$1048576" r="E6" sId="7"/>
    <undo index="65535" exp="area" ref3D="1" dr="W$1:W$1048576" r="D6" sId="7"/>
    <undo index="8" exp="area" ref3D="1" dr="D$1:D$1048576" r="D6" sId="7"/>
    <undo index="65535" exp="area" ref3D="1" dr="V$1:V$1048576" r="D6" sId="7"/>
    <undo index="1" exp="area" ref3D="1" dr="D$1:D$1048576" r="D6" sId="7"/>
    <undo index="65535" exp="area" ref3D="1" dr="W$1:W$1048576" r="H5" sId="7"/>
    <undo index="0" exp="area" ref3D="1" dr="D$1:D$1048576" r="H5" sId="7"/>
    <undo index="65535" exp="area" ref3D="1" dr="W$1:W$1048576" r="G5" sId="7"/>
    <undo index="0" exp="area" ref3D="1" dr="D$1:D$1048576" r="G5" sId="7"/>
    <undo index="65535" exp="area" ref3D="1" dr="W$1:W$1048576" r="F5" sId="7"/>
    <undo index="0" exp="area" ref3D="1" dr="D$1:D$1048576" r="F5" sId="7"/>
    <undo index="65535" exp="area" ref3D="1" dr="W$1:W$1048576" r="E5" sId="7"/>
    <undo index="0" exp="area" ref3D="1" dr="D$1:D$1048576" r="E5" sId="7"/>
    <undo index="65535" exp="area" ref3D="1" dr="W$1:W$1048576" r="D5" sId="7"/>
    <undo index="0" exp="area" ref3D="1" dr="D$1:D$1048576" r="D5" sId="7"/>
    <undo index="65535" exp="area" ref3D="1" dr="V$1:V$1048576" r="H4" sId="7"/>
    <undo index="0" exp="area" ref3D="1" dr="D$1:D$1048576" r="H4" sId="7"/>
    <undo index="65535" exp="area" ref3D="1" dr="V$1:V$1048576" r="G4" sId="7"/>
    <undo index="0" exp="area" ref3D="1" dr="D$1:D$1048576" r="G4" sId="7"/>
    <undo index="65535" exp="area" ref3D="1" dr="V$1:V$1048576" r="F4" sId="7"/>
    <undo index="0" exp="area" ref3D="1" dr="D$1:D$1048576" r="F4" sId="7"/>
    <undo index="65535" exp="area" ref3D="1" dr="V$1:V$1048576" r="E4" sId="7"/>
    <undo index="0" exp="area" ref3D="1" dr="D$1:D$1048576" r="E4" sId="7"/>
    <undo index="65535" exp="area" ref3D="1" dr="V$1:V$1048576" r="D4" sId="7"/>
    <undo index="0" exp="area" ref3D="1" dr="D$1:D$1048576" r="D4" sId="7"/>
    <undo index="0" exp="area" ref3D="1" dr="D$1:D$1048576" r="H3" sId="7"/>
    <undo index="0" exp="area" ref3D="1" dr="D$1:D$1048576" r="G3" sId="7"/>
    <undo index="0" exp="area" ref3D="1" dr="D$1:D$1048576" r="F3" sId="7"/>
    <undo index="0" exp="area" ref3D="1" dr="D$1:D$1048576" r="E3" sId="7"/>
    <undo index="0" exp="area" ref3D="1" dr="D$1:D$1048576" r="D3" sId="7"/>
    <undo index="65535" exp="area" ref3D="1" dr="$AI$1:$AJ$1048576" dn="Z_94F6EF88_F3F3_4147_A0A6_D7D872310F87_.wvu.Cols" sId="3"/>
    <undo index="65535" exp="area" ref3D="1" dr="$O$1:$AK$1048576" dn="Z_FB6FFE74_0C5E_48AD_A444_AFDEA41DCEE7_.wvu.Cols" sId="3"/>
    <undo index="1" exp="area" ref3D="1" dr="$AI$1:$AJ$1048576" dn="Z_FB6FFE74_0C5E_48AD_A444_AFDEA41DCEE7_.wvu.Cols" sId="3"/>
    <undo index="65535" exp="area" ref3D="1" dr="$O$1:$AK$1048576" dn="Z_D07BD0C8_2C09_49D9_B9AE_43882E41A1A1_.wvu.Cols" sId="3"/>
    <undo index="1" exp="area" ref3D="1" dr="$AI$1:$AJ$1048576" dn="Z_D07BD0C8_2C09_49D9_B9AE_43882E41A1A1_.wvu.Cols" sId="3"/>
    <undo index="65535" exp="area" ref3D="1" dr="$AI$1:$AJ$1048576" dn="Z_D096FF35_542B_4691_BEFD_FD1E12D459D4_.wvu.Cols" sId="3"/>
    <undo index="65535" exp="area" ref3D="1" dr="$Q$1:$U$1048576" dn="Z_D096FF35_542B_4691_BEFD_FD1E12D459D4_.wvu.Cols" sId="3"/>
    <undo index="65535" exp="area" ref3D="1" dr="$S$1:$T$1048576" dn="Z_CEA4BE4F_081E_4347_B6DC_7D60391B2BEE_.wvu.Cols" sId="3"/>
    <undo index="65535" exp="area" ref3D="1" dr="$M$1:$M$1048576" dn="Z_CEA4BE4F_081E_4347_B6DC_7D60391B2BEE_.wvu.Cols" sId="3"/>
    <undo index="65535" exp="area" ref3D="1" dr="$J$1:$J$1048576" dn="Z_CEA4BE4F_081E_4347_B6DC_7D60391B2BEE_.wvu.Cols" sId="3"/>
    <undo index="65535" exp="area" ref3D="1" dr="$AI$1:$AJ$1048576" dn="Z_CEA4BE4F_081E_4347_B6DC_7D60391B2BEE_.wvu.Cols" sId="3"/>
    <undo index="65535" exp="area" ref3D="1" dr="$AR$1:$AT$1048576" dn="Z_D9487573_9FA2_497E_843A_7FF8258CCFB0_.wvu.Cols" sId="3"/>
    <undo index="65535" exp="area" ref3D="1" dr="$AI$1:$AJ$1048576" dn="Z_D15C44AF_0188_43AD_85C3_723784A3432F_.wvu.Cols" sId="3"/>
    <undo index="1" exp="area" ref3D="1" dr="$Q$1:$U$1048576" dn="Z_D15C44AF_0188_43AD_85C3_723784A3432F_.wvu.Cols" sId="3"/>
    <undo index="65535" exp="area" ref3D="1" dr="$AI$1:$AJ$1048576" dn="Z_B32DF6D4_B4FC_4D21_932F_8389C8D7FEB3_.wvu.Cols" sId="3"/>
    <undo index="1" exp="area" ref3D="1" dr="$Q$1:$U$1048576" dn="Z_B32DF6D4_B4FC_4D21_932F_8389C8D7FEB3_.wvu.Cols" sId="3"/>
    <undo index="65535" exp="area" ref3D="1" dr="$I$1:$U$1048576" dn="Z_9C42C749_E16E_4DC0_991F_1D38A2D3BBE1_.wvu.Cols" sId="3"/>
    <undo index="65535" exp="area" ref3D="1" dr="$AI$1:$AJ$1048576" dn="Z_7AA70812_ECD5_46F1_9429_36F5BE8AAEE9_.wvu.Cols" sId="3"/>
    <undo index="1" exp="area" ref3D="1" dr="$I$1:$AE$1048576" dn="Z_7AA70812_ECD5_46F1_9429_36F5BE8AAEE9_.wvu.Cols" sId="3"/>
    <undo index="65535" exp="area" ref3D="1" dr="$AI$1:$AJ$1048576" dn="Z_8743E475_82A8_40E3_A89F_2D0E584F91E0_.wvu.Cols" sId="3"/>
    <undo index="65535" exp="area" ref3D="1" dr="$AR$1:$AT$1048576" dn="Z_707CEF9F_EED6_45AD_A30A_C07C3CF5D13E_.wvu.Cols" sId="3"/>
    <undo index="65535" exp="area" ref3D="1" dr="$AI$1:$AJ$1048576" dn="Z_8469C684_BE99_40EE_BB9E_2CBDA6F12C64_.wvu.Cols" sId="3"/>
    <undo index="65535" exp="area" ref3D="1" dr="$AI$1:$AJ$1048576" dn="Z_53F47E00_189D_4661_B9AF_1164B563763A_.wvu.Cols" sId="3"/>
    <undo index="1" exp="area" ref3D="1" dr="$I$1:$AE$1048576" dn="Z_53F47E00_189D_4661_B9AF_1164B563763A_.wvu.Cols" sId="3"/>
    <undo index="65535" exp="area" ref3D="1" dr="$AR$1:$AT$1048576" dn="Z_4F87B191_53F3_42C1_9336_83B180F7078E_.wvu.Cols" sId="3"/>
    <undo index="65535" exp="area" ref3D="1" dr="$AR$1:$AT$1048576" dn="Z_2D2FCC89_2534_40CD_805E_03DAE79152F6_.wvu.Cols" sId="3"/>
    <undo index="65535" exp="area" ref3D="1" dr="$O$1:$AK$1048576" dn="Z_29BBA2BD_61C8_4425_A2CE_5D8CF2C4358E_.wvu.Cols" sId="3"/>
    <undo index="1" exp="area" ref3D="1" dr="$AI$1:$AJ$1048576" dn="Z_29BBA2BD_61C8_4425_A2CE_5D8CF2C4358E_.wvu.Cols" sId="3"/>
    <undo index="65535" exp="area" ref3D="1" dr="$AR$1:$AT$1048576" dn="Z_124A8991_0BD8_45C5_BD34_63CBDC6C6248_.wvu.Cols" sId="3"/>
    <undo index="1" exp="area" ref3D="1" dr="$AI$1:$AJ$1048576" dn="Z_124A8991_0BD8_45C5_BD34_63CBDC6C6248_.wvu.Cols" sId="3"/>
  </rrc>
  <rcc rId="880" sId="3" numFmtId="19">
    <nc r="C46">
      <v>44307</v>
    </nc>
  </rcc>
  <rcc rId="881" sId="3" numFmtId="19">
    <nc r="C50">
      <v>44306</v>
    </nc>
  </rcc>
  <rfmt sheetId="3" sqref="A6:AI6 AL6:XFD6">
    <dxf>
      <fill>
        <patternFill>
          <bgColor theme="7" tint="0.79998168889431442"/>
        </patternFill>
      </fill>
    </dxf>
  </rfmt>
  <rfmt sheetId="3" sqref="A46:AI46 AL46:XFD46">
    <dxf>
      <fill>
        <patternFill>
          <bgColor theme="7" tint="0.79998168889431442"/>
        </patternFill>
      </fill>
    </dxf>
  </rfmt>
  <rfmt sheetId="3" sqref="A50:AI50 AL50:XFD50">
    <dxf>
      <fill>
        <patternFill>
          <bgColor theme="7" tint="0.79998168889431442"/>
        </patternFill>
      </fill>
    </dxf>
  </rfmt>
  <rcc rId="882" sId="3" numFmtId="19">
    <nc r="C88">
      <v>44306</v>
    </nc>
  </rcc>
  <rcc rId="883" sId="3" numFmtId="19">
    <nc r="C96">
      <v>44305</v>
    </nc>
  </rcc>
  <rcc rId="884" sId="3" numFmtId="19">
    <nc r="C98">
      <v>44306</v>
    </nc>
  </rcc>
  <rfmt sheetId="3" sqref="A88:AI88 AL88:XFD88">
    <dxf>
      <fill>
        <patternFill>
          <bgColor theme="7" tint="0.79998168889431442"/>
        </patternFill>
      </fill>
    </dxf>
  </rfmt>
  <rfmt sheetId="3" sqref="A96:AI96 AL96:XFD96">
    <dxf>
      <fill>
        <patternFill>
          <bgColor theme="7" tint="0.79998168889431442"/>
        </patternFill>
      </fill>
    </dxf>
  </rfmt>
  <rfmt sheetId="3" sqref="A98:AI98 AL98:XFD98">
    <dxf>
      <fill>
        <patternFill>
          <bgColor theme="7" tint="0.79998168889431442"/>
        </patternFill>
      </fill>
    </dxf>
  </rfmt>
  <rcc rId="885" sId="3" numFmtId="19">
    <nc r="C55">
      <v>44330</v>
    </nc>
  </rcc>
  <rfmt sheetId="3" sqref="A55:AI55 AL55:XFD55">
    <dxf>
      <fill>
        <patternFill>
          <bgColor theme="7" tint="0.79998168889431442"/>
        </patternFill>
      </fill>
    </dxf>
  </rfmt>
  <rfmt sheetId="3" sqref="A55:AI55 AL55:XFD55">
    <dxf>
      <fill>
        <patternFill>
          <bgColor theme="5" tint="0.79998168889431442"/>
        </patternFill>
      </fill>
    </dxf>
  </rfmt>
  <rfmt sheetId="3" sqref="A6:AI6 AL6:XFD6">
    <dxf>
      <fill>
        <patternFill patternType="none">
          <bgColor auto="1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3" numFmtId="19">
    <nc r="C43">
      <v>44305</v>
    </nc>
  </rcc>
  <rfmt sheetId="3" sqref="A43:AI43 AL43:XFD43">
    <dxf>
      <fill>
        <patternFill>
          <bgColor theme="7" tint="0.79998168889431442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4F6EF88-F3F3-4147-A0A6-D7D872310F87}" action="delete"/>
  <rdn rId="0" localSheetId="1" customView="1" name="Z_94F6EF88_F3F3_4147_A0A6_D7D872310F87_.wvu.PrintArea" hidden="1" oldHidden="1">
    <formula>'개정 이력'!$A$1:$G$27</formula>
    <oldFormula>'개정 이력'!$A$1:$G$27</oldFormula>
  </rdn>
  <rdn rId="0" localSheetId="3" customView="1" name="Z_94F6EF88_F3F3_4147_A0A6_D7D872310F87_.wvu.Cols" hidden="1" oldHidden="1">
    <formula>'Interface 현황 List'!$AJ:$AK</formula>
    <oldFormula>'Interface 현황 List'!$AJ:$AK</oldFormula>
  </rdn>
  <rdn rId="0" localSheetId="3" customView="1" name="Z_94F6EF88_F3F3_4147_A0A6_D7D872310F87_.wvu.FilterData" hidden="1" oldHidden="1">
    <formula>'Interface 현황 List'!$A$2:$AR$104</formula>
    <oldFormula>'Interface 현황 List'!$A$2:$AR$104</oldFormula>
  </rdn>
  <rcv guid="{94F6EF88-F3F3-4147-A0A6-D7D872310F8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9CEAE28C-99AB-44C4-A6D3-415F8E14E294}" name="정한석" id="-92846864" dateTime="2021-04-06T10:34:03"/>
  <userInfo guid="{46CCC460-4DAB-4532-8B62-DC78F75194DF}" name="탁창범" id="-381956548" dateTime="2021-04-12T11:35:53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11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37.bin"/><Relationship Id="rId10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36.bin"/><Relationship Id="rId9" Type="http://schemas.openxmlformats.org/officeDocument/2006/relationships/printerSettings" Target="../printerSettings/printerSettings4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showGridLines="0" view="pageBreakPreview" zoomScale="70" zoomScaleNormal="70" zoomScaleSheetLayoutView="70" workbookViewId="0">
      <selection activeCell="E11" sqref="E11"/>
    </sheetView>
  </sheetViews>
  <sheetFormatPr defaultRowHeight="16.5" x14ac:dyDescent="0.3"/>
  <cols>
    <col min="1" max="1" width="4" customWidth="1"/>
    <col min="2" max="2" width="11.75" customWidth="1"/>
    <col min="3" max="3" width="55.375" customWidth="1"/>
    <col min="4" max="5" width="17.75" customWidth="1"/>
    <col min="6" max="6" width="21.25" customWidth="1"/>
    <col min="7" max="7" width="4" customWidth="1"/>
  </cols>
  <sheetData>
    <row r="1" spans="1:6" ht="49.9" customHeight="1" x14ac:dyDescent="0.3"/>
    <row r="2" spans="1:6" ht="17.25" x14ac:dyDescent="0.3">
      <c r="B2" s="1" t="s">
        <v>31</v>
      </c>
    </row>
    <row r="3" spans="1:6" ht="17.25" x14ac:dyDescent="0.3">
      <c r="B3" s="1" t="s">
        <v>32</v>
      </c>
    </row>
    <row r="4" spans="1:6" ht="17.25" x14ac:dyDescent="0.3">
      <c r="B4" s="1"/>
    </row>
    <row r="5" spans="1:6" ht="17.25" x14ac:dyDescent="0.3">
      <c r="B5" s="1" t="s">
        <v>33</v>
      </c>
    </row>
    <row r="6" spans="1:6" x14ac:dyDescent="0.3">
      <c r="A6" s="2"/>
    </row>
    <row r="7" spans="1:6" x14ac:dyDescent="0.3">
      <c r="B7" s="226" t="s">
        <v>34</v>
      </c>
      <c r="C7" s="226" t="s">
        <v>35</v>
      </c>
      <c r="D7" s="226" t="s">
        <v>36</v>
      </c>
      <c r="E7" s="226"/>
      <c r="F7" s="226" t="s">
        <v>37</v>
      </c>
    </row>
    <row r="8" spans="1:6" x14ac:dyDescent="0.3">
      <c r="B8" s="226"/>
      <c r="C8" s="226"/>
      <c r="D8" s="3" t="s">
        <v>38</v>
      </c>
      <c r="E8" s="3" t="s">
        <v>39</v>
      </c>
      <c r="F8" s="226"/>
    </row>
    <row r="9" spans="1:6" x14ac:dyDescent="0.3">
      <c r="B9" s="4" t="s">
        <v>40</v>
      </c>
      <c r="C9" s="5" t="s">
        <v>41</v>
      </c>
      <c r="D9" s="4" t="s">
        <v>29</v>
      </c>
      <c r="E9" s="4" t="s">
        <v>42</v>
      </c>
      <c r="F9" s="5"/>
    </row>
    <row r="10" spans="1:6" x14ac:dyDescent="0.3">
      <c r="B10" s="4" t="s">
        <v>65</v>
      </c>
      <c r="C10" s="5" t="s">
        <v>66</v>
      </c>
      <c r="D10" s="4" t="s">
        <v>67</v>
      </c>
      <c r="E10" s="4" t="s">
        <v>68</v>
      </c>
      <c r="F10" s="5"/>
    </row>
    <row r="11" spans="1:6" x14ac:dyDescent="0.3">
      <c r="B11" s="4"/>
      <c r="C11" s="5"/>
      <c r="D11" s="4"/>
      <c r="E11" s="4"/>
      <c r="F11" s="5"/>
    </row>
    <row r="12" spans="1:6" x14ac:dyDescent="0.3">
      <c r="B12" s="4"/>
      <c r="C12" s="5"/>
      <c r="D12" s="4"/>
      <c r="E12" s="4"/>
      <c r="F12" s="5"/>
    </row>
    <row r="13" spans="1:6" x14ac:dyDescent="0.3">
      <c r="B13" s="4"/>
      <c r="C13" s="5"/>
      <c r="D13" s="4"/>
      <c r="E13" s="4"/>
      <c r="F13" s="5"/>
    </row>
    <row r="14" spans="1:6" x14ac:dyDescent="0.3">
      <c r="B14" s="4"/>
      <c r="C14" s="5"/>
      <c r="D14" s="4"/>
      <c r="E14" s="4"/>
      <c r="F14" s="5"/>
    </row>
    <row r="15" spans="1:6" x14ac:dyDescent="0.3">
      <c r="B15" s="4"/>
      <c r="C15" s="5"/>
      <c r="D15" s="4"/>
      <c r="E15" s="4"/>
      <c r="F15" s="5"/>
    </row>
    <row r="16" spans="1:6" x14ac:dyDescent="0.3">
      <c r="B16" s="4"/>
      <c r="C16" s="5"/>
      <c r="D16" s="4"/>
      <c r="E16" s="4"/>
      <c r="F16" s="5"/>
    </row>
    <row r="17" spans="2:6" x14ac:dyDescent="0.3">
      <c r="B17" s="4"/>
      <c r="C17" s="5"/>
      <c r="D17" s="4"/>
      <c r="E17" s="4"/>
      <c r="F17" s="5"/>
    </row>
    <row r="18" spans="2:6" x14ac:dyDescent="0.3">
      <c r="B18" s="4"/>
      <c r="C18" s="5"/>
      <c r="D18" s="4"/>
      <c r="E18" s="4"/>
      <c r="F18" s="5"/>
    </row>
    <row r="19" spans="2:6" x14ac:dyDescent="0.3">
      <c r="B19" s="4"/>
      <c r="C19" s="5"/>
      <c r="D19" s="4"/>
      <c r="E19" s="4"/>
      <c r="F19" s="5"/>
    </row>
    <row r="20" spans="2:6" x14ac:dyDescent="0.3">
      <c r="B20" s="4"/>
      <c r="C20" s="5"/>
      <c r="D20" s="4"/>
      <c r="E20" s="4"/>
      <c r="F20" s="5"/>
    </row>
    <row r="21" spans="2:6" x14ac:dyDescent="0.3">
      <c r="B21" s="4"/>
      <c r="C21" s="5"/>
      <c r="D21" s="4"/>
      <c r="E21" s="4"/>
      <c r="F21" s="5"/>
    </row>
    <row r="22" spans="2:6" x14ac:dyDescent="0.3">
      <c r="B22" s="4"/>
      <c r="C22" s="5"/>
      <c r="D22" s="4"/>
      <c r="E22" s="4"/>
      <c r="F22" s="5"/>
    </row>
    <row r="23" spans="2:6" x14ac:dyDescent="0.3">
      <c r="B23" s="4"/>
      <c r="C23" s="5"/>
      <c r="D23" s="4"/>
      <c r="E23" s="4"/>
      <c r="F23" s="5"/>
    </row>
    <row r="24" spans="2:6" x14ac:dyDescent="0.3">
      <c r="B24" s="4"/>
      <c r="C24" s="5"/>
      <c r="D24" s="4"/>
      <c r="E24" s="4"/>
      <c r="F24" s="5"/>
    </row>
  </sheetData>
  <customSheetViews>
    <customSheetView guid="{94F6EF88-F3F3-4147-A0A6-D7D872310F87}" scale="70" showPageBreaks="1" showGridLines="0" fitToPage="1" printArea="1" state="hidden" view="pageBreakPreview">
      <selection activeCell="E11" sqref="E11"/>
      <pageMargins left="0.7" right="0.7" top="0.75" bottom="0.75" header="0.3" footer="0.3"/>
      <pageSetup paperSize="9" scale="91" orientation="landscape" r:id="rId1"/>
    </customSheetView>
    <customSheetView guid="{8743E475-82A8-40E3-A89F-2D0E584F91E0}" scale="70" showPageBreaks="1" showGridLines="0" fitToPage="1" printArea="1" state="hidden" view="pageBreakPreview">
      <selection activeCell="E11" sqref="E11"/>
      <pageMargins left="0.7" right="0.7" top="0.75" bottom="0.75" header="0.3" footer="0.3"/>
      <pageSetup paperSize="9" scale="91" orientation="landscape" r:id="rId2"/>
    </customSheetView>
    <customSheetView guid="{7AA70812-ECD5-46F1-9429-36F5BE8AAEE9}" scale="70" showPageBreaks="1" showGridLines="0" fitToPage="1" printArea="1" view="pageBreakPreview">
      <selection activeCell="E11" sqref="E11"/>
      <pageMargins left="0.7" right="0.7" top="0.75" bottom="0.75" header="0.3" footer="0.3"/>
      <pageSetup paperSize="9" scale="91" orientation="landscape" r:id="rId3"/>
    </customSheetView>
    <customSheetView guid="{D15C44AF-0188-43AD-85C3-723784A3432F}" scale="70" showPageBreaks="1" showGridLines="0" fitToPage="1" printArea="1" view="pageBreakPreview">
      <selection activeCell="AJ6" sqref="AJ6"/>
      <pageMargins left="0.7" right="0.7" top="0.75" bottom="0.75" header="0.3" footer="0.3"/>
      <pageSetup paperSize="9" scale="91" orientation="landscape" r:id="rId4"/>
    </customSheetView>
    <customSheetView guid="{9C42C749-E16E-4DC0-991F-1D38A2D3BBE1}" scale="70" showPageBreaks="1" showGridLines="0" fitToPage="1" printArea="1" view="pageBreakPreview">
      <selection activeCell="AJ6" sqref="AJ6"/>
      <pageMargins left="0.7" right="0.7" top="0.75" bottom="0.75" header="0.3" footer="0.3"/>
      <pageSetup paperSize="9" scale="91" orientation="landscape" r:id="rId5"/>
    </customSheetView>
    <customSheetView guid="{53F47E00-189D-4661-B9AF-1164B563763A}" scale="70" showPageBreaks="1" showGridLines="0" fitToPage="1" printArea="1" view="pageBreakPreview">
      <selection activeCell="E11" sqref="E11"/>
      <pageMargins left="0.7" right="0.7" top="0.75" bottom="0.75" header="0.3" footer="0.3"/>
      <pageSetup paperSize="9" scale="91" orientation="landscape" r:id="rId6"/>
    </customSheetView>
    <customSheetView guid="{CEA4BE4F-081E-4347-B6DC-7D60391B2BEE}" scale="70" showPageBreaks="1" showGridLines="0" fitToPage="1" printArea="1" view="pageBreakPreview">
      <selection activeCell="AJ6" sqref="AJ6"/>
      <pageMargins left="0.7" right="0.7" top="0.75" bottom="0.75" header="0.3" footer="0.3"/>
      <pageSetup paperSize="9" scale="91" orientation="landscape" r:id="rId7"/>
    </customSheetView>
    <customSheetView guid="{D096FF35-542B-4691-BEFD-FD1E12D459D4}" scale="70" showPageBreaks="1" showGridLines="0" fitToPage="1" printArea="1" view="pageBreakPreview">
      <selection activeCell="AJ6" sqref="AJ6"/>
      <pageMargins left="0.7" right="0.7" top="0.75" bottom="0.75" header="0.3" footer="0.3"/>
      <pageSetup paperSize="9" scale="91" orientation="landscape" r:id="rId8"/>
    </customSheetView>
    <customSheetView guid="{B32DF6D4-B4FC-4D21-932F-8389C8D7FEB3}" scale="70" showPageBreaks="1" showGridLines="0" fitToPage="1" printArea="1" view="pageBreakPreview">
      <selection activeCell="AJ6" sqref="AJ6"/>
      <pageMargins left="0.7" right="0.7" top="0.75" bottom="0.75" header="0.3" footer="0.3"/>
      <pageSetup paperSize="9" scale="91" orientation="landscape" r:id="rId9"/>
    </customSheetView>
    <customSheetView guid="{8469C684-BE99-40EE-BB9E-2CBDA6F12C64}" scale="70" showPageBreaks="1" showGridLines="0" fitToPage="1" printArea="1" view="pageBreakPreview">
      <selection activeCell="E11" sqref="E11"/>
      <pageMargins left="0.7" right="0.7" top="0.75" bottom="0.75" header="0.3" footer="0.3"/>
      <pageSetup paperSize="9" scale="91" orientation="landscape" r:id="rId10"/>
    </customSheetView>
  </customSheetViews>
  <mergeCells count="4">
    <mergeCell ref="B7:B8"/>
    <mergeCell ref="C7:C8"/>
    <mergeCell ref="D7:E7"/>
    <mergeCell ref="F7:F8"/>
  </mergeCells>
  <phoneticPr fontId="1" type="noConversion"/>
  <pageMargins left="0.7" right="0.7" top="0.75" bottom="0.75" header="0.3" footer="0.3"/>
  <pageSetup paperSize="9" scale="91" orientation="landscape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80"/>
  <sheetViews>
    <sheetView zoomScale="80" zoomScaleNormal="80" workbookViewId="0">
      <selection activeCell="R8" sqref="R8"/>
    </sheetView>
  </sheetViews>
  <sheetFormatPr defaultRowHeight="16.5" x14ac:dyDescent="0.3"/>
  <cols>
    <col min="3" max="4" width="17.125" bestFit="1" customWidth="1"/>
    <col min="5" max="5" width="2.25" customWidth="1"/>
    <col min="6" max="7" width="11" bestFit="1" customWidth="1"/>
    <col min="8" max="8" width="2.25" customWidth="1"/>
    <col min="11" max="11" width="2.25" customWidth="1"/>
    <col min="12" max="13" width="10.75" bestFit="1" customWidth="1"/>
    <col min="14" max="14" width="2.25" customWidth="1"/>
    <col min="15" max="15" width="14.875" bestFit="1" customWidth="1"/>
  </cols>
  <sheetData>
    <row r="2" spans="2:24" x14ac:dyDescent="0.3">
      <c r="B2" s="41" t="s">
        <v>240</v>
      </c>
      <c r="V2" s="30"/>
      <c r="W2" s="31"/>
      <c r="X2" s="32"/>
    </row>
    <row r="3" spans="2:24" x14ac:dyDescent="0.3">
      <c r="V3" s="33"/>
      <c r="W3" s="34"/>
      <c r="X3" s="35"/>
    </row>
    <row r="4" spans="2:24" x14ac:dyDescent="0.3">
      <c r="C4" s="28" t="s">
        <v>190</v>
      </c>
      <c r="D4" s="28" t="s">
        <v>191</v>
      </c>
      <c r="E4" s="28"/>
      <c r="F4" s="28" t="s">
        <v>192</v>
      </c>
      <c r="G4" s="28" t="s">
        <v>193</v>
      </c>
      <c r="H4" s="28"/>
      <c r="I4" s="28" t="s">
        <v>185</v>
      </c>
      <c r="J4" s="28" t="s">
        <v>186</v>
      </c>
      <c r="K4" s="28"/>
      <c r="L4" s="28" t="s">
        <v>187</v>
      </c>
      <c r="M4" s="28" t="s">
        <v>188</v>
      </c>
      <c r="N4" s="28"/>
      <c r="O4" s="28" t="s">
        <v>189</v>
      </c>
      <c r="Q4" s="29"/>
      <c r="V4" s="33"/>
      <c r="W4" s="34"/>
      <c r="X4" s="35"/>
    </row>
    <row r="5" spans="2:24" x14ac:dyDescent="0.3">
      <c r="B5" s="24" t="s">
        <v>242</v>
      </c>
      <c r="C5" t="e">
        <f>SUMPRODUCT(($C$42:$O$42=C$4)*($B$45:$B$80=$B5),$C$45:$O$80)</f>
        <v>#REF!</v>
      </c>
      <c r="D5" t="e">
        <f>SUMPRODUCT(($C$42:$O$42=D$4)*($B$45:$B$80=$B5),$C$45:$O$80)</f>
        <v>#REF!</v>
      </c>
      <c r="F5" t="e">
        <f>SUMPRODUCT(($C$42:$O$42=F$4)*($B$45:$B$80=$B5),$C$45:$O$80)</f>
        <v>#REF!</v>
      </c>
      <c r="G5" t="e">
        <f>SUMPRODUCT(($C$42:$O$42=G$4)*($B$45:$B$80=$B5),$C$45:$O$80)</f>
        <v>#REF!</v>
      </c>
      <c r="I5" t="e">
        <f>SUMPRODUCT(($C$42:$O$42=I$4)*($B$45:$B$80=$B5),$C$45:$O$80)</f>
        <v>#REF!</v>
      </c>
      <c r="J5" t="e">
        <f>SUMPRODUCT(($C$42:$O$42=J$4)*($B$45:$B$80=$B5),$C$45:$O$80)</f>
        <v>#REF!</v>
      </c>
      <c r="L5" t="e">
        <f>SUMPRODUCT(($C$42:$O$42=L$4)*($B$45:$B$80=$B5),$C$45:$O$80)</f>
        <v>#REF!</v>
      </c>
      <c r="M5" t="e">
        <f>SUMPRODUCT(($C$42:$O$42=M$4)*($B$45:$B$80=$B5),$C$45:$O$80)</f>
        <v>#REF!</v>
      </c>
      <c r="O5" t="e">
        <f>SUMPRODUCT(($C$42:$O$42=O$4)*($B$45:$B$80=$B5),$C$45:$O$80)</f>
        <v>#REF!</v>
      </c>
      <c r="V5" s="33"/>
      <c r="W5" s="34"/>
      <c r="X5" s="35"/>
    </row>
    <row r="6" spans="2:24" x14ac:dyDescent="0.3">
      <c r="V6" s="33"/>
      <c r="W6" s="34"/>
      <c r="X6" s="35"/>
    </row>
    <row r="7" spans="2:24" x14ac:dyDescent="0.3">
      <c r="V7" s="33"/>
      <c r="W7" s="34"/>
      <c r="X7" s="35"/>
    </row>
    <row r="8" spans="2:24" x14ac:dyDescent="0.3">
      <c r="V8" s="33"/>
      <c r="W8" s="34"/>
      <c r="X8" s="35"/>
    </row>
    <row r="9" spans="2:24" x14ac:dyDescent="0.3">
      <c r="V9" s="33"/>
      <c r="W9" s="34"/>
      <c r="X9" s="35"/>
    </row>
    <row r="10" spans="2:24" x14ac:dyDescent="0.3">
      <c r="V10" s="33"/>
      <c r="W10" s="34"/>
      <c r="X10" s="35"/>
    </row>
    <row r="11" spans="2:24" x14ac:dyDescent="0.3">
      <c r="V11" s="33"/>
      <c r="W11" s="34"/>
      <c r="X11" s="35"/>
    </row>
    <row r="12" spans="2:24" x14ac:dyDescent="0.3">
      <c r="V12" s="33"/>
      <c r="W12" s="34"/>
      <c r="X12" s="35"/>
    </row>
    <row r="13" spans="2:24" x14ac:dyDescent="0.3">
      <c r="V13" s="33"/>
      <c r="W13" s="34"/>
      <c r="X13" s="35"/>
    </row>
    <row r="14" spans="2:24" x14ac:dyDescent="0.3">
      <c r="V14" s="33"/>
      <c r="W14" s="34"/>
      <c r="X14" s="35"/>
    </row>
    <row r="15" spans="2:24" x14ac:dyDescent="0.3">
      <c r="V15" s="33"/>
      <c r="W15" s="34"/>
      <c r="X15" s="35"/>
    </row>
    <row r="16" spans="2:24" x14ac:dyDescent="0.3">
      <c r="V16" s="33"/>
      <c r="W16" s="34"/>
      <c r="X16" s="35"/>
    </row>
    <row r="17" spans="2:24" x14ac:dyDescent="0.3">
      <c r="V17" s="33"/>
      <c r="W17" s="34"/>
      <c r="X17" s="35"/>
    </row>
    <row r="18" spans="2:24" x14ac:dyDescent="0.3">
      <c r="V18" s="33"/>
      <c r="W18" s="34"/>
      <c r="X18" s="35"/>
    </row>
    <row r="19" spans="2:24" x14ac:dyDescent="0.3">
      <c r="V19" s="36"/>
      <c r="W19" s="37"/>
      <c r="X19" s="38"/>
    </row>
    <row r="22" spans="2:24" x14ac:dyDescent="0.3">
      <c r="B22" s="41" t="s">
        <v>241</v>
      </c>
    </row>
    <row r="23" spans="2:24" x14ac:dyDescent="0.3">
      <c r="C23" s="28" t="s">
        <v>190</v>
      </c>
      <c r="D23" s="28" t="s">
        <v>191</v>
      </c>
      <c r="E23" s="28"/>
      <c r="F23" s="28" t="s">
        <v>192</v>
      </c>
      <c r="G23" s="28" t="s">
        <v>193</v>
      </c>
      <c r="H23" s="28"/>
      <c r="I23" s="28" t="s">
        <v>185</v>
      </c>
      <c r="J23" s="28" t="s">
        <v>186</v>
      </c>
      <c r="K23" s="28"/>
      <c r="L23" s="28" t="s">
        <v>187</v>
      </c>
      <c r="M23" s="28" t="s">
        <v>188</v>
      </c>
      <c r="N23" s="28"/>
      <c r="O23" s="28" t="s">
        <v>189</v>
      </c>
    </row>
    <row r="24" spans="2:24" x14ac:dyDescent="0.3">
      <c r="B24" s="2" t="s">
        <v>241</v>
      </c>
      <c r="C24" t="e">
        <f>SUM(C45:C46)</f>
        <v>#REF!</v>
      </c>
      <c r="D24" t="e">
        <f t="shared" ref="D24:O24" si="0">SUM(D45:D46)</f>
        <v>#REF!</v>
      </c>
      <c r="E24">
        <f t="shared" si="0"/>
        <v>0</v>
      </c>
      <c r="F24" t="e">
        <f t="shared" si="0"/>
        <v>#REF!</v>
      </c>
      <c r="G24" t="e">
        <f t="shared" si="0"/>
        <v>#REF!</v>
      </c>
      <c r="H24">
        <f t="shared" si="0"/>
        <v>0</v>
      </c>
      <c r="I24" t="e">
        <f t="shared" si="0"/>
        <v>#REF!</v>
      </c>
      <c r="J24" t="e">
        <f t="shared" si="0"/>
        <v>#REF!</v>
      </c>
      <c r="K24">
        <f t="shared" si="0"/>
        <v>0</v>
      </c>
      <c r="L24" t="e">
        <f t="shared" si="0"/>
        <v>#REF!</v>
      </c>
      <c r="M24" t="e">
        <f t="shared" si="0"/>
        <v>#REF!</v>
      </c>
      <c r="N24">
        <f t="shared" si="0"/>
        <v>0</v>
      </c>
      <c r="O24" t="e">
        <f t="shared" si="0"/>
        <v>#REF!</v>
      </c>
    </row>
    <row r="41" spans="2:18" x14ac:dyDescent="0.3">
      <c r="C41" s="39" t="e">
        <f>SUM(C43:C80)</f>
        <v>#REF!</v>
      </c>
      <c r="D41" s="39" t="e">
        <f t="shared" ref="D41:O41" si="1">SUM(D43:D80)</f>
        <v>#REF!</v>
      </c>
      <c r="E41" s="39"/>
      <c r="F41" s="39" t="e">
        <f t="shared" si="1"/>
        <v>#REF!</v>
      </c>
      <c r="G41" s="39" t="e">
        <f t="shared" si="1"/>
        <v>#REF!</v>
      </c>
      <c r="H41" s="39"/>
      <c r="I41" s="39" t="e">
        <f t="shared" si="1"/>
        <v>#REF!</v>
      </c>
      <c r="J41" s="39" t="e">
        <f t="shared" si="1"/>
        <v>#REF!</v>
      </c>
      <c r="K41" s="39"/>
      <c r="L41" s="39" t="e">
        <f t="shared" si="1"/>
        <v>#REF!</v>
      </c>
      <c r="M41" s="39" t="e">
        <f t="shared" si="1"/>
        <v>#REF!</v>
      </c>
      <c r="N41" s="39"/>
      <c r="O41" s="39" t="e">
        <f t="shared" si="1"/>
        <v>#REF!</v>
      </c>
    </row>
    <row r="42" spans="2:18" x14ac:dyDescent="0.3">
      <c r="C42" s="28" t="s">
        <v>190</v>
      </c>
      <c r="D42" s="28" t="s">
        <v>191</v>
      </c>
      <c r="E42" s="28"/>
      <c r="F42" s="28" t="s">
        <v>192</v>
      </c>
      <c r="G42" s="28" t="s">
        <v>193</v>
      </c>
      <c r="H42" s="28"/>
      <c r="I42" s="28" t="s">
        <v>185</v>
      </c>
      <c r="J42" s="28" t="s">
        <v>186</v>
      </c>
      <c r="K42" s="28"/>
      <c r="L42" s="28" t="s">
        <v>187</v>
      </c>
      <c r="M42" s="28" t="s">
        <v>188</v>
      </c>
      <c r="N42" s="28"/>
      <c r="O42" s="28" t="s">
        <v>189</v>
      </c>
      <c r="P42" s="28"/>
      <c r="Q42" s="28"/>
      <c r="R42" s="28"/>
    </row>
    <row r="43" spans="2:18" x14ac:dyDescent="0.3">
      <c r="B43" s="2" t="s">
        <v>237</v>
      </c>
      <c r="C43" s="39" t="e">
        <f>COUNTIF('Interface 현황 List'!#REF!,Sheet2!$B43)</f>
        <v>#REF!</v>
      </c>
      <c r="D43" s="40" t="s">
        <v>239</v>
      </c>
      <c r="E43" s="40"/>
      <c r="F43" s="39" t="e">
        <f>COUNTIF('Interface 현황 List'!#REF!,Sheet2!$B43)</f>
        <v>#REF!</v>
      </c>
      <c r="G43" s="40" t="s">
        <v>239</v>
      </c>
      <c r="H43" s="40"/>
      <c r="I43" s="39" t="e">
        <f>COUNTIF('Interface 현황 List'!#REF!,Sheet2!$B43)</f>
        <v>#REF!</v>
      </c>
      <c r="J43" s="40" t="s">
        <v>239</v>
      </c>
      <c r="K43" s="40"/>
      <c r="L43" s="39" t="e">
        <f>COUNTIF('Interface 현황 List'!#REF!,Sheet2!$B43)</f>
        <v>#REF!</v>
      </c>
      <c r="M43" s="40" t="s">
        <v>239</v>
      </c>
      <c r="N43" s="40"/>
      <c r="O43" s="40" t="s">
        <v>239</v>
      </c>
    </row>
    <row r="44" spans="2:18" x14ac:dyDescent="0.3">
      <c r="B44" s="2" t="s">
        <v>238</v>
      </c>
      <c r="C44" s="40" t="s">
        <v>239</v>
      </c>
      <c r="D44" s="39" t="e">
        <f>COUNTIF('Interface 현황 List'!#REF!,Sheet2!$B44)</f>
        <v>#REF!</v>
      </c>
      <c r="E44" s="39"/>
      <c r="F44" s="40" t="s">
        <v>239</v>
      </c>
      <c r="G44" s="39" t="e">
        <f>COUNTIF('Interface 현황 List'!#REF!,Sheet2!$B44)</f>
        <v>#REF!</v>
      </c>
      <c r="H44" s="39"/>
      <c r="I44" s="39" t="s">
        <v>239</v>
      </c>
      <c r="J44" s="39" t="e">
        <f>COUNTIF('Interface 현황 List'!#REF!,Sheet2!$B44)</f>
        <v>#REF!</v>
      </c>
      <c r="K44" s="39"/>
      <c r="L44" s="40" t="s">
        <v>239</v>
      </c>
      <c r="M44" s="39" t="e">
        <f>COUNTIF('Interface 현황 List'!#REF!,Sheet2!$B44)</f>
        <v>#REF!</v>
      </c>
      <c r="N44" s="39"/>
      <c r="O44" s="39" t="e">
        <f>COUNTIF('Interface 현황 List'!#REF!,Sheet2!$B44)</f>
        <v>#REF!</v>
      </c>
    </row>
    <row r="45" spans="2:18" x14ac:dyDescent="0.3">
      <c r="B45" s="24" t="s">
        <v>201</v>
      </c>
      <c r="C45" s="39" t="e">
        <f>COUNTIF('Interface 현황 List'!#REF!,Sheet2!$B45)</f>
        <v>#REF!</v>
      </c>
      <c r="D45" s="39" t="e">
        <f>COUNTIF('Interface 현황 List'!#REF!,Sheet2!$B45)</f>
        <v>#REF!</v>
      </c>
      <c r="E45" s="39"/>
      <c r="F45" s="39" t="e">
        <f>COUNTIF('Interface 현황 List'!#REF!,Sheet2!$B45)</f>
        <v>#REF!</v>
      </c>
      <c r="G45" s="39" t="e">
        <f>COUNTIF('Interface 현황 List'!#REF!,Sheet2!$B45)</f>
        <v>#REF!</v>
      </c>
      <c r="H45" s="39"/>
      <c r="I45" s="39" t="e">
        <f>COUNTIF('Interface 현황 List'!#REF!,Sheet2!$B45)</f>
        <v>#REF!</v>
      </c>
      <c r="J45" s="39" t="e">
        <f>COUNTIF('Interface 현황 List'!#REF!,Sheet2!$B45)</f>
        <v>#REF!</v>
      </c>
      <c r="K45" s="39"/>
      <c r="L45" s="39" t="e">
        <f>COUNTIF('Interface 현황 List'!#REF!,Sheet2!$B45)</f>
        <v>#REF!</v>
      </c>
      <c r="M45" s="39" t="e">
        <f>COUNTIF('Interface 현황 List'!#REF!,Sheet2!$B45)</f>
        <v>#REF!</v>
      </c>
      <c r="N45" s="39"/>
      <c r="O45" s="39" t="e">
        <f>COUNTIF('Interface 현황 List'!#REF!,Sheet2!$B45)</f>
        <v>#REF!</v>
      </c>
    </row>
    <row r="46" spans="2:18" x14ac:dyDescent="0.3">
      <c r="B46" s="24" t="s">
        <v>202</v>
      </c>
      <c r="C46" s="39" t="e">
        <f>COUNTIF('Interface 현황 List'!#REF!,Sheet2!$B46)</f>
        <v>#REF!</v>
      </c>
      <c r="D46" s="39" t="e">
        <f>COUNTIF('Interface 현황 List'!#REF!,Sheet2!$B46)</f>
        <v>#REF!</v>
      </c>
      <c r="E46" s="39"/>
      <c r="F46" s="39" t="e">
        <f>COUNTIF('Interface 현황 List'!#REF!,Sheet2!$B46)</f>
        <v>#REF!</v>
      </c>
      <c r="G46" s="39" t="e">
        <f>COUNTIF('Interface 현황 List'!#REF!,Sheet2!$B46)</f>
        <v>#REF!</v>
      </c>
      <c r="H46" s="39"/>
      <c r="I46" s="39" t="e">
        <f>COUNTIF('Interface 현황 List'!#REF!,Sheet2!$B46)</f>
        <v>#REF!</v>
      </c>
      <c r="J46" s="39" t="e">
        <f>COUNTIF('Interface 현황 List'!#REF!,Sheet2!$B46)</f>
        <v>#REF!</v>
      </c>
      <c r="K46" s="39"/>
      <c r="L46" s="39" t="e">
        <f>COUNTIF('Interface 현황 List'!#REF!,Sheet2!$B46)</f>
        <v>#REF!</v>
      </c>
      <c r="M46" s="39" t="e">
        <f>COUNTIF('Interface 현황 List'!#REF!,Sheet2!$B46)</f>
        <v>#REF!</v>
      </c>
      <c r="N46" s="39"/>
      <c r="O46" s="39" t="e">
        <f>COUNTIF('Interface 현황 List'!#REF!,Sheet2!$B46)</f>
        <v>#REF!</v>
      </c>
    </row>
    <row r="47" spans="2:18" x14ac:dyDescent="0.3">
      <c r="B47" s="24" t="s">
        <v>203</v>
      </c>
      <c r="C47" s="39" t="e">
        <f>COUNTIF('Interface 현황 List'!#REF!,Sheet2!$B47)</f>
        <v>#REF!</v>
      </c>
      <c r="D47" s="39" t="e">
        <f>COUNTIF('Interface 현황 List'!#REF!,Sheet2!$B47)</f>
        <v>#REF!</v>
      </c>
      <c r="E47" s="39"/>
      <c r="F47" s="39" t="e">
        <f>COUNTIF('Interface 현황 List'!#REF!,Sheet2!$B47)</f>
        <v>#REF!</v>
      </c>
      <c r="G47" s="39" t="e">
        <f>COUNTIF('Interface 현황 List'!#REF!,Sheet2!$B47)</f>
        <v>#REF!</v>
      </c>
      <c r="H47" s="39"/>
      <c r="I47" s="39" t="e">
        <f>COUNTIF('Interface 현황 List'!#REF!,Sheet2!$B47)</f>
        <v>#REF!</v>
      </c>
      <c r="J47" s="39" t="e">
        <f>COUNTIF('Interface 현황 List'!#REF!,Sheet2!$B47)</f>
        <v>#REF!</v>
      </c>
      <c r="K47" s="39"/>
      <c r="L47" s="39" t="e">
        <f>COUNTIF('Interface 현황 List'!#REF!,Sheet2!$B47)</f>
        <v>#REF!</v>
      </c>
      <c r="M47" s="39" t="e">
        <f>COUNTIF('Interface 현황 List'!#REF!,Sheet2!$B47)</f>
        <v>#REF!</v>
      </c>
      <c r="N47" s="39"/>
      <c r="O47" s="39" t="e">
        <f>COUNTIF('Interface 현황 List'!#REF!,Sheet2!$B47)</f>
        <v>#REF!</v>
      </c>
    </row>
    <row r="48" spans="2:18" x14ac:dyDescent="0.3">
      <c r="B48" s="24" t="s">
        <v>204</v>
      </c>
      <c r="C48" s="39" t="e">
        <f>COUNTIF('Interface 현황 List'!#REF!,Sheet2!$B48)</f>
        <v>#REF!</v>
      </c>
      <c r="D48" s="39" t="e">
        <f>COUNTIF('Interface 현황 List'!#REF!,Sheet2!$B48)</f>
        <v>#REF!</v>
      </c>
      <c r="E48" s="39"/>
      <c r="F48" s="39" t="e">
        <f>COUNTIF('Interface 현황 List'!#REF!,Sheet2!$B48)</f>
        <v>#REF!</v>
      </c>
      <c r="G48" s="39" t="e">
        <f>COUNTIF('Interface 현황 List'!#REF!,Sheet2!$B48)</f>
        <v>#REF!</v>
      </c>
      <c r="H48" s="39"/>
      <c r="I48" s="39" t="e">
        <f>COUNTIF('Interface 현황 List'!#REF!,Sheet2!$B48)</f>
        <v>#REF!</v>
      </c>
      <c r="J48" s="39" t="e">
        <f>COUNTIF('Interface 현황 List'!#REF!,Sheet2!$B48)</f>
        <v>#REF!</v>
      </c>
      <c r="K48" s="39"/>
      <c r="L48" s="39" t="e">
        <f>COUNTIF('Interface 현황 List'!#REF!,Sheet2!$B48)</f>
        <v>#REF!</v>
      </c>
      <c r="M48" s="39" t="e">
        <f>COUNTIF('Interface 현황 List'!#REF!,Sheet2!$B48)</f>
        <v>#REF!</v>
      </c>
      <c r="N48" s="39"/>
      <c r="O48" s="39" t="e">
        <f>COUNTIF('Interface 현황 List'!#REF!,Sheet2!$B48)</f>
        <v>#REF!</v>
      </c>
      <c r="Q48" t="s">
        <v>241</v>
      </c>
    </row>
    <row r="49" spans="2:15" x14ac:dyDescent="0.3">
      <c r="B49" s="24" t="s">
        <v>205</v>
      </c>
      <c r="C49" s="39" t="e">
        <f>COUNTIF('Interface 현황 List'!#REF!,Sheet2!$B49)</f>
        <v>#REF!</v>
      </c>
      <c r="D49" s="39" t="e">
        <f>COUNTIF('Interface 현황 List'!#REF!,Sheet2!$B49)</f>
        <v>#REF!</v>
      </c>
      <c r="E49" s="39"/>
      <c r="F49" s="39" t="e">
        <f>COUNTIF('Interface 현황 List'!#REF!,Sheet2!$B49)</f>
        <v>#REF!</v>
      </c>
      <c r="G49" s="39" t="e">
        <f>COUNTIF('Interface 현황 List'!#REF!,Sheet2!$B49)</f>
        <v>#REF!</v>
      </c>
      <c r="H49" s="39"/>
      <c r="I49" s="39" t="e">
        <f>COUNTIF('Interface 현황 List'!#REF!,Sheet2!$B49)</f>
        <v>#REF!</v>
      </c>
      <c r="J49" s="39" t="e">
        <f>COUNTIF('Interface 현황 List'!#REF!,Sheet2!$B49)</f>
        <v>#REF!</v>
      </c>
      <c r="K49" s="39"/>
      <c r="L49" s="39" t="e">
        <f>COUNTIF('Interface 현황 List'!#REF!,Sheet2!$B49)</f>
        <v>#REF!</v>
      </c>
      <c r="M49" s="39" t="e">
        <f>COUNTIF('Interface 현황 List'!#REF!,Sheet2!$B49)</f>
        <v>#REF!</v>
      </c>
      <c r="N49" s="39"/>
      <c r="O49" s="39" t="e">
        <f>COUNTIF('Interface 현황 List'!#REF!,Sheet2!$B49)</f>
        <v>#REF!</v>
      </c>
    </row>
    <row r="50" spans="2:15" x14ac:dyDescent="0.3">
      <c r="B50" s="24" t="s">
        <v>206</v>
      </c>
      <c r="C50" s="39" t="e">
        <f>COUNTIF('Interface 현황 List'!#REF!,Sheet2!$B50)</f>
        <v>#REF!</v>
      </c>
      <c r="D50" s="39" t="e">
        <f>COUNTIF('Interface 현황 List'!#REF!,Sheet2!$B50)</f>
        <v>#REF!</v>
      </c>
      <c r="E50" s="39"/>
      <c r="F50" s="39" t="e">
        <f>COUNTIF('Interface 현황 List'!#REF!,Sheet2!$B50)</f>
        <v>#REF!</v>
      </c>
      <c r="G50" s="39" t="e">
        <f>COUNTIF('Interface 현황 List'!#REF!,Sheet2!$B50)</f>
        <v>#REF!</v>
      </c>
      <c r="H50" s="39"/>
      <c r="I50" s="39" t="e">
        <f>COUNTIF('Interface 현황 List'!#REF!,Sheet2!$B50)</f>
        <v>#REF!</v>
      </c>
      <c r="J50" s="39" t="e">
        <f>COUNTIF('Interface 현황 List'!#REF!,Sheet2!$B50)</f>
        <v>#REF!</v>
      </c>
      <c r="K50" s="39"/>
      <c r="L50" s="39" t="e">
        <f>COUNTIF('Interface 현황 List'!#REF!,Sheet2!$B50)</f>
        <v>#REF!</v>
      </c>
      <c r="M50" s="39" t="e">
        <f>COUNTIF('Interface 현황 List'!#REF!,Sheet2!$B50)</f>
        <v>#REF!</v>
      </c>
      <c r="N50" s="39"/>
      <c r="O50" s="39" t="e">
        <f>COUNTIF('Interface 현황 List'!#REF!,Sheet2!$B50)</f>
        <v>#REF!</v>
      </c>
    </row>
    <row r="51" spans="2:15" x14ac:dyDescent="0.3">
      <c r="B51" s="24" t="s">
        <v>207</v>
      </c>
      <c r="C51" s="39" t="e">
        <f>COUNTIF('Interface 현황 List'!#REF!,Sheet2!$B51)</f>
        <v>#REF!</v>
      </c>
      <c r="D51" s="39" t="e">
        <f>COUNTIF('Interface 현황 List'!#REF!,Sheet2!$B51)</f>
        <v>#REF!</v>
      </c>
      <c r="E51" s="39"/>
      <c r="F51" s="39" t="e">
        <f>COUNTIF('Interface 현황 List'!#REF!,Sheet2!$B51)</f>
        <v>#REF!</v>
      </c>
      <c r="G51" s="39" t="e">
        <f>COUNTIF('Interface 현황 List'!#REF!,Sheet2!$B51)</f>
        <v>#REF!</v>
      </c>
      <c r="H51" s="39"/>
      <c r="I51" s="39" t="e">
        <f>COUNTIF('Interface 현황 List'!#REF!,Sheet2!$B51)</f>
        <v>#REF!</v>
      </c>
      <c r="J51" s="39" t="e">
        <f>COUNTIF('Interface 현황 List'!#REF!,Sheet2!$B51)</f>
        <v>#REF!</v>
      </c>
      <c r="K51" s="39"/>
      <c r="L51" s="39" t="e">
        <f>COUNTIF('Interface 현황 List'!#REF!,Sheet2!$B51)</f>
        <v>#REF!</v>
      </c>
      <c r="M51" s="39" t="e">
        <f>COUNTIF('Interface 현황 List'!#REF!,Sheet2!$B51)</f>
        <v>#REF!</v>
      </c>
      <c r="N51" s="39"/>
      <c r="O51" s="39" t="e">
        <f>COUNTIF('Interface 현황 List'!#REF!,Sheet2!$B51)</f>
        <v>#REF!</v>
      </c>
    </row>
    <row r="52" spans="2:15" x14ac:dyDescent="0.3">
      <c r="B52" s="24" t="s">
        <v>208</v>
      </c>
      <c r="C52" s="39" t="e">
        <f>COUNTIF('Interface 현황 List'!#REF!,Sheet2!$B52)</f>
        <v>#REF!</v>
      </c>
      <c r="D52" s="39" t="e">
        <f>COUNTIF('Interface 현황 List'!#REF!,Sheet2!$B52)</f>
        <v>#REF!</v>
      </c>
      <c r="E52" s="39"/>
      <c r="F52" s="39" t="e">
        <f>COUNTIF('Interface 현황 List'!#REF!,Sheet2!$B52)</f>
        <v>#REF!</v>
      </c>
      <c r="G52" s="39" t="e">
        <f>COUNTIF('Interface 현황 List'!#REF!,Sheet2!$B52)</f>
        <v>#REF!</v>
      </c>
      <c r="H52" s="39"/>
      <c r="I52" s="39" t="e">
        <f>COUNTIF('Interface 현황 List'!#REF!,Sheet2!$B52)</f>
        <v>#REF!</v>
      </c>
      <c r="J52" s="39" t="e">
        <f>COUNTIF('Interface 현황 List'!#REF!,Sheet2!$B52)</f>
        <v>#REF!</v>
      </c>
      <c r="K52" s="39"/>
      <c r="L52" s="39" t="e">
        <f>COUNTIF('Interface 현황 List'!#REF!,Sheet2!$B52)</f>
        <v>#REF!</v>
      </c>
      <c r="M52" s="39" t="e">
        <f>COUNTIF('Interface 현황 List'!#REF!,Sheet2!$B52)</f>
        <v>#REF!</v>
      </c>
      <c r="N52" s="39"/>
      <c r="O52" s="39" t="e">
        <f>COUNTIF('Interface 현황 List'!#REF!,Sheet2!$B52)</f>
        <v>#REF!</v>
      </c>
    </row>
    <row r="53" spans="2:15" x14ac:dyDescent="0.3">
      <c r="B53" s="24" t="s">
        <v>209</v>
      </c>
      <c r="C53" s="39" t="e">
        <f>COUNTIF('Interface 현황 List'!#REF!,Sheet2!$B53)</f>
        <v>#REF!</v>
      </c>
      <c r="D53" s="39" t="e">
        <f>COUNTIF('Interface 현황 List'!#REF!,Sheet2!$B53)</f>
        <v>#REF!</v>
      </c>
      <c r="E53" s="39"/>
      <c r="F53" s="39" t="e">
        <f>COUNTIF('Interface 현황 List'!#REF!,Sheet2!$B53)</f>
        <v>#REF!</v>
      </c>
      <c r="G53" s="39" t="e">
        <f>COUNTIF('Interface 현황 List'!#REF!,Sheet2!$B53)</f>
        <v>#REF!</v>
      </c>
      <c r="H53" s="39"/>
      <c r="I53" s="39" t="e">
        <f>COUNTIF('Interface 현황 List'!#REF!,Sheet2!$B53)</f>
        <v>#REF!</v>
      </c>
      <c r="J53" s="39" t="e">
        <f>COUNTIF('Interface 현황 List'!#REF!,Sheet2!$B53)</f>
        <v>#REF!</v>
      </c>
      <c r="K53" s="39"/>
      <c r="L53" s="39" t="e">
        <f>COUNTIF('Interface 현황 List'!#REF!,Sheet2!$B53)</f>
        <v>#REF!</v>
      </c>
      <c r="M53" s="39" t="e">
        <f>COUNTIF('Interface 현황 List'!#REF!,Sheet2!$B53)</f>
        <v>#REF!</v>
      </c>
      <c r="N53" s="39"/>
      <c r="O53" s="39" t="e">
        <f>COUNTIF('Interface 현황 List'!#REF!,Sheet2!$B53)</f>
        <v>#REF!</v>
      </c>
    </row>
    <row r="54" spans="2:15" x14ac:dyDescent="0.3">
      <c r="B54" s="24" t="s">
        <v>210</v>
      </c>
      <c r="C54" s="39" t="e">
        <f>COUNTIF('Interface 현황 List'!#REF!,Sheet2!$B54)</f>
        <v>#REF!</v>
      </c>
      <c r="D54" s="39" t="e">
        <f>COUNTIF('Interface 현황 List'!#REF!,Sheet2!$B54)</f>
        <v>#REF!</v>
      </c>
      <c r="E54" s="39"/>
      <c r="F54" s="39" t="e">
        <f>COUNTIF('Interface 현황 List'!#REF!,Sheet2!$B54)</f>
        <v>#REF!</v>
      </c>
      <c r="G54" s="39" t="e">
        <f>COUNTIF('Interface 현황 List'!#REF!,Sheet2!$B54)</f>
        <v>#REF!</v>
      </c>
      <c r="H54" s="39"/>
      <c r="I54" s="39" t="e">
        <f>COUNTIF('Interface 현황 List'!#REF!,Sheet2!$B54)</f>
        <v>#REF!</v>
      </c>
      <c r="J54" s="39" t="e">
        <f>COUNTIF('Interface 현황 List'!#REF!,Sheet2!$B54)</f>
        <v>#REF!</v>
      </c>
      <c r="K54" s="39"/>
      <c r="L54" s="39" t="e">
        <f>COUNTIF('Interface 현황 List'!#REF!,Sheet2!$B54)</f>
        <v>#REF!</v>
      </c>
      <c r="M54" s="39" t="e">
        <f>COUNTIF('Interface 현황 List'!#REF!,Sheet2!$B54)</f>
        <v>#REF!</v>
      </c>
      <c r="N54" s="39"/>
      <c r="O54" s="39" t="e">
        <f>COUNTIF('Interface 현황 List'!#REF!,Sheet2!$B54)</f>
        <v>#REF!</v>
      </c>
    </row>
    <row r="55" spans="2:15" x14ac:dyDescent="0.3">
      <c r="B55" s="24" t="s">
        <v>211</v>
      </c>
      <c r="C55" s="39" t="e">
        <f>COUNTIF('Interface 현황 List'!#REF!,Sheet2!$B55)</f>
        <v>#REF!</v>
      </c>
      <c r="D55" s="39" t="e">
        <f>COUNTIF('Interface 현황 List'!#REF!,Sheet2!$B55)</f>
        <v>#REF!</v>
      </c>
      <c r="E55" s="39"/>
      <c r="F55" s="39" t="e">
        <f>COUNTIF('Interface 현황 List'!#REF!,Sheet2!$B55)</f>
        <v>#REF!</v>
      </c>
      <c r="G55" s="39" t="e">
        <f>COUNTIF('Interface 현황 List'!#REF!,Sheet2!$B55)</f>
        <v>#REF!</v>
      </c>
      <c r="H55" s="39"/>
      <c r="I55" s="39" t="e">
        <f>COUNTIF('Interface 현황 List'!#REF!,Sheet2!$B55)</f>
        <v>#REF!</v>
      </c>
      <c r="J55" s="39" t="e">
        <f>COUNTIF('Interface 현황 List'!#REF!,Sheet2!$B55)</f>
        <v>#REF!</v>
      </c>
      <c r="K55" s="39"/>
      <c r="L55" s="39" t="e">
        <f>COUNTIF('Interface 현황 List'!#REF!,Sheet2!$B55)</f>
        <v>#REF!</v>
      </c>
      <c r="M55" s="39" t="e">
        <f>COUNTIF('Interface 현황 List'!#REF!,Sheet2!$B55)</f>
        <v>#REF!</v>
      </c>
      <c r="N55" s="39"/>
      <c r="O55" s="39" t="e">
        <f>COUNTIF('Interface 현황 List'!#REF!,Sheet2!$B55)</f>
        <v>#REF!</v>
      </c>
    </row>
    <row r="56" spans="2:15" x14ac:dyDescent="0.3">
      <c r="B56" s="24" t="s">
        <v>212</v>
      </c>
      <c r="C56" s="39" t="e">
        <f>COUNTIF('Interface 현황 List'!#REF!,Sheet2!$B56)</f>
        <v>#REF!</v>
      </c>
      <c r="D56" s="39" t="e">
        <f>COUNTIF('Interface 현황 List'!#REF!,Sheet2!$B56)</f>
        <v>#REF!</v>
      </c>
      <c r="E56" s="39"/>
      <c r="F56" s="39" t="e">
        <f>COUNTIF('Interface 현황 List'!#REF!,Sheet2!$B56)</f>
        <v>#REF!</v>
      </c>
      <c r="G56" s="39" t="e">
        <f>COUNTIF('Interface 현황 List'!#REF!,Sheet2!$B56)</f>
        <v>#REF!</v>
      </c>
      <c r="H56" s="39"/>
      <c r="I56" s="39" t="e">
        <f>COUNTIF('Interface 현황 List'!#REF!,Sheet2!$B56)</f>
        <v>#REF!</v>
      </c>
      <c r="J56" s="39" t="e">
        <f>COUNTIF('Interface 현황 List'!#REF!,Sheet2!$B56)</f>
        <v>#REF!</v>
      </c>
      <c r="K56" s="39"/>
      <c r="L56" s="39" t="e">
        <f>COUNTIF('Interface 현황 List'!#REF!,Sheet2!$B56)</f>
        <v>#REF!</v>
      </c>
      <c r="M56" s="39" t="e">
        <f>COUNTIF('Interface 현황 List'!#REF!,Sheet2!$B56)</f>
        <v>#REF!</v>
      </c>
      <c r="N56" s="39"/>
      <c r="O56" s="39" t="e">
        <f>COUNTIF('Interface 현황 List'!#REF!,Sheet2!$B56)</f>
        <v>#REF!</v>
      </c>
    </row>
    <row r="57" spans="2:15" x14ac:dyDescent="0.3">
      <c r="B57" s="24" t="s">
        <v>213</v>
      </c>
      <c r="C57" s="39" t="e">
        <f>COUNTIF('Interface 현황 List'!#REF!,Sheet2!$B57)</f>
        <v>#REF!</v>
      </c>
      <c r="D57" s="39" t="e">
        <f>COUNTIF('Interface 현황 List'!#REF!,Sheet2!$B57)</f>
        <v>#REF!</v>
      </c>
      <c r="E57" s="39"/>
      <c r="F57" s="39" t="e">
        <f>COUNTIF('Interface 현황 List'!#REF!,Sheet2!$B57)</f>
        <v>#REF!</v>
      </c>
      <c r="G57" s="39" t="e">
        <f>COUNTIF('Interface 현황 List'!#REF!,Sheet2!$B57)</f>
        <v>#REF!</v>
      </c>
      <c r="H57" s="39"/>
      <c r="I57" s="39" t="e">
        <f>COUNTIF('Interface 현황 List'!#REF!,Sheet2!$B57)</f>
        <v>#REF!</v>
      </c>
      <c r="J57" s="39" t="e">
        <f>COUNTIF('Interface 현황 List'!#REF!,Sheet2!$B57)</f>
        <v>#REF!</v>
      </c>
      <c r="K57" s="39"/>
      <c r="L57" s="39" t="e">
        <f>COUNTIF('Interface 현황 List'!#REF!,Sheet2!$B57)</f>
        <v>#REF!</v>
      </c>
      <c r="M57" s="39" t="e">
        <f>COUNTIF('Interface 현황 List'!#REF!,Sheet2!$B57)</f>
        <v>#REF!</v>
      </c>
      <c r="N57" s="39"/>
      <c r="O57" s="39" t="e">
        <f>COUNTIF('Interface 현황 List'!#REF!,Sheet2!$B57)</f>
        <v>#REF!</v>
      </c>
    </row>
    <row r="58" spans="2:15" x14ac:dyDescent="0.3">
      <c r="B58" s="24" t="s">
        <v>214</v>
      </c>
      <c r="C58" s="39" t="e">
        <f>COUNTIF('Interface 현황 List'!#REF!,Sheet2!$B58)</f>
        <v>#REF!</v>
      </c>
      <c r="D58" s="39" t="e">
        <f>COUNTIF('Interface 현황 List'!#REF!,Sheet2!$B58)</f>
        <v>#REF!</v>
      </c>
      <c r="E58" s="39"/>
      <c r="F58" s="39" t="e">
        <f>COUNTIF('Interface 현황 List'!#REF!,Sheet2!$B58)</f>
        <v>#REF!</v>
      </c>
      <c r="G58" s="39" t="e">
        <f>COUNTIF('Interface 현황 List'!#REF!,Sheet2!$B58)</f>
        <v>#REF!</v>
      </c>
      <c r="H58" s="39"/>
      <c r="I58" s="39" t="e">
        <f>COUNTIF('Interface 현황 List'!#REF!,Sheet2!$B58)</f>
        <v>#REF!</v>
      </c>
      <c r="J58" s="39" t="e">
        <f>COUNTIF('Interface 현황 List'!#REF!,Sheet2!$B58)</f>
        <v>#REF!</v>
      </c>
      <c r="K58" s="39"/>
      <c r="L58" s="39" t="e">
        <f>COUNTIF('Interface 현황 List'!#REF!,Sheet2!$B58)</f>
        <v>#REF!</v>
      </c>
      <c r="M58" s="39" t="e">
        <f>COUNTIF('Interface 현황 List'!#REF!,Sheet2!$B58)</f>
        <v>#REF!</v>
      </c>
      <c r="N58" s="39"/>
      <c r="O58" s="39" t="e">
        <f>COUNTIF('Interface 현황 List'!#REF!,Sheet2!$B58)</f>
        <v>#REF!</v>
      </c>
    </row>
    <row r="59" spans="2:15" x14ac:dyDescent="0.3">
      <c r="B59" s="24" t="s">
        <v>215</v>
      </c>
      <c r="C59" s="39" t="e">
        <f>COUNTIF('Interface 현황 List'!#REF!,Sheet2!$B59)</f>
        <v>#REF!</v>
      </c>
      <c r="D59" s="39" t="e">
        <f>COUNTIF('Interface 현황 List'!#REF!,Sheet2!$B59)</f>
        <v>#REF!</v>
      </c>
      <c r="E59" s="39"/>
      <c r="F59" s="39" t="e">
        <f>COUNTIF('Interface 현황 List'!#REF!,Sheet2!$B59)</f>
        <v>#REF!</v>
      </c>
      <c r="G59" s="39" t="e">
        <f>COUNTIF('Interface 현황 List'!#REF!,Sheet2!$B59)</f>
        <v>#REF!</v>
      </c>
      <c r="H59" s="39"/>
      <c r="I59" s="39" t="e">
        <f>COUNTIF('Interface 현황 List'!#REF!,Sheet2!$B59)</f>
        <v>#REF!</v>
      </c>
      <c r="J59" s="39" t="e">
        <f>COUNTIF('Interface 현황 List'!#REF!,Sheet2!$B59)</f>
        <v>#REF!</v>
      </c>
      <c r="K59" s="39"/>
      <c r="L59" s="39" t="e">
        <f>COUNTIF('Interface 현황 List'!#REF!,Sheet2!$B59)</f>
        <v>#REF!</v>
      </c>
      <c r="M59" s="39" t="e">
        <f>COUNTIF('Interface 현황 List'!#REF!,Sheet2!$B59)</f>
        <v>#REF!</v>
      </c>
      <c r="N59" s="39"/>
      <c r="O59" s="39" t="e">
        <f>COUNTIF('Interface 현황 List'!#REF!,Sheet2!$B59)</f>
        <v>#REF!</v>
      </c>
    </row>
    <row r="60" spans="2:15" x14ac:dyDescent="0.3">
      <c r="B60" s="24" t="s">
        <v>216</v>
      </c>
      <c r="C60" s="39" t="e">
        <f>COUNTIF('Interface 현황 List'!#REF!,Sheet2!$B60)</f>
        <v>#REF!</v>
      </c>
      <c r="D60" s="39" t="e">
        <f>COUNTIF('Interface 현황 List'!#REF!,Sheet2!$B60)</f>
        <v>#REF!</v>
      </c>
      <c r="E60" s="39"/>
      <c r="F60" s="39" t="e">
        <f>COUNTIF('Interface 현황 List'!#REF!,Sheet2!$B60)</f>
        <v>#REF!</v>
      </c>
      <c r="G60" s="39" t="e">
        <f>COUNTIF('Interface 현황 List'!#REF!,Sheet2!$B60)</f>
        <v>#REF!</v>
      </c>
      <c r="H60" s="39"/>
      <c r="I60" s="39" t="e">
        <f>COUNTIF('Interface 현황 List'!#REF!,Sheet2!$B60)</f>
        <v>#REF!</v>
      </c>
      <c r="J60" s="39" t="e">
        <f>COUNTIF('Interface 현황 List'!#REF!,Sheet2!$B60)</f>
        <v>#REF!</v>
      </c>
      <c r="K60" s="39"/>
      <c r="L60" s="39" t="e">
        <f>COUNTIF('Interface 현황 List'!#REF!,Sheet2!$B60)</f>
        <v>#REF!</v>
      </c>
      <c r="M60" s="39" t="e">
        <f>COUNTIF('Interface 현황 List'!#REF!,Sheet2!$B60)</f>
        <v>#REF!</v>
      </c>
      <c r="N60" s="39"/>
      <c r="O60" s="39" t="e">
        <f>COUNTIF('Interface 현황 List'!#REF!,Sheet2!$B60)</f>
        <v>#REF!</v>
      </c>
    </row>
    <row r="61" spans="2:15" x14ac:dyDescent="0.3">
      <c r="B61" s="24" t="s">
        <v>217</v>
      </c>
      <c r="C61" s="39" t="e">
        <f>COUNTIF('Interface 현황 List'!#REF!,Sheet2!$B61)</f>
        <v>#REF!</v>
      </c>
      <c r="D61" s="39" t="e">
        <f>COUNTIF('Interface 현황 List'!#REF!,Sheet2!$B61)</f>
        <v>#REF!</v>
      </c>
      <c r="E61" s="39"/>
      <c r="F61" s="39" t="e">
        <f>COUNTIF('Interface 현황 List'!#REF!,Sheet2!$B61)</f>
        <v>#REF!</v>
      </c>
      <c r="G61" s="39" t="e">
        <f>COUNTIF('Interface 현황 List'!#REF!,Sheet2!$B61)</f>
        <v>#REF!</v>
      </c>
      <c r="H61" s="39"/>
      <c r="I61" s="39" t="e">
        <f>COUNTIF('Interface 현황 List'!#REF!,Sheet2!$B61)</f>
        <v>#REF!</v>
      </c>
      <c r="J61" s="39" t="e">
        <f>COUNTIF('Interface 현황 List'!#REF!,Sheet2!$B61)</f>
        <v>#REF!</v>
      </c>
      <c r="K61" s="39"/>
      <c r="L61" s="39" t="e">
        <f>COUNTIF('Interface 현황 List'!#REF!,Sheet2!$B61)</f>
        <v>#REF!</v>
      </c>
      <c r="M61" s="39" t="e">
        <f>COUNTIF('Interface 현황 List'!#REF!,Sheet2!$B61)</f>
        <v>#REF!</v>
      </c>
      <c r="N61" s="39"/>
      <c r="O61" s="39" t="e">
        <f>COUNTIF('Interface 현황 List'!#REF!,Sheet2!$B61)</f>
        <v>#REF!</v>
      </c>
    </row>
    <row r="62" spans="2:15" x14ac:dyDescent="0.3">
      <c r="B62" s="24" t="s">
        <v>218</v>
      </c>
      <c r="C62" s="39" t="e">
        <f>COUNTIF('Interface 현황 List'!#REF!,Sheet2!$B62)</f>
        <v>#REF!</v>
      </c>
      <c r="D62" s="39" t="e">
        <f>COUNTIF('Interface 현황 List'!#REF!,Sheet2!$B62)</f>
        <v>#REF!</v>
      </c>
      <c r="E62" s="39"/>
      <c r="F62" s="39" t="e">
        <f>COUNTIF('Interface 현황 List'!#REF!,Sheet2!$B62)</f>
        <v>#REF!</v>
      </c>
      <c r="G62" s="39" t="e">
        <f>COUNTIF('Interface 현황 List'!#REF!,Sheet2!$B62)</f>
        <v>#REF!</v>
      </c>
      <c r="H62" s="39"/>
      <c r="I62" s="39" t="e">
        <f>COUNTIF('Interface 현황 List'!#REF!,Sheet2!$B62)</f>
        <v>#REF!</v>
      </c>
      <c r="J62" s="39" t="e">
        <f>COUNTIF('Interface 현황 List'!#REF!,Sheet2!$B62)</f>
        <v>#REF!</v>
      </c>
      <c r="K62" s="39"/>
      <c r="L62" s="39" t="e">
        <f>COUNTIF('Interface 현황 List'!#REF!,Sheet2!$B62)</f>
        <v>#REF!</v>
      </c>
      <c r="M62" s="39" t="e">
        <f>COUNTIF('Interface 현황 List'!#REF!,Sheet2!$B62)</f>
        <v>#REF!</v>
      </c>
      <c r="N62" s="39"/>
      <c r="O62" s="39" t="e">
        <f>COUNTIF('Interface 현황 List'!#REF!,Sheet2!$B62)</f>
        <v>#REF!</v>
      </c>
    </row>
    <row r="63" spans="2:15" x14ac:dyDescent="0.3">
      <c r="B63" s="24" t="s">
        <v>219</v>
      </c>
      <c r="C63" s="39" t="e">
        <f>COUNTIF('Interface 현황 List'!#REF!,Sheet2!$B63)</f>
        <v>#REF!</v>
      </c>
      <c r="D63" s="39" t="e">
        <f>COUNTIF('Interface 현황 List'!#REF!,Sheet2!$B63)</f>
        <v>#REF!</v>
      </c>
      <c r="E63" s="39"/>
      <c r="F63" s="39" t="e">
        <f>COUNTIF('Interface 현황 List'!#REF!,Sheet2!$B63)</f>
        <v>#REF!</v>
      </c>
      <c r="G63" s="39" t="e">
        <f>COUNTIF('Interface 현황 List'!#REF!,Sheet2!$B63)</f>
        <v>#REF!</v>
      </c>
      <c r="H63" s="39"/>
      <c r="I63" s="39" t="e">
        <f>COUNTIF('Interface 현황 List'!#REF!,Sheet2!$B63)</f>
        <v>#REF!</v>
      </c>
      <c r="J63" s="39" t="e">
        <f>COUNTIF('Interface 현황 List'!#REF!,Sheet2!$B63)</f>
        <v>#REF!</v>
      </c>
      <c r="K63" s="39"/>
      <c r="L63" s="39" t="e">
        <f>COUNTIF('Interface 현황 List'!#REF!,Sheet2!$B63)</f>
        <v>#REF!</v>
      </c>
      <c r="M63" s="39" t="e">
        <f>COUNTIF('Interface 현황 List'!#REF!,Sheet2!$B63)</f>
        <v>#REF!</v>
      </c>
      <c r="N63" s="39"/>
      <c r="O63" s="39" t="e">
        <f>COUNTIF('Interface 현황 List'!#REF!,Sheet2!$B63)</f>
        <v>#REF!</v>
      </c>
    </row>
    <row r="64" spans="2:15" x14ac:dyDescent="0.3">
      <c r="B64" s="24" t="s">
        <v>220</v>
      </c>
      <c r="C64" s="39" t="e">
        <f>COUNTIF('Interface 현황 List'!#REF!,Sheet2!$B64)</f>
        <v>#REF!</v>
      </c>
      <c r="D64" s="39" t="e">
        <f>COUNTIF('Interface 현황 List'!#REF!,Sheet2!$B64)</f>
        <v>#REF!</v>
      </c>
      <c r="E64" s="39"/>
      <c r="F64" s="39" t="e">
        <f>COUNTIF('Interface 현황 List'!#REF!,Sheet2!$B64)</f>
        <v>#REF!</v>
      </c>
      <c r="G64" s="39" t="e">
        <f>COUNTIF('Interface 현황 List'!#REF!,Sheet2!$B64)</f>
        <v>#REF!</v>
      </c>
      <c r="H64" s="39"/>
      <c r="I64" s="39" t="e">
        <f>COUNTIF('Interface 현황 List'!#REF!,Sheet2!$B64)</f>
        <v>#REF!</v>
      </c>
      <c r="J64" s="39" t="e">
        <f>COUNTIF('Interface 현황 List'!#REF!,Sheet2!$B64)</f>
        <v>#REF!</v>
      </c>
      <c r="K64" s="39"/>
      <c r="L64" s="39" t="e">
        <f>COUNTIF('Interface 현황 List'!#REF!,Sheet2!$B64)</f>
        <v>#REF!</v>
      </c>
      <c r="M64" s="39" t="e">
        <f>COUNTIF('Interface 현황 List'!#REF!,Sheet2!$B64)</f>
        <v>#REF!</v>
      </c>
      <c r="N64" s="39"/>
      <c r="O64" s="39" t="e">
        <f>COUNTIF('Interface 현황 List'!#REF!,Sheet2!$B64)</f>
        <v>#REF!</v>
      </c>
    </row>
    <row r="65" spans="2:15" x14ac:dyDescent="0.3">
      <c r="B65" s="24" t="s">
        <v>221</v>
      </c>
      <c r="C65" s="39" t="e">
        <f>COUNTIF('Interface 현황 List'!#REF!,Sheet2!$B65)</f>
        <v>#REF!</v>
      </c>
      <c r="D65" s="39" t="e">
        <f>COUNTIF('Interface 현황 List'!#REF!,Sheet2!$B65)</f>
        <v>#REF!</v>
      </c>
      <c r="E65" s="39"/>
      <c r="F65" s="39" t="e">
        <f>COUNTIF('Interface 현황 List'!#REF!,Sheet2!$B65)</f>
        <v>#REF!</v>
      </c>
      <c r="G65" s="39" t="e">
        <f>COUNTIF('Interface 현황 List'!#REF!,Sheet2!$B65)</f>
        <v>#REF!</v>
      </c>
      <c r="H65" s="39"/>
      <c r="I65" s="39" t="e">
        <f>COUNTIF('Interface 현황 List'!#REF!,Sheet2!$B65)</f>
        <v>#REF!</v>
      </c>
      <c r="J65" s="39" t="e">
        <f>COUNTIF('Interface 현황 List'!#REF!,Sheet2!$B65)</f>
        <v>#REF!</v>
      </c>
      <c r="K65" s="39"/>
      <c r="L65" s="39" t="e">
        <f>COUNTIF('Interface 현황 List'!#REF!,Sheet2!$B65)</f>
        <v>#REF!</v>
      </c>
      <c r="M65" s="39" t="e">
        <f>COUNTIF('Interface 현황 List'!#REF!,Sheet2!$B65)</f>
        <v>#REF!</v>
      </c>
      <c r="N65" s="39"/>
      <c r="O65" s="39" t="e">
        <f>COUNTIF('Interface 현황 List'!#REF!,Sheet2!$B65)</f>
        <v>#REF!</v>
      </c>
    </row>
    <row r="66" spans="2:15" x14ac:dyDescent="0.3">
      <c r="B66" s="24" t="s">
        <v>222</v>
      </c>
      <c r="C66" s="39" t="e">
        <f>COUNTIF('Interface 현황 List'!#REF!,Sheet2!$B66)</f>
        <v>#REF!</v>
      </c>
      <c r="D66" s="39" t="e">
        <f>COUNTIF('Interface 현황 List'!#REF!,Sheet2!$B66)</f>
        <v>#REF!</v>
      </c>
      <c r="E66" s="39"/>
      <c r="F66" s="39" t="e">
        <f>COUNTIF('Interface 현황 List'!#REF!,Sheet2!$B66)</f>
        <v>#REF!</v>
      </c>
      <c r="G66" s="39" t="e">
        <f>COUNTIF('Interface 현황 List'!#REF!,Sheet2!$B66)</f>
        <v>#REF!</v>
      </c>
      <c r="H66" s="39"/>
      <c r="I66" s="39" t="e">
        <f>COUNTIF('Interface 현황 List'!#REF!,Sheet2!$B66)</f>
        <v>#REF!</v>
      </c>
      <c r="J66" s="39" t="e">
        <f>COUNTIF('Interface 현황 List'!#REF!,Sheet2!$B66)</f>
        <v>#REF!</v>
      </c>
      <c r="K66" s="39"/>
      <c r="L66" s="39" t="e">
        <f>COUNTIF('Interface 현황 List'!#REF!,Sheet2!$B66)</f>
        <v>#REF!</v>
      </c>
      <c r="M66" s="39" t="e">
        <f>COUNTIF('Interface 현황 List'!#REF!,Sheet2!$B66)</f>
        <v>#REF!</v>
      </c>
      <c r="N66" s="39"/>
      <c r="O66" s="39" t="e">
        <f>COUNTIF('Interface 현황 List'!#REF!,Sheet2!$B66)</f>
        <v>#REF!</v>
      </c>
    </row>
    <row r="67" spans="2:15" x14ac:dyDescent="0.3">
      <c r="B67" s="24" t="s">
        <v>223</v>
      </c>
      <c r="C67" s="39" t="e">
        <f>COUNTIF('Interface 현황 List'!#REF!,Sheet2!$B67)</f>
        <v>#REF!</v>
      </c>
      <c r="D67" s="39" t="e">
        <f>COUNTIF('Interface 현황 List'!#REF!,Sheet2!$B67)</f>
        <v>#REF!</v>
      </c>
      <c r="E67" s="39"/>
      <c r="F67" s="39" t="e">
        <f>COUNTIF('Interface 현황 List'!#REF!,Sheet2!$B67)</f>
        <v>#REF!</v>
      </c>
      <c r="G67" s="39" t="e">
        <f>COUNTIF('Interface 현황 List'!#REF!,Sheet2!$B67)</f>
        <v>#REF!</v>
      </c>
      <c r="H67" s="39"/>
      <c r="I67" s="39" t="e">
        <f>COUNTIF('Interface 현황 List'!#REF!,Sheet2!$B67)</f>
        <v>#REF!</v>
      </c>
      <c r="J67" s="39" t="e">
        <f>COUNTIF('Interface 현황 List'!#REF!,Sheet2!$B67)</f>
        <v>#REF!</v>
      </c>
      <c r="K67" s="39"/>
      <c r="L67" s="39" t="e">
        <f>COUNTIF('Interface 현황 List'!#REF!,Sheet2!$B67)</f>
        <v>#REF!</v>
      </c>
      <c r="M67" s="39" t="e">
        <f>COUNTIF('Interface 현황 List'!#REF!,Sheet2!$B67)</f>
        <v>#REF!</v>
      </c>
      <c r="N67" s="39"/>
      <c r="O67" s="39" t="e">
        <f>COUNTIF('Interface 현황 List'!#REF!,Sheet2!$B67)</f>
        <v>#REF!</v>
      </c>
    </row>
    <row r="68" spans="2:15" x14ac:dyDescent="0.3">
      <c r="B68" s="24" t="s">
        <v>224</v>
      </c>
      <c r="C68" s="39" t="e">
        <f>COUNTIF('Interface 현황 List'!#REF!,Sheet2!$B68)</f>
        <v>#REF!</v>
      </c>
      <c r="D68" s="39" t="e">
        <f>COUNTIF('Interface 현황 List'!#REF!,Sheet2!$B68)</f>
        <v>#REF!</v>
      </c>
      <c r="E68" s="39"/>
      <c r="F68" s="39" t="e">
        <f>COUNTIF('Interface 현황 List'!#REF!,Sheet2!$B68)</f>
        <v>#REF!</v>
      </c>
      <c r="G68" s="39" t="e">
        <f>COUNTIF('Interface 현황 List'!#REF!,Sheet2!$B68)</f>
        <v>#REF!</v>
      </c>
      <c r="H68" s="39"/>
      <c r="I68" s="39" t="e">
        <f>COUNTIF('Interface 현황 List'!#REF!,Sheet2!$B68)</f>
        <v>#REF!</v>
      </c>
      <c r="J68" s="39" t="e">
        <f>COUNTIF('Interface 현황 List'!#REF!,Sheet2!$B68)</f>
        <v>#REF!</v>
      </c>
      <c r="K68" s="39"/>
      <c r="L68" s="39" t="e">
        <f>COUNTIF('Interface 현황 List'!#REF!,Sheet2!$B68)</f>
        <v>#REF!</v>
      </c>
      <c r="M68" s="39" t="e">
        <f>COUNTIF('Interface 현황 List'!#REF!,Sheet2!$B68)</f>
        <v>#REF!</v>
      </c>
      <c r="N68" s="39"/>
      <c r="O68" s="39" t="e">
        <f>COUNTIF('Interface 현황 List'!#REF!,Sheet2!$B68)</f>
        <v>#REF!</v>
      </c>
    </row>
    <row r="69" spans="2:15" x14ac:dyDescent="0.3">
      <c r="B69" s="24" t="s">
        <v>225</v>
      </c>
      <c r="C69" s="39" t="e">
        <f>COUNTIF('Interface 현황 List'!#REF!,Sheet2!$B69)</f>
        <v>#REF!</v>
      </c>
      <c r="D69" s="39" t="e">
        <f>COUNTIF('Interface 현황 List'!#REF!,Sheet2!$B69)</f>
        <v>#REF!</v>
      </c>
      <c r="E69" s="39"/>
      <c r="F69" s="39" t="e">
        <f>COUNTIF('Interface 현황 List'!#REF!,Sheet2!$B69)</f>
        <v>#REF!</v>
      </c>
      <c r="G69" s="39" t="e">
        <f>COUNTIF('Interface 현황 List'!#REF!,Sheet2!$B69)</f>
        <v>#REF!</v>
      </c>
      <c r="H69" s="39"/>
      <c r="I69" s="39" t="e">
        <f>COUNTIF('Interface 현황 List'!#REF!,Sheet2!$B69)</f>
        <v>#REF!</v>
      </c>
      <c r="J69" s="39" t="e">
        <f>COUNTIF('Interface 현황 List'!#REF!,Sheet2!$B69)</f>
        <v>#REF!</v>
      </c>
      <c r="K69" s="39"/>
      <c r="L69" s="39" t="e">
        <f>COUNTIF('Interface 현황 List'!#REF!,Sheet2!$B69)</f>
        <v>#REF!</v>
      </c>
      <c r="M69" s="39" t="e">
        <f>COUNTIF('Interface 현황 List'!#REF!,Sheet2!$B69)</f>
        <v>#REF!</v>
      </c>
      <c r="N69" s="39"/>
      <c r="O69" s="39" t="e">
        <f>COUNTIF('Interface 현황 List'!#REF!,Sheet2!$B69)</f>
        <v>#REF!</v>
      </c>
    </row>
    <row r="70" spans="2:15" x14ac:dyDescent="0.3">
      <c r="B70" s="24" t="s">
        <v>226</v>
      </c>
      <c r="C70" s="39" t="e">
        <f>COUNTIF('Interface 현황 List'!#REF!,Sheet2!$B70)</f>
        <v>#REF!</v>
      </c>
      <c r="D70" s="39" t="e">
        <f>COUNTIF('Interface 현황 List'!#REF!,Sheet2!$B70)</f>
        <v>#REF!</v>
      </c>
      <c r="E70" s="39"/>
      <c r="F70" s="39" t="e">
        <f>COUNTIF('Interface 현황 List'!#REF!,Sheet2!$B70)</f>
        <v>#REF!</v>
      </c>
      <c r="G70" s="39" t="e">
        <f>COUNTIF('Interface 현황 List'!#REF!,Sheet2!$B70)</f>
        <v>#REF!</v>
      </c>
      <c r="H70" s="39"/>
      <c r="I70" s="39" t="e">
        <f>COUNTIF('Interface 현황 List'!#REF!,Sheet2!$B70)</f>
        <v>#REF!</v>
      </c>
      <c r="J70" s="39" t="e">
        <f>COUNTIF('Interface 현황 List'!#REF!,Sheet2!$B70)</f>
        <v>#REF!</v>
      </c>
      <c r="K70" s="39"/>
      <c r="L70" s="39" t="e">
        <f>COUNTIF('Interface 현황 List'!#REF!,Sheet2!$B70)</f>
        <v>#REF!</v>
      </c>
      <c r="M70" s="39" t="e">
        <f>COUNTIF('Interface 현황 List'!#REF!,Sheet2!$B70)</f>
        <v>#REF!</v>
      </c>
      <c r="N70" s="39"/>
      <c r="O70" s="39" t="e">
        <f>COUNTIF('Interface 현황 List'!#REF!,Sheet2!$B70)</f>
        <v>#REF!</v>
      </c>
    </row>
    <row r="71" spans="2:15" x14ac:dyDescent="0.3">
      <c r="B71" s="24" t="s">
        <v>227</v>
      </c>
      <c r="C71" s="39" t="e">
        <f>COUNTIF('Interface 현황 List'!#REF!,Sheet2!$B71)</f>
        <v>#REF!</v>
      </c>
      <c r="D71" s="39" t="e">
        <f>COUNTIF('Interface 현황 List'!#REF!,Sheet2!$B71)</f>
        <v>#REF!</v>
      </c>
      <c r="E71" s="39"/>
      <c r="F71" s="39" t="e">
        <f>COUNTIF('Interface 현황 List'!#REF!,Sheet2!$B71)</f>
        <v>#REF!</v>
      </c>
      <c r="G71" s="39" t="e">
        <f>COUNTIF('Interface 현황 List'!#REF!,Sheet2!$B71)</f>
        <v>#REF!</v>
      </c>
      <c r="H71" s="39"/>
      <c r="I71" s="39" t="e">
        <f>COUNTIF('Interface 현황 List'!#REF!,Sheet2!$B71)</f>
        <v>#REF!</v>
      </c>
      <c r="J71" s="39" t="e">
        <f>COUNTIF('Interface 현황 List'!#REF!,Sheet2!$B71)</f>
        <v>#REF!</v>
      </c>
      <c r="K71" s="39"/>
      <c r="L71" s="39" t="e">
        <f>COUNTIF('Interface 현황 List'!#REF!,Sheet2!$B71)</f>
        <v>#REF!</v>
      </c>
      <c r="M71" s="39" t="e">
        <f>COUNTIF('Interface 현황 List'!#REF!,Sheet2!$B71)</f>
        <v>#REF!</v>
      </c>
      <c r="N71" s="39"/>
      <c r="O71" s="39" t="e">
        <f>COUNTIF('Interface 현황 List'!#REF!,Sheet2!$B71)</f>
        <v>#REF!</v>
      </c>
    </row>
    <row r="72" spans="2:15" x14ac:dyDescent="0.3">
      <c r="B72" s="24" t="s">
        <v>228</v>
      </c>
      <c r="C72" s="39" t="e">
        <f>COUNTIF('Interface 현황 List'!#REF!,Sheet2!$B72)</f>
        <v>#REF!</v>
      </c>
      <c r="D72" s="39" t="e">
        <f>COUNTIF('Interface 현황 List'!#REF!,Sheet2!$B72)</f>
        <v>#REF!</v>
      </c>
      <c r="E72" s="39"/>
      <c r="F72" s="39" t="e">
        <f>COUNTIF('Interface 현황 List'!#REF!,Sheet2!$B72)</f>
        <v>#REF!</v>
      </c>
      <c r="G72" s="39" t="e">
        <f>COUNTIF('Interface 현황 List'!#REF!,Sheet2!$B72)</f>
        <v>#REF!</v>
      </c>
      <c r="H72" s="39"/>
      <c r="I72" s="39" t="e">
        <f>COUNTIF('Interface 현황 List'!#REF!,Sheet2!$B72)</f>
        <v>#REF!</v>
      </c>
      <c r="J72" s="39" t="e">
        <f>COUNTIF('Interface 현황 List'!#REF!,Sheet2!$B72)</f>
        <v>#REF!</v>
      </c>
      <c r="K72" s="39"/>
      <c r="L72" s="39" t="e">
        <f>COUNTIF('Interface 현황 List'!#REF!,Sheet2!$B72)</f>
        <v>#REF!</v>
      </c>
      <c r="M72" s="39" t="e">
        <f>COUNTIF('Interface 현황 List'!#REF!,Sheet2!$B72)</f>
        <v>#REF!</v>
      </c>
      <c r="N72" s="39"/>
      <c r="O72" s="39" t="e">
        <f>COUNTIF('Interface 현황 List'!#REF!,Sheet2!$B72)</f>
        <v>#REF!</v>
      </c>
    </row>
    <row r="73" spans="2:15" x14ac:dyDescent="0.3">
      <c r="B73" s="24" t="s">
        <v>229</v>
      </c>
      <c r="C73" s="39" t="e">
        <f>COUNTIF('Interface 현황 List'!#REF!,Sheet2!$B73)</f>
        <v>#REF!</v>
      </c>
      <c r="D73" s="39" t="e">
        <f>COUNTIF('Interface 현황 List'!#REF!,Sheet2!$B73)</f>
        <v>#REF!</v>
      </c>
      <c r="E73" s="39"/>
      <c r="F73" s="39" t="e">
        <f>COUNTIF('Interface 현황 List'!#REF!,Sheet2!$B73)</f>
        <v>#REF!</v>
      </c>
      <c r="G73" s="39" t="e">
        <f>COUNTIF('Interface 현황 List'!#REF!,Sheet2!$B73)</f>
        <v>#REF!</v>
      </c>
      <c r="H73" s="39"/>
      <c r="I73" s="39" t="e">
        <f>COUNTIF('Interface 현황 List'!#REF!,Sheet2!$B73)</f>
        <v>#REF!</v>
      </c>
      <c r="J73" s="39" t="e">
        <f>COUNTIF('Interface 현황 List'!#REF!,Sheet2!$B73)</f>
        <v>#REF!</v>
      </c>
      <c r="K73" s="39"/>
      <c r="L73" s="39" t="e">
        <f>COUNTIF('Interface 현황 List'!#REF!,Sheet2!$B73)</f>
        <v>#REF!</v>
      </c>
      <c r="M73" s="39" t="e">
        <f>COUNTIF('Interface 현황 List'!#REF!,Sheet2!$B73)</f>
        <v>#REF!</v>
      </c>
      <c r="N73" s="39"/>
      <c r="O73" s="39" t="e">
        <f>COUNTIF('Interface 현황 List'!#REF!,Sheet2!$B73)</f>
        <v>#REF!</v>
      </c>
    </row>
    <row r="74" spans="2:15" x14ac:dyDescent="0.3">
      <c r="B74" s="24" t="s">
        <v>230</v>
      </c>
      <c r="C74" s="39" t="e">
        <f>COUNTIF('Interface 현황 List'!#REF!,Sheet2!$B74)</f>
        <v>#REF!</v>
      </c>
      <c r="D74" s="39" t="e">
        <f>COUNTIF('Interface 현황 List'!#REF!,Sheet2!$B74)</f>
        <v>#REF!</v>
      </c>
      <c r="E74" s="39"/>
      <c r="F74" s="39" t="e">
        <f>COUNTIF('Interface 현황 List'!#REF!,Sheet2!$B74)</f>
        <v>#REF!</v>
      </c>
      <c r="G74" s="39" t="e">
        <f>COUNTIF('Interface 현황 List'!#REF!,Sheet2!$B74)</f>
        <v>#REF!</v>
      </c>
      <c r="H74" s="39"/>
      <c r="I74" s="39" t="e">
        <f>COUNTIF('Interface 현황 List'!#REF!,Sheet2!$B74)</f>
        <v>#REF!</v>
      </c>
      <c r="J74" s="39" t="e">
        <f>COUNTIF('Interface 현황 List'!#REF!,Sheet2!$B74)</f>
        <v>#REF!</v>
      </c>
      <c r="K74" s="39"/>
      <c r="L74" s="39" t="e">
        <f>COUNTIF('Interface 현황 List'!#REF!,Sheet2!$B74)</f>
        <v>#REF!</v>
      </c>
      <c r="M74" s="39" t="e">
        <f>COUNTIF('Interface 현황 List'!#REF!,Sheet2!$B74)</f>
        <v>#REF!</v>
      </c>
      <c r="N74" s="39"/>
      <c r="O74" s="39" t="e">
        <f>COUNTIF('Interface 현황 List'!#REF!,Sheet2!$B74)</f>
        <v>#REF!</v>
      </c>
    </row>
    <row r="75" spans="2:15" x14ac:dyDescent="0.3">
      <c r="B75" s="24" t="s">
        <v>231</v>
      </c>
      <c r="C75" s="39" t="e">
        <f>COUNTIF('Interface 현황 List'!#REF!,Sheet2!$B75)</f>
        <v>#REF!</v>
      </c>
      <c r="D75" s="39" t="e">
        <f>COUNTIF('Interface 현황 List'!#REF!,Sheet2!$B75)</f>
        <v>#REF!</v>
      </c>
      <c r="E75" s="39"/>
      <c r="F75" s="39" t="e">
        <f>COUNTIF('Interface 현황 List'!#REF!,Sheet2!$B75)</f>
        <v>#REF!</v>
      </c>
      <c r="G75" s="39" t="e">
        <f>COUNTIF('Interface 현황 List'!#REF!,Sheet2!$B75)</f>
        <v>#REF!</v>
      </c>
      <c r="H75" s="39"/>
      <c r="I75" s="39" t="e">
        <f>COUNTIF('Interface 현황 List'!#REF!,Sheet2!$B75)</f>
        <v>#REF!</v>
      </c>
      <c r="J75" s="39" t="e">
        <f>COUNTIF('Interface 현황 List'!#REF!,Sheet2!$B75)</f>
        <v>#REF!</v>
      </c>
      <c r="K75" s="39"/>
      <c r="L75" s="39" t="e">
        <f>COUNTIF('Interface 현황 List'!#REF!,Sheet2!$B75)</f>
        <v>#REF!</v>
      </c>
      <c r="M75" s="39" t="e">
        <f>COUNTIF('Interface 현황 List'!#REF!,Sheet2!$B75)</f>
        <v>#REF!</v>
      </c>
      <c r="N75" s="39"/>
      <c r="O75" s="39" t="e">
        <f>COUNTIF('Interface 현황 List'!#REF!,Sheet2!$B75)</f>
        <v>#REF!</v>
      </c>
    </row>
    <row r="76" spans="2:15" x14ac:dyDescent="0.3">
      <c r="B76" s="24" t="s">
        <v>232</v>
      </c>
      <c r="C76" s="39" t="e">
        <f>COUNTIF('Interface 현황 List'!#REF!,Sheet2!$B76)</f>
        <v>#REF!</v>
      </c>
      <c r="D76" s="39" t="e">
        <f>COUNTIF('Interface 현황 List'!#REF!,Sheet2!$B76)</f>
        <v>#REF!</v>
      </c>
      <c r="E76" s="39"/>
      <c r="F76" s="39" t="e">
        <f>COUNTIF('Interface 현황 List'!#REF!,Sheet2!$B76)</f>
        <v>#REF!</v>
      </c>
      <c r="G76" s="39" t="e">
        <f>COUNTIF('Interface 현황 List'!#REF!,Sheet2!$B76)</f>
        <v>#REF!</v>
      </c>
      <c r="H76" s="39"/>
      <c r="I76" s="39" t="e">
        <f>COUNTIF('Interface 현황 List'!#REF!,Sheet2!$B76)</f>
        <v>#REF!</v>
      </c>
      <c r="J76" s="39" t="e">
        <f>COUNTIF('Interface 현황 List'!#REF!,Sheet2!$B76)</f>
        <v>#REF!</v>
      </c>
      <c r="K76" s="39"/>
      <c r="L76" s="39" t="e">
        <f>COUNTIF('Interface 현황 List'!#REF!,Sheet2!$B76)</f>
        <v>#REF!</v>
      </c>
      <c r="M76" s="39" t="e">
        <f>COUNTIF('Interface 현황 List'!#REF!,Sheet2!$B76)</f>
        <v>#REF!</v>
      </c>
      <c r="N76" s="39"/>
      <c r="O76" s="39" t="e">
        <f>COUNTIF('Interface 현황 List'!#REF!,Sheet2!$B76)</f>
        <v>#REF!</v>
      </c>
    </row>
    <row r="77" spans="2:15" x14ac:dyDescent="0.3">
      <c r="B77" s="24" t="s">
        <v>233</v>
      </c>
      <c r="C77" s="39" t="e">
        <f>COUNTIF('Interface 현황 List'!#REF!,Sheet2!$B77)</f>
        <v>#REF!</v>
      </c>
      <c r="D77" s="39" t="e">
        <f>COUNTIF('Interface 현황 List'!#REF!,Sheet2!$B77)</f>
        <v>#REF!</v>
      </c>
      <c r="E77" s="39"/>
      <c r="F77" s="39" t="e">
        <f>COUNTIF('Interface 현황 List'!#REF!,Sheet2!$B77)</f>
        <v>#REF!</v>
      </c>
      <c r="G77" s="39" t="e">
        <f>COUNTIF('Interface 현황 List'!#REF!,Sheet2!$B77)</f>
        <v>#REF!</v>
      </c>
      <c r="H77" s="39"/>
      <c r="I77" s="39" t="e">
        <f>COUNTIF('Interface 현황 List'!#REF!,Sheet2!$B77)</f>
        <v>#REF!</v>
      </c>
      <c r="J77" s="39" t="e">
        <f>COUNTIF('Interface 현황 List'!#REF!,Sheet2!$B77)</f>
        <v>#REF!</v>
      </c>
      <c r="K77" s="39"/>
      <c r="L77" s="39" t="e">
        <f>COUNTIF('Interface 현황 List'!#REF!,Sheet2!$B77)</f>
        <v>#REF!</v>
      </c>
      <c r="M77" s="39" t="e">
        <f>COUNTIF('Interface 현황 List'!#REF!,Sheet2!$B77)</f>
        <v>#REF!</v>
      </c>
      <c r="N77" s="39"/>
      <c r="O77" s="39" t="e">
        <f>COUNTIF('Interface 현황 List'!#REF!,Sheet2!$B77)</f>
        <v>#REF!</v>
      </c>
    </row>
    <row r="78" spans="2:15" x14ac:dyDescent="0.3">
      <c r="B78" s="24" t="s">
        <v>234</v>
      </c>
      <c r="C78" s="39" t="e">
        <f>COUNTIF('Interface 현황 List'!#REF!,Sheet2!$B78)</f>
        <v>#REF!</v>
      </c>
      <c r="D78" s="39" t="e">
        <f>COUNTIF('Interface 현황 List'!#REF!,Sheet2!$B78)</f>
        <v>#REF!</v>
      </c>
      <c r="E78" s="39"/>
      <c r="F78" s="39" t="e">
        <f>COUNTIF('Interface 현황 List'!#REF!,Sheet2!$B78)</f>
        <v>#REF!</v>
      </c>
      <c r="G78" s="39" t="e">
        <f>COUNTIF('Interface 현황 List'!#REF!,Sheet2!$B78)</f>
        <v>#REF!</v>
      </c>
      <c r="H78" s="39"/>
      <c r="I78" s="39" t="e">
        <f>COUNTIF('Interface 현황 List'!#REF!,Sheet2!$B78)</f>
        <v>#REF!</v>
      </c>
      <c r="J78" s="39" t="e">
        <f>COUNTIF('Interface 현황 List'!#REF!,Sheet2!$B78)</f>
        <v>#REF!</v>
      </c>
      <c r="K78" s="39"/>
      <c r="L78" s="39" t="e">
        <f>COUNTIF('Interface 현황 List'!#REF!,Sheet2!$B78)</f>
        <v>#REF!</v>
      </c>
      <c r="M78" s="39" t="e">
        <f>COUNTIF('Interface 현황 List'!#REF!,Sheet2!$B78)</f>
        <v>#REF!</v>
      </c>
      <c r="N78" s="39"/>
      <c r="O78" s="39" t="e">
        <f>COUNTIF('Interface 현황 List'!#REF!,Sheet2!$B78)</f>
        <v>#REF!</v>
      </c>
    </row>
    <row r="79" spans="2:15" x14ac:dyDescent="0.3">
      <c r="B79" s="24" t="s">
        <v>235</v>
      </c>
      <c r="C79" s="39" t="e">
        <f>COUNTIF('Interface 현황 List'!#REF!,Sheet2!$B79)</f>
        <v>#REF!</v>
      </c>
      <c r="D79" s="39" t="e">
        <f>COUNTIF('Interface 현황 List'!#REF!,Sheet2!$B79)</f>
        <v>#REF!</v>
      </c>
      <c r="E79" s="39"/>
      <c r="F79" s="39" t="e">
        <f>COUNTIF('Interface 현황 List'!#REF!,Sheet2!$B79)</f>
        <v>#REF!</v>
      </c>
      <c r="G79" s="39" t="e">
        <f>COUNTIF('Interface 현황 List'!#REF!,Sheet2!$B79)</f>
        <v>#REF!</v>
      </c>
      <c r="H79" s="39"/>
      <c r="I79" s="39" t="e">
        <f>COUNTIF('Interface 현황 List'!#REF!,Sheet2!$B79)</f>
        <v>#REF!</v>
      </c>
      <c r="J79" s="39" t="e">
        <f>COUNTIF('Interface 현황 List'!#REF!,Sheet2!$B79)</f>
        <v>#REF!</v>
      </c>
      <c r="K79" s="39"/>
      <c r="L79" s="39" t="e">
        <f>COUNTIF('Interface 현황 List'!#REF!,Sheet2!$B79)</f>
        <v>#REF!</v>
      </c>
      <c r="M79" s="39" t="e">
        <f>COUNTIF('Interface 현황 List'!#REF!,Sheet2!$B79)</f>
        <v>#REF!</v>
      </c>
      <c r="N79" s="39"/>
      <c r="O79" s="39" t="e">
        <f>COUNTIF('Interface 현황 List'!#REF!,Sheet2!$B79)</f>
        <v>#REF!</v>
      </c>
    </row>
    <row r="80" spans="2:15" x14ac:dyDescent="0.3">
      <c r="B80" s="24" t="s">
        <v>236</v>
      </c>
      <c r="C80" s="39" t="e">
        <f>COUNTIF('Interface 현황 List'!#REF!,Sheet2!$B80)</f>
        <v>#REF!</v>
      </c>
      <c r="D80" s="39" t="e">
        <f>COUNTIF('Interface 현황 List'!#REF!,Sheet2!$B80)</f>
        <v>#REF!</v>
      </c>
      <c r="E80" s="39"/>
      <c r="F80" s="39" t="e">
        <f>COUNTIF('Interface 현황 List'!#REF!,Sheet2!$B80)</f>
        <v>#REF!</v>
      </c>
      <c r="G80" s="39" t="e">
        <f>COUNTIF('Interface 현황 List'!#REF!,Sheet2!$B80)</f>
        <v>#REF!</v>
      </c>
      <c r="H80" s="39"/>
      <c r="I80" s="39" t="e">
        <f>COUNTIF('Interface 현황 List'!#REF!,Sheet2!$B80)</f>
        <v>#REF!</v>
      </c>
      <c r="J80" s="39" t="e">
        <f>COUNTIF('Interface 현황 List'!#REF!,Sheet2!$B80)</f>
        <v>#REF!</v>
      </c>
      <c r="K80" s="39"/>
      <c r="L80" s="39" t="e">
        <f>COUNTIF('Interface 현황 List'!#REF!,Sheet2!$B80)</f>
        <v>#REF!</v>
      </c>
      <c r="M80" s="39" t="e">
        <f>COUNTIF('Interface 현황 List'!#REF!,Sheet2!$B80)</f>
        <v>#REF!</v>
      </c>
      <c r="N80" s="39"/>
      <c r="O80" s="39" t="e">
        <f>COUNTIF('Interface 현황 List'!#REF!,Sheet2!$B80)</f>
        <v>#REF!</v>
      </c>
    </row>
  </sheetData>
  <customSheetViews>
    <customSheetView guid="{94F6EF88-F3F3-4147-A0A6-D7D872310F87}" scale="80" state="hidden">
      <selection activeCell="R8" sqref="R8"/>
      <pageMargins left="0.7" right="0.7" top="0.75" bottom="0.75" header="0.3" footer="0.3"/>
    </customSheetView>
    <customSheetView guid="{8743E475-82A8-40E3-A89F-2D0E584F91E0}" scale="80" state="hidden">
      <selection activeCell="R8" sqref="R8"/>
      <pageMargins left="0.7" right="0.7" top="0.75" bottom="0.75" header="0.3" footer="0.3"/>
    </customSheetView>
    <customSheetView guid="{7AA70812-ECD5-46F1-9429-36F5BE8AAEE9}" scale="80">
      <selection activeCell="R8" sqref="R8"/>
      <pageMargins left="0.7" right="0.7" top="0.75" bottom="0.75" header="0.3" footer="0.3"/>
    </customSheetView>
    <customSheetView guid="{D15C44AF-0188-43AD-85C3-723784A3432F}" scale="80" state="hidden">
      <selection activeCell="AJ6" sqref="AJ6"/>
      <pageMargins left="0.7" right="0.7" top="0.75" bottom="0.75" header="0.3" footer="0.3"/>
    </customSheetView>
    <customSheetView guid="{9C42C749-E16E-4DC0-991F-1D38A2D3BBE1}" scale="80" state="hidden">
      <selection activeCell="AJ6" sqref="AJ6"/>
      <pageMargins left="0.7" right="0.7" top="0.75" bottom="0.75" header="0.3" footer="0.3"/>
    </customSheetView>
    <customSheetView guid="{53F47E00-189D-4661-B9AF-1164B563763A}" scale="80">
      <selection activeCell="R8" sqref="R8"/>
      <pageMargins left="0.7" right="0.7" top="0.75" bottom="0.75" header="0.3" footer="0.3"/>
    </customSheetView>
    <customSheetView guid="{CEA4BE4F-081E-4347-B6DC-7D60391B2BEE}" scale="80" state="hidden">
      <selection activeCell="AJ6" sqref="AJ6"/>
      <pageMargins left="0.7" right="0.7" top="0.75" bottom="0.75" header="0.3" footer="0.3"/>
    </customSheetView>
    <customSheetView guid="{D096FF35-542B-4691-BEFD-FD1E12D459D4}" scale="80" state="hidden">
      <selection activeCell="AJ6" sqref="AJ6"/>
      <pageMargins left="0.7" right="0.7" top="0.75" bottom="0.75" header="0.3" footer="0.3"/>
    </customSheetView>
    <customSheetView guid="{B32DF6D4-B4FC-4D21-932F-8389C8D7FEB3}" scale="80" state="hidden">
      <selection activeCell="AJ6" sqref="AJ6"/>
      <pageMargins left="0.7" right="0.7" top="0.75" bottom="0.75" header="0.3" footer="0.3"/>
    </customSheetView>
    <customSheetView guid="{8469C684-BE99-40EE-BB9E-2CBDA6F12C64}" scale="80">
      <selection activeCell="R8" sqref="R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R104"/>
  <sheetViews>
    <sheetView showGridLines="0" tabSelected="1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H109" sqref="H109"/>
    </sheetView>
  </sheetViews>
  <sheetFormatPr defaultColWidth="8.75" defaultRowHeight="12" x14ac:dyDescent="0.3"/>
  <cols>
    <col min="1" max="1" width="4.625" style="65" customWidth="1"/>
    <col min="2" max="3" width="15.5" style="66" customWidth="1"/>
    <col min="4" max="4" width="8.625" style="66" customWidth="1"/>
    <col min="5" max="5" width="7.625" style="21" bestFit="1" customWidth="1"/>
    <col min="6" max="6" width="7.625" style="21" customWidth="1"/>
    <col min="7" max="7" width="8.25" style="66" bestFit="1" customWidth="1"/>
    <col min="8" max="8" width="51.25" style="67" bestFit="1" customWidth="1"/>
    <col min="9" max="9" width="28.625" style="64" customWidth="1"/>
    <col min="10" max="10" width="9.625" style="66" customWidth="1" collapsed="1"/>
    <col min="11" max="12" width="8.5" style="66" customWidth="1"/>
    <col min="13" max="13" width="9.125" style="66" customWidth="1"/>
    <col min="14" max="15" width="9" style="66" customWidth="1"/>
    <col min="16" max="22" width="6.375" style="66" customWidth="1"/>
    <col min="23" max="23" width="12.5" style="66" customWidth="1" collapsed="1"/>
    <col min="24" max="24" width="12.875" style="66" customWidth="1"/>
    <col min="25" max="25" width="11.5" style="66" customWidth="1"/>
    <col min="26" max="27" width="10.875" style="66" customWidth="1"/>
    <col min="28" max="28" width="10" style="66" customWidth="1"/>
    <col min="29" max="29" width="20.375" style="66" customWidth="1"/>
    <col min="30" max="30" width="17.875" style="66" customWidth="1"/>
    <col min="31" max="31" width="10.125" style="66" customWidth="1"/>
    <col min="32" max="32" width="8.375" style="21" customWidth="1"/>
    <col min="33" max="33" width="7.625" style="66" customWidth="1"/>
    <col min="34" max="34" width="8.625" style="66" customWidth="1"/>
    <col min="35" max="35" width="8.875" style="66" customWidth="1"/>
    <col min="36" max="36" width="11.25" style="21" hidden="1" customWidth="1"/>
    <col min="37" max="37" width="7.25" style="21" hidden="1" customWidth="1"/>
    <col min="38" max="38" width="11" style="66" customWidth="1"/>
    <col min="39" max="39" width="11.375" style="66" customWidth="1"/>
    <col min="40" max="40" width="11.875" style="66" customWidth="1"/>
    <col min="41" max="41" width="17.125" style="66" customWidth="1"/>
    <col min="42" max="42" width="11.875" style="66" customWidth="1"/>
    <col min="43" max="43" width="12.875" style="66" customWidth="1"/>
    <col min="44" max="44" width="10" style="66" customWidth="1"/>
    <col min="45" max="46" width="8.625" style="21" customWidth="1"/>
    <col min="47" max="47" width="5.875" style="21" customWidth="1"/>
    <col min="48" max="48" width="8.625" style="21" customWidth="1"/>
    <col min="49" max="16384" width="8.75" style="21"/>
  </cols>
  <sheetData>
    <row r="1" spans="1:44" s="43" customFormat="1" x14ac:dyDescent="0.3">
      <c r="A1" s="227" t="s">
        <v>433</v>
      </c>
      <c r="B1" s="228"/>
      <c r="C1" s="228"/>
      <c r="D1" s="228"/>
      <c r="E1" s="228"/>
      <c r="F1" s="228"/>
      <c r="G1" s="228"/>
      <c r="H1" s="229"/>
      <c r="I1" s="127"/>
      <c r="J1" s="233" t="s">
        <v>3</v>
      </c>
      <c r="K1" s="234"/>
      <c r="L1" s="235"/>
      <c r="M1" s="236" t="s">
        <v>4</v>
      </c>
      <c r="N1" s="237"/>
      <c r="O1" s="235"/>
      <c r="P1" s="232" t="s">
        <v>6</v>
      </c>
      <c r="Q1" s="232"/>
      <c r="R1" s="232"/>
      <c r="S1" s="232"/>
      <c r="T1" s="232"/>
      <c r="U1" s="232"/>
      <c r="V1" s="98"/>
      <c r="W1" s="230" t="s">
        <v>54</v>
      </c>
      <c r="X1" s="230"/>
      <c r="Y1" s="230"/>
      <c r="Z1" s="230" t="s">
        <v>9</v>
      </c>
      <c r="AA1" s="230"/>
      <c r="AB1" s="230"/>
      <c r="AC1" s="156"/>
      <c r="AD1" s="84"/>
      <c r="AE1" s="84"/>
      <c r="AF1" s="84"/>
      <c r="AG1" s="230" t="s">
        <v>5</v>
      </c>
      <c r="AH1" s="230"/>
      <c r="AI1" s="230"/>
      <c r="AJ1" s="231" t="s">
        <v>2</v>
      </c>
      <c r="AK1" s="231"/>
      <c r="AL1" s="42"/>
      <c r="AM1" s="230" t="s">
        <v>30</v>
      </c>
      <c r="AN1" s="230"/>
      <c r="AO1" s="230"/>
      <c r="AP1" s="230" t="s">
        <v>10</v>
      </c>
      <c r="AQ1" s="230"/>
      <c r="AR1" s="230"/>
    </row>
    <row r="2" spans="1:44" s="43" customFormat="1" x14ac:dyDescent="0.3">
      <c r="A2" s="114" t="s">
        <v>0</v>
      </c>
      <c r="B2" s="42" t="s">
        <v>730</v>
      </c>
      <c r="C2" s="42"/>
      <c r="D2" s="193" t="s">
        <v>739</v>
      </c>
      <c r="E2" s="114" t="s">
        <v>1</v>
      </c>
      <c r="F2" s="114" t="s">
        <v>431</v>
      </c>
      <c r="G2" s="113" t="s">
        <v>13</v>
      </c>
      <c r="H2" s="115" t="s">
        <v>14</v>
      </c>
      <c r="I2" s="127" t="s">
        <v>8</v>
      </c>
      <c r="J2" s="101" t="s">
        <v>434</v>
      </c>
      <c r="K2" s="101" t="s">
        <v>17</v>
      </c>
      <c r="L2" s="102" t="s">
        <v>180</v>
      </c>
      <c r="M2" s="101" t="s">
        <v>434</v>
      </c>
      <c r="N2" s="101" t="s">
        <v>17</v>
      </c>
      <c r="O2" s="101" t="s">
        <v>180</v>
      </c>
      <c r="P2" s="84" t="s">
        <v>21</v>
      </c>
      <c r="Q2" s="84" t="s">
        <v>22</v>
      </c>
      <c r="R2" s="85" t="s">
        <v>23</v>
      </c>
      <c r="S2" s="85" t="s">
        <v>24</v>
      </c>
      <c r="T2" s="84" t="s">
        <v>25</v>
      </c>
      <c r="U2" s="84" t="s">
        <v>26</v>
      </c>
      <c r="V2" s="97" t="s">
        <v>527</v>
      </c>
      <c r="W2" s="84" t="s">
        <v>43</v>
      </c>
      <c r="X2" s="84" t="s">
        <v>44</v>
      </c>
      <c r="Y2" s="84" t="s">
        <v>45</v>
      </c>
      <c r="Z2" s="84" t="s">
        <v>48</v>
      </c>
      <c r="AA2" s="86" t="s">
        <v>46</v>
      </c>
      <c r="AB2" s="84" t="s">
        <v>27</v>
      </c>
      <c r="AC2" s="156" t="s">
        <v>641</v>
      </c>
      <c r="AD2" s="84" t="s">
        <v>55</v>
      </c>
      <c r="AE2" s="84" t="s">
        <v>11</v>
      </c>
      <c r="AF2" s="84" t="s">
        <v>12</v>
      </c>
      <c r="AG2" s="84" t="s">
        <v>18</v>
      </c>
      <c r="AH2" s="84" t="s">
        <v>19</v>
      </c>
      <c r="AI2" s="84" t="s">
        <v>20</v>
      </c>
      <c r="AJ2" s="85" t="s">
        <v>15</v>
      </c>
      <c r="AK2" s="85" t="s">
        <v>16</v>
      </c>
      <c r="AL2" s="42" t="s">
        <v>7</v>
      </c>
      <c r="AM2" s="84" t="s">
        <v>47</v>
      </c>
      <c r="AN2" s="84" t="s">
        <v>46</v>
      </c>
      <c r="AO2" s="84" t="s">
        <v>27</v>
      </c>
      <c r="AP2" s="84" t="s">
        <v>49</v>
      </c>
      <c r="AQ2" s="84" t="s">
        <v>50</v>
      </c>
      <c r="AR2" s="84" t="s">
        <v>27</v>
      </c>
    </row>
    <row r="3" spans="1:44" hidden="1" x14ac:dyDescent="0.3">
      <c r="A3" s="44">
        <f>IF(E3 &lt;&gt; "",ROW(E3)-COUNTIF($E$3:E3,"")-2,"")</f>
        <v>1</v>
      </c>
      <c r="B3" s="50">
        <v>44316</v>
      </c>
      <c r="C3" s="50"/>
      <c r="D3" s="50"/>
      <c r="E3" s="44" t="s">
        <v>161</v>
      </c>
      <c r="F3" s="44" t="str">
        <f t="shared" ref="F3:F37" si="0">IF(LEFT(J3,3)="ERP",M3,J3)</f>
        <v>GW</v>
      </c>
      <c r="G3" s="45" t="s">
        <v>162</v>
      </c>
      <c r="H3" s="103" t="s">
        <v>390</v>
      </c>
      <c r="I3" s="47" t="s">
        <v>507</v>
      </c>
      <c r="J3" s="48" t="s">
        <v>136</v>
      </c>
      <c r="K3" s="48" t="s">
        <v>160</v>
      </c>
      <c r="L3" s="48" t="s">
        <v>245</v>
      </c>
      <c r="M3" s="48" t="s">
        <v>74</v>
      </c>
      <c r="N3" s="48" t="s">
        <v>161</v>
      </c>
      <c r="O3" s="48" t="s">
        <v>181</v>
      </c>
      <c r="P3" s="44" t="s">
        <v>81</v>
      </c>
      <c r="Q3" s="48" t="s">
        <v>174</v>
      </c>
      <c r="R3" s="44" t="s">
        <v>28</v>
      </c>
      <c r="S3" s="44"/>
      <c r="T3" s="44">
        <v>0.2</v>
      </c>
      <c r="U3" s="44">
        <v>1</v>
      </c>
      <c r="V3" s="44">
        <v>0.2</v>
      </c>
      <c r="W3" s="50">
        <v>44183</v>
      </c>
      <c r="X3" s="50">
        <v>44188</v>
      </c>
      <c r="Y3" s="58" t="s">
        <v>168</v>
      </c>
      <c r="Z3" s="57">
        <v>44196</v>
      </c>
      <c r="AA3" s="50">
        <v>44189</v>
      </c>
      <c r="AB3" s="52" t="s">
        <v>170</v>
      </c>
      <c r="AC3" s="51">
        <v>44193</v>
      </c>
      <c r="AD3" s="51">
        <v>44193</v>
      </c>
      <c r="AE3" s="52"/>
      <c r="AF3" s="53"/>
      <c r="AG3" s="48" t="s">
        <v>168</v>
      </c>
      <c r="AH3" s="48" t="s">
        <v>29</v>
      </c>
      <c r="AI3" s="48" t="s">
        <v>137</v>
      </c>
      <c r="AJ3" s="47" t="s">
        <v>70</v>
      </c>
      <c r="AK3" s="46" t="s">
        <v>327</v>
      </c>
      <c r="AL3" s="49" t="s">
        <v>69</v>
      </c>
      <c r="AM3" s="57">
        <v>44190</v>
      </c>
      <c r="AN3" s="50"/>
      <c r="AO3" s="44" t="s">
        <v>322</v>
      </c>
      <c r="AP3" s="57">
        <v>44190</v>
      </c>
      <c r="AQ3" s="50">
        <v>44189</v>
      </c>
      <c r="AR3" s="44" t="s">
        <v>324</v>
      </c>
    </row>
    <row r="4" spans="1:44" hidden="1" x14ac:dyDescent="0.3">
      <c r="A4" s="44">
        <f>IF(E4 &lt;&gt; "",ROW(E4)-COUNTIF($E$3:E4,"")-2,"")</f>
        <v>2</v>
      </c>
      <c r="B4" s="49"/>
      <c r="C4" s="49"/>
      <c r="D4" s="49"/>
      <c r="E4" s="44" t="s">
        <v>161</v>
      </c>
      <c r="F4" s="44" t="str">
        <f t="shared" si="0"/>
        <v>GW</v>
      </c>
      <c r="G4" s="45" t="s">
        <v>475</v>
      </c>
      <c r="H4" s="103" t="s">
        <v>163</v>
      </c>
      <c r="I4" s="47" t="s">
        <v>508</v>
      </c>
      <c r="J4" s="48" t="s">
        <v>136</v>
      </c>
      <c r="K4" s="48" t="s">
        <v>160</v>
      </c>
      <c r="L4" s="111" t="s">
        <v>400</v>
      </c>
      <c r="M4" s="48" t="s">
        <v>74</v>
      </c>
      <c r="N4" s="48" t="s">
        <v>161</v>
      </c>
      <c r="O4" s="48" t="s">
        <v>181</v>
      </c>
      <c r="P4" s="44" t="s">
        <v>81</v>
      </c>
      <c r="Q4" s="48" t="s">
        <v>174</v>
      </c>
      <c r="R4" s="44" t="s">
        <v>28</v>
      </c>
      <c r="S4" s="44"/>
      <c r="T4" s="44">
        <v>0.2</v>
      </c>
      <c r="U4" s="44">
        <v>1</v>
      </c>
      <c r="V4" s="44">
        <v>0.3</v>
      </c>
      <c r="W4" s="50">
        <v>44183</v>
      </c>
      <c r="X4" s="50">
        <v>44188</v>
      </c>
      <c r="Y4" s="58" t="s">
        <v>168</v>
      </c>
      <c r="Z4" s="57">
        <v>44196</v>
      </c>
      <c r="AA4" s="50">
        <v>44194</v>
      </c>
      <c r="AB4" s="52" t="s">
        <v>170</v>
      </c>
      <c r="AC4" s="51">
        <v>44201</v>
      </c>
      <c r="AD4" s="51">
        <v>44201</v>
      </c>
      <c r="AE4" s="52"/>
      <c r="AF4" s="53"/>
      <c r="AG4" s="48" t="s">
        <v>137</v>
      </c>
      <c r="AH4" s="48" t="s">
        <v>29</v>
      </c>
      <c r="AI4" s="48" t="s">
        <v>321</v>
      </c>
      <c r="AJ4" s="47" t="s">
        <v>70</v>
      </c>
      <c r="AK4" s="46"/>
      <c r="AL4" s="49" t="s">
        <v>69</v>
      </c>
      <c r="AM4" s="57">
        <v>44190</v>
      </c>
      <c r="AN4" s="50"/>
      <c r="AO4" s="44" t="s">
        <v>137</v>
      </c>
      <c r="AP4" s="57">
        <v>44190</v>
      </c>
      <c r="AQ4" s="50"/>
      <c r="AR4" s="44" t="s">
        <v>251</v>
      </c>
    </row>
    <row r="5" spans="1:44" hidden="1" x14ac:dyDescent="0.3">
      <c r="A5" s="44">
        <f>IF(E5 &lt;&gt; "",ROW(E5)-COUNTIF($E$3:E5,"")-2,"")</f>
        <v>3</v>
      </c>
      <c r="B5" s="50">
        <v>44317</v>
      </c>
      <c r="C5" s="50"/>
      <c r="D5" s="50"/>
      <c r="E5" s="44" t="s">
        <v>59</v>
      </c>
      <c r="F5" s="44" t="str">
        <f t="shared" si="0"/>
        <v>EHR</v>
      </c>
      <c r="G5" s="45" t="s">
        <v>71</v>
      </c>
      <c r="H5" s="103" t="s">
        <v>72</v>
      </c>
      <c r="I5" s="47" t="s">
        <v>711</v>
      </c>
      <c r="J5" s="44" t="s">
        <v>150</v>
      </c>
      <c r="K5" s="44" t="s">
        <v>75</v>
      </c>
      <c r="L5" s="111" t="s">
        <v>181</v>
      </c>
      <c r="M5" s="44" t="s">
        <v>243</v>
      </c>
      <c r="N5" s="44" t="s">
        <v>244</v>
      </c>
      <c r="O5" s="44" t="s">
        <v>183</v>
      </c>
      <c r="P5" s="44" t="s">
        <v>81</v>
      </c>
      <c r="Q5" s="44" t="s">
        <v>171</v>
      </c>
      <c r="R5" s="44" t="s">
        <v>28</v>
      </c>
      <c r="S5" s="44"/>
      <c r="T5" s="44">
        <v>1079</v>
      </c>
      <c r="U5" s="44" t="s">
        <v>528</v>
      </c>
      <c r="V5" s="44">
        <v>0.2</v>
      </c>
      <c r="W5" s="50">
        <v>44145</v>
      </c>
      <c r="X5" s="50">
        <v>44146</v>
      </c>
      <c r="Y5" s="44" t="s">
        <v>82</v>
      </c>
      <c r="Z5" s="50">
        <v>44152</v>
      </c>
      <c r="AA5" s="50">
        <v>44152</v>
      </c>
      <c r="AB5" s="44" t="s">
        <v>79</v>
      </c>
      <c r="AC5" s="50">
        <v>44153</v>
      </c>
      <c r="AD5" s="50">
        <v>44153</v>
      </c>
      <c r="AE5" s="51">
        <v>44222</v>
      </c>
      <c r="AF5" s="53"/>
      <c r="AG5" s="44" t="s">
        <v>78</v>
      </c>
      <c r="AH5" s="44" t="s">
        <v>79</v>
      </c>
      <c r="AI5" s="44" t="s">
        <v>80</v>
      </c>
      <c r="AJ5" s="47" t="s">
        <v>70</v>
      </c>
      <c r="AK5" s="46" t="s">
        <v>73</v>
      </c>
      <c r="AL5" s="49" t="s">
        <v>69</v>
      </c>
      <c r="AM5" s="50">
        <v>44153</v>
      </c>
      <c r="AN5" s="50">
        <v>44153</v>
      </c>
      <c r="AO5" s="44" t="s">
        <v>78</v>
      </c>
      <c r="AP5" s="57">
        <v>44196</v>
      </c>
      <c r="AQ5" s="50">
        <v>44152</v>
      </c>
      <c r="AR5" s="44" t="s">
        <v>80</v>
      </c>
    </row>
    <row r="6" spans="1:44" s="64" customFormat="1" x14ac:dyDescent="0.3">
      <c r="A6" s="44">
        <f>IF(E6 &lt;&gt; "",ROW(E6)-COUNTIF($E$3:E6,"")-2,"")</f>
        <v>4</v>
      </c>
      <c r="B6" s="188">
        <v>44317</v>
      </c>
      <c r="C6" s="188"/>
      <c r="D6" s="192"/>
      <c r="E6" s="44" t="s">
        <v>432</v>
      </c>
      <c r="F6" s="44" t="str">
        <f t="shared" si="0"/>
        <v>PRM</v>
      </c>
      <c r="G6" s="45" t="s">
        <v>722</v>
      </c>
      <c r="H6" s="225" t="s">
        <v>167</v>
      </c>
      <c r="I6" s="55" t="s">
        <v>723</v>
      </c>
      <c r="J6" s="48" t="s">
        <v>248</v>
      </c>
      <c r="K6" s="44" t="s">
        <v>77</v>
      </c>
      <c r="L6" s="111" t="s">
        <v>400</v>
      </c>
      <c r="M6" s="48" t="s">
        <v>249</v>
      </c>
      <c r="N6" s="48" t="s">
        <v>165</v>
      </c>
      <c r="O6" s="48" t="s">
        <v>250</v>
      </c>
      <c r="P6" s="48" t="s">
        <v>145</v>
      </c>
      <c r="Q6" s="48" t="s">
        <v>174</v>
      </c>
      <c r="R6" s="48" t="s">
        <v>28</v>
      </c>
      <c r="S6" s="44"/>
      <c r="T6" s="44"/>
      <c r="U6" s="44">
        <v>50000</v>
      </c>
      <c r="V6" s="44"/>
      <c r="W6" s="90">
        <v>44295</v>
      </c>
      <c r="X6" s="90">
        <v>44285</v>
      </c>
      <c r="Y6" s="48" t="s">
        <v>169</v>
      </c>
      <c r="Z6" s="90">
        <v>44293</v>
      </c>
      <c r="AA6" s="90">
        <v>44285</v>
      </c>
      <c r="AB6" s="44" t="s">
        <v>170</v>
      </c>
      <c r="AC6" s="50">
        <v>44285</v>
      </c>
      <c r="AD6" s="50">
        <v>44285</v>
      </c>
      <c r="AE6" s="48"/>
      <c r="AF6" s="53"/>
      <c r="AG6" s="48" t="s">
        <v>246</v>
      </c>
      <c r="AH6" s="44" t="s">
        <v>29</v>
      </c>
      <c r="AI6" s="48" t="s">
        <v>319</v>
      </c>
      <c r="AJ6" s="55" t="s">
        <v>70</v>
      </c>
      <c r="AK6" s="54"/>
      <c r="AL6" s="56" t="s">
        <v>179</v>
      </c>
      <c r="AM6" s="90"/>
      <c r="AN6" s="53"/>
      <c r="AO6" s="44" t="s">
        <v>325</v>
      </c>
      <c r="AP6" s="90">
        <v>44285</v>
      </c>
      <c r="AQ6" s="53"/>
      <c r="AR6" s="44" t="s">
        <v>323</v>
      </c>
    </row>
    <row r="7" spans="1:44" hidden="1" x14ac:dyDescent="0.3">
      <c r="A7" s="44">
        <f>IF(E7 &lt;&gt; "",ROW(E7)-COUNTIF($E$3:E7,"")-2,"")</f>
        <v>5</v>
      </c>
      <c r="B7" s="192">
        <v>44317</v>
      </c>
      <c r="C7" s="192"/>
      <c r="D7" s="192"/>
      <c r="E7" s="48" t="s">
        <v>166</v>
      </c>
      <c r="F7" s="44" t="str">
        <f t="shared" si="0"/>
        <v>KSNET</v>
      </c>
      <c r="G7" s="45" t="s">
        <v>172</v>
      </c>
      <c r="H7" s="151" t="s">
        <v>348</v>
      </c>
      <c r="I7" s="126" t="s">
        <v>401</v>
      </c>
      <c r="J7" s="48" t="s">
        <v>173</v>
      </c>
      <c r="K7" s="48" t="s">
        <v>173</v>
      </c>
      <c r="L7" s="48" t="s">
        <v>345</v>
      </c>
      <c r="M7" s="48" t="s">
        <v>105</v>
      </c>
      <c r="N7" s="48" t="s">
        <v>166</v>
      </c>
      <c r="O7" s="48" t="s">
        <v>182</v>
      </c>
      <c r="P7" s="48" t="s">
        <v>525</v>
      </c>
      <c r="Q7" s="44" t="s">
        <v>171</v>
      </c>
      <c r="R7" s="48" t="s">
        <v>28</v>
      </c>
      <c r="S7" s="44"/>
      <c r="T7" s="44">
        <v>1</v>
      </c>
      <c r="U7" s="44" t="s">
        <v>529</v>
      </c>
      <c r="V7" s="44">
        <v>0.5</v>
      </c>
      <c r="W7" s="57">
        <v>44183</v>
      </c>
      <c r="X7" s="57">
        <v>44183</v>
      </c>
      <c r="Y7" s="58" t="s">
        <v>168</v>
      </c>
      <c r="Z7" s="57">
        <v>44195</v>
      </c>
      <c r="AA7" s="57">
        <v>44195</v>
      </c>
      <c r="AB7" s="52" t="s">
        <v>170</v>
      </c>
      <c r="AC7" s="51">
        <v>44196</v>
      </c>
      <c r="AD7" s="51">
        <v>44196</v>
      </c>
      <c r="AE7" s="57"/>
      <c r="AF7" s="53"/>
      <c r="AG7" s="48" t="s">
        <v>137</v>
      </c>
      <c r="AH7" s="44" t="s">
        <v>29</v>
      </c>
      <c r="AI7" s="48" t="s">
        <v>320</v>
      </c>
      <c r="AJ7" s="55" t="s">
        <v>70</v>
      </c>
      <c r="AK7" s="54"/>
      <c r="AL7" s="56" t="s">
        <v>179</v>
      </c>
      <c r="AM7" s="57"/>
      <c r="AN7" s="59"/>
      <c r="AO7" s="52" t="s">
        <v>326</v>
      </c>
      <c r="AP7" s="57">
        <v>44302</v>
      </c>
      <c r="AQ7" s="59"/>
      <c r="AR7" s="44" t="s">
        <v>323</v>
      </c>
    </row>
    <row r="8" spans="1:44" hidden="1" x14ac:dyDescent="0.3">
      <c r="A8" s="44">
        <f>IF(E8 &lt;&gt; "",ROW(E8)-COUNTIF($E$3:E8,"")-2,"")</f>
        <v>6</v>
      </c>
      <c r="B8" s="192">
        <v>44317</v>
      </c>
      <c r="C8" s="192"/>
      <c r="D8" s="192"/>
      <c r="E8" s="44" t="s">
        <v>620</v>
      </c>
      <c r="F8" s="44" t="str">
        <f>IF(LEFT(J8,3)="ERP",M8,J8)</f>
        <v>EHR</v>
      </c>
      <c r="G8" s="91" t="s">
        <v>677</v>
      </c>
      <c r="H8" s="150" t="s">
        <v>647</v>
      </c>
      <c r="I8" s="55" t="s">
        <v>645</v>
      </c>
      <c r="J8" s="48" t="s">
        <v>630</v>
      </c>
      <c r="K8" s="48" t="s">
        <v>631</v>
      </c>
      <c r="L8" s="48" t="s">
        <v>245</v>
      </c>
      <c r="M8" s="48" t="s">
        <v>149</v>
      </c>
      <c r="N8" s="48" t="s">
        <v>166</v>
      </c>
      <c r="O8" s="48" t="s">
        <v>285</v>
      </c>
      <c r="P8" s="48" t="s">
        <v>356</v>
      </c>
      <c r="Q8" s="48" t="s">
        <v>174</v>
      </c>
      <c r="R8" s="48"/>
      <c r="S8" s="48"/>
      <c r="T8" s="48"/>
      <c r="U8" s="48"/>
      <c r="V8" s="48"/>
      <c r="W8" s="90">
        <v>44250</v>
      </c>
      <c r="X8" s="90">
        <v>44250</v>
      </c>
      <c r="Y8" s="48" t="s">
        <v>169</v>
      </c>
      <c r="Z8" s="90">
        <v>44250</v>
      </c>
      <c r="AA8" s="90">
        <v>44250</v>
      </c>
      <c r="AB8" s="48" t="s">
        <v>629</v>
      </c>
      <c r="AC8" s="90">
        <v>44264</v>
      </c>
      <c r="AD8" s="90">
        <v>44264</v>
      </c>
      <c r="AE8" s="48"/>
      <c r="AF8" s="53"/>
      <c r="AG8" s="48" t="s">
        <v>621</v>
      </c>
      <c r="AH8" s="44" t="s">
        <v>29</v>
      </c>
      <c r="AI8" s="48" t="s">
        <v>622</v>
      </c>
      <c r="AJ8" s="94"/>
      <c r="AK8" s="94"/>
      <c r="AL8" s="56" t="s">
        <v>179</v>
      </c>
      <c r="AM8" s="90"/>
      <c r="AN8" s="90"/>
      <c r="AO8" s="48" t="s">
        <v>621</v>
      </c>
      <c r="AP8" s="90"/>
      <c r="AQ8" s="90"/>
      <c r="AR8" s="48" t="s">
        <v>624</v>
      </c>
    </row>
    <row r="9" spans="1:44" hidden="1" x14ac:dyDescent="0.3">
      <c r="A9" s="44">
        <f>IF(E9 &lt;&gt; "",ROW(E9)-COUNTIF($E$3:E9,"")-2,"")</f>
        <v>7</v>
      </c>
      <c r="B9" s="192">
        <v>44317</v>
      </c>
      <c r="C9" s="192"/>
      <c r="D9" s="192"/>
      <c r="E9" s="44" t="s">
        <v>620</v>
      </c>
      <c r="F9" s="44" t="str">
        <f>IF(LEFT(J9,3)="ERP",M9,J9)</f>
        <v>EHR</v>
      </c>
      <c r="G9" s="91" t="s">
        <v>648</v>
      </c>
      <c r="H9" s="131" t="s">
        <v>686</v>
      </c>
      <c r="I9" s="47"/>
      <c r="J9" s="48" t="s">
        <v>149</v>
      </c>
      <c r="K9" s="48" t="s">
        <v>165</v>
      </c>
      <c r="L9" s="48" t="s">
        <v>285</v>
      </c>
      <c r="M9" s="44" t="s">
        <v>243</v>
      </c>
      <c r="N9" s="44" t="s">
        <v>243</v>
      </c>
      <c r="O9" s="44" t="s">
        <v>183</v>
      </c>
      <c r="P9" s="48" t="s">
        <v>356</v>
      </c>
      <c r="Q9" s="48" t="s">
        <v>174</v>
      </c>
      <c r="R9" s="52"/>
      <c r="S9" s="52"/>
      <c r="T9" s="52"/>
      <c r="U9" s="52"/>
      <c r="V9" s="52"/>
      <c r="W9" s="90">
        <v>44250</v>
      </c>
      <c r="X9" s="51">
        <v>44250</v>
      </c>
      <c r="Y9" s="48" t="s">
        <v>169</v>
      </c>
      <c r="Z9" s="90">
        <v>44251</v>
      </c>
      <c r="AA9" s="51">
        <v>44251</v>
      </c>
      <c r="AB9" s="48" t="s">
        <v>67</v>
      </c>
      <c r="AC9" s="51">
        <v>44251</v>
      </c>
      <c r="AD9" s="51">
        <v>44251</v>
      </c>
      <c r="AE9" s="52"/>
      <c r="AF9" s="94"/>
      <c r="AG9" s="48" t="s">
        <v>623</v>
      </c>
      <c r="AH9" s="44" t="s">
        <v>29</v>
      </c>
      <c r="AI9" s="48" t="s">
        <v>621</v>
      </c>
      <c r="AJ9" s="94"/>
      <c r="AK9" s="94"/>
      <c r="AL9" s="56" t="s">
        <v>179</v>
      </c>
      <c r="AM9" s="52"/>
      <c r="AN9" s="52"/>
      <c r="AO9" s="48" t="s">
        <v>621</v>
      </c>
      <c r="AP9" s="52"/>
      <c r="AQ9" s="52"/>
      <c r="AR9" s="48" t="s">
        <v>624</v>
      </c>
    </row>
    <row r="10" spans="1:44" hidden="1" x14ac:dyDescent="0.3">
      <c r="A10" s="44">
        <f>IF(E10 &lt;&gt; "",ROW(E10)-COUNTIF($E$3:E10,"")-2,"")</f>
        <v>8</v>
      </c>
      <c r="B10" s="192">
        <v>44317</v>
      </c>
      <c r="C10" s="192"/>
      <c r="D10" s="192"/>
      <c r="E10" s="44" t="s">
        <v>165</v>
      </c>
      <c r="F10" s="44" t="str">
        <f>IF(LEFT(J10,3)="ERP",M10,J10)</f>
        <v>EHR</v>
      </c>
      <c r="G10" s="91" t="s">
        <v>687</v>
      </c>
      <c r="H10" s="131" t="s">
        <v>699</v>
      </c>
      <c r="I10" s="47"/>
      <c r="J10" s="48" t="s">
        <v>149</v>
      </c>
      <c r="K10" s="48" t="s">
        <v>165</v>
      </c>
      <c r="L10" s="48" t="s">
        <v>285</v>
      </c>
      <c r="M10" s="44" t="s">
        <v>243</v>
      </c>
      <c r="N10" s="44" t="s">
        <v>243</v>
      </c>
      <c r="O10" s="44" t="s">
        <v>183</v>
      </c>
      <c r="P10" s="48" t="s">
        <v>356</v>
      </c>
      <c r="Q10" s="48" t="s">
        <v>174</v>
      </c>
      <c r="R10" s="52"/>
      <c r="S10" s="52"/>
      <c r="T10" s="52"/>
      <c r="U10" s="52"/>
      <c r="V10" s="52"/>
      <c r="W10" s="90">
        <v>44267</v>
      </c>
      <c r="X10" s="90">
        <v>44267</v>
      </c>
      <c r="Y10" s="48" t="s">
        <v>685</v>
      </c>
      <c r="Z10" s="90">
        <v>44270</v>
      </c>
      <c r="AA10" s="90">
        <v>44270</v>
      </c>
      <c r="AB10" s="48" t="s">
        <v>29</v>
      </c>
      <c r="AC10" s="51">
        <v>44271</v>
      </c>
      <c r="AD10" s="51">
        <v>44271</v>
      </c>
      <c r="AE10" s="52"/>
      <c r="AF10" s="94"/>
      <c r="AG10" s="48"/>
      <c r="AH10" s="44"/>
      <c r="AI10" s="48"/>
      <c r="AJ10" s="94"/>
      <c r="AK10" s="94"/>
      <c r="AL10" s="56"/>
      <c r="AM10" s="52"/>
      <c r="AN10" s="52"/>
      <c r="AO10" s="48"/>
      <c r="AP10" s="52"/>
      <c r="AQ10" s="52"/>
      <c r="AR10" s="48"/>
    </row>
    <row r="11" spans="1:44" hidden="1" x14ac:dyDescent="0.3">
      <c r="A11" s="44">
        <f>IF(E11 &lt;&gt; "",ROW(E11)-COUNTIF($E$3:E11,"")-2,"")</f>
        <v>9</v>
      </c>
      <c r="B11" s="192">
        <v>44317</v>
      </c>
      <c r="C11" s="192"/>
      <c r="D11" s="192"/>
      <c r="E11" s="44" t="s">
        <v>165</v>
      </c>
      <c r="F11" s="44" t="str">
        <f>IF(LEFT(J11,3)="ERP",M11,J11)</f>
        <v>EHR</v>
      </c>
      <c r="G11" s="91" t="s">
        <v>728</v>
      </c>
      <c r="H11" s="131" t="s">
        <v>729</v>
      </c>
      <c r="I11" s="47" t="s">
        <v>735</v>
      </c>
      <c r="J11" s="48" t="s">
        <v>149</v>
      </c>
      <c r="K11" s="48" t="s">
        <v>165</v>
      </c>
      <c r="L11" s="48" t="s">
        <v>285</v>
      </c>
      <c r="M11" s="44" t="s">
        <v>243</v>
      </c>
      <c r="N11" s="44" t="s">
        <v>243</v>
      </c>
      <c r="O11" s="44" t="s">
        <v>183</v>
      </c>
      <c r="P11" s="48" t="s">
        <v>356</v>
      </c>
      <c r="Q11" s="48" t="s">
        <v>174</v>
      </c>
      <c r="R11" s="52"/>
      <c r="S11" s="52"/>
      <c r="T11" s="52"/>
      <c r="U11" s="52"/>
      <c r="V11" s="52"/>
      <c r="W11" s="90"/>
      <c r="X11" s="90"/>
      <c r="Y11" s="48" t="s">
        <v>623</v>
      </c>
      <c r="Z11" s="90"/>
      <c r="AA11" s="90"/>
      <c r="AB11" s="48"/>
      <c r="AC11" s="51"/>
      <c r="AD11" s="51"/>
      <c r="AE11" s="52"/>
      <c r="AF11" s="94"/>
      <c r="AG11" s="48" t="s">
        <v>623</v>
      </c>
      <c r="AH11" s="44" t="s">
        <v>734</v>
      </c>
      <c r="AI11" s="48"/>
      <c r="AJ11" s="94"/>
      <c r="AK11" s="94"/>
      <c r="AL11" s="56"/>
      <c r="AM11" s="52"/>
      <c r="AN11" s="52"/>
      <c r="AO11" s="48"/>
      <c r="AP11" s="52"/>
      <c r="AQ11" s="52"/>
      <c r="AR11" s="48"/>
    </row>
    <row r="12" spans="1:44" hidden="1" x14ac:dyDescent="0.3">
      <c r="A12" s="44">
        <f>IF(E12 &lt;&gt; "",ROW(E12)-COUNTIF($E$3:E12,"")-2,"")</f>
        <v>10</v>
      </c>
      <c r="B12" s="49"/>
      <c r="C12" s="49"/>
      <c r="D12" s="49"/>
      <c r="E12" s="44" t="s">
        <v>102</v>
      </c>
      <c r="F12" s="44" t="str">
        <f t="shared" si="0"/>
        <v>PPT</v>
      </c>
      <c r="G12" s="133" t="s">
        <v>523</v>
      </c>
      <c r="H12" s="152" t="s">
        <v>103</v>
      </c>
      <c r="I12" s="47" t="s">
        <v>468</v>
      </c>
      <c r="J12" s="48" t="s">
        <v>105</v>
      </c>
      <c r="K12" s="48" t="s">
        <v>243</v>
      </c>
      <c r="L12" s="48" t="s">
        <v>181</v>
      </c>
      <c r="M12" s="48" t="s">
        <v>159</v>
      </c>
      <c r="N12" s="48" t="s">
        <v>106</v>
      </c>
      <c r="O12" s="48" t="s">
        <v>184</v>
      </c>
      <c r="P12" s="48" t="s">
        <v>145</v>
      </c>
      <c r="Q12" s="48" t="s">
        <v>174</v>
      </c>
      <c r="R12" s="44" t="s">
        <v>28</v>
      </c>
      <c r="S12" s="44"/>
      <c r="T12" s="44">
        <v>28</v>
      </c>
      <c r="U12" s="44" t="s">
        <v>530</v>
      </c>
      <c r="V12" s="44">
        <v>0.3</v>
      </c>
      <c r="W12" s="90">
        <f>AM12-3</f>
        <v>44152</v>
      </c>
      <c r="X12" s="90">
        <v>44152</v>
      </c>
      <c r="Y12" s="48" t="s">
        <v>108</v>
      </c>
      <c r="Z12" s="90">
        <v>44154</v>
      </c>
      <c r="AA12" s="90">
        <v>44154</v>
      </c>
      <c r="AB12" s="48" t="s">
        <v>114</v>
      </c>
      <c r="AC12" s="51">
        <v>44155</v>
      </c>
      <c r="AD12" s="51">
        <v>44155</v>
      </c>
      <c r="AE12" s="51">
        <v>44167</v>
      </c>
      <c r="AF12" s="53"/>
      <c r="AG12" s="48" t="s">
        <v>108</v>
      </c>
      <c r="AH12" s="48" t="s">
        <v>109</v>
      </c>
      <c r="AI12" s="48" t="s">
        <v>111</v>
      </c>
      <c r="AJ12" s="47" t="s">
        <v>104</v>
      </c>
      <c r="AK12" s="46" t="s">
        <v>103</v>
      </c>
      <c r="AL12" s="49" t="s">
        <v>69</v>
      </c>
      <c r="AM12" s="90">
        <v>44155</v>
      </c>
      <c r="AN12" s="90">
        <v>44155</v>
      </c>
      <c r="AO12" s="48" t="s">
        <v>113</v>
      </c>
      <c r="AP12" s="90">
        <v>44154</v>
      </c>
      <c r="AQ12" s="90">
        <v>44154</v>
      </c>
      <c r="AR12" s="48" t="s">
        <v>110</v>
      </c>
    </row>
    <row r="13" spans="1:44" hidden="1" x14ac:dyDescent="0.3">
      <c r="A13" s="44">
        <f>IF(E13 &lt;&gt; "",ROW(E13)-COUNTIF($E$3:E13,"")-2,"")</f>
        <v>11</v>
      </c>
      <c r="B13" s="99"/>
      <c r="C13" s="99"/>
      <c r="D13" s="99"/>
      <c r="E13" s="44" t="s">
        <v>102</v>
      </c>
      <c r="F13" s="44" t="str">
        <f t="shared" si="0"/>
        <v>PPT</v>
      </c>
      <c r="G13" s="133" t="s">
        <v>524</v>
      </c>
      <c r="H13" s="134" t="s">
        <v>115</v>
      </c>
      <c r="I13" s="83" t="s">
        <v>509</v>
      </c>
      <c r="J13" s="48" t="s">
        <v>159</v>
      </c>
      <c r="K13" s="48" t="s">
        <v>106</v>
      </c>
      <c r="L13" s="111" t="s">
        <v>245</v>
      </c>
      <c r="M13" s="48" t="s">
        <v>105</v>
      </c>
      <c r="N13" s="48" t="s">
        <v>102</v>
      </c>
      <c r="O13" s="48" t="s">
        <v>182</v>
      </c>
      <c r="P13" s="48" t="s">
        <v>145</v>
      </c>
      <c r="Q13" s="48" t="s">
        <v>174</v>
      </c>
      <c r="R13" s="44" t="s">
        <v>28</v>
      </c>
      <c r="S13" s="44"/>
      <c r="T13" s="44">
        <v>5</v>
      </c>
      <c r="U13" s="44" t="s">
        <v>531</v>
      </c>
      <c r="V13" s="44">
        <v>0.1</v>
      </c>
      <c r="W13" s="60">
        <v>44152</v>
      </c>
      <c r="X13" s="60">
        <v>44152</v>
      </c>
      <c r="Y13" s="48" t="s">
        <v>108</v>
      </c>
      <c r="Z13" s="60">
        <v>44162</v>
      </c>
      <c r="AA13" s="60">
        <v>44159</v>
      </c>
      <c r="AB13" s="48" t="s">
        <v>114</v>
      </c>
      <c r="AC13" s="51">
        <v>44168</v>
      </c>
      <c r="AD13" s="51">
        <v>44168</v>
      </c>
      <c r="AE13" s="51">
        <v>44167</v>
      </c>
      <c r="AF13" s="53"/>
      <c r="AG13" s="48" t="s">
        <v>110</v>
      </c>
      <c r="AH13" s="48" t="s">
        <v>109</v>
      </c>
      <c r="AI13" s="48" t="s">
        <v>108</v>
      </c>
      <c r="AJ13" s="47" t="s">
        <v>104</v>
      </c>
      <c r="AK13" s="46" t="s">
        <v>115</v>
      </c>
      <c r="AL13" s="49" t="s">
        <v>69</v>
      </c>
      <c r="AM13" s="60">
        <v>44162</v>
      </c>
      <c r="AN13" s="60"/>
      <c r="AO13" s="48" t="s">
        <v>111</v>
      </c>
      <c r="AP13" s="60">
        <v>44162</v>
      </c>
      <c r="AQ13" s="60">
        <v>44159</v>
      </c>
      <c r="AR13" s="48" t="s">
        <v>113</v>
      </c>
    </row>
    <row r="14" spans="1:44" hidden="1" x14ac:dyDescent="0.3">
      <c r="A14" s="44">
        <f>IF(E14 &lt;&gt; "",ROW(E14)-COUNTIF($E$3:E14,"")-2,"")</f>
        <v>12</v>
      </c>
      <c r="B14" s="99"/>
      <c r="C14" s="99"/>
      <c r="D14" s="99"/>
      <c r="E14" s="44" t="s">
        <v>102</v>
      </c>
      <c r="F14" s="44" t="str">
        <f t="shared" si="0"/>
        <v>PPT</v>
      </c>
      <c r="G14" s="133" t="s">
        <v>116</v>
      </c>
      <c r="H14" s="134" t="s">
        <v>117</v>
      </c>
      <c r="I14" s="47" t="s">
        <v>469</v>
      </c>
      <c r="J14" s="48" t="s">
        <v>105</v>
      </c>
      <c r="K14" s="48" t="s">
        <v>102</v>
      </c>
      <c r="L14" s="111" t="s">
        <v>181</v>
      </c>
      <c r="M14" s="48" t="s">
        <v>159</v>
      </c>
      <c r="N14" s="48" t="s">
        <v>106</v>
      </c>
      <c r="O14" s="48" t="s">
        <v>184</v>
      </c>
      <c r="P14" s="48" t="s">
        <v>145</v>
      </c>
      <c r="Q14" s="48" t="s">
        <v>174</v>
      </c>
      <c r="R14" s="44" t="s">
        <v>28</v>
      </c>
      <c r="S14" s="44"/>
      <c r="T14" s="44">
        <v>164</v>
      </c>
      <c r="U14" s="44" t="s">
        <v>532</v>
      </c>
      <c r="V14" s="44">
        <v>0.5</v>
      </c>
      <c r="W14" s="90">
        <v>44174</v>
      </c>
      <c r="X14" s="60">
        <v>44174</v>
      </c>
      <c r="Y14" s="48" t="s">
        <v>108</v>
      </c>
      <c r="Z14" s="90">
        <v>44174</v>
      </c>
      <c r="AA14" s="60">
        <v>44174</v>
      </c>
      <c r="AB14" s="48" t="s">
        <v>114</v>
      </c>
      <c r="AC14" s="51">
        <v>44176</v>
      </c>
      <c r="AD14" s="51">
        <v>44176</v>
      </c>
      <c r="AE14" s="51">
        <v>44176</v>
      </c>
      <c r="AF14" s="53"/>
      <c r="AG14" s="48" t="s">
        <v>108</v>
      </c>
      <c r="AH14" s="48" t="s">
        <v>109</v>
      </c>
      <c r="AI14" s="48" t="s">
        <v>111</v>
      </c>
      <c r="AJ14" s="47" t="s">
        <v>104</v>
      </c>
      <c r="AK14" s="46" t="s">
        <v>117</v>
      </c>
      <c r="AL14" s="49" t="s">
        <v>69</v>
      </c>
      <c r="AM14" s="60">
        <v>44266</v>
      </c>
      <c r="AN14" s="60"/>
      <c r="AO14" s="48" t="s">
        <v>113</v>
      </c>
      <c r="AP14" s="60">
        <v>44266</v>
      </c>
      <c r="AQ14" s="60"/>
      <c r="AR14" s="48" t="s">
        <v>111</v>
      </c>
    </row>
    <row r="15" spans="1:44" hidden="1" x14ac:dyDescent="0.3">
      <c r="A15" s="44">
        <f>IF(E15 &lt;&gt; "",ROW(E15)-COUNTIF($E$3:E15,"")-2,"")</f>
        <v>13</v>
      </c>
      <c r="B15" s="99"/>
      <c r="C15" s="99"/>
      <c r="D15" s="99"/>
      <c r="E15" s="44" t="s">
        <v>102</v>
      </c>
      <c r="F15" s="44" t="str">
        <f t="shared" si="0"/>
        <v>PPT</v>
      </c>
      <c r="G15" s="133" t="s">
        <v>389</v>
      </c>
      <c r="H15" s="134" t="s">
        <v>398</v>
      </c>
      <c r="I15" s="47" t="s">
        <v>510</v>
      </c>
      <c r="J15" s="48" t="s">
        <v>159</v>
      </c>
      <c r="K15" s="48" t="s">
        <v>106</v>
      </c>
      <c r="L15" s="111" t="s">
        <v>245</v>
      </c>
      <c r="M15" s="48" t="s">
        <v>105</v>
      </c>
      <c r="N15" s="48" t="s">
        <v>102</v>
      </c>
      <c r="O15" s="48" t="s">
        <v>182</v>
      </c>
      <c r="P15" s="48" t="s">
        <v>145</v>
      </c>
      <c r="Q15" s="48" t="s">
        <v>174</v>
      </c>
      <c r="R15" s="44" t="s">
        <v>28</v>
      </c>
      <c r="S15" s="44"/>
      <c r="T15" s="44">
        <v>0.5</v>
      </c>
      <c r="U15" s="44" t="s">
        <v>531</v>
      </c>
      <c r="V15" s="44">
        <v>0.1</v>
      </c>
      <c r="W15" s="50">
        <v>44188</v>
      </c>
      <c r="X15" s="50">
        <v>44188</v>
      </c>
      <c r="Y15" s="48" t="s">
        <v>108</v>
      </c>
      <c r="Z15" s="60">
        <v>44195</v>
      </c>
      <c r="AA15" s="60">
        <v>44193</v>
      </c>
      <c r="AB15" s="48" t="s">
        <v>114</v>
      </c>
      <c r="AC15" s="51">
        <v>44196</v>
      </c>
      <c r="AD15" s="51">
        <v>44196</v>
      </c>
      <c r="AE15" s="52"/>
      <c r="AF15" s="53"/>
      <c r="AG15" s="48" t="s">
        <v>137</v>
      </c>
      <c r="AH15" s="48" t="s">
        <v>109</v>
      </c>
      <c r="AI15" s="48" t="s">
        <v>108</v>
      </c>
      <c r="AJ15" s="47" t="s">
        <v>70</v>
      </c>
      <c r="AK15" s="46" t="s">
        <v>118</v>
      </c>
      <c r="AL15" s="49" t="s">
        <v>69</v>
      </c>
      <c r="AM15" s="60">
        <v>44195</v>
      </c>
      <c r="AN15" s="60"/>
      <c r="AO15" s="48" t="s">
        <v>113</v>
      </c>
      <c r="AP15" s="60">
        <v>44176</v>
      </c>
      <c r="AQ15" s="60"/>
      <c r="AR15" s="48" t="s">
        <v>111</v>
      </c>
    </row>
    <row r="16" spans="1:44" hidden="1" x14ac:dyDescent="0.3">
      <c r="A16" s="44">
        <f>IF(E16 &lt;&gt; "",ROW(E16)-COUNTIF($E$3:E16,"")-2,"")</f>
        <v>14</v>
      </c>
      <c r="B16" s="99"/>
      <c r="C16" s="99"/>
      <c r="D16" s="99"/>
      <c r="E16" s="44" t="s">
        <v>101</v>
      </c>
      <c r="F16" s="44" t="str">
        <f t="shared" si="0"/>
        <v>PPT</v>
      </c>
      <c r="G16" s="138" t="s">
        <v>435</v>
      </c>
      <c r="H16" s="139" t="s">
        <v>399</v>
      </c>
      <c r="I16" s="47" t="s">
        <v>582</v>
      </c>
      <c r="J16" s="48" t="s">
        <v>159</v>
      </c>
      <c r="K16" s="48" t="s">
        <v>106</v>
      </c>
      <c r="L16" s="111" t="s">
        <v>245</v>
      </c>
      <c r="M16" s="48" t="s">
        <v>105</v>
      </c>
      <c r="N16" s="48" t="s">
        <v>101</v>
      </c>
      <c r="O16" s="48" t="s">
        <v>181</v>
      </c>
      <c r="P16" s="48" t="s">
        <v>81</v>
      </c>
      <c r="Q16" s="48" t="s">
        <v>174</v>
      </c>
      <c r="R16" s="44" t="s">
        <v>28</v>
      </c>
      <c r="S16" s="44"/>
      <c r="T16" s="44">
        <v>0.5</v>
      </c>
      <c r="U16" s="44" t="s">
        <v>531</v>
      </c>
      <c r="V16" s="44">
        <v>0.1</v>
      </c>
      <c r="W16" s="50">
        <v>44188</v>
      </c>
      <c r="X16" s="50">
        <v>44188</v>
      </c>
      <c r="Y16" s="48" t="s">
        <v>108</v>
      </c>
      <c r="Z16" s="90">
        <v>44195</v>
      </c>
      <c r="AA16" s="90">
        <v>44193</v>
      </c>
      <c r="AB16" s="48" t="s">
        <v>114</v>
      </c>
      <c r="AC16" s="51">
        <v>44200</v>
      </c>
      <c r="AD16" s="51">
        <v>44200</v>
      </c>
      <c r="AE16" s="52"/>
      <c r="AF16" s="53"/>
      <c r="AG16" s="48" t="s">
        <v>137</v>
      </c>
      <c r="AH16" s="48" t="s">
        <v>29</v>
      </c>
      <c r="AI16" s="48" t="s">
        <v>108</v>
      </c>
      <c r="AJ16" s="47" t="s">
        <v>70</v>
      </c>
      <c r="AK16" s="46" t="s">
        <v>118</v>
      </c>
      <c r="AL16" s="49" t="s">
        <v>69</v>
      </c>
      <c r="AM16" s="90">
        <v>44195</v>
      </c>
      <c r="AN16" s="90"/>
      <c r="AO16" s="48" t="s">
        <v>112</v>
      </c>
      <c r="AP16" s="90">
        <v>44176</v>
      </c>
      <c r="AQ16" s="90"/>
      <c r="AR16" s="48" t="s">
        <v>80</v>
      </c>
    </row>
    <row r="17" spans="1:44" hidden="1" x14ac:dyDescent="0.3">
      <c r="A17" s="44">
        <f>IF(E17 &lt;&gt; "",ROW(E17)-COUNTIF($E$3:E17,"")-2,"")</f>
        <v>15</v>
      </c>
      <c r="B17" s="99"/>
      <c r="C17" s="99"/>
      <c r="D17" s="99"/>
      <c r="E17" s="44" t="s">
        <v>101</v>
      </c>
      <c r="F17" s="44" t="str">
        <f t="shared" si="0"/>
        <v>PPT</v>
      </c>
      <c r="G17" s="133" t="s">
        <v>119</v>
      </c>
      <c r="H17" s="137" t="s">
        <v>424</v>
      </c>
      <c r="I17" s="47" t="s">
        <v>470</v>
      </c>
      <c r="J17" s="48" t="s">
        <v>105</v>
      </c>
      <c r="K17" s="48" t="s">
        <v>102</v>
      </c>
      <c r="L17" s="111" t="s">
        <v>181</v>
      </c>
      <c r="M17" s="48" t="s">
        <v>159</v>
      </c>
      <c r="N17" s="48" t="s">
        <v>106</v>
      </c>
      <c r="O17" s="48" t="s">
        <v>184</v>
      </c>
      <c r="P17" s="48" t="s">
        <v>145</v>
      </c>
      <c r="Q17" s="48" t="s">
        <v>174</v>
      </c>
      <c r="R17" s="44" t="s">
        <v>28</v>
      </c>
      <c r="S17" s="44"/>
      <c r="T17" s="44">
        <v>8</v>
      </c>
      <c r="U17" s="44" t="s">
        <v>531</v>
      </c>
      <c r="V17" s="44">
        <v>0.8</v>
      </c>
      <c r="W17" s="60">
        <f t="shared" ref="W17:W31" si="1">AM17-3</f>
        <v>44191</v>
      </c>
      <c r="X17" s="60">
        <v>44195</v>
      </c>
      <c r="Y17" s="48" t="s">
        <v>108</v>
      </c>
      <c r="Z17" s="60">
        <v>44202</v>
      </c>
      <c r="AA17" s="60">
        <v>43835</v>
      </c>
      <c r="AB17" s="48" t="s">
        <v>114</v>
      </c>
      <c r="AC17" s="51">
        <v>44209</v>
      </c>
      <c r="AD17" s="51">
        <v>44209</v>
      </c>
      <c r="AE17" s="51">
        <v>44236</v>
      </c>
      <c r="AF17" s="53"/>
      <c r="AG17" s="48" t="s">
        <v>108</v>
      </c>
      <c r="AH17" s="48" t="s">
        <v>109</v>
      </c>
      <c r="AI17" s="48" t="s">
        <v>111</v>
      </c>
      <c r="AJ17" s="47" t="s">
        <v>70</v>
      </c>
      <c r="AK17" s="46" t="s">
        <v>120</v>
      </c>
      <c r="AL17" s="49" t="s">
        <v>69</v>
      </c>
      <c r="AM17" s="60">
        <v>44194</v>
      </c>
      <c r="AN17" s="60"/>
      <c r="AO17" s="48" t="s">
        <v>113</v>
      </c>
      <c r="AP17" s="60">
        <v>44183</v>
      </c>
      <c r="AQ17" s="60"/>
      <c r="AR17" s="48" t="s">
        <v>111</v>
      </c>
    </row>
    <row r="18" spans="1:44" hidden="1" x14ac:dyDescent="0.3">
      <c r="A18" s="44">
        <f>IF(E18 &lt;&gt; "",ROW(E18)-COUNTIF($E$3:E18,"")-2,"")</f>
        <v>16</v>
      </c>
      <c r="B18" s="99"/>
      <c r="C18" s="99"/>
      <c r="D18" s="99"/>
      <c r="E18" s="44" t="s">
        <v>101</v>
      </c>
      <c r="F18" s="44" t="str">
        <f t="shared" si="0"/>
        <v>PPT</v>
      </c>
      <c r="G18" s="138" t="s">
        <v>564</v>
      </c>
      <c r="H18" s="139" t="s">
        <v>425</v>
      </c>
      <c r="I18" s="47" t="s">
        <v>583</v>
      </c>
      <c r="J18" s="48" t="s">
        <v>105</v>
      </c>
      <c r="K18" s="48" t="s">
        <v>101</v>
      </c>
      <c r="L18" s="111" t="s">
        <v>181</v>
      </c>
      <c r="M18" s="48" t="s">
        <v>159</v>
      </c>
      <c r="N18" s="48" t="s">
        <v>106</v>
      </c>
      <c r="O18" s="48" t="s">
        <v>183</v>
      </c>
      <c r="P18" s="48" t="s">
        <v>81</v>
      </c>
      <c r="Q18" s="48" t="s">
        <v>174</v>
      </c>
      <c r="R18" s="44" t="s">
        <v>28</v>
      </c>
      <c r="S18" s="44"/>
      <c r="T18" s="44">
        <v>8</v>
      </c>
      <c r="U18" s="44" t="s">
        <v>531</v>
      </c>
      <c r="V18" s="44">
        <v>0.8</v>
      </c>
      <c r="W18" s="90">
        <f t="shared" si="1"/>
        <v>44191</v>
      </c>
      <c r="X18" s="90">
        <v>44195</v>
      </c>
      <c r="Y18" s="48" t="s">
        <v>108</v>
      </c>
      <c r="Z18" s="90">
        <v>44202</v>
      </c>
      <c r="AA18" s="90">
        <v>43835</v>
      </c>
      <c r="AB18" s="48" t="s">
        <v>114</v>
      </c>
      <c r="AC18" s="51">
        <v>44214</v>
      </c>
      <c r="AD18" s="51">
        <v>44214</v>
      </c>
      <c r="AE18" s="51">
        <v>44236</v>
      </c>
      <c r="AF18" s="53"/>
      <c r="AG18" s="48" t="s">
        <v>108</v>
      </c>
      <c r="AH18" s="48" t="s">
        <v>29</v>
      </c>
      <c r="AI18" s="48" t="s">
        <v>80</v>
      </c>
      <c r="AJ18" s="47" t="s">
        <v>70</v>
      </c>
      <c r="AK18" s="46" t="s">
        <v>120</v>
      </c>
      <c r="AL18" s="49" t="s">
        <v>69</v>
      </c>
      <c r="AM18" s="90">
        <v>44194</v>
      </c>
      <c r="AN18" s="90"/>
      <c r="AO18" s="48" t="s">
        <v>112</v>
      </c>
      <c r="AP18" s="90">
        <v>44183</v>
      </c>
      <c r="AQ18" s="90"/>
      <c r="AR18" s="48" t="s">
        <v>80</v>
      </c>
    </row>
    <row r="19" spans="1:44" hidden="1" x14ac:dyDescent="0.3">
      <c r="A19" s="44">
        <f>IF(E19 &lt;&gt; "",ROW(E19)-COUNTIF($E$3:E19,"")-2,"")</f>
        <v>17</v>
      </c>
      <c r="B19" s="100"/>
      <c r="C19" s="100"/>
      <c r="D19" s="100"/>
      <c r="E19" s="44" t="s">
        <v>102</v>
      </c>
      <c r="F19" s="44" t="str">
        <f t="shared" si="0"/>
        <v>PPT</v>
      </c>
      <c r="G19" s="133" t="s">
        <v>347</v>
      </c>
      <c r="H19" s="134" t="s">
        <v>121</v>
      </c>
      <c r="I19" s="47" t="s">
        <v>346</v>
      </c>
      <c r="J19" s="48" t="s">
        <v>105</v>
      </c>
      <c r="K19" s="48" t="s">
        <v>102</v>
      </c>
      <c r="L19" s="111" t="s">
        <v>181</v>
      </c>
      <c r="M19" s="48" t="s">
        <v>159</v>
      </c>
      <c r="N19" s="48" t="s">
        <v>106</v>
      </c>
      <c r="O19" s="48" t="s">
        <v>184</v>
      </c>
      <c r="P19" s="48" t="s">
        <v>145</v>
      </c>
      <c r="Q19" s="48" t="s">
        <v>174</v>
      </c>
      <c r="R19" s="44" t="s">
        <v>28</v>
      </c>
      <c r="S19" s="44"/>
      <c r="T19" s="44">
        <v>7</v>
      </c>
      <c r="U19" s="44" t="s">
        <v>531</v>
      </c>
      <c r="V19" s="44">
        <v>0.3</v>
      </c>
      <c r="W19" s="60">
        <f t="shared" si="1"/>
        <v>44187</v>
      </c>
      <c r="X19" s="60">
        <v>44182</v>
      </c>
      <c r="Y19" s="48" t="s">
        <v>108</v>
      </c>
      <c r="Z19" s="90">
        <f>AP19-3</f>
        <v>44187</v>
      </c>
      <c r="AA19" s="60">
        <v>44182</v>
      </c>
      <c r="AB19" s="48" t="s">
        <v>114</v>
      </c>
      <c r="AC19" s="90">
        <v>44182</v>
      </c>
      <c r="AD19" s="60">
        <v>44182</v>
      </c>
      <c r="AE19" s="52"/>
      <c r="AF19" s="53"/>
      <c r="AG19" s="48" t="s">
        <v>108</v>
      </c>
      <c r="AH19" s="48" t="s">
        <v>109</v>
      </c>
      <c r="AI19" s="48" t="s">
        <v>111</v>
      </c>
      <c r="AJ19" s="47" t="s">
        <v>104</v>
      </c>
      <c r="AK19" s="46" t="s">
        <v>121</v>
      </c>
      <c r="AL19" s="49" t="s">
        <v>69</v>
      </c>
      <c r="AM19" s="60">
        <v>44190</v>
      </c>
      <c r="AN19" s="60"/>
      <c r="AO19" s="48" t="s">
        <v>113</v>
      </c>
      <c r="AP19" s="60">
        <v>44190</v>
      </c>
      <c r="AQ19" s="60"/>
      <c r="AR19" s="48" t="s">
        <v>111</v>
      </c>
    </row>
    <row r="20" spans="1:44" hidden="1" x14ac:dyDescent="0.3">
      <c r="A20" s="44">
        <f>IF(E20 &lt;&gt; "",ROW(E20)-COUNTIF($E$3:E20,"")-2,"")</f>
        <v>18</v>
      </c>
      <c r="B20" s="49"/>
      <c r="C20" s="49"/>
      <c r="D20" s="49"/>
      <c r="E20" s="44" t="s">
        <v>102</v>
      </c>
      <c r="F20" s="44" t="str">
        <f t="shared" si="0"/>
        <v>PPT</v>
      </c>
      <c r="G20" s="133" t="s">
        <v>575</v>
      </c>
      <c r="H20" s="134" t="s">
        <v>477</v>
      </c>
      <c r="I20" s="47" t="s">
        <v>481</v>
      </c>
      <c r="J20" s="48" t="s">
        <v>105</v>
      </c>
      <c r="K20" s="48" t="s">
        <v>102</v>
      </c>
      <c r="L20" s="111" t="s">
        <v>181</v>
      </c>
      <c r="M20" s="48" t="s">
        <v>159</v>
      </c>
      <c r="N20" s="48" t="s">
        <v>106</v>
      </c>
      <c r="O20" s="48" t="s">
        <v>184</v>
      </c>
      <c r="P20" s="48" t="s">
        <v>145</v>
      </c>
      <c r="Q20" s="48" t="s">
        <v>174</v>
      </c>
      <c r="R20" s="44" t="s">
        <v>28</v>
      </c>
      <c r="S20" s="44"/>
      <c r="T20" s="44">
        <v>8</v>
      </c>
      <c r="U20" s="44" t="s">
        <v>531</v>
      </c>
      <c r="V20" s="44">
        <v>0.7</v>
      </c>
      <c r="W20" s="60">
        <f t="shared" si="1"/>
        <v>44194</v>
      </c>
      <c r="X20" s="60">
        <v>44204</v>
      </c>
      <c r="Y20" s="48" t="s">
        <v>108</v>
      </c>
      <c r="Z20" s="60">
        <v>44216</v>
      </c>
      <c r="AA20" s="60">
        <v>44211</v>
      </c>
      <c r="AB20" s="48" t="s">
        <v>114</v>
      </c>
      <c r="AC20" s="51">
        <v>44217</v>
      </c>
      <c r="AD20" s="51">
        <v>44217</v>
      </c>
      <c r="AE20" s="52"/>
      <c r="AF20" s="53"/>
      <c r="AG20" s="48" t="s">
        <v>108</v>
      </c>
      <c r="AH20" s="48" t="s">
        <v>109</v>
      </c>
      <c r="AI20" s="48" t="s">
        <v>111</v>
      </c>
      <c r="AJ20" s="47" t="s">
        <v>70</v>
      </c>
      <c r="AK20" s="46" t="s">
        <v>122</v>
      </c>
      <c r="AL20" s="49" t="s">
        <v>93</v>
      </c>
      <c r="AM20" s="60">
        <v>44197</v>
      </c>
      <c r="AN20" s="60"/>
      <c r="AO20" s="48" t="s">
        <v>113</v>
      </c>
      <c r="AP20" s="60">
        <v>44197</v>
      </c>
      <c r="AQ20" s="60"/>
      <c r="AR20" s="48" t="s">
        <v>111</v>
      </c>
    </row>
    <row r="21" spans="1:44" hidden="1" x14ac:dyDescent="0.3">
      <c r="A21" s="44">
        <f>IF(E21 &lt;&gt; "",ROW(E21)-COUNTIF($E$3:E21,"")-2,"")</f>
        <v>19</v>
      </c>
      <c r="B21" s="49"/>
      <c r="C21" s="49"/>
      <c r="D21" s="49"/>
      <c r="E21" s="44" t="s">
        <v>102</v>
      </c>
      <c r="F21" s="44" t="str">
        <f t="shared" si="0"/>
        <v>PPT</v>
      </c>
      <c r="G21" s="133" t="s">
        <v>502</v>
      </c>
      <c r="H21" s="134" t="s">
        <v>505</v>
      </c>
      <c r="I21" s="47" t="s">
        <v>506</v>
      </c>
      <c r="J21" s="48" t="s">
        <v>74</v>
      </c>
      <c r="K21" s="48" t="s">
        <v>102</v>
      </c>
      <c r="L21" s="111" t="s">
        <v>181</v>
      </c>
      <c r="M21" s="48" t="s">
        <v>159</v>
      </c>
      <c r="N21" s="48" t="s">
        <v>106</v>
      </c>
      <c r="O21" s="48" t="s">
        <v>183</v>
      </c>
      <c r="P21" s="48" t="s">
        <v>145</v>
      </c>
      <c r="Q21" s="48" t="s">
        <v>174</v>
      </c>
      <c r="R21" s="44" t="s">
        <v>28</v>
      </c>
      <c r="S21" s="44"/>
      <c r="T21" s="44">
        <v>2</v>
      </c>
      <c r="U21" s="44" t="s">
        <v>531</v>
      </c>
      <c r="V21" s="44">
        <v>0.15</v>
      </c>
      <c r="W21" s="60">
        <f t="shared" si="1"/>
        <v>44201</v>
      </c>
      <c r="X21" s="90">
        <v>44204</v>
      </c>
      <c r="Y21" s="48" t="s">
        <v>107</v>
      </c>
      <c r="Z21" s="90">
        <v>44216</v>
      </c>
      <c r="AA21" s="60">
        <v>44214</v>
      </c>
      <c r="AB21" s="48" t="s">
        <v>114</v>
      </c>
      <c r="AC21" s="51">
        <v>44218</v>
      </c>
      <c r="AD21" s="51">
        <v>44218</v>
      </c>
      <c r="AE21" s="52"/>
      <c r="AF21" s="53"/>
      <c r="AG21" s="48" t="s">
        <v>137</v>
      </c>
      <c r="AH21" s="48" t="s">
        <v>109</v>
      </c>
      <c r="AI21" s="48" t="s">
        <v>107</v>
      </c>
      <c r="AJ21" s="47" t="s">
        <v>70</v>
      </c>
      <c r="AK21" s="46" t="s">
        <v>123</v>
      </c>
      <c r="AL21" s="49" t="s">
        <v>93</v>
      </c>
      <c r="AM21" s="60">
        <v>44204</v>
      </c>
      <c r="AN21" s="60"/>
      <c r="AO21" s="48" t="s">
        <v>111</v>
      </c>
      <c r="AP21" s="60">
        <v>44204</v>
      </c>
      <c r="AQ21" s="60"/>
      <c r="AR21" s="48" t="s">
        <v>113</v>
      </c>
    </row>
    <row r="22" spans="1:44" hidden="1" x14ac:dyDescent="0.3">
      <c r="A22" s="44">
        <f>IF(E22 &lt;&gt; "",ROW(E22)-COUNTIF($E$3:E22,"")-2,"")</f>
        <v>20</v>
      </c>
      <c r="B22" s="49"/>
      <c r="C22" s="49"/>
      <c r="D22" s="49"/>
      <c r="E22" s="44" t="s">
        <v>102</v>
      </c>
      <c r="F22" s="44" t="str">
        <f t="shared" si="0"/>
        <v>PPT</v>
      </c>
      <c r="G22" s="133" t="s">
        <v>565</v>
      </c>
      <c r="H22" s="134" t="s">
        <v>124</v>
      </c>
      <c r="I22" s="47"/>
      <c r="J22" s="48" t="s">
        <v>159</v>
      </c>
      <c r="K22" s="48" t="s">
        <v>106</v>
      </c>
      <c r="L22" s="111" t="s">
        <v>245</v>
      </c>
      <c r="M22" s="48" t="s">
        <v>105</v>
      </c>
      <c r="N22" s="48" t="s">
        <v>101</v>
      </c>
      <c r="O22" s="48" t="s">
        <v>182</v>
      </c>
      <c r="P22" s="48" t="s">
        <v>145</v>
      </c>
      <c r="Q22" s="48" t="s">
        <v>174</v>
      </c>
      <c r="R22" s="44" t="s">
        <v>28</v>
      </c>
      <c r="S22" s="44"/>
      <c r="T22" s="44">
        <v>5</v>
      </c>
      <c r="U22" s="44" t="s">
        <v>576</v>
      </c>
      <c r="V22" s="44">
        <v>0.1</v>
      </c>
      <c r="W22" s="60">
        <v>44223</v>
      </c>
      <c r="X22" s="60">
        <v>44218</v>
      </c>
      <c r="Y22" s="48" t="s">
        <v>108</v>
      </c>
      <c r="Z22" s="60">
        <v>44228</v>
      </c>
      <c r="AA22" s="60">
        <v>44221</v>
      </c>
      <c r="AB22" s="48" t="s">
        <v>114</v>
      </c>
      <c r="AC22" s="51">
        <v>44221</v>
      </c>
      <c r="AD22" s="51">
        <v>44221</v>
      </c>
      <c r="AE22" s="52"/>
      <c r="AF22" s="53"/>
      <c r="AG22" s="48" t="s">
        <v>137</v>
      </c>
      <c r="AH22" s="48" t="s">
        <v>109</v>
      </c>
      <c r="AI22" s="48" t="s">
        <v>108</v>
      </c>
      <c r="AJ22" s="47" t="s">
        <v>70</v>
      </c>
      <c r="AK22" s="46" t="s">
        <v>124</v>
      </c>
      <c r="AL22" s="49" t="s">
        <v>93</v>
      </c>
      <c r="AM22" s="60">
        <v>44211</v>
      </c>
      <c r="AN22" s="60"/>
      <c r="AO22" s="48" t="s">
        <v>111</v>
      </c>
      <c r="AP22" s="60">
        <v>44211</v>
      </c>
      <c r="AQ22" s="60"/>
      <c r="AR22" s="48" t="s">
        <v>113</v>
      </c>
    </row>
    <row r="23" spans="1:44" hidden="1" x14ac:dyDescent="0.3">
      <c r="A23" s="44">
        <f>IF(E23 &lt;&gt; "",ROW(E23)-COUNTIF($E$3:E23,"")-2,"")</f>
        <v>21</v>
      </c>
      <c r="B23" s="49"/>
      <c r="C23" s="49"/>
      <c r="D23" s="49"/>
      <c r="E23" s="44" t="s">
        <v>102</v>
      </c>
      <c r="F23" s="44" t="str">
        <f t="shared" si="0"/>
        <v>PPT</v>
      </c>
      <c r="G23" s="124" t="s">
        <v>690</v>
      </c>
      <c r="H23" s="125" t="s">
        <v>642</v>
      </c>
      <c r="I23" s="47"/>
      <c r="J23" s="48" t="s">
        <v>159</v>
      </c>
      <c r="K23" s="48" t="s">
        <v>106</v>
      </c>
      <c r="L23" s="111" t="s">
        <v>245</v>
      </c>
      <c r="M23" s="48" t="s">
        <v>74</v>
      </c>
      <c r="N23" s="48" t="s">
        <v>101</v>
      </c>
      <c r="O23" s="48" t="s">
        <v>182</v>
      </c>
      <c r="P23" s="48" t="s">
        <v>145</v>
      </c>
      <c r="Q23" s="48" t="s">
        <v>174</v>
      </c>
      <c r="R23" s="44" t="s">
        <v>28</v>
      </c>
      <c r="S23" s="44"/>
      <c r="T23" s="44"/>
      <c r="U23" s="44"/>
      <c r="V23" s="44"/>
      <c r="W23" s="90">
        <v>44223</v>
      </c>
      <c r="X23" s="60">
        <v>44222</v>
      </c>
      <c r="Y23" s="48" t="s">
        <v>108</v>
      </c>
      <c r="Z23" s="90">
        <v>44228</v>
      </c>
      <c r="AA23" s="60">
        <v>44223</v>
      </c>
      <c r="AB23" s="48" t="s">
        <v>114</v>
      </c>
      <c r="AC23" s="51">
        <v>44229</v>
      </c>
      <c r="AD23" s="51">
        <v>44229</v>
      </c>
      <c r="AE23" s="52"/>
      <c r="AF23" s="53"/>
      <c r="AG23" s="48" t="s">
        <v>137</v>
      </c>
      <c r="AH23" s="48" t="s">
        <v>109</v>
      </c>
      <c r="AI23" s="48" t="s">
        <v>108</v>
      </c>
      <c r="AJ23" s="47" t="s">
        <v>70</v>
      </c>
      <c r="AK23" s="46" t="s">
        <v>125</v>
      </c>
      <c r="AL23" s="49" t="s">
        <v>93</v>
      </c>
      <c r="AM23" s="60">
        <v>44216</v>
      </c>
      <c r="AN23" s="60"/>
      <c r="AO23" s="48" t="s">
        <v>110</v>
      </c>
      <c r="AP23" s="60">
        <v>44216</v>
      </c>
      <c r="AQ23" s="60"/>
      <c r="AR23" s="48" t="s">
        <v>112</v>
      </c>
    </row>
    <row r="24" spans="1:44" hidden="1" x14ac:dyDescent="0.3">
      <c r="A24" s="44">
        <f>IF(E24 &lt;&gt; "",ROW(E24)-COUNTIF($E$3:E24,"")-2,"")</f>
        <v>22</v>
      </c>
      <c r="B24" s="49"/>
      <c r="C24" s="49"/>
      <c r="D24" s="49"/>
      <c r="E24" s="44" t="s">
        <v>102</v>
      </c>
      <c r="F24" s="44" t="str">
        <f t="shared" si="0"/>
        <v>PPT</v>
      </c>
      <c r="G24" s="124" t="s">
        <v>615</v>
      </c>
      <c r="H24" s="125" t="s">
        <v>643</v>
      </c>
      <c r="I24" s="47" t="s">
        <v>586</v>
      </c>
      <c r="J24" s="48" t="s">
        <v>159</v>
      </c>
      <c r="K24" s="48" t="s">
        <v>106</v>
      </c>
      <c r="L24" s="111" t="s">
        <v>245</v>
      </c>
      <c r="M24" s="48" t="s">
        <v>105</v>
      </c>
      <c r="N24" s="48" t="s">
        <v>102</v>
      </c>
      <c r="O24" s="48" t="s">
        <v>182</v>
      </c>
      <c r="P24" s="48" t="s">
        <v>145</v>
      </c>
      <c r="Q24" s="48" t="s">
        <v>174</v>
      </c>
      <c r="R24" s="44" t="s">
        <v>28</v>
      </c>
      <c r="S24" s="44"/>
      <c r="T24" s="44"/>
      <c r="U24" s="44"/>
      <c r="V24" s="44"/>
      <c r="W24" s="60">
        <v>44230</v>
      </c>
      <c r="X24" s="60">
        <v>44225</v>
      </c>
      <c r="Y24" s="48" t="s">
        <v>108</v>
      </c>
      <c r="Z24" s="90">
        <v>44235</v>
      </c>
      <c r="AA24" s="60">
        <v>44225</v>
      </c>
      <c r="AB24" s="48" t="s">
        <v>114</v>
      </c>
      <c r="AC24" s="51">
        <v>44236</v>
      </c>
      <c r="AD24" s="51">
        <v>44236</v>
      </c>
      <c r="AE24" s="51"/>
      <c r="AF24" s="53"/>
      <c r="AG24" s="48" t="s">
        <v>137</v>
      </c>
      <c r="AH24" s="48" t="s">
        <v>109</v>
      </c>
      <c r="AI24" s="48" t="s">
        <v>108</v>
      </c>
      <c r="AJ24" s="47" t="s">
        <v>70</v>
      </c>
      <c r="AK24" s="46" t="s">
        <v>127</v>
      </c>
      <c r="AL24" s="49" t="s">
        <v>93</v>
      </c>
      <c r="AM24" s="60">
        <v>44221</v>
      </c>
      <c r="AN24" s="60"/>
      <c r="AO24" s="48" t="s">
        <v>111</v>
      </c>
      <c r="AP24" s="60">
        <v>44221</v>
      </c>
      <c r="AQ24" s="60"/>
      <c r="AR24" s="48" t="s">
        <v>113</v>
      </c>
    </row>
    <row r="25" spans="1:44" hidden="1" x14ac:dyDescent="0.3">
      <c r="A25" s="44">
        <f>IF(E25 &lt;&gt; "",ROW(E25)-COUNTIF($E$3:E25,"")-2,"")</f>
        <v>23</v>
      </c>
      <c r="B25" s="49"/>
      <c r="C25" s="49"/>
      <c r="D25" s="49"/>
      <c r="E25" s="44" t="s">
        <v>102</v>
      </c>
      <c r="F25" s="44" t="str">
        <f t="shared" si="0"/>
        <v>PPT</v>
      </c>
      <c r="G25" s="124" t="s">
        <v>619</v>
      </c>
      <c r="H25" s="125" t="s">
        <v>618</v>
      </c>
      <c r="I25" s="47" t="s">
        <v>587</v>
      </c>
      <c r="J25" s="48" t="s">
        <v>74</v>
      </c>
      <c r="K25" s="48" t="s">
        <v>102</v>
      </c>
      <c r="L25" s="111" t="s">
        <v>181</v>
      </c>
      <c r="M25" s="48" t="s">
        <v>159</v>
      </c>
      <c r="N25" s="48" t="s">
        <v>106</v>
      </c>
      <c r="O25" s="48" t="s">
        <v>184</v>
      </c>
      <c r="P25" s="48" t="s">
        <v>145</v>
      </c>
      <c r="Q25" s="48" t="s">
        <v>174</v>
      </c>
      <c r="R25" s="44" t="s">
        <v>28</v>
      </c>
      <c r="S25" s="44"/>
      <c r="T25" s="44"/>
      <c r="U25" s="44"/>
      <c r="V25" s="44"/>
      <c r="W25" s="90">
        <v>44230</v>
      </c>
      <c r="X25" s="60">
        <v>44229</v>
      </c>
      <c r="Y25" s="48" t="s">
        <v>108</v>
      </c>
      <c r="Z25" s="90">
        <v>44235</v>
      </c>
      <c r="AA25" s="60">
        <v>44230</v>
      </c>
      <c r="AB25" s="48" t="s">
        <v>114</v>
      </c>
      <c r="AC25" s="51">
        <v>44232</v>
      </c>
      <c r="AD25" s="51">
        <v>44232</v>
      </c>
      <c r="AE25" s="52"/>
      <c r="AF25" s="53"/>
      <c r="AG25" s="48" t="s">
        <v>108</v>
      </c>
      <c r="AH25" s="48" t="s">
        <v>29</v>
      </c>
      <c r="AI25" s="48" t="s">
        <v>111</v>
      </c>
      <c r="AJ25" s="47" t="s">
        <v>70</v>
      </c>
      <c r="AK25" s="46" t="s">
        <v>293</v>
      </c>
      <c r="AL25" s="49" t="s">
        <v>93</v>
      </c>
      <c r="AM25" s="60">
        <v>44224</v>
      </c>
      <c r="AN25" s="60"/>
      <c r="AO25" s="48" t="s">
        <v>113</v>
      </c>
      <c r="AP25" s="60">
        <v>44224</v>
      </c>
      <c r="AQ25" s="60"/>
      <c r="AR25" s="48" t="s">
        <v>110</v>
      </c>
    </row>
    <row r="26" spans="1:44" ht="12.6" hidden="1" customHeight="1" x14ac:dyDescent="0.3">
      <c r="A26" s="44">
        <f>IF(E26 &lt;&gt; "",ROW(E26)-COUNTIF($E$3:E26,"")-2,"")</f>
        <v>24</v>
      </c>
      <c r="B26" s="49"/>
      <c r="C26" s="49"/>
      <c r="D26" s="49"/>
      <c r="E26" s="44" t="s">
        <v>101</v>
      </c>
      <c r="F26" s="44" t="str">
        <f t="shared" si="0"/>
        <v>PPT</v>
      </c>
      <c r="G26" s="124" t="s">
        <v>128</v>
      </c>
      <c r="H26" s="125" t="s">
        <v>579</v>
      </c>
      <c r="I26" s="47" t="s">
        <v>460</v>
      </c>
      <c r="J26" s="48" t="s">
        <v>149</v>
      </c>
      <c r="K26" s="48" t="s">
        <v>52</v>
      </c>
      <c r="L26" s="111" t="s">
        <v>285</v>
      </c>
      <c r="M26" s="48" t="s">
        <v>286</v>
      </c>
      <c r="N26" s="48" t="s">
        <v>273</v>
      </c>
      <c r="O26" s="48" t="s">
        <v>287</v>
      </c>
      <c r="P26" s="48" t="s">
        <v>145</v>
      </c>
      <c r="Q26" s="48" t="s">
        <v>174</v>
      </c>
      <c r="R26" s="44" t="s">
        <v>28</v>
      </c>
      <c r="S26" s="44"/>
      <c r="T26" s="44"/>
      <c r="U26" s="44"/>
      <c r="V26" s="44"/>
      <c r="W26" s="60">
        <f t="shared" si="1"/>
        <v>44226</v>
      </c>
      <c r="X26" s="60">
        <v>44223</v>
      </c>
      <c r="Y26" s="48" t="s">
        <v>288</v>
      </c>
      <c r="Z26" s="60">
        <v>44229</v>
      </c>
      <c r="AA26" s="60">
        <v>44224</v>
      </c>
      <c r="AB26" s="48" t="s">
        <v>114</v>
      </c>
      <c r="AC26" s="51">
        <v>44230</v>
      </c>
      <c r="AD26" s="51">
        <v>44230</v>
      </c>
      <c r="AE26" s="52"/>
      <c r="AF26" s="53"/>
      <c r="AG26" s="48" t="s">
        <v>288</v>
      </c>
      <c r="AH26" s="48" t="s">
        <v>109</v>
      </c>
      <c r="AI26" s="48" t="s">
        <v>126</v>
      </c>
      <c r="AJ26" s="47" t="s">
        <v>70</v>
      </c>
      <c r="AK26" s="46" t="s">
        <v>290</v>
      </c>
      <c r="AL26" s="49" t="s">
        <v>93</v>
      </c>
      <c r="AM26" s="60">
        <v>44229</v>
      </c>
      <c r="AN26" s="60"/>
      <c r="AO26" s="48" t="s">
        <v>289</v>
      </c>
      <c r="AP26" s="60">
        <v>44229</v>
      </c>
      <c r="AQ26" s="60"/>
      <c r="AR26" s="48" t="s">
        <v>126</v>
      </c>
    </row>
    <row r="27" spans="1:44" hidden="1" x14ac:dyDescent="0.3">
      <c r="A27" s="44">
        <f>IF(E27 &lt;&gt; "",ROW(E27)-COUNTIF($E$3:E27,"")-2,"")</f>
        <v>25</v>
      </c>
      <c r="B27" s="49"/>
      <c r="C27" s="49"/>
      <c r="D27" s="49"/>
      <c r="E27" s="44" t="s">
        <v>102</v>
      </c>
      <c r="F27" s="44" t="str">
        <f t="shared" si="0"/>
        <v>WMS</v>
      </c>
      <c r="G27" s="133" t="s">
        <v>131</v>
      </c>
      <c r="H27" s="134" t="s">
        <v>410</v>
      </c>
      <c r="I27" s="47" t="s">
        <v>408</v>
      </c>
      <c r="J27" s="48" t="s">
        <v>105</v>
      </c>
      <c r="K27" s="48" t="s">
        <v>102</v>
      </c>
      <c r="L27" s="111" t="s">
        <v>181</v>
      </c>
      <c r="M27" s="48" t="s">
        <v>130</v>
      </c>
      <c r="N27" s="48" t="s">
        <v>130</v>
      </c>
      <c r="O27" s="48" t="s">
        <v>317</v>
      </c>
      <c r="P27" s="48" t="s">
        <v>145</v>
      </c>
      <c r="Q27" s="48" t="s">
        <v>174</v>
      </c>
      <c r="R27" s="44" t="s">
        <v>28</v>
      </c>
      <c r="S27" s="44"/>
      <c r="T27" s="44"/>
      <c r="U27" s="44"/>
      <c r="V27" s="44"/>
      <c r="W27" s="60">
        <f t="shared" si="1"/>
        <v>44229</v>
      </c>
      <c r="X27" s="60">
        <v>44173</v>
      </c>
      <c r="Y27" s="48" t="s">
        <v>108</v>
      </c>
      <c r="Z27" s="90">
        <v>44186</v>
      </c>
      <c r="AA27" s="60">
        <v>44186</v>
      </c>
      <c r="AB27" s="48" t="s">
        <v>114</v>
      </c>
      <c r="AC27" s="51">
        <v>44211</v>
      </c>
      <c r="AD27" s="51">
        <v>44211</v>
      </c>
      <c r="AE27" s="52"/>
      <c r="AF27" s="53"/>
      <c r="AG27" s="48" t="s">
        <v>107</v>
      </c>
      <c r="AH27" s="48" t="s">
        <v>29</v>
      </c>
      <c r="AI27" s="48" t="s">
        <v>304</v>
      </c>
      <c r="AJ27" s="47" t="s">
        <v>70</v>
      </c>
      <c r="AK27" s="46" t="s">
        <v>129</v>
      </c>
      <c r="AL27" s="49" t="s">
        <v>93</v>
      </c>
      <c r="AM27" s="60">
        <v>44232</v>
      </c>
      <c r="AN27" s="60"/>
      <c r="AO27" s="48" t="s">
        <v>113</v>
      </c>
      <c r="AP27" s="60">
        <v>44232</v>
      </c>
      <c r="AQ27" s="60"/>
      <c r="AR27" s="48" t="s">
        <v>304</v>
      </c>
    </row>
    <row r="28" spans="1:44" hidden="1" x14ac:dyDescent="0.3">
      <c r="A28" s="44">
        <f>IF(E28 &lt;&gt; "",ROW(E28)-COUNTIF($E$3:E28,"")-2,"")</f>
        <v>26</v>
      </c>
      <c r="B28" s="49"/>
      <c r="C28" s="49"/>
      <c r="D28" s="49"/>
      <c r="E28" s="44" t="s">
        <v>102</v>
      </c>
      <c r="F28" s="44" t="str">
        <f t="shared" si="0"/>
        <v>WMS</v>
      </c>
      <c r="G28" s="133" t="s">
        <v>566</v>
      </c>
      <c r="H28" s="134" t="s">
        <v>133</v>
      </c>
      <c r="I28" s="47" t="s">
        <v>511</v>
      </c>
      <c r="J28" s="48" t="s">
        <v>130</v>
      </c>
      <c r="K28" s="48" t="s">
        <v>130</v>
      </c>
      <c r="L28" s="111" t="s">
        <v>318</v>
      </c>
      <c r="M28" s="48" t="s">
        <v>74</v>
      </c>
      <c r="N28" s="48" t="s">
        <v>101</v>
      </c>
      <c r="O28" s="48" t="s">
        <v>182</v>
      </c>
      <c r="P28" s="48" t="s">
        <v>145</v>
      </c>
      <c r="Q28" s="48" t="s">
        <v>174</v>
      </c>
      <c r="R28" s="44" t="s">
        <v>28</v>
      </c>
      <c r="S28" s="44"/>
      <c r="T28" s="44"/>
      <c r="U28" s="44"/>
      <c r="V28" s="44"/>
      <c r="W28" s="60">
        <f t="shared" si="1"/>
        <v>44234</v>
      </c>
      <c r="X28" s="60">
        <v>44173</v>
      </c>
      <c r="Y28" s="48" t="s">
        <v>107</v>
      </c>
      <c r="Z28" s="90">
        <v>44237</v>
      </c>
      <c r="AA28" s="60">
        <v>44186</v>
      </c>
      <c r="AB28" s="48" t="s">
        <v>114</v>
      </c>
      <c r="AC28" s="51">
        <v>44214</v>
      </c>
      <c r="AD28" s="51">
        <v>44214</v>
      </c>
      <c r="AE28" s="52"/>
      <c r="AF28" s="53"/>
      <c r="AG28" s="48" t="s">
        <v>137</v>
      </c>
      <c r="AH28" s="48" t="s">
        <v>109</v>
      </c>
      <c r="AI28" s="48" t="s">
        <v>108</v>
      </c>
      <c r="AJ28" s="47" t="s">
        <v>70</v>
      </c>
      <c r="AK28" s="46" t="s">
        <v>132</v>
      </c>
      <c r="AL28" s="49" t="s">
        <v>93</v>
      </c>
      <c r="AM28" s="60">
        <v>44237</v>
      </c>
      <c r="AN28" s="60"/>
      <c r="AO28" s="48" t="s">
        <v>113</v>
      </c>
      <c r="AP28" s="60">
        <v>44237</v>
      </c>
      <c r="AQ28" s="60"/>
      <c r="AR28" s="48" t="s">
        <v>110</v>
      </c>
    </row>
    <row r="29" spans="1:44" hidden="1" x14ac:dyDescent="0.3">
      <c r="A29" s="44">
        <f>IF(E29 &lt;&gt; "",ROW(E29)-COUNTIF($E$3:E29,"")-2,"")</f>
        <v>27</v>
      </c>
      <c r="B29" s="49"/>
      <c r="C29" s="49"/>
      <c r="D29" s="49"/>
      <c r="E29" s="44" t="s">
        <v>101</v>
      </c>
      <c r="F29" s="44" t="str">
        <f t="shared" si="0"/>
        <v>WMS</v>
      </c>
      <c r="G29" s="45" t="s">
        <v>135</v>
      </c>
      <c r="H29" s="103" t="s">
        <v>700</v>
      </c>
      <c r="I29" s="47"/>
      <c r="J29" s="48" t="s">
        <v>105</v>
      </c>
      <c r="K29" s="48" t="s">
        <v>102</v>
      </c>
      <c r="L29" s="111" t="s">
        <v>181</v>
      </c>
      <c r="M29" s="48" t="s">
        <v>130</v>
      </c>
      <c r="N29" s="48" t="s">
        <v>130</v>
      </c>
      <c r="O29" s="48" t="s">
        <v>317</v>
      </c>
      <c r="P29" s="48" t="s">
        <v>145</v>
      </c>
      <c r="Q29" s="48" t="s">
        <v>174</v>
      </c>
      <c r="R29" s="44" t="s">
        <v>28</v>
      </c>
      <c r="S29" s="44"/>
      <c r="T29" s="44"/>
      <c r="U29" s="44"/>
      <c r="V29" s="44"/>
      <c r="W29" s="60">
        <v>44249</v>
      </c>
      <c r="X29" s="60">
        <v>44273</v>
      </c>
      <c r="Y29" s="48" t="s">
        <v>108</v>
      </c>
      <c r="Z29" s="90">
        <v>44249</v>
      </c>
      <c r="AA29" s="60">
        <v>44273</v>
      </c>
      <c r="AB29" s="48" t="s">
        <v>114</v>
      </c>
      <c r="AC29" s="51">
        <v>44277</v>
      </c>
      <c r="AD29" s="51">
        <v>44277</v>
      </c>
      <c r="AE29" s="52"/>
      <c r="AF29" s="53"/>
      <c r="AG29" s="48" t="s">
        <v>107</v>
      </c>
      <c r="AH29" s="48" t="s">
        <v>29</v>
      </c>
      <c r="AI29" s="48" t="s">
        <v>304</v>
      </c>
      <c r="AJ29" s="47" t="s">
        <v>70</v>
      </c>
      <c r="AK29" s="46" t="s">
        <v>134</v>
      </c>
      <c r="AL29" s="49" t="s">
        <v>595</v>
      </c>
      <c r="AM29" s="60">
        <v>44249</v>
      </c>
      <c r="AN29" s="60"/>
      <c r="AO29" s="48" t="s">
        <v>113</v>
      </c>
      <c r="AP29" s="60">
        <v>44242</v>
      </c>
      <c r="AQ29" s="60"/>
      <c r="AR29" s="48" t="s">
        <v>304</v>
      </c>
    </row>
    <row r="30" spans="1:44" hidden="1" x14ac:dyDescent="0.3">
      <c r="A30" s="44">
        <f>IF(E30 &lt;&gt; "",ROW(E30)-COUNTIF($E$3:E30,"")-2,"")</f>
        <v>28</v>
      </c>
      <c r="B30" s="49"/>
      <c r="C30" s="49"/>
      <c r="D30" s="49"/>
      <c r="E30" s="44" t="s">
        <v>102</v>
      </c>
      <c r="F30" s="44" t="str">
        <f t="shared" si="0"/>
        <v>PPT</v>
      </c>
      <c r="G30" s="124" t="s">
        <v>644</v>
      </c>
      <c r="H30" s="157" t="s">
        <v>639</v>
      </c>
      <c r="I30" s="47"/>
      <c r="J30" s="48" t="s">
        <v>105</v>
      </c>
      <c r="K30" s="48" t="s">
        <v>101</v>
      </c>
      <c r="L30" s="111" t="s">
        <v>181</v>
      </c>
      <c r="M30" s="48" t="s">
        <v>159</v>
      </c>
      <c r="N30" s="48" t="s">
        <v>106</v>
      </c>
      <c r="O30" s="48" t="s">
        <v>184</v>
      </c>
      <c r="P30" s="48" t="s">
        <v>145</v>
      </c>
      <c r="Q30" s="48" t="s">
        <v>174</v>
      </c>
      <c r="R30" s="44" t="s">
        <v>28</v>
      </c>
      <c r="S30" s="44"/>
      <c r="T30" s="44"/>
      <c r="U30" s="44"/>
      <c r="V30" s="44"/>
      <c r="W30" s="60">
        <f t="shared" si="1"/>
        <v>44242</v>
      </c>
      <c r="X30" s="60">
        <v>44245</v>
      </c>
      <c r="Y30" s="48" t="s">
        <v>108</v>
      </c>
      <c r="Z30" s="60">
        <v>44245</v>
      </c>
      <c r="AA30" s="60">
        <v>44246</v>
      </c>
      <c r="AB30" s="48" t="s">
        <v>114</v>
      </c>
      <c r="AC30" s="51">
        <v>44246</v>
      </c>
      <c r="AD30" s="51">
        <v>44246</v>
      </c>
      <c r="AE30" s="52"/>
      <c r="AF30" s="53"/>
      <c r="AG30" s="48" t="s">
        <v>108</v>
      </c>
      <c r="AH30" s="48" t="s">
        <v>29</v>
      </c>
      <c r="AI30" s="48" t="s">
        <v>110</v>
      </c>
      <c r="AJ30" s="47" t="s">
        <v>70</v>
      </c>
      <c r="AK30" s="46" t="s">
        <v>139</v>
      </c>
      <c r="AL30" s="49" t="s">
        <v>595</v>
      </c>
      <c r="AM30" s="60">
        <v>44245</v>
      </c>
      <c r="AN30" s="60"/>
      <c r="AO30" s="48" t="s">
        <v>113</v>
      </c>
      <c r="AP30" s="60">
        <v>44245</v>
      </c>
      <c r="AQ30" s="60"/>
      <c r="AR30" s="48" t="s">
        <v>111</v>
      </c>
    </row>
    <row r="31" spans="1:44" s="64" customFormat="1" hidden="1" x14ac:dyDescent="0.3">
      <c r="A31" s="44">
        <f>IF(E31 &lt;&gt; "",ROW(E31)-COUNTIF($E$3:E31,"")-2,"")</f>
        <v>29</v>
      </c>
      <c r="B31" s="49"/>
      <c r="C31" s="49"/>
      <c r="D31" s="49"/>
      <c r="E31" s="44" t="s">
        <v>102</v>
      </c>
      <c r="F31" s="44" t="str">
        <f t="shared" si="0"/>
        <v>PPT</v>
      </c>
      <c r="G31" s="124" t="s">
        <v>665</v>
      </c>
      <c r="H31" s="157" t="s">
        <v>140</v>
      </c>
      <c r="I31" s="47"/>
      <c r="J31" s="48" t="s">
        <v>159</v>
      </c>
      <c r="K31" s="48" t="s">
        <v>106</v>
      </c>
      <c r="L31" s="111" t="s">
        <v>245</v>
      </c>
      <c r="M31" s="48" t="s">
        <v>105</v>
      </c>
      <c r="N31" s="48" t="s">
        <v>102</v>
      </c>
      <c r="O31" s="48" t="s">
        <v>182</v>
      </c>
      <c r="P31" s="48" t="s">
        <v>145</v>
      </c>
      <c r="Q31" s="48" t="s">
        <v>174</v>
      </c>
      <c r="R31" s="44" t="s">
        <v>28</v>
      </c>
      <c r="S31" s="44"/>
      <c r="T31" s="44"/>
      <c r="U31" s="44"/>
      <c r="V31" s="44"/>
      <c r="W31" s="60">
        <f t="shared" si="1"/>
        <v>44247</v>
      </c>
      <c r="X31" s="60">
        <v>44246</v>
      </c>
      <c r="Y31" s="48" t="s">
        <v>108</v>
      </c>
      <c r="Z31" s="60">
        <v>44250</v>
      </c>
      <c r="AA31" s="60">
        <v>44246</v>
      </c>
      <c r="AB31" s="48" t="s">
        <v>114</v>
      </c>
      <c r="AC31" s="50">
        <v>44251</v>
      </c>
      <c r="AD31" s="50">
        <v>44251</v>
      </c>
      <c r="AE31" s="44"/>
      <c r="AF31" s="53"/>
      <c r="AG31" s="48" t="s">
        <v>137</v>
      </c>
      <c r="AH31" s="48" t="s">
        <v>109</v>
      </c>
      <c r="AI31" s="48" t="s">
        <v>108</v>
      </c>
      <c r="AJ31" s="47" t="s">
        <v>70</v>
      </c>
      <c r="AK31" s="46" t="s">
        <v>140</v>
      </c>
      <c r="AL31" s="49" t="s">
        <v>595</v>
      </c>
      <c r="AM31" s="60">
        <v>44250</v>
      </c>
      <c r="AN31" s="60"/>
      <c r="AO31" s="48" t="s">
        <v>111</v>
      </c>
      <c r="AP31" s="60">
        <v>44250</v>
      </c>
      <c r="AQ31" s="60"/>
      <c r="AR31" s="48" t="s">
        <v>113</v>
      </c>
    </row>
    <row r="32" spans="1:44" hidden="1" x14ac:dyDescent="0.3">
      <c r="A32" s="44">
        <f>IF(E32 &lt;&gt; "",ROW(E32)-COUNTIF($E$3:E32,"")-2,"")</f>
        <v>30</v>
      </c>
      <c r="B32" s="49"/>
      <c r="C32" s="49"/>
      <c r="D32" s="49"/>
      <c r="E32" s="44" t="s">
        <v>102</v>
      </c>
      <c r="F32" s="44" t="str">
        <f t="shared" si="0"/>
        <v>WMS</v>
      </c>
      <c r="G32" s="133" t="s">
        <v>138</v>
      </c>
      <c r="H32" s="134" t="s">
        <v>578</v>
      </c>
      <c r="I32" s="47" t="s">
        <v>409</v>
      </c>
      <c r="J32" s="48" t="s">
        <v>105</v>
      </c>
      <c r="K32" s="48" t="s">
        <v>102</v>
      </c>
      <c r="L32" s="111" t="s">
        <v>181</v>
      </c>
      <c r="M32" s="48" t="s">
        <v>87</v>
      </c>
      <c r="N32" s="48" t="s">
        <v>130</v>
      </c>
      <c r="O32" s="48" t="s">
        <v>317</v>
      </c>
      <c r="P32" s="48" t="s">
        <v>145</v>
      </c>
      <c r="Q32" s="48" t="s">
        <v>174</v>
      </c>
      <c r="R32" s="44" t="s">
        <v>28</v>
      </c>
      <c r="S32" s="44"/>
      <c r="T32" s="44"/>
      <c r="U32" s="44"/>
      <c r="V32" s="44"/>
      <c r="W32" s="90">
        <v>44250</v>
      </c>
      <c r="X32" s="60">
        <v>44173</v>
      </c>
      <c r="Y32" s="48" t="s">
        <v>108</v>
      </c>
      <c r="Z32" s="90">
        <v>44250</v>
      </c>
      <c r="AA32" s="60">
        <v>44187</v>
      </c>
      <c r="AB32" s="48" t="s">
        <v>114</v>
      </c>
      <c r="AC32" s="51">
        <v>44211</v>
      </c>
      <c r="AD32" s="51">
        <v>44211</v>
      </c>
      <c r="AE32" s="52"/>
      <c r="AF32" s="53"/>
      <c r="AG32" s="48" t="s">
        <v>108</v>
      </c>
      <c r="AH32" s="48" t="s">
        <v>109</v>
      </c>
      <c r="AI32" s="48" t="s">
        <v>304</v>
      </c>
      <c r="AJ32" s="47" t="s">
        <v>70</v>
      </c>
      <c r="AK32" s="46" t="s">
        <v>141</v>
      </c>
      <c r="AL32" s="49" t="s">
        <v>93</v>
      </c>
      <c r="AM32" s="60">
        <v>44253</v>
      </c>
      <c r="AN32" s="60"/>
      <c r="AO32" s="48" t="s">
        <v>112</v>
      </c>
      <c r="AP32" s="60">
        <v>44253</v>
      </c>
      <c r="AQ32" s="60"/>
      <c r="AR32" s="48" t="s">
        <v>304</v>
      </c>
    </row>
    <row r="33" spans="1:44" hidden="1" x14ac:dyDescent="0.3">
      <c r="A33" s="44">
        <f>IF(E33 &lt;&gt; "",ROW(E33)-COUNTIF($E$3:E33,"")-2,"")</f>
        <v>31</v>
      </c>
      <c r="B33" s="49"/>
      <c r="C33" s="49"/>
      <c r="D33" s="49"/>
      <c r="E33" s="44" t="s">
        <v>102</v>
      </c>
      <c r="F33" s="44" t="str">
        <f t="shared" si="0"/>
        <v>WMS</v>
      </c>
      <c r="G33" s="133" t="s">
        <v>567</v>
      </c>
      <c r="H33" s="134" t="s">
        <v>357</v>
      </c>
      <c r="I33" s="47" t="s">
        <v>512</v>
      </c>
      <c r="J33" s="48" t="s">
        <v>130</v>
      </c>
      <c r="K33" s="48" t="s">
        <v>130</v>
      </c>
      <c r="L33" s="111" t="s">
        <v>318</v>
      </c>
      <c r="M33" s="48" t="s">
        <v>105</v>
      </c>
      <c r="N33" s="48" t="s">
        <v>102</v>
      </c>
      <c r="O33" s="48" t="s">
        <v>182</v>
      </c>
      <c r="P33" s="48" t="s">
        <v>145</v>
      </c>
      <c r="Q33" s="48" t="s">
        <v>174</v>
      </c>
      <c r="R33" s="44" t="s">
        <v>28</v>
      </c>
      <c r="S33" s="44"/>
      <c r="T33" s="44"/>
      <c r="U33" s="44"/>
      <c r="V33" s="44"/>
      <c r="W33" s="90">
        <v>44255</v>
      </c>
      <c r="X33" s="60">
        <v>44173</v>
      </c>
      <c r="Y33" s="48" t="s">
        <v>108</v>
      </c>
      <c r="Z33" s="90">
        <v>44255</v>
      </c>
      <c r="AA33" s="60">
        <v>44187</v>
      </c>
      <c r="AB33" s="48" t="s">
        <v>114</v>
      </c>
      <c r="AC33" s="51">
        <v>44214</v>
      </c>
      <c r="AD33" s="51">
        <v>44214</v>
      </c>
      <c r="AE33" s="52"/>
      <c r="AF33" s="53"/>
      <c r="AG33" s="48" t="s">
        <v>137</v>
      </c>
      <c r="AH33" s="48" t="s">
        <v>109</v>
      </c>
      <c r="AI33" s="48" t="s">
        <v>108</v>
      </c>
      <c r="AJ33" s="47" t="s">
        <v>70</v>
      </c>
      <c r="AK33" s="46" t="s">
        <v>142</v>
      </c>
      <c r="AL33" s="49" t="s">
        <v>93</v>
      </c>
      <c r="AM33" s="60">
        <v>44258</v>
      </c>
      <c r="AN33" s="60"/>
      <c r="AO33" s="48" t="s">
        <v>112</v>
      </c>
      <c r="AP33" s="60">
        <v>44258</v>
      </c>
      <c r="AQ33" s="60"/>
      <c r="AR33" s="48" t="s">
        <v>111</v>
      </c>
    </row>
    <row r="34" spans="1:44" s="64" customFormat="1" hidden="1" x14ac:dyDescent="0.3">
      <c r="A34" s="44">
        <f>IF(E34 &lt;&gt; "",ROW(E34)-COUNTIF($E$3:E34,"")-2,"")</f>
        <v>32</v>
      </c>
      <c r="B34" s="49"/>
      <c r="C34" s="49"/>
      <c r="D34" s="49"/>
      <c r="E34" s="44" t="s">
        <v>102</v>
      </c>
      <c r="F34" s="44" t="str">
        <f t="shared" si="0"/>
        <v>PPT</v>
      </c>
      <c r="G34" s="124" t="s">
        <v>626</v>
      </c>
      <c r="H34" s="125" t="s">
        <v>143</v>
      </c>
      <c r="I34" s="47"/>
      <c r="J34" s="48" t="s">
        <v>159</v>
      </c>
      <c r="K34" s="48" t="s">
        <v>106</v>
      </c>
      <c r="L34" s="111" t="s">
        <v>245</v>
      </c>
      <c r="M34" s="48" t="s">
        <v>74</v>
      </c>
      <c r="N34" s="48" t="s">
        <v>101</v>
      </c>
      <c r="O34" s="48" t="s">
        <v>182</v>
      </c>
      <c r="P34" s="48" t="s">
        <v>145</v>
      </c>
      <c r="Q34" s="48" t="s">
        <v>174</v>
      </c>
      <c r="R34" s="44" t="s">
        <v>28</v>
      </c>
      <c r="S34" s="44"/>
      <c r="T34" s="44"/>
      <c r="U34" s="44"/>
      <c r="V34" s="44"/>
      <c r="W34" s="60">
        <f>AM34-3</f>
        <v>44260</v>
      </c>
      <c r="X34" s="60">
        <v>44231</v>
      </c>
      <c r="Y34" s="48" t="s">
        <v>107</v>
      </c>
      <c r="Z34" s="60">
        <v>44263</v>
      </c>
      <c r="AA34" s="60">
        <v>44232</v>
      </c>
      <c r="AB34" s="48" t="s">
        <v>114</v>
      </c>
      <c r="AC34" s="50">
        <v>44236</v>
      </c>
      <c r="AD34" s="50">
        <v>44236</v>
      </c>
      <c r="AE34" s="44"/>
      <c r="AF34" s="53"/>
      <c r="AG34" s="48" t="s">
        <v>137</v>
      </c>
      <c r="AH34" s="48" t="s">
        <v>109</v>
      </c>
      <c r="AI34" s="48" t="s">
        <v>108</v>
      </c>
      <c r="AJ34" s="47" t="s">
        <v>70</v>
      </c>
      <c r="AK34" s="46" t="s">
        <v>144</v>
      </c>
      <c r="AL34" s="49" t="s">
        <v>93</v>
      </c>
      <c r="AM34" s="60">
        <v>44263</v>
      </c>
      <c r="AN34" s="60"/>
      <c r="AO34" s="48" t="s">
        <v>113</v>
      </c>
      <c r="AP34" s="60">
        <v>44263</v>
      </c>
      <c r="AQ34" s="60"/>
      <c r="AR34" s="48" t="s">
        <v>111</v>
      </c>
    </row>
    <row r="35" spans="1:44" hidden="1" x14ac:dyDescent="0.3">
      <c r="A35" s="44">
        <f>IF(E35 &lt;&gt; "",ROW(E35)-COUNTIF($E$3:E35,"")-2,"")</f>
        <v>33</v>
      </c>
      <c r="B35" s="49"/>
      <c r="C35" s="49"/>
      <c r="D35" s="49"/>
      <c r="E35" s="44" t="s">
        <v>101</v>
      </c>
      <c r="F35" s="44" t="str">
        <f t="shared" si="0"/>
        <v>WMS</v>
      </c>
      <c r="G35" s="133" t="s">
        <v>577</v>
      </c>
      <c r="H35" s="134" t="s">
        <v>411</v>
      </c>
      <c r="I35" s="47" t="s">
        <v>405</v>
      </c>
      <c r="J35" s="48" t="s">
        <v>105</v>
      </c>
      <c r="K35" s="48" t="s">
        <v>102</v>
      </c>
      <c r="L35" s="111" t="s">
        <v>181</v>
      </c>
      <c r="M35" s="48" t="s">
        <v>87</v>
      </c>
      <c r="N35" s="48" t="s">
        <v>130</v>
      </c>
      <c r="O35" s="48" t="s">
        <v>317</v>
      </c>
      <c r="P35" s="48" t="s">
        <v>145</v>
      </c>
      <c r="Q35" s="48" t="s">
        <v>174</v>
      </c>
      <c r="R35" s="44" t="s">
        <v>28</v>
      </c>
      <c r="S35" s="44"/>
      <c r="T35" s="44"/>
      <c r="U35" s="44"/>
      <c r="V35" s="44"/>
      <c r="W35" s="60">
        <v>44166</v>
      </c>
      <c r="X35" s="60">
        <v>44172</v>
      </c>
      <c r="Y35" s="48" t="s">
        <v>108</v>
      </c>
      <c r="Z35" s="60">
        <v>44172</v>
      </c>
      <c r="AA35" s="60">
        <v>44172</v>
      </c>
      <c r="AB35" s="48" t="s">
        <v>114</v>
      </c>
      <c r="AC35" s="51">
        <v>44207</v>
      </c>
      <c r="AD35" s="51">
        <v>44207</v>
      </c>
      <c r="AE35" s="52"/>
      <c r="AF35" s="53"/>
      <c r="AG35" s="48" t="s">
        <v>107</v>
      </c>
      <c r="AH35" s="48" t="s">
        <v>109</v>
      </c>
      <c r="AI35" s="48" t="s">
        <v>304</v>
      </c>
      <c r="AJ35" s="47" t="s">
        <v>70</v>
      </c>
      <c r="AK35" s="46" t="s">
        <v>147</v>
      </c>
      <c r="AL35" s="49" t="s">
        <v>93</v>
      </c>
      <c r="AM35" s="60">
        <v>44169</v>
      </c>
      <c r="AN35" s="60"/>
      <c r="AO35" s="48" t="s">
        <v>113</v>
      </c>
      <c r="AP35" s="60">
        <v>44266</v>
      </c>
      <c r="AQ35" s="60"/>
      <c r="AR35" s="48" t="s">
        <v>304</v>
      </c>
    </row>
    <row r="36" spans="1:44" hidden="1" x14ac:dyDescent="0.3">
      <c r="A36" s="44">
        <f>IF(E36 &lt;&gt; "",ROW(E36)-COUNTIF($E$3:E36,"")-2,"")</f>
        <v>34</v>
      </c>
      <c r="B36" s="49"/>
      <c r="C36" s="49"/>
      <c r="D36" s="49"/>
      <c r="E36" s="44" t="s">
        <v>102</v>
      </c>
      <c r="F36" s="44" t="str">
        <f t="shared" si="0"/>
        <v>PPT</v>
      </c>
      <c r="G36" s="153" t="s">
        <v>680</v>
      </c>
      <c r="H36" s="154" t="s">
        <v>658</v>
      </c>
      <c r="I36" s="47"/>
      <c r="J36" s="48" t="s">
        <v>105</v>
      </c>
      <c r="K36" s="48" t="s">
        <v>102</v>
      </c>
      <c r="L36" s="111" t="s">
        <v>181</v>
      </c>
      <c r="M36" s="48" t="s">
        <v>159</v>
      </c>
      <c r="N36" s="48" t="s">
        <v>106</v>
      </c>
      <c r="O36" s="48" t="s">
        <v>184</v>
      </c>
      <c r="P36" s="48" t="s">
        <v>145</v>
      </c>
      <c r="Q36" s="48" t="s">
        <v>174</v>
      </c>
      <c r="R36" s="44" t="s">
        <v>28</v>
      </c>
      <c r="S36" s="44"/>
      <c r="T36" s="44"/>
      <c r="U36" s="44"/>
      <c r="V36" s="44"/>
      <c r="W36" s="60">
        <f t="shared" ref="W36:W41" si="2">AM36-3</f>
        <v>44271</v>
      </c>
      <c r="X36" s="60">
        <v>44258</v>
      </c>
      <c r="Y36" s="48" t="s">
        <v>108</v>
      </c>
      <c r="Z36" s="60">
        <v>44274</v>
      </c>
      <c r="AA36" s="60">
        <v>44258</v>
      </c>
      <c r="AB36" s="48" t="s">
        <v>114</v>
      </c>
      <c r="AC36" s="90">
        <v>44258</v>
      </c>
      <c r="AD36" s="90">
        <v>44258</v>
      </c>
      <c r="AE36" s="52"/>
      <c r="AF36" s="53"/>
      <c r="AG36" s="48" t="s">
        <v>108</v>
      </c>
      <c r="AH36" s="48" t="s">
        <v>109</v>
      </c>
      <c r="AI36" s="48" t="s">
        <v>110</v>
      </c>
      <c r="AJ36" s="47" t="s">
        <v>70</v>
      </c>
      <c r="AK36" s="62" t="s">
        <v>295</v>
      </c>
      <c r="AL36" s="49" t="s">
        <v>595</v>
      </c>
      <c r="AM36" s="60">
        <v>44274</v>
      </c>
      <c r="AN36" s="60"/>
      <c r="AO36" s="48" t="s">
        <v>126</v>
      </c>
      <c r="AP36" s="60">
        <v>44274</v>
      </c>
      <c r="AQ36" s="60"/>
      <c r="AR36" s="48" t="s">
        <v>113</v>
      </c>
    </row>
    <row r="37" spans="1:44" s="64" customFormat="1" hidden="1" x14ac:dyDescent="0.3">
      <c r="A37" s="44">
        <f>IF(E37 &lt;&gt; "",ROW(E37)-COUNTIF($E$3:E37,"")-2,"")</f>
        <v>35</v>
      </c>
      <c r="B37" s="49"/>
      <c r="C37" s="49"/>
      <c r="D37" s="49"/>
      <c r="E37" s="44" t="s">
        <v>101</v>
      </c>
      <c r="F37" s="44" t="str">
        <f t="shared" si="0"/>
        <v>PPT</v>
      </c>
      <c r="G37" s="153" t="s">
        <v>146</v>
      </c>
      <c r="H37" s="155" t="s">
        <v>652</v>
      </c>
      <c r="I37" s="47"/>
      <c r="J37" s="48" t="s">
        <v>74</v>
      </c>
      <c r="K37" s="48" t="s">
        <v>653</v>
      </c>
      <c r="L37" s="111" t="s">
        <v>352</v>
      </c>
      <c r="M37" s="48" t="s">
        <v>654</v>
      </c>
      <c r="N37" s="48" t="s">
        <v>655</v>
      </c>
      <c r="O37" s="48" t="s">
        <v>364</v>
      </c>
      <c r="P37" s="48" t="s">
        <v>656</v>
      </c>
      <c r="Q37" s="48" t="s">
        <v>657</v>
      </c>
      <c r="R37" s="44" t="s">
        <v>28</v>
      </c>
      <c r="S37" s="44"/>
      <c r="T37" s="44"/>
      <c r="U37" s="44"/>
      <c r="V37" s="44"/>
      <c r="W37" s="60">
        <f t="shared" si="2"/>
        <v>44276</v>
      </c>
      <c r="X37" s="60">
        <v>44258</v>
      </c>
      <c r="Y37" s="48" t="s">
        <v>108</v>
      </c>
      <c r="Z37" s="60">
        <v>44279</v>
      </c>
      <c r="AA37" s="60">
        <v>44259</v>
      </c>
      <c r="AB37" s="48" t="s">
        <v>114</v>
      </c>
      <c r="AC37" s="90">
        <v>44259</v>
      </c>
      <c r="AD37" s="90">
        <v>44259</v>
      </c>
      <c r="AE37" s="44"/>
      <c r="AF37" s="53"/>
      <c r="AG37" s="48" t="s">
        <v>137</v>
      </c>
      <c r="AH37" s="48" t="s">
        <v>29</v>
      </c>
      <c r="AI37" s="48" t="s">
        <v>107</v>
      </c>
      <c r="AJ37" s="47" t="s">
        <v>70</v>
      </c>
      <c r="AK37" s="46" t="s">
        <v>296</v>
      </c>
      <c r="AL37" s="49" t="s">
        <v>595</v>
      </c>
      <c r="AM37" s="60">
        <v>44279</v>
      </c>
      <c r="AN37" s="60"/>
      <c r="AO37" s="48" t="s">
        <v>113</v>
      </c>
      <c r="AP37" s="60">
        <v>44279</v>
      </c>
      <c r="AQ37" s="60"/>
      <c r="AR37" s="48" t="s">
        <v>113</v>
      </c>
    </row>
    <row r="38" spans="1:44" hidden="1" x14ac:dyDescent="0.3">
      <c r="A38" s="44">
        <f>IF(E38 &lt;&gt; "",ROW(E38)-COUNTIF($E$3:E38,"")-2,"")</f>
        <v>36</v>
      </c>
      <c r="B38" s="49"/>
      <c r="C38" s="49"/>
      <c r="D38" s="49"/>
      <c r="E38" s="44" t="s">
        <v>101</v>
      </c>
      <c r="F38" s="44" t="str">
        <f t="shared" ref="F38:F70" si="3">IF(LEFT(J38,3)="ERP",M38,J38)</f>
        <v>PPT</v>
      </c>
      <c r="G38" s="153" t="s">
        <v>681</v>
      </c>
      <c r="H38" s="154" t="s">
        <v>292</v>
      </c>
      <c r="I38" s="47"/>
      <c r="J38" s="48" t="s">
        <v>74</v>
      </c>
      <c r="K38" s="48" t="s">
        <v>101</v>
      </c>
      <c r="L38" s="111" t="s">
        <v>181</v>
      </c>
      <c r="M38" s="48" t="s">
        <v>159</v>
      </c>
      <c r="N38" s="48" t="s">
        <v>106</v>
      </c>
      <c r="O38" s="48" t="s">
        <v>183</v>
      </c>
      <c r="P38" s="48" t="s">
        <v>145</v>
      </c>
      <c r="Q38" s="48" t="s">
        <v>174</v>
      </c>
      <c r="R38" s="44" t="s">
        <v>28</v>
      </c>
      <c r="S38" s="44"/>
      <c r="T38" s="44"/>
      <c r="U38" s="44"/>
      <c r="V38" s="44"/>
      <c r="W38" s="60">
        <f t="shared" si="2"/>
        <v>44281</v>
      </c>
      <c r="X38" s="60">
        <v>44263</v>
      </c>
      <c r="Y38" s="48" t="s">
        <v>107</v>
      </c>
      <c r="Z38" s="60">
        <v>44284</v>
      </c>
      <c r="AA38" s="60">
        <v>44264</v>
      </c>
      <c r="AB38" s="48" t="s">
        <v>114</v>
      </c>
      <c r="AC38" s="51">
        <v>44264</v>
      </c>
      <c r="AD38" s="51">
        <v>44264</v>
      </c>
      <c r="AE38" s="52"/>
      <c r="AF38" s="53"/>
      <c r="AG38" s="48" t="s">
        <v>107</v>
      </c>
      <c r="AH38" s="48" t="s">
        <v>29</v>
      </c>
      <c r="AI38" s="48" t="s">
        <v>110</v>
      </c>
      <c r="AJ38" s="47" t="s">
        <v>70</v>
      </c>
      <c r="AK38" s="62" t="s">
        <v>291</v>
      </c>
      <c r="AL38" s="49" t="s">
        <v>595</v>
      </c>
      <c r="AM38" s="60">
        <v>44284</v>
      </c>
      <c r="AN38" s="60"/>
      <c r="AO38" s="48" t="s">
        <v>126</v>
      </c>
      <c r="AP38" s="60">
        <v>44284</v>
      </c>
      <c r="AQ38" s="60"/>
      <c r="AR38" s="48" t="s">
        <v>112</v>
      </c>
    </row>
    <row r="39" spans="1:44" hidden="1" x14ac:dyDescent="0.3">
      <c r="A39" s="44">
        <f>IF(E39 &lt;&gt; "",ROW(E39)-COUNTIF($E$3:E39,"")-2,"")</f>
        <v>37</v>
      </c>
      <c r="B39" s="49"/>
      <c r="C39" s="49"/>
      <c r="D39" s="49"/>
      <c r="E39" s="44" t="s">
        <v>101</v>
      </c>
      <c r="F39" s="44" t="str">
        <f t="shared" si="3"/>
        <v>PPT</v>
      </c>
      <c r="G39" s="135" t="s">
        <v>714</v>
      </c>
      <c r="H39" s="136" t="s">
        <v>148</v>
      </c>
      <c r="I39" s="140" t="s">
        <v>580</v>
      </c>
      <c r="J39" s="48" t="s">
        <v>159</v>
      </c>
      <c r="K39" s="48" t="s">
        <v>106</v>
      </c>
      <c r="L39" s="111" t="s">
        <v>245</v>
      </c>
      <c r="M39" s="48" t="s">
        <v>74</v>
      </c>
      <c r="N39" s="48" t="s">
        <v>101</v>
      </c>
      <c r="O39" s="48" t="s">
        <v>181</v>
      </c>
      <c r="P39" s="48" t="s">
        <v>145</v>
      </c>
      <c r="Q39" s="48" t="s">
        <v>174</v>
      </c>
      <c r="R39" s="44" t="s">
        <v>28</v>
      </c>
      <c r="S39" s="44"/>
      <c r="T39" s="44"/>
      <c r="U39" s="44"/>
      <c r="V39" s="44"/>
      <c r="W39" s="60">
        <f t="shared" si="2"/>
        <v>44282</v>
      </c>
      <c r="X39" s="60">
        <v>44279</v>
      </c>
      <c r="Y39" s="48" t="s">
        <v>107</v>
      </c>
      <c r="Z39" s="60">
        <v>44285</v>
      </c>
      <c r="AA39" s="60">
        <v>44279</v>
      </c>
      <c r="AB39" s="48" t="s">
        <v>114</v>
      </c>
      <c r="AC39" s="51"/>
      <c r="AD39" s="51"/>
      <c r="AE39" s="52"/>
      <c r="AF39" s="53"/>
      <c r="AG39" s="48" t="s">
        <v>137</v>
      </c>
      <c r="AH39" s="48" t="s">
        <v>29</v>
      </c>
      <c r="AI39" s="48" t="s">
        <v>107</v>
      </c>
      <c r="AJ39" s="47" t="s">
        <v>70</v>
      </c>
      <c r="AK39" s="62" t="s">
        <v>148</v>
      </c>
      <c r="AL39" s="49" t="s">
        <v>595</v>
      </c>
      <c r="AM39" s="60">
        <v>44285</v>
      </c>
      <c r="AN39" s="60"/>
      <c r="AO39" s="48" t="s">
        <v>112</v>
      </c>
      <c r="AP39" s="60">
        <v>44285</v>
      </c>
      <c r="AQ39" s="60"/>
      <c r="AR39" s="48" t="s">
        <v>110</v>
      </c>
    </row>
    <row r="40" spans="1:44" hidden="1" x14ac:dyDescent="0.3">
      <c r="A40" s="44">
        <f>IF(E40 &lt;&gt; "",ROW(E40)-COUNTIF($E$3:E40,"")-2,"")</f>
        <v>38</v>
      </c>
      <c r="B40" s="49"/>
      <c r="C40" s="49"/>
      <c r="D40" s="49"/>
      <c r="E40" s="44" t="s">
        <v>101</v>
      </c>
      <c r="F40" s="44" t="str">
        <f t="shared" si="3"/>
        <v>PPT</v>
      </c>
      <c r="G40" s="135" t="s">
        <v>706</v>
      </c>
      <c r="H40" s="136" t="s">
        <v>707</v>
      </c>
      <c r="I40" s="140" t="s">
        <v>580</v>
      </c>
      <c r="J40" s="48" t="s">
        <v>105</v>
      </c>
      <c r="K40" s="48" t="s">
        <v>101</v>
      </c>
      <c r="L40" s="111" t="s">
        <v>181</v>
      </c>
      <c r="M40" s="48" t="s">
        <v>159</v>
      </c>
      <c r="N40" s="48" t="s">
        <v>106</v>
      </c>
      <c r="O40" s="48" t="s">
        <v>183</v>
      </c>
      <c r="P40" s="48" t="s">
        <v>145</v>
      </c>
      <c r="Q40" s="48" t="s">
        <v>174</v>
      </c>
      <c r="R40" s="44" t="s">
        <v>28</v>
      </c>
      <c r="S40" s="44"/>
      <c r="T40" s="44"/>
      <c r="U40" s="44"/>
      <c r="V40" s="44"/>
      <c r="W40" s="60">
        <f t="shared" si="2"/>
        <v>44283</v>
      </c>
      <c r="X40" s="90">
        <v>44279</v>
      </c>
      <c r="Y40" s="48" t="s">
        <v>107</v>
      </c>
      <c r="Z40" s="60">
        <v>44286</v>
      </c>
      <c r="AA40" s="60">
        <v>44279</v>
      </c>
      <c r="AB40" s="48" t="s">
        <v>114</v>
      </c>
      <c r="AC40" s="51">
        <v>44277</v>
      </c>
      <c r="AD40" s="51">
        <v>44277</v>
      </c>
      <c r="AE40" s="52"/>
      <c r="AF40" s="53"/>
      <c r="AG40" s="48" t="s">
        <v>107</v>
      </c>
      <c r="AH40" s="48" t="s">
        <v>109</v>
      </c>
      <c r="AI40" s="48" t="s">
        <v>110</v>
      </c>
      <c r="AJ40" s="47" t="s">
        <v>70</v>
      </c>
      <c r="AK40" s="62" t="s">
        <v>294</v>
      </c>
      <c r="AL40" s="49" t="s">
        <v>595</v>
      </c>
      <c r="AM40" s="60">
        <v>44286</v>
      </c>
      <c r="AN40" s="60"/>
      <c r="AO40" s="48" t="s">
        <v>126</v>
      </c>
      <c r="AP40" s="60">
        <v>44286</v>
      </c>
      <c r="AQ40" s="60"/>
      <c r="AR40" s="48" t="s">
        <v>112</v>
      </c>
    </row>
    <row r="41" spans="1:44" hidden="1" x14ac:dyDescent="0.3">
      <c r="A41" s="44">
        <f>IF(E41 &lt;&gt; "",ROW(E41)-COUNTIF($E$3:E41,"")-2,"")</f>
        <v>39</v>
      </c>
      <c r="B41" s="49"/>
      <c r="C41" s="49"/>
      <c r="D41" s="49"/>
      <c r="E41" s="44" t="s">
        <v>102</v>
      </c>
      <c r="F41" s="44" t="str">
        <f t="shared" si="3"/>
        <v>PPT</v>
      </c>
      <c r="G41" s="45" t="s">
        <v>634</v>
      </c>
      <c r="H41" s="104" t="s">
        <v>581</v>
      </c>
      <c r="I41" s="140"/>
      <c r="J41" s="48" t="s">
        <v>74</v>
      </c>
      <c r="K41" s="48" t="s">
        <v>101</v>
      </c>
      <c r="L41" s="48" t="s">
        <v>181</v>
      </c>
      <c r="M41" s="48" t="s">
        <v>159</v>
      </c>
      <c r="N41" s="48" t="s">
        <v>106</v>
      </c>
      <c r="O41" s="48" t="s">
        <v>183</v>
      </c>
      <c r="P41" s="48" t="s">
        <v>145</v>
      </c>
      <c r="Q41" s="48" t="s">
        <v>174</v>
      </c>
      <c r="R41" s="44" t="s">
        <v>28</v>
      </c>
      <c r="S41" s="44"/>
      <c r="T41" s="44"/>
      <c r="U41" s="44"/>
      <c r="V41" s="44"/>
      <c r="W41" s="60">
        <f t="shared" si="2"/>
        <v>44283</v>
      </c>
      <c r="X41" s="60">
        <v>44235</v>
      </c>
      <c r="Y41" s="48" t="s">
        <v>108</v>
      </c>
      <c r="Z41" s="60">
        <v>44286</v>
      </c>
      <c r="AA41" s="60">
        <v>44236</v>
      </c>
      <c r="AB41" s="48" t="s">
        <v>114</v>
      </c>
      <c r="AC41" s="51">
        <v>44236</v>
      </c>
      <c r="AD41" s="51">
        <v>44236</v>
      </c>
      <c r="AE41" s="52"/>
      <c r="AF41" s="53"/>
      <c r="AG41" s="48" t="s">
        <v>137</v>
      </c>
      <c r="AH41" s="48" t="s">
        <v>109</v>
      </c>
      <c r="AI41" s="48" t="s">
        <v>108</v>
      </c>
      <c r="AJ41" s="47" t="s">
        <v>70</v>
      </c>
      <c r="AK41" s="46" t="s">
        <v>297</v>
      </c>
      <c r="AL41" s="49" t="s">
        <v>595</v>
      </c>
      <c r="AM41" s="60">
        <v>44286</v>
      </c>
      <c r="AN41" s="60"/>
      <c r="AO41" s="48" t="s">
        <v>110</v>
      </c>
      <c r="AP41" s="60">
        <v>44286</v>
      </c>
      <c r="AQ41" s="60"/>
      <c r="AR41" s="48" t="s">
        <v>111</v>
      </c>
    </row>
    <row r="42" spans="1:44" hidden="1" x14ac:dyDescent="0.3">
      <c r="A42" s="44">
        <f>IF(E42 &lt;&gt; "",ROW(E42)-COUNTIF($E$3:E42,"")-2,"")</f>
        <v>40</v>
      </c>
      <c r="B42" s="171"/>
      <c r="C42" s="171"/>
      <c r="D42" s="171"/>
      <c r="E42" s="171" t="s">
        <v>633</v>
      </c>
      <c r="F42" s="173" t="s">
        <v>286</v>
      </c>
      <c r="G42" s="45" t="s">
        <v>704</v>
      </c>
      <c r="H42" s="172" t="s">
        <v>632</v>
      </c>
      <c r="I42" s="140" t="s">
        <v>580</v>
      </c>
      <c r="J42" s="66" t="s">
        <v>286</v>
      </c>
      <c r="K42" s="66" t="s">
        <v>273</v>
      </c>
      <c r="L42" s="66" t="s">
        <v>725</v>
      </c>
      <c r="M42" s="48" t="s">
        <v>74</v>
      </c>
      <c r="N42" s="48" t="s">
        <v>101</v>
      </c>
      <c r="O42" s="48" t="s">
        <v>181</v>
      </c>
      <c r="P42" s="48" t="s">
        <v>81</v>
      </c>
      <c r="Q42" s="48" t="s">
        <v>174</v>
      </c>
      <c r="W42" s="174">
        <v>44285</v>
      </c>
      <c r="X42" s="174">
        <v>44285</v>
      </c>
      <c r="Y42" s="66" t="s">
        <v>726</v>
      </c>
      <c r="Z42" s="174">
        <v>44285</v>
      </c>
      <c r="AA42" s="174">
        <v>44285</v>
      </c>
      <c r="AB42" s="66" t="s">
        <v>727</v>
      </c>
      <c r="AG42" s="58" t="s">
        <v>720</v>
      </c>
      <c r="AH42" s="58" t="s">
        <v>114</v>
      </c>
      <c r="AI42" s="58" t="s">
        <v>288</v>
      </c>
      <c r="AJ42" s="94" t="s">
        <v>70</v>
      </c>
      <c r="AK42" s="169" t="s">
        <v>721</v>
      </c>
      <c r="AL42" s="52" t="s">
        <v>595</v>
      </c>
      <c r="AM42" s="170">
        <v>44250</v>
      </c>
      <c r="AN42" s="170"/>
      <c r="AO42" s="58" t="s">
        <v>126</v>
      </c>
      <c r="AP42" s="170">
        <v>44250</v>
      </c>
      <c r="AQ42" s="170"/>
      <c r="AR42" s="58" t="s">
        <v>289</v>
      </c>
    </row>
    <row r="43" spans="1:44" s="206" customFormat="1" x14ac:dyDescent="0.3">
      <c r="A43" s="197">
        <f>IF(E43 &lt;&gt; "",ROW(E43)-COUNTIF($E$3:E43,"")-2,"")</f>
        <v>41</v>
      </c>
      <c r="B43" s="198">
        <v>44302</v>
      </c>
      <c r="C43" s="198">
        <v>44305</v>
      </c>
      <c r="D43" s="198"/>
      <c r="E43" s="200" t="s">
        <v>75</v>
      </c>
      <c r="F43" s="197" t="str">
        <f t="shared" si="3"/>
        <v>PRM</v>
      </c>
      <c r="G43" s="124" t="s">
        <v>94</v>
      </c>
      <c r="H43" s="157" t="s">
        <v>332</v>
      </c>
      <c r="I43" s="199" t="s">
        <v>482</v>
      </c>
      <c r="J43" s="200" t="s">
        <v>151</v>
      </c>
      <c r="K43" s="200" t="s">
        <v>75</v>
      </c>
      <c r="L43" s="201" t="s">
        <v>181</v>
      </c>
      <c r="M43" s="197" t="s">
        <v>76</v>
      </c>
      <c r="N43" s="197" t="s">
        <v>77</v>
      </c>
      <c r="O43" s="197" t="s">
        <v>247</v>
      </c>
      <c r="P43" s="200" t="s">
        <v>145</v>
      </c>
      <c r="Q43" s="200" t="s">
        <v>174</v>
      </c>
      <c r="R43" s="197" t="s">
        <v>28</v>
      </c>
      <c r="S43" s="197"/>
      <c r="T43" s="197">
        <v>160</v>
      </c>
      <c r="U43" s="197" t="s">
        <v>533</v>
      </c>
      <c r="V43" s="197">
        <v>3</v>
      </c>
      <c r="W43" s="202">
        <v>44165</v>
      </c>
      <c r="X43" s="202">
        <v>44168</v>
      </c>
      <c r="Y43" s="200" t="s">
        <v>85</v>
      </c>
      <c r="Z43" s="202">
        <v>44172</v>
      </c>
      <c r="AA43" s="202">
        <v>44172</v>
      </c>
      <c r="AB43" s="200" t="s">
        <v>29</v>
      </c>
      <c r="AC43" s="203">
        <v>44175</v>
      </c>
      <c r="AD43" s="203">
        <v>44175</v>
      </c>
      <c r="AE43" s="200"/>
      <c r="AF43" s="204"/>
      <c r="AG43" s="200" t="s">
        <v>85</v>
      </c>
      <c r="AH43" s="200" t="s">
        <v>29</v>
      </c>
      <c r="AI43" s="200" t="s">
        <v>246</v>
      </c>
      <c r="AJ43" s="55" t="s">
        <v>104</v>
      </c>
      <c r="AK43" s="54"/>
      <c r="AL43" s="208" t="s">
        <v>69</v>
      </c>
      <c r="AM43" s="202">
        <v>44172</v>
      </c>
      <c r="AN43" s="204"/>
      <c r="AO43" s="200" t="s">
        <v>86</v>
      </c>
      <c r="AP43" s="202">
        <v>44172</v>
      </c>
      <c r="AQ43" s="202"/>
      <c r="AR43" s="200" t="s">
        <v>335</v>
      </c>
    </row>
    <row r="44" spans="1:44" hidden="1" x14ac:dyDescent="0.3">
      <c r="A44" s="44">
        <f>IF(E44 &lt;&gt; "",ROW(E44)-COUNTIF($E$3:E44,"")-2,"")</f>
        <v>42</v>
      </c>
      <c r="B44" s="187">
        <v>44309</v>
      </c>
      <c r="C44" s="187"/>
      <c r="D44" s="187"/>
      <c r="E44" s="48" t="s">
        <v>75</v>
      </c>
      <c r="F44" s="44" t="str">
        <f t="shared" si="3"/>
        <v>WMS</v>
      </c>
      <c r="G44" s="95" t="s">
        <v>436</v>
      </c>
      <c r="H44" s="105" t="s">
        <v>412</v>
      </c>
      <c r="I44" s="55" t="s">
        <v>406</v>
      </c>
      <c r="J44" s="48" t="s">
        <v>149</v>
      </c>
      <c r="K44" s="48" t="s">
        <v>75</v>
      </c>
      <c r="L44" s="111" t="s">
        <v>181</v>
      </c>
      <c r="M44" s="48" t="s">
        <v>87</v>
      </c>
      <c r="N44" s="48" t="s">
        <v>130</v>
      </c>
      <c r="O44" s="48" t="s">
        <v>317</v>
      </c>
      <c r="P44" s="48" t="s">
        <v>145</v>
      </c>
      <c r="Q44" s="48" t="s">
        <v>174</v>
      </c>
      <c r="R44" s="44" t="s">
        <v>28</v>
      </c>
      <c r="S44" s="44"/>
      <c r="T44" s="44">
        <v>96</v>
      </c>
      <c r="U44" s="44" t="s">
        <v>534</v>
      </c>
      <c r="V44" s="44">
        <v>10</v>
      </c>
      <c r="W44" s="60">
        <v>44165</v>
      </c>
      <c r="X44" s="60">
        <v>44168</v>
      </c>
      <c r="Y44" s="48" t="s">
        <v>85</v>
      </c>
      <c r="Z44" s="60">
        <v>44172</v>
      </c>
      <c r="AA44" s="60">
        <v>44172</v>
      </c>
      <c r="AB44" s="48" t="s">
        <v>29</v>
      </c>
      <c r="AC44" s="51">
        <v>44202</v>
      </c>
      <c r="AD44" s="51">
        <v>44202</v>
      </c>
      <c r="AE44" s="57"/>
      <c r="AF44" s="53"/>
      <c r="AG44" s="48" t="s">
        <v>85</v>
      </c>
      <c r="AH44" s="48" t="s">
        <v>29</v>
      </c>
      <c r="AI44" s="48" t="s">
        <v>304</v>
      </c>
      <c r="AJ44" s="55" t="s">
        <v>104</v>
      </c>
      <c r="AK44" s="54"/>
      <c r="AL44" s="49" t="s">
        <v>69</v>
      </c>
      <c r="AM44" s="60">
        <v>44172</v>
      </c>
      <c r="AN44" s="53"/>
      <c r="AO44" s="48" t="s">
        <v>86</v>
      </c>
      <c r="AP44" s="60">
        <v>44179</v>
      </c>
      <c r="AQ44" s="60"/>
      <c r="AR44" s="48" t="s">
        <v>305</v>
      </c>
    </row>
    <row r="45" spans="1:44" hidden="1" x14ac:dyDescent="0.3">
      <c r="A45" s="44">
        <f>IF(E45 &lt;&gt; "",ROW(E45)-COUNTIF($E$3:E45,"")-2,"")</f>
        <v>43</v>
      </c>
      <c r="B45" s="188">
        <v>44302</v>
      </c>
      <c r="C45" s="188"/>
      <c r="D45" s="188"/>
      <c r="E45" s="48" t="s">
        <v>75</v>
      </c>
      <c r="F45" s="44" t="str">
        <f t="shared" si="3"/>
        <v>OMS</v>
      </c>
      <c r="G45" s="45" t="s">
        <v>331</v>
      </c>
      <c r="H45" s="104" t="s">
        <v>330</v>
      </c>
      <c r="I45" s="55" t="s">
        <v>709</v>
      </c>
      <c r="J45" s="48" t="s">
        <v>149</v>
      </c>
      <c r="K45" s="48" t="s">
        <v>75</v>
      </c>
      <c r="L45" s="111" t="s">
        <v>181</v>
      </c>
      <c r="M45" s="48" t="s">
        <v>88</v>
      </c>
      <c r="N45" s="48" t="s">
        <v>88</v>
      </c>
      <c r="O45" s="48" t="s">
        <v>247</v>
      </c>
      <c r="P45" s="48" t="s">
        <v>145</v>
      </c>
      <c r="Q45" s="48" t="s">
        <v>174</v>
      </c>
      <c r="R45" s="44" t="s">
        <v>28</v>
      </c>
      <c r="S45" s="44"/>
      <c r="T45" s="44">
        <v>127</v>
      </c>
      <c r="U45" s="44" t="s">
        <v>533</v>
      </c>
      <c r="V45" s="44">
        <v>6</v>
      </c>
      <c r="W45" s="60">
        <v>44179</v>
      </c>
      <c r="X45" s="60">
        <v>44169</v>
      </c>
      <c r="Y45" s="48" t="s">
        <v>85</v>
      </c>
      <c r="Z45" s="60">
        <v>44176</v>
      </c>
      <c r="AA45" s="60">
        <v>44172</v>
      </c>
      <c r="AB45" s="48" t="s">
        <v>29</v>
      </c>
      <c r="AC45" s="51">
        <v>44173</v>
      </c>
      <c r="AD45" s="51">
        <v>44173</v>
      </c>
      <c r="AE45" s="57"/>
      <c r="AF45" s="53"/>
      <c r="AG45" s="48" t="s">
        <v>85</v>
      </c>
      <c r="AH45" s="48" t="s">
        <v>29</v>
      </c>
      <c r="AI45" s="48" t="s">
        <v>333</v>
      </c>
      <c r="AJ45" s="55" t="s">
        <v>104</v>
      </c>
      <c r="AK45" s="54"/>
      <c r="AL45" s="49" t="s">
        <v>69</v>
      </c>
      <c r="AM45" s="60">
        <v>44172</v>
      </c>
      <c r="AN45" s="60"/>
      <c r="AO45" s="48" t="s">
        <v>86</v>
      </c>
      <c r="AP45" s="60">
        <v>44179</v>
      </c>
      <c r="AQ45" s="60"/>
      <c r="AR45" s="48" t="s">
        <v>334</v>
      </c>
    </row>
    <row r="46" spans="1:44" s="206" customFormat="1" x14ac:dyDescent="0.3">
      <c r="A46" s="197">
        <f>IF(E46 &lt;&gt; "",ROW(E46)-COUNTIF($E$3:E46,"")-2,"")</f>
        <v>44</v>
      </c>
      <c r="B46" s="198">
        <v>44305</v>
      </c>
      <c r="C46" s="198">
        <v>44307</v>
      </c>
      <c r="D46" s="198"/>
      <c r="E46" s="200" t="s">
        <v>75</v>
      </c>
      <c r="F46" s="197" t="str">
        <f t="shared" si="3"/>
        <v>PRM</v>
      </c>
      <c r="G46" s="124" t="s">
        <v>535</v>
      </c>
      <c r="H46" s="125" t="s">
        <v>336</v>
      </c>
      <c r="I46" s="207" t="s">
        <v>483</v>
      </c>
      <c r="J46" s="200" t="s">
        <v>149</v>
      </c>
      <c r="K46" s="200" t="s">
        <v>75</v>
      </c>
      <c r="L46" s="201" t="s">
        <v>181</v>
      </c>
      <c r="M46" s="197" t="s">
        <v>76</v>
      </c>
      <c r="N46" s="197" t="s">
        <v>77</v>
      </c>
      <c r="O46" s="197" t="s">
        <v>247</v>
      </c>
      <c r="P46" s="200" t="s">
        <v>145</v>
      </c>
      <c r="Q46" s="200" t="s">
        <v>174</v>
      </c>
      <c r="R46" s="197" t="s">
        <v>28</v>
      </c>
      <c r="S46" s="197"/>
      <c r="T46" s="197">
        <v>13</v>
      </c>
      <c r="U46" s="197" t="s">
        <v>536</v>
      </c>
      <c r="V46" s="197">
        <v>0.6</v>
      </c>
      <c r="W46" s="202">
        <v>44168</v>
      </c>
      <c r="X46" s="202">
        <v>44168</v>
      </c>
      <c r="Y46" s="200" t="s">
        <v>85</v>
      </c>
      <c r="Z46" s="202">
        <v>44173</v>
      </c>
      <c r="AA46" s="202">
        <v>44173</v>
      </c>
      <c r="AB46" s="200" t="s">
        <v>29</v>
      </c>
      <c r="AC46" s="203">
        <v>44175</v>
      </c>
      <c r="AD46" s="203">
        <v>44175</v>
      </c>
      <c r="AE46" s="197"/>
      <c r="AF46" s="204"/>
      <c r="AG46" s="200" t="s">
        <v>85</v>
      </c>
      <c r="AH46" s="200" t="s">
        <v>29</v>
      </c>
      <c r="AI46" s="200" t="s">
        <v>246</v>
      </c>
      <c r="AJ46" s="47" t="s">
        <v>104</v>
      </c>
      <c r="AK46" s="46"/>
      <c r="AL46" s="208" t="s">
        <v>69</v>
      </c>
      <c r="AM46" s="202">
        <v>44173</v>
      </c>
      <c r="AN46" s="202"/>
      <c r="AO46" s="200" t="s">
        <v>86</v>
      </c>
      <c r="AP46" s="202">
        <v>44173</v>
      </c>
      <c r="AQ46" s="202"/>
      <c r="AR46" s="200" t="s">
        <v>313</v>
      </c>
    </row>
    <row r="47" spans="1:44" hidden="1" x14ac:dyDescent="0.3">
      <c r="A47" s="44">
        <f>IF(E47 &lt;&gt; "",ROW(E47)-COUNTIF($E$3:E47,"")-2,"")</f>
        <v>45</v>
      </c>
      <c r="B47" s="188">
        <v>44305</v>
      </c>
      <c r="C47" s="188"/>
      <c r="D47" s="188"/>
      <c r="E47" s="48" t="s">
        <v>75</v>
      </c>
      <c r="F47" s="44" t="str">
        <f t="shared" si="3"/>
        <v>OMS</v>
      </c>
      <c r="G47" s="45" t="s">
        <v>255</v>
      </c>
      <c r="H47" s="103" t="s">
        <v>152</v>
      </c>
      <c r="I47" s="47" t="s">
        <v>598</v>
      </c>
      <c r="J47" s="48" t="s">
        <v>149</v>
      </c>
      <c r="K47" s="48" t="s">
        <v>75</v>
      </c>
      <c r="L47" s="111" t="s">
        <v>181</v>
      </c>
      <c r="M47" s="48" t="s">
        <v>88</v>
      </c>
      <c r="N47" s="48" t="s">
        <v>88</v>
      </c>
      <c r="O47" s="48" t="s">
        <v>247</v>
      </c>
      <c r="P47" s="48" t="s">
        <v>145</v>
      </c>
      <c r="Q47" s="48" t="s">
        <v>174</v>
      </c>
      <c r="R47" s="44" t="s">
        <v>28</v>
      </c>
      <c r="S47" s="44"/>
      <c r="T47" s="44">
        <v>16</v>
      </c>
      <c r="U47" s="44" t="s">
        <v>536</v>
      </c>
      <c r="V47" s="44">
        <v>0.3</v>
      </c>
      <c r="W47" s="60">
        <v>44166</v>
      </c>
      <c r="X47" s="60">
        <v>44175</v>
      </c>
      <c r="Y47" s="48" t="s">
        <v>85</v>
      </c>
      <c r="Z47" s="60">
        <v>44179</v>
      </c>
      <c r="AA47" s="60">
        <v>44179</v>
      </c>
      <c r="AB47" s="48" t="s">
        <v>29</v>
      </c>
      <c r="AC47" s="51">
        <v>44179</v>
      </c>
      <c r="AD47" s="51">
        <v>44179</v>
      </c>
      <c r="AE47" s="52"/>
      <c r="AF47" s="53"/>
      <c r="AG47" s="48" t="s">
        <v>85</v>
      </c>
      <c r="AH47" s="48" t="s">
        <v>29</v>
      </c>
      <c r="AI47" s="48" t="s">
        <v>333</v>
      </c>
      <c r="AJ47" s="47" t="s">
        <v>104</v>
      </c>
      <c r="AK47" s="46"/>
      <c r="AL47" s="49" t="s">
        <v>69</v>
      </c>
      <c r="AM47" s="60">
        <v>44173</v>
      </c>
      <c r="AN47" s="60"/>
      <c r="AO47" s="48" t="s">
        <v>86</v>
      </c>
      <c r="AP47" s="60">
        <v>44180</v>
      </c>
      <c r="AQ47" s="60"/>
      <c r="AR47" s="48" t="s">
        <v>334</v>
      </c>
    </row>
    <row r="48" spans="1:44" x14ac:dyDescent="0.3">
      <c r="A48" s="44">
        <f>IF(E48 &lt;&gt; "",ROW(E48)-COUNTIF($E$3:E48,"")-2,"")</f>
        <v>46</v>
      </c>
      <c r="B48" s="188">
        <v>44307</v>
      </c>
      <c r="C48" s="188"/>
      <c r="D48" s="194"/>
      <c r="E48" s="48" t="s">
        <v>75</v>
      </c>
      <c r="F48" s="44" t="str">
        <f t="shared" si="3"/>
        <v>PRM</v>
      </c>
      <c r="G48" s="91" t="s">
        <v>256</v>
      </c>
      <c r="H48" s="103" t="s">
        <v>340</v>
      </c>
      <c r="I48" s="47" t="s">
        <v>484</v>
      </c>
      <c r="J48" s="48" t="s">
        <v>149</v>
      </c>
      <c r="K48" s="48" t="s">
        <v>75</v>
      </c>
      <c r="L48" s="111" t="s">
        <v>181</v>
      </c>
      <c r="M48" s="44" t="s">
        <v>76</v>
      </c>
      <c r="N48" s="44" t="s">
        <v>77</v>
      </c>
      <c r="O48" s="44" t="s">
        <v>247</v>
      </c>
      <c r="P48" s="48" t="s">
        <v>145</v>
      </c>
      <c r="Q48" s="48" t="s">
        <v>174</v>
      </c>
      <c r="R48" s="44" t="s">
        <v>28</v>
      </c>
      <c r="S48" s="44"/>
      <c r="T48" s="44">
        <v>7</v>
      </c>
      <c r="U48" s="44" t="s">
        <v>536</v>
      </c>
      <c r="V48" s="44">
        <v>0.5</v>
      </c>
      <c r="W48" s="60">
        <v>44168</v>
      </c>
      <c r="X48" s="60">
        <v>44168</v>
      </c>
      <c r="Y48" s="48" t="s">
        <v>85</v>
      </c>
      <c r="Z48" s="60">
        <v>44173</v>
      </c>
      <c r="AA48" s="60">
        <v>44174</v>
      </c>
      <c r="AB48" s="48" t="s">
        <v>29</v>
      </c>
      <c r="AC48" s="51">
        <v>44188</v>
      </c>
      <c r="AD48" s="51">
        <v>44188</v>
      </c>
      <c r="AE48" s="52"/>
      <c r="AF48" s="53"/>
      <c r="AG48" s="48" t="s">
        <v>85</v>
      </c>
      <c r="AH48" s="48" t="s">
        <v>29</v>
      </c>
      <c r="AI48" s="48" t="s">
        <v>246</v>
      </c>
      <c r="AJ48" s="47" t="s">
        <v>104</v>
      </c>
      <c r="AK48" s="46"/>
      <c r="AL48" s="49" t="s">
        <v>69</v>
      </c>
      <c r="AM48" s="60">
        <v>44175</v>
      </c>
      <c r="AN48" s="60"/>
      <c r="AO48" s="48" t="s">
        <v>86</v>
      </c>
      <c r="AP48" s="60">
        <v>44175</v>
      </c>
      <c r="AQ48" s="60"/>
      <c r="AR48" s="48" t="s">
        <v>312</v>
      </c>
    </row>
    <row r="49" spans="1:44" hidden="1" x14ac:dyDescent="0.3">
      <c r="A49" s="44">
        <f>IF(E49 &lt;&gt; "",ROW(E49)-COUNTIF($E$3:E49,"")-2,"")</f>
        <v>47</v>
      </c>
      <c r="B49" s="188">
        <v>44307</v>
      </c>
      <c r="C49" s="188"/>
      <c r="D49" s="188"/>
      <c r="E49" s="48" t="s">
        <v>75</v>
      </c>
      <c r="F49" s="44" t="str">
        <f t="shared" si="3"/>
        <v>OMS</v>
      </c>
      <c r="G49" s="91" t="s">
        <v>343</v>
      </c>
      <c r="H49" s="103" t="s">
        <v>341</v>
      </c>
      <c r="I49" s="47" t="s">
        <v>599</v>
      </c>
      <c r="J49" s="48" t="s">
        <v>149</v>
      </c>
      <c r="K49" s="48" t="s">
        <v>75</v>
      </c>
      <c r="L49" s="111" t="s">
        <v>181</v>
      </c>
      <c r="M49" s="48" t="s">
        <v>88</v>
      </c>
      <c r="N49" s="48" t="s">
        <v>88</v>
      </c>
      <c r="O49" s="48" t="s">
        <v>247</v>
      </c>
      <c r="P49" s="48" t="s">
        <v>145</v>
      </c>
      <c r="Q49" s="48" t="s">
        <v>174</v>
      </c>
      <c r="R49" s="44" t="s">
        <v>28</v>
      </c>
      <c r="S49" s="44"/>
      <c r="T49" s="44"/>
      <c r="U49" s="44"/>
      <c r="V49" s="44"/>
      <c r="W49" s="60">
        <v>44179</v>
      </c>
      <c r="X49" s="60">
        <v>44175</v>
      </c>
      <c r="Y49" s="48" t="s">
        <v>85</v>
      </c>
      <c r="Z49" s="60">
        <v>44182</v>
      </c>
      <c r="AA49" s="60">
        <v>44179</v>
      </c>
      <c r="AB49" s="48" t="s">
        <v>29</v>
      </c>
      <c r="AC49" s="51">
        <v>44182</v>
      </c>
      <c r="AD49" s="51">
        <v>44182</v>
      </c>
      <c r="AE49" s="52"/>
      <c r="AF49" s="53"/>
      <c r="AG49" s="48" t="s">
        <v>85</v>
      </c>
      <c r="AH49" s="48" t="s">
        <v>29</v>
      </c>
      <c r="AI49" s="48" t="s">
        <v>333</v>
      </c>
      <c r="AJ49" s="47" t="s">
        <v>104</v>
      </c>
      <c r="AK49" s="46"/>
      <c r="AL49" s="49" t="s">
        <v>69</v>
      </c>
      <c r="AM49" s="60">
        <v>44182</v>
      </c>
      <c r="AN49" s="60"/>
      <c r="AO49" s="48" t="s">
        <v>86</v>
      </c>
      <c r="AP49" s="60">
        <v>44182</v>
      </c>
      <c r="AQ49" s="60"/>
      <c r="AR49" s="48" t="s">
        <v>334</v>
      </c>
    </row>
    <row r="50" spans="1:44" s="206" customFormat="1" x14ac:dyDescent="0.3">
      <c r="A50" s="197">
        <f>IF(E50 &lt;&gt; "",ROW(E50)-COUNTIF($E$3:E50,"")-2,"")</f>
        <v>48</v>
      </c>
      <c r="B50" s="198">
        <v>44305</v>
      </c>
      <c r="C50" s="198">
        <v>44306</v>
      </c>
      <c r="D50" s="198"/>
      <c r="E50" s="200" t="s">
        <v>75</v>
      </c>
      <c r="F50" s="197" t="str">
        <f t="shared" si="3"/>
        <v>PRM</v>
      </c>
      <c r="G50" s="209" t="s">
        <v>537</v>
      </c>
      <c r="H50" s="125" t="s">
        <v>338</v>
      </c>
      <c r="I50" s="207" t="s">
        <v>485</v>
      </c>
      <c r="J50" s="200" t="s">
        <v>149</v>
      </c>
      <c r="K50" s="200" t="s">
        <v>75</v>
      </c>
      <c r="L50" s="201" t="s">
        <v>181</v>
      </c>
      <c r="M50" s="197" t="s">
        <v>76</v>
      </c>
      <c r="N50" s="197" t="s">
        <v>77</v>
      </c>
      <c r="O50" s="197" t="s">
        <v>247</v>
      </c>
      <c r="P50" s="200" t="s">
        <v>145</v>
      </c>
      <c r="Q50" s="200" t="s">
        <v>174</v>
      </c>
      <c r="R50" s="197" t="s">
        <v>28</v>
      </c>
      <c r="S50" s="197"/>
      <c r="T50" s="197">
        <v>28</v>
      </c>
      <c r="U50" s="197" t="s">
        <v>536</v>
      </c>
      <c r="V50" s="197">
        <v>0.8</v>
      </c>
      <c r="W50" s="202">
        <v>44172</v>
      </c>
      <c r="X50" s="202">
        <v>44168</v>
      </c>
      <c r="Y50" s="200" t="s">
        <v>89</v>
      </c>
      <c r="Z50" s="202">
        <v>44174</v>
      </c>
      <c r="AA50" s="202">
        <v>44175</v>
      </c>
      <c r="AB50" s="200" t="s">
        <v>29</v>
      </c>
      <c r="AC50" s="203">
        <v>44175</v>
      </c>
      <c r="AD50" s="203">
        <v>44175</v>
      </c>
      <c r="AE50" s="197"/>
      <c r="AF50" s="204"/>
      <c r="AG50" s="200" t="s">
        <v>89</v>
      </c>
      <c r="AH50" s="200" t="s">
        <v>29</v>
      </c>
      <c r="AI50" s="200" t="s">
        <v>246</v>
      </c>
      <c r="AJ50" s="47" t="s">
        <v>104</v>
      </c>
      <c r="AK50" s="46"/>
      <c r="AL50" s="208" t="s">
        <v>69</v>
      </c>
      <c r="AM50" s="202">
        <v>44179</v>
      </c>
      <c r="AN50" s="202"/>
      <c r="AO50" s="200" t="s">
        <v>86</v>
      </c>
      <c r="AP50" s="202">
        <v>44179</v>
      </c>
      <c r="AQ50" s="202"/>
      <c r="AR50" s="200" t="s">
        <v>313</v>
      </c>
    </row>
    <row r="51" spans="1:44" hidden="1" x14ac:dyDescent="0.3">
      <c r="A51" s="44">
        <f>IF(E51 &lt;&gt; "",ROW(E51)-COUNTIF($E$3:E51,"")-2,"")</f>
        <v>49</v>
      </c>
      <c r="B51" s="188">
        <v>44305</v>
      </c>
      <c r="C51" s="188"/>
      <c r="D51" s="188"/>
      <c r="E51" s="48" t="s">
        <v>75</v>
      </c>
      <c r="F51" s="44" t="str">
        <f t="shared" si="3"/>
        <v>OMS</v>
      </c>
      <c r="G51" s="61" t="s">
        <v>339</v>
      </c>
      <c r="H51" s="103" t="s">
        <v>153</v>
      </c>
      <c r="I51" s="47" t="s">
        <v>710</v>
      </c>
      <c r="J51" s="48" t="s">
        <v>149</v>
      </c>
      <c r="K51" s="48" t="s">
        <v>75</v>
      </c>
      <c r="L51" s="111" t="s">
        <v>181</v>
      </c>
      <c r="M51" s="48" t="s">
        <v>88</v>
      </c>
      <c r="N51" s="48" t="s">
        <v>88</v>
      </c>
      <c r="O51" s="48" t="s">
        <v>247</v>
      </c>
      <c r="P51" s="48" t="s">
        <v>145</v>
      </c>
      <c r="Q51" s="48" t="s">
        <v>174</v>
      </c>
      <c r="R51" s="44" t="s">
        <v>28</v>
      </c>
      <c r="S51" s="44"/>
      <c r="T51" s="44">
        <v>8</v>
      </c>
      <c r="U51" s="44" t="s">
        <v>536</v>
      </c>
      <c r="V51" s="44">
        <v>0.2</v>
      </c>
      <c r="W51" s="60">
        <v>44172</v>
      </c>
      <c r="X51" s="60">
        <v>44168</v>
      </c>
      <c r="Y51" s="48" t="s">
        <v>89</v>
      </c>
      <c r="Z51" s="60">
        <v>44179</v>
      </c>
      <c r="AA51" s="60">
        <v>44179</v>
      </c>
      <c r="AB51" s="48" t="s">
        <v>29</v>
      </c>
      <c r="AC51" s="51">
        <v>44182</v>
      </c>
      <c r="AD51" s="51">
        <v>44182</v>
      </c>
      <c r="AE51" s="52"/>
      <c r="AF51" s="53"/>
      <c r="AG51" s="48" t="s">
        <v>89</v>
      </c>
      <c r="AH51" s="48" t="s">
        <v>29</v>
      </c>
      <c r="AI51" s="48" t="s">
        <v>333</v>
      </c>
      <c r="AJ51" s="47" t="s">
        <v>104</v>
      </c>
      <c r="AK51" s="46"/>
      <c r="AL51" s="49" t="s">
        <v>69</v>
      </c>
      <c r="AM51" s="60">
        <v>44179</v>
      </c>
      <c r="AN51" s="60"/>
      <c r="AO51" s="48" t="s">
        <v>86</v>
      </c>
      <c r="AP51" s="60">
        <v>44186</v>
      </c>
      <c r="AQ51" s="60"/>
      <c r="AR51" s="48" t="s">
        <v>334</v>
      </c>
    </row>
    <row r="52" spans="1:44" hidden="1" x14ac:dyDescent="0.3">
      <c r="A52" s="44">
        <f>IF(E52 &lt;&gt; "",ROW(E52)-COUNTIF($E$3:E52,"")-2,"")</f>
        <v>50</v>
      </c>
      <c r="B52" s="187">
        <v>44315</v>
      </c>
      <c r="C52" s="187"/>
      <c r="D52" s="187"/>
      <c r="E52" s="48" t="s">
        <v>75</v>
      </c>
      <c r="F52" s="44" t="str">
        <f t="shared" si="3"/>
        <v>WMS</v>
      </c>
      <c r="G52" s="96" t="s">
        <v>337</v>
      </c>
      <c r="H52" s="106" t="s">
        <v>413</v>
      </c>
      <c r="I52" s="47" t="s">
        <v>407</v>
      </c>
      <c r="J52" s="48" t="s">
        <v>149</v>
      </c>
      <c r="K52" s="48" t="s">
        <v>75</v>
      </c>
      <c r="L52" s="111" t="s">
        <v>181</v>
      </c>
      <c r="M52" s="48" t="s">
        <v>87</v>
      </c>
      <c r="N52" s="48" t="s">
        <v>130</v>
      </c>
      <c r="O52" s="48" t="s">
        <v>317</v>
      </c>
      <c r="P52" s="48" t="s">
        <v>145</v>
      </c>
      <c r="Q52" s="48" t="s">
        <v>174</v>
      </c>
      <c r="R52" s="44" t="s">
        <v>28</v>
      </c>
      <c r="S52" s="44"/>
      <c r="T52" s="44">
        <v>63</v>
      </c>
      <c r="U52" s="44" t="s">
        <v>533</v>
      </c>
      <c r="V52" s="44">
        <v>6</v>
      </c>
      <c r="W52" s="60">
        <v>44172</v>
      </c>
      <c r="X52" s="60">
        <v>44176</v>
      </c>
      <c r="Y52" s="48" t="s">
        <v>89</v>
      </c>
      <c r="Z52" s="60">
        <v>44179</v>
      </c>
      <c r="AA52" s="60">
        <v>44180</v>
      </c>
      <c r="AB52" s="48" t="s">
        <v>29</v>
      </c>
      <c r="AC52" s="51">
        <v>44207</v>
      </c>
      <c r="AD52" s="51">
        <v>44207</v>
      </c>
      <c r="AE52" s="52"/>
      <c r="AF52" s="53"/>
      <c r="AG52" s="48" t="s">
        <v>89</v>
      </c>
      <c r="AH52" s="48" t="s">
        <v>29</v>
      </c>
      <c r="AI52" s="48" t="s">
        <v>304</v>
      </c>
      <c r="AJ52" s="47" t="s">
        <v>104</v>
      </c>
      <c r="AK52" s="46"/>
      <c r="AL52" s="49" t="s">
        <v>69</v>
      </c>
      <c r="AM52" s="60">
        <v>44179</v>
      </c>
      <c r="AN52" s="60"/>
      <c r="AO52" s="48" t="s">
        <v>86</v>
      </c>
      <c r="AP52" s="60">
        <v>44186</v>
      </c>
      <c r="AQ52" s="60"/>
      <c r="AR52" s="48" t="s">
        <v>305</v>
      </c>
    </row>
    <row r="53" spans="1:44" x14ac:dyDescent="0.3">
      <c r="A53" s="44">
        <f>IF(E53 &lt;&gt; "",ROW(E53)-COUNTIF($E$3:E53,"")-2,"")</f>
        <v>51</v>
      </c>
      <c r="B53" s="188">
        <v>44312</v>
      </c>
      <c r="C53" s="188"/>
      <c r="D53" s="194"/>
      <c r="E53" s="48" t="s">
        <v>75</v>
      </c>
      <c r="F53" s="44" t="str">
        <f t="shared" si="3"/>
        <v>PRM</v>
      </c>
      <c r="G53" s="91" t="s">
        <v>396</v>
      </c>
      <c r="H53" s="103" t="s">
        <v>342</v>
      </c>
      <c r="I53" s="47" t="s">
        <v>486</v>
      </c>
      <c r="J53" s="48" t="s">
        <v>149</v>
      </c>
      <c r="K53" s="48" t="s">
        <v>75</v>
      </c>
      <c r="L53" s="111" t="s">
        <v>181</v>
      </c>
      <c r="M53" s="44" t="s">
        <v>76</v>
      </c>
      <c r="N53" s="44" t="s">
        <v>77</v>
      </c>
      <c r="O53" s="44" t="s">
        <v>247</v>
      </c>
      <c r="P53" s="48" t="s">
        <v>145</v>
      </c>
      <c r="Q53" s="48" t="s">
        <v>174</v>
      </c>
      <c r="R53" s="44" t="s">
        <v>28</v>
      </c>
      <c r="S53" s="44"/>
      <c r="T53" s="44"/>
      <c r="U53" s="44"/>
      <c r="V53" s="44"/>
      <c r="W53" s="60">
        <v>44173</v>
      </c>
      <c r="X53" s="60">
        <v>44176</v>
      </c>
      <c r="Y53" s="48" t="s">
        <v>89</v>
      </c>
      <c r="Z53" s="60">
        <v>44180</v>
      </c>
      <c r="AA53" s="60">
        <v>44180</v>
      </c>
      <c r="AB53" s="48" t="s">
        <v>29</v>
      </c>
      <c r="AC53" s="51">
        <v>44180</v>
      </c>
      <c r="AD53" s="51">
        <v>44180</v>
      </c>
      <c r="AE53" s="52"/>
      <c r="AF53" s="53"/>
      <c r="AG53" s="48" t="s">
        <v>89</v>
      </c>
      <c r="AH53" s="48" t="s">
        <v>29</v>
      </c>
      <c r="AI53" s="48" t="s">
        <v>246</v>
      </c>
      <c r="AJ53" s="47" t="s">
        <v>104</v>
      </c>
      <c r="AK53" s="46"/>
      <c r="AL53" s="49" t="s">
        <v>69</v>
      </c>
      <c r="AM53" s="60">
        <v>44180</v>
      </c>
      <c r="AN53" s="60"/>
      <c r="AO53" s="48" t="s">
        <v>86</v>
      </c>
      <c r="AP53" s="60">
        <v>44180</v>
      </c>
      <c r="AQ53" s="60"/>
      <c r="AR53" s="48" t="s">
        <v>312</v>
      </c>
    </row>
    <row r="54" spans="1:44" hidden="1" x14ac:dyDescent="0.3">
      <c r="A54" s="44">
        <f>IF(E54 &lt;&gt; "",ROW(E54)-COUNTIF($E$3:E54,"")-2,"")</f>
        <v>52</v>
      </c>
      <c r="B54" s="188">
        <v>44312</v>
      </c>
      <c r="C54" s="188"/>
      <c r="D54" s="188"/>
      <c r="E54" s="48" t="s">
        <v>75</v>
      </c>
      <c r="F54" s="44" t="str">
        <f t="shared" si="3"/>
        <v>OMS</v>
      </c>
      <c r="G54" s="61" t="s">
        <v>257</v>
      </c>
      <c r="H54" s="103" t="s">
        <v>154</v>
      </c>
      <c r="I54" s="47" t="s">
        <v>708</v>
      </c>
      <c r="J54" s="48" t="s">
        <v>149</v>
      </c>
      <c r="K54" s="48" t="s">
        <v>75</v>
      </c>
      <c r="L54" s="111" t="s">
        <v>181</v>
      </c>
      <c r="M54" s="48" t="s">
        <v>88</v>
      </c>
      <c r="N54" s="48" t="s">
        <v>88</v>
      </c>
      <c r="O54" s="48" t="s">
        <v>247</v>
      </c>
      <c r="P54" s="48" t="s">
        <v>145</v>
      </c>
      <c r="Q54" s="48" t="s">
        <v>174</v>
      </c>
      <c r="R54" s="44" t="s">
        <v>28</v>
      </c>
      <c r="S54" s="44"/>
      <c r="T54" s="44"/>
      <c r="U54" s="44"/>
      <c r="V54" s="44"/>
      <c r="W54" s="60">
        <v>44173</v>
      </c>
      <c r="X54" s="60">
        <v>44176</v>
      </c>
      <c r="Y54" s="48" t="s">
        <v>89</v>
      </c>
      <c r="Z54" s="60">
        <v>44179</v>
      </c>
      <c r="AA54" s="60">
        <v>44181</v>
      </c>
      <c r="AB54" s="48" t="s">
        <v>29</v>
      </c>
      <c r="AC54" s="51">
        <v>44182</v>
      </c>
      <c r="AD54" s="51">
        <v>44182</v>
      </c>
      <c r="AE54" s="52"/>
      <c r="AF54" s="53"/>
      <c r="AG54" s="48" t="s">
        <v>89</v>
      </c>
      <c r="AH54" s="48" t="s">
        <v>29</v>
      </c>
      <c r="AI54" s="48" t="s">
        <v>333</v>
      </c>
      <c r="AJ54" s="47" t="s">
        <v>104</v>
      </c>
      <c r="AK54" s="46"/>
      <c r="AL54" s="49" t="s">
        <v>69</v>
      </c>
      <c r="AM54" s="60">
        <v>44180</v>
      </c>
      <c r="AN54" s="60"/>
      <c r="AO54" s="48" t="s">
        <v>86</v>
      </c>
      <c r="AP54" s="60">
        <v>44187</v>
      </c>
      <c r="AQ54" s="60"/>
      <c r="AR54" s="48" t="s">
        <v>334</v>
      </c>
    </row>
    <row r="55" spans="1:44" s="224" customFormat="1" x14ac:dyDescent="0.3">
      <c r="A55" s="213">
        <f>IF(E55 &lt;&gt; "",ROW(E55)-COUNTIF($E$3:E55,"")-2,"")</f>
        <v>53</v>
      </c>
      <c r="B55" s="214">
        <v>44316</v>
      </c>
      <c r="C55" s="214">
        <v>44330</v>
      </c>
      <c r="D55" s="214"/>
      <c r="E55" s="215" t="s">
        <v>75</v>
      </c>
      <c r="F55" s="213" t="str">
        <f t="shared" si="3"/>
        <v>PRM</v>
      </c>
      <c r="G55" s="216" t="s">
        <v>358</v>
      </c>
      <c r="H55" s="217" t="s">
        <v>359</v>
      </c>
      <c r="I55" s="218" t="s">
        <v>487</v>
      </c>
      <c r="J55" s="215" t="s">
        <v>149</v>
      </c>
      <c r="K55" s="215" t="s">
        <v>75</v>
      </c>
      <c r="L55" s="219" t="s">
        <v>181</v>
      </c>
      <c r="M55" s="213" t="s">
        <v>76</v>
      </c>
      <c r="N55" s="213" t="s">
        <v>77</v>
      </c>
      <c r="O55" s="213" t="s">
        <v>247</v>
      </c>
      <c r="P55" s="215" t="s">
        <v>145</v>
      </c>
      <c r="Q55" s="215" t="s">
        <v>174</v>
      </c>
      <c r="R55" s="213" t="s">
        <v>28</v>
      </c>
      <c r="S55" s="213"/>
      <c r="T55" s="213"/>
      <c r="U55" s="213"/>
      <c r="V55" s="213"/>
      <c r="W55" s="220">
        <v>44181</v>
      </c>
      <c r="X55" s="220">
        <v>44183</v>
      </c>
      <c r="Y55" s="215" t="s">
        <v>89</v>
      </c>
      <c r="Z55" s="220">
        <v>44186</v>
      </c>
      <c r="AA55" s="220">
        <v>44187</v>
      </c>
      <c r="AB55" s="215" t="s">
        <v>29</v>
      </c>
      <c r="AC55" s="221">
        <v>44187</v>
      </c>
      <c r="AD55" s="221">
        <v>44187</v>
      </c>
      <c r="AE55" s="213"/>
      <c r="AF55" s="222"/>
      <c r="AG55" s="215" t="s">
        <v>89</v>
      </c>
      <c r="AH55" s="215" t="s">
        <v>29</v>
      </c>
      <c r="AI55" s="215" t="s">
        <v>246</v>
      </c>
      <c r="AJ55" s="47" t="s">
        <v>104</v>
      </c>
      <c r="AK55" s="46"/>
      <c r="AL55" s="223" t="s">
        <v>69</v>
      </c>
      <c r="AM55" s="220">
        <v>44182</v>
      </c>
      <c r="AN55" s="220"/>
      <c r="AO55" s="215" t="s">
        <v>86</v>
      </c>
      <c r="AP55" s="220">
        <v>44182</v>
      </c>
      <c r="AQ55" s="220"/>
      <c r="AR55" s="215" t="s">
        <v>313</v>
      </c>
    </row>
    <row r="56" spans="1:44" x14ac:dyDescent="0.3">
      <c r="A56" s="44">
        <f>IF(E56 &lt;&gt; "",ROW(E56)-COUNTIF($E$3:E56,"")-2,"")</f>
        <v>54</v>
      </c>
      <c r="B56" s="188">
        <v>44316</v>
      </c>
      <c r="C56" s="188"/>
      <c r="D56" s="194"/>
      <c r="E56" s="48" t="s">
        <v>75</v>
      </c>
      <c r="F56" s="44" t="str">
        <f t="shared" si="3"/>
        <v>PRM</v>
      </c>
      <c r="G56" s="45" t="s">
        <v>660</v>
      </c>
      <c r="H56" s="104" t="s">
        <v>661</v>
      </c>
      <c r="I56" s="47"/>
      <c r="J56" s="48" t="s">
        <v>149</v>
      </c>
      <c r="K56" s="48" t="s">
        <v>75</v>
      </c>
      <c r="L56" s="111" t="s">
        <v>181</v>
      </c>
      <c r="M56" s="44" t="s">
        <v>76</v>
      </c>
      <c r="N56" s="44" t="s">
        <v>77</v>
      </c>
      <c r="O56" s="44" t="s">
        <v>247</v>
      </c>
      <c r="P56" s="48" t="s">
        <v>145</v>
      </c>
      <c r="Q56" s="48" t="s">
        <v>174</v>
      </c>
      <c r="R56" s="44" t="s">
        <v>28</v>
      </c>
      <c r="S56" s="44"/>
      <c r="T56" s="44"/>
      <c r="U56" s="44"/>
      <c r="V56" s="44"/>
      <c r="W56" s="60">
        <v>44221</v>
      </c>
      <c r="X56" s="60">
        <v>44258</v>
      </c>
      <c r="Y56" s="48" t="s">
        <v>90</v>
      </c>
      <c r="Z56" s="90">
        <v>44228</v>
      </c>
      <c r="AA56" s="90">
        <v>44259</v>
      </c>
      <c r="AB56" s="48" t="s">
        <v>29</v>
      </c>
      <c r="AC56" s="51">
        <v>44259</v>
      </c>
      <c r="AD56" s="51">
        <v>44259</v>
      </c>
      <c r="AE56" s="52"/>
      <c r="AF56" s="53"/>
      <c r="AG56" s="48" t="s">
        <v>90</v>
      </c>
      <c r="AH56" s="48" t="s">
        <v>29</v>
      </c>
      <c r="AI56" s="48" t="s">
        <v>246</v>
      </c>
      <c r="AJ56" s="47" t="s">
        <v>104</v>
      </c>
      <c r="AK56" s="46"/>
      <c r="AL56" s="49" t="s">
        <v>93</v>
      </c>
      <c r="AM56" s="60">
        <v>44228</v>
      </c>
      <c r="AN56" s="60"/>
      <c r="AO56" s="48" t="s">
        <v>251</v>
      </c>
      <c r="AP56" s="60">
        <v>44228</v>
      </c>
      <c r="AQ56" s="60"/>
      <c r="AR56" s="48" t="s">
        <v>313</v>
      </c>
    </row>
    <row r="57" spans="1:44" hidden="1" x14ac:dyDescent="0.3">
      <c r="A57" s="44">
        <f>IF(E57 &lt;&gt; "",ROW(E57)-COUNTIF($E$3:E57,"")-2,"")</f>
        <v>55</v>
      </c>
      <c r="B57" s="188">
        <v>44316</v>
      </c>
      <c r="C57" s="188"/>
      <c r="D57" s="188"/>
      <c r="E57" s="48" t="s">
        <v>75</v>
      </c>
      <c r="F57" s="44" t="str">
        <f t="shared" si="3"/>
        <v>OMS</v>
      </c>
      <c r="G57" s="45" t="s">
        <v>298</v>
      </c>
      <c r="H57" s="104" t="s">
        <v>662</v>
      </c>
      <c r="I57" s="47"/>
      <c r="J57" s="48" t="s">
        <v>149</v>
      </c>
      <c r="K57" s="48" t="s">
        <v>75</v>
      </c>
      <c r="L57" s="111" t="s">
        <v>181</v>
      </c>
      <c r="M57" s="48" t="s">
        <v>88</v>
      </c>
      <c r="N57" s="48" t="s">
        <v>88</v>
      </c>
      <c r="O57" s="48" t="s">
        <v>247</v>
      </c>
      <c r="P57" s="48" t="s">
        <v>145</v>
      </c>
      <c r="Q57" s="48" t="s">
        <v>174</v>
      </c>
      <c r="R57" s="44" t="s">
        <v>28</v>
      </c>
      <c r="S57" s="44"/>
      <c r="T57" s="44"/>
      <c r="U57" s="44"/>
      <c r="V57" s="44"/>
      <c r="W57" s="60">
        <v>44221</v>
      </c>
      <c r="X57" s="60">
        <v>44258</v>
      </c>
      <c r="Y57" s="48" t="s">
        <v>90</v>
      </c>
      <c r="Z57" s="90">
        <v>44228</v>
      </c>
      <c r="AA57" s="90">
        <v>44259</v>
      </c>
      <c r="AB57" s="48" t="s">
        <v>29</v>
      </c>
      <c r="AC57" s="90">
        <v>44259</v>
      </c>
      <c r="AD57" s="90">
        <v>44259</v>
      </c>
      <c r="AE57" s="52"/>
      <c r="AF57" s="53"/>
      <c r="AG57" s="48" t="s">
        <v>90</v>
      </c>
      <c r="AH57" s="48" t="s">
        <v>29</v>
      </c>
      <c r="AI57" s="48" t="s">
        <v>333</v>
      </c>
      <c r="AJ57" s="47" t="s">
        <v>104</v>
      </c>
      <c r="AK57" s="46"/>
      <c r="AL57" s="56" t="s">
        <v>93</v>
      </c>
      <c r="AM57" s="60">
        <v>44228</v>
      </c>
      <c r="AN57" s="60"/>
      <c r="AO57" s="48" t="s">
        <v>252</v>
      </c>
      <c r="AP57" s="60">
        <v>44228</v>
      </c>
      <c r="AQ57" s="60"/>
      <c r="AR57" s="48" t="s">
        <v>334</v>
      </c>
    </row>
    <row r="58" spans="1:44" x14ac:dyDescent="0.3">
      <c r="A58" s="44">
        <f>IF(E58 &lt;&gt; "",ROW(E58)-COUNTIF($E$3:E58,"")-2,"")</f>
        <v>56</v>
      </c>
      <c r="B58" s="188">
        <v>44312</v>
      </c>
      <c r="C58" s="188"/>
      <c r="D58" s="194"/>
      <c r="E58" s="48" t="s">
        <v>75</v>
      </c>
      <c r="F58" s="44" t="str">
        <f t="shared" si="3"/>
        <v>PRM</v>
      </c>
      <c r="G58" s="91" t="s">
        <v>397</v>
      </c>
      <c r="H58" s="103" t="s">
        <v>155</v>
      </c>
      <c r="I58" s="47" t="s">
        <v>488</v>
      </c>
      <c r="J58" s="48" t="s">
        <v>149</v>
      </c>
      <c r="K58" s="48" t="s">
        <v>75</v>
      </c>
      <c r="L58" s="111" t="s">
        <v>181</v>
      </c>
      <c r="M58" s="44" t="s">
        <v>76</v>
      </c>
      <c r="N58" s="44" t="s">
        <v>77</v>
      </c>
      <c r="O58" s="44" t="s">
        <v>247</v>
      </c>
      <c r="P58" s="48" t="s">
        <v>145</v>
      </c>
      <c r="Q58" s="48" t="s">
        <v>174</v>
      </c>
      <c r="R58" s="44" t="s">
        <v>28</v>
      </c>
      <c r="S58" s="44"/>
      <c r="T58" s="44"/>
      <c r="U58" s="44"/>
      <c r="V58" s="44"/>
      <c r="W58" s="60">
        <v>44179</v>
      </c>
      <c r="X58" s="90">
        <v>44188</v>
      </c>
      <c r="Y58" s="48" t="s">
        <v>89</v>
      </c>
      <c r="Z58" s="60">
        <v>44192</v>
      </c>
      <c r="AA58" s="60">
        <v>44200</v>
      </c>
      <c r="AB58" s="48" t="s">
        <v>29</v>
      </c>
      <c r="AC58" s="51">
        <v>44200</v>
      </c>
      <c r="AD58" s="51">
        <v>44200</v>
      </c>
      <c r="AE58" s="52"/>
      <c r="AF58" s="53"/>
      <c r="AG58" s="48" t="s">
        <v>89</v>
      </c>
      <c r="AH58" s="48" t="s">
        <v>29</v>
      </c>
      <c r="AI58" s="48" t="s">
        <v>246</v>
      </c>
      <c r="AJ58" s="47" t="s">
        <v>104</v>
      </c>
      <c r="AK58" s="46"/>
      <c r="AL58" s="49" t="s">
        <v>69</v>
      </c>
      <c r="AM58" s="60">
        <v>44186</v>
      </c>
      <c r="AN58" s="60"/>
      <c r="AO58" s="48" t="s">
        <v>86</v>
      </c>
      <c r="AP58" s="60">
        <v>44186</v>
      </c>
      <c r="AQ58" s="60"/>
      <c r="AR58" s="48" t="s">
        <v>394</v>
      </c>
    </row>
    <row r="59" spans="1:44" hidden="1" x14ac:dyDescent="0.3">
      <c r="A59" s="44">
        <f>IF(E59 &lt;&gt; "",ROW(E59)-COUNTIF($E$3:E59,"")-2,"")</f>
        <v>57</v>
      </c>
      <c r="B59" s="188">
        <v>44312</v>
      </c>
      <c r="C59" s="188"/>
      <c r="D59" s="188"/>
      <c r="E59" s="48" t="s">
        <v>75</v>
      </c>
      <c r="F59" s="44" t="str">
        <f t="shared" si="3"/>
        <v>OMS</v>
      </c>
      <c r="G59" s="61" t="s">
        <v>258</v>
      </c>
      <c r="H59" s="103" t="s">
        <v>344</v>
      </c>
      <c r="I59" s="47" t="s">
        <v>600</v>
      </c>
      <c r="J59" s="48" t="s">
        <v>149</v>
      </c>
      <c r="K59" s="48" t="s">
        <v>75</v>
      </c>
      <c r="L59" s="111" t="s">
        <v>181</v>
      </c>
      <c r="M59" s="48" t="s">
        <v>88</v>
      </c>
      <c r="N59" s="48" t="s">
        <v>88</v>
      </c>
      <c r="O59" s="48" t="s">
        <v>247</v>
      </c>
      <c r="P59" s="48" t="s">
        <v>145</v>
      </c>
      <c r="Q59" s="48" t="s">
        <v>174</v>
      </c>
      <c r="R59" s="44" t="s">
        <v>28</v>
      </c>
      <c r="S59" s="44"/>
      <c r="T59" s="44"/>
      <c r="U59" s="44"/>
      <c r="V59" s="44"/>
      <c r="W59" s="60">
        <v>44179</v>
      </c>
      <c r="X59" s="60">
        <v>44181</v>
      </c>
      <c r="Y59" s="48" t="s">
        <v>89</v>
      </c>
      <c r="Z59" s="60">
        <v>44188</v>
      </c>
      <c r="AA59" s="60">
        <v>44182</v>
      </c>
      <c r="AB59" s="48" t="s">
        <v>29</v>
      </c>
      <c r="AC59" s="51">
        <v>44182</v>
      </c>
      <c r="AD59" s="51">
        <v>44182</v>
      </c>
      <c r="AE59" s="52"/>
      <c r="AF59" s="53"/>
      <c r="AG59" s="48" t="s">
        <v>89</v>
      </c>
      <c r="AH59" s="48" t="s">
        <v>29</v>
      </c>
      <c r="AI59" s="48" t="s">
        <v>333</v>
      </c>
      <c r="AJ59" s="47" t="s">
        <v>104</v>
      </c>
      <c r="AK59" s="46"/>
      <c r="AL59" s="49" t="s">
        <v>69</v>
      </c>
      <c r="AM59" s="60">
        <v>44186</v>
      </c>
      <c r="AN59" s="60"/>
      <c r="AO59" s="48" t="s">
        <v>86</v>
      </c>
      <c r="AP59" s="60">
        <v>44193</v>
      </c>
      <c r="AQ59" s="60"/>
      <c r="AR59" s="48" t="s">
        <v>334</v>
      </c>
    </row>
    <row r="60" spans="1:44" x14ac:dyDescent="0.3">
      <c r="A60" s="44">
        <f>IF(E60 &lt;&gt; "",ROW(E60)-COUNTIF($E$3:E60,"")-2,"")</f>
        <v>58</v>
      </c>
      <c r="B60" s="188">
        <v>44316</v>
      </c>
      <c r="C60" s="188"/>
      <c r="D60" s="194"/>
      <c r="E60" s="44" t="s">
        <v>349</v>
      </c>
      <c r="F60" s="44" t="str">
        <f t="shared" si="3"/>
        <v>PRM</v>
      </c>
      <c r="G60" s="91" t="s">
        <v>391</v>
      </c>
      <c r="H60" s="103" t="s">
        <v>377</v>
      </c>
      <c r="I60" s="47"/>
      <c r="J60" s="44" t="s">
        <v>350</v>
      </c>
      <c r="K60" s="44" t="s">
        <v>351</v>
      </c>
      <c r="L60" s="111" t="s">
        <v>318</v>
      </c>
      <c r="M60" s="48" t="s">
        <v>149</v>
      </c>
      <c r="N60" s="48" t="s">
        <v>349</v>
      </c>
      <c r="O60" s="48" t="s">
        <v>352</v>
      </c>
      <c r="P60" s="48" t="s">
        <v>356</v>
      </c>
      <c r="Q60" s="48" t="s">
        <v>174</v>
      </c>
      <c r="R60" s="44" t="s">
        <v>28</v>
      </c>
      <c r="S60" s="44"/>
      <c r="T60" s="44"/>
      <c r="U60" s="44"/>
      <c r="V60" s="44"/>
      <c r="W60" s="60">
        <v>44189</v>
      </c>
      <c r="X60" s="90">
        <v>44187</v>
      </c>
      <c r="Y60" s="48" t="s">
        <v>355</v>
      </c>
      <c r="Z60" s="60">
        <v>44189</v>
      </c>
      <c r="AA60" s="60">
        <v>44188</v>
      </c>
      <c r="AB60" s="48" t="s">
        <v>354</v>
      </c>
      <c r="AC60" s="51">
        <v>44193</v>
      </c>
      <c r="AD60" s="51">
        <v>44193</v>
      </c>
      <c r="AE60" s="51">
        <v>44211</v>
      </c>
      <c r="AF60" s="53"/>
      <c r="AG60" s="48" t="s">
        <v>353</v>
      </c>
      <c r="AH60" s="48" t="s">
        <v>354</v>
      </c>
      <c r="AI60" s="48" t="s">
        <v>355</v>
      </c>
      <c r="AJ60" s="47" t="s">
        <v>70</v>
      </c>
      <c r="AK60" s="46"/>
      <c r="AL60" s="49" t="s">
        <v>69</v>
      </c>
      <c r="AM60" s="60">
        <v>44189</v>
      </c>
      <c r="AN60" s="60"/>
      <c r="AO60" s="48" t="s">
        <v>307</v>
      </c>
      <c r="AP60" s="60">
        <v>44189</v>
      </c>
      <c r="AQ60" s="60"/>
      <c r="AR60" s="48" t="s">
        <v>86</v>
      </c>
    </row>
    <row r="61" spans="1:44" x14ac:dyDescent="0.3">
      <c r="A61" s="44">
        <f>IF(E61 &lt;&gt; "",ROW(E61)-COUNTIF($E$3:E61,"")-2,"")</f>
        <v>59</v>
      </c>
      <c r="B61" s="190">
        <v>44316</v>
      </c>
      <c r="C61" s="190"/>
      <c r="D61" s="195"/>
      <c r="E61" s="44" t="s">
        <v>360</v>
      </c>
      <c r="F61" s="44" t="str">
        <f t="shared" si="3"/>
        <v>PRM</v>
      </c>
      <c r="G61" s="48" t="s">
        <v>381</v>
      </c>
      <c r="H61" s="104" t="s">
        <v>378</v>
      </c>
      <c r="I61" s="55" t="s">
        <v>489</v>
      </c>
      <c r="J61" s="48" t="s">
        <v>149</v>
      </c>
      <c r="K61" s="48" t="s">
        <v>360</v>
      </c>
      <c r="L61" s="111" t="s">
        <v>361</v>
      </c>
      <c r="M61" s="48" t="s">
        <v>362</v>
      </c>
      <c r="N61" s="48" t="s">
        <v>363</v>
      </c>
      <c r="O61" s="48" t="s">
        <v>364</v>
      </c>
      <c r="P61" s="48" t="s">
        <v>356</v>
      </c>
      <c r="Q61" s="48" t="s">
        <v>174</v>
      </c>
      <c r="R61" s="48" t="s">
        <v>28</v>
      </c>
      <c r="S61" s="44"/>
      <c r="T61" s="48"/>
      <c r="U61" s="48"/>
      <c r="V61" s="48"/>
      <c r="W61" s="90">
        <v>44193</v>
      </c>
      <c r="X61" s="90">
        <v>44193</v>
      </c>
      <c r="Y61" s="48" t="s">
        <v>365</v>
      </c>
      <c r="Z61" s="90">
        <v>44246</v>
      </c>
      <c r="AA61" s="90">
        <v>44194</v>
      </c>
      <c r="AB61" s="48" t="s">
        <v>366</v>
      </c>
      <c r="AC61" s="90">
        <v>44195</v>
      </c>
      <c r="AD61" s="90">
        <v>44195</v>
      </c>
      <c r="AE61" s="48"/>
      <c r="AF61" s="53"/>
      <c r="AG61" s="48" t="s">
        <v>365</v>
      </c>
      <c r="AH61" s="48" t="s">
        <v>366</v>
      </c>
      <c r="AI61" s="48" t="s">
        <v>367</v>
      </c>
      <c r="AJ61" s="94" t="s">
        <v>70</v>
      </c>
      <c r="AL61" s="56" t="s">
        <v>93</v>
      </c>
      <c r="AM61" s="90">
        <v>44260</v>
      </c>
      <c r="AN61" s="90"/>
      <c r="AO61" s="48" t="s">
        <v>368</v>
      </c>
      <c r="AP61" s="90">
        <v>44260</v>
      </c>
      <c r="AQ61" s="90"/>
      <c r="AR61" s="48"/>
    </row>
    <row r="62" spans="1:44" hidden="1" x14ac:dyDescent="0.3">
      <c r="A62" s="44">
        <f>IF(E62 &lt;&gt; "",ROW(E62)-COUNTIF($E$3:E62,"")-2,"")</f>
        <v>60</v>
      </c>
      <c r="B62" s="188">
        <v>44316</v>
      </c>
      <c r="C62" s="188"/>
      <c r="D62" s="188"/>
      <c r="E62" s="44" t="s">
        <v>75</v>
      </c>
      <c r="F62" s="44" t="str">
        <f t="shared" si="3"/>
        <v>OMS</v>
      </c>
      <c r="G62" s="91" t="s">
        <v>474</v>
      </c>
      <c r="H62" s="107" t="s">
        <v>473</v>
      </c>
      <c r="I62" s="47" t="s">
        <v>613</v>
      </c>
      <c r="J62" s="48" t="s">
        <v>88</v>
      </c>
      <c r="K62" s="48" t="s">
        <v>88</v>
      </c>
      <c r="L62" s="111" t="s">
        <v>513</v>
      </c>
      <c r="M62" s="48" t="s">
        <v>149</v>
      </c>
      <c r="N62" s="48" t="s">
        <v>75</v>
      </c>
      <c r="O62" s="48" t="s">
        <v>182</v>
      </c>
      <c r="P62" s="48" t="s">
        <v>145</v>
      </c>
      <c r="Q62" s="48" t="s">
        <v>174</v>
      </c>
      <c r="R62" s="44" t="s">
        <v>28</v>
      </c>
      <c r="S62" s="44"/>
      <c r="T62" s="44"/>
      <c r="U62" s="44"/>
      <c r="V62" s="44"/>
      <c r="W62" s="60">
        <v>44195</v>
      </c>
      <c r="X62" s="60">
        <v>44209</v>
      </c>
      <c r="Y62" s="48" t="s">
        <v>85</v>
      </c>
      <c r="Z62" s="90">
        <v>44202</v>
      </c>
      <c r="AA62" s="60">
        <v>44210</v>
      </c>
      <c r="AB62" s="48" t="s">
        <v>29</v>
      </c>
      <c r="AC62" s="51">
        <v>44214</v>
      </c>
      <c r="AD62" s="51">
        <v>44214</v>
      </c>
      <c r="AE62" s="52"/>
      <c r="AF62" s="53"/>
      <c r="AG62" s="48" t="s">
        <v>472</v>
      </c>
      <c r="AH62" s="48" t="s">
        <v>29</v>
      </c>
      <c r="AI62" s="48" t="s">
        <v>85</v>
      </c>
      <c r="AJ62" s="47" t="s">
        <v>70</v>
      </c>
      <c r="AK62" s="46"/>
      <c r="AL62" s="49" t="s">
        <v>69</v>
      </c>
      <c r="AM62" s="60">
        <v>43836</v>
      </c>
      <c r="AN62" s="60"/>
      <c r="AO62" s="48" t="s">
        <v>334</v>
      </c>
      <c r="AP62" s="60">
        <v>44202</v>
      </c>
      <c r="AQ62" s="60"/>
      <c r="AR62" s="48" t="s">
        <v>86</v>
      </c>
    </row>
    <row r="63" spans="1:44" hidden="1" x14ac:dyDescent="0.3">
      <c r="A63" s="44">
        <f>IF(E63 &lt;&gt; "",ROW(E63)-COUNTIF($E$3:E63,"")-2,"")</f>
        <v>61</v>
      </c>
      <c r="B63" s="188">
        <v>44316</v>
      </c>
      <c r="C63" s="188"/>
      <c r="D63" s="188"/>
      <c r="E63" s="44" t="s">
        <v>75</v>
      </c>
      <c r="F63" s="44" t="str">
        <f t="shared" si="3"/>
        <v>OMS</v>
      </c>
      <c r="G63" s="91" t="s">
        <v>594</v>
      </c>
      <c r="H63" s="103" t="s">
        <v>593</v>
      </c>
      <c r="I63" s="47" t="s">
        <v>591</v>
      </c>
      <c r="J63" s="48" t="s">
        <v>88</v>
      </c>
      <c r="K63" s="48" t="s">
        <v>88</v>
      </c>
      <c r="L63" s="111" t="s">
        <v>563</v>
      </c>
      <c r="M63" s="48" t="s">
        <v>149</v>
      </c>
      <c r="N63" s="48" t="s">
        <v>75</v>
      </c>
      <c r="O63" s="48" t="s">
        <v>182</v>
      </c>
      <c r="P63" s="48" t="s">
        <v>592</v>
      </c>
      <c r="Q63" s="44" t="s">
        <v>171</v>
      </c>
      <c r="R63" s="44" t="s">
        <v>28</v>
      </c>
      <c r="S63" s="44"/>
      <c r="T63" s="44"/>
      <c r="U63" s="44"/>
      <c r="V63" s="44"/>
      <c r="W63" s="60">
        <v>44223</v>
      </c>
      <c r="X63" s="60">
        <v>44223</v>
      </c>
      <c r="Y63" s="48" t="s">
        <v>85</v>
      </c>
      <c r="Z63" s="90">
        <v>44223</v>
      </c>
      <c r="AA63" s="60">
        <v>44224</v>
      </c>
      <c r="AB63" s="48" t="s">
        <v>29</v>
      </c>
      <c r="AC63" s="51">
        <v>44232</v>
      </c>
      <c r="AD63" s="51">
        <v>44232</v>
      </c>
      <c r="AE63" s="52"/>
      <c r="AF63" s="53"/>
      <c r="AG63" s="48" t="s">
        <v>333</v>
      </c>
      <c r="AH63" s="48" t="s">
        <v>29</v>
      </c>
      <c r="AI63" s="48" t="s">
        <v>85</v>
      </c>
      <c r="AJ63" s="47" t="s">
        <v>70</v>
      </c>
      <c r="AK63" s="46"/>
      <c r="AL63" s="56" t="s">
        <v>93</v>
      </c>
      <c r="AM63" s="60">
        <v>44230</v>
      </c>
      <c r="AN63" s="60"/>
      <c r="AO63" s="48" t="s">
        <v>334</v>
      </c>
      <c r="AP63" s="60">
        <v>44230</v>
      </c>
      <c r="AQ63" s="60"/>
      <c r="AR63" s="48" t="s">
        <v>86</v>
      </c>
    </row>
    <row r="64" spans="1:44" x14ac:dyDescent="0.3">
      <c r="A64" s="44">
        <f>IF(E64 &lt;&gt; "",ROW(E64)-COUNTIF($E$3:E64,"")-2,"")</f>
        <v>62</v>
      </c>
      <c r="B64" s="188">
        <v>44316</v>
      </c>
      <c r="C64" s="188"/>
      <c r="D64" s="194"/>
      <c r="E64" s="48" t="s">
        <v>75</v>
      </c>
      <c r="F64" s="44" t="str">
        <f t="shared" si="3"/>
        <v>PRM</v>
      </c>
      <c r="G64" s="61" t="s">
        <v>95</v>
      </c>
      <c r="H64" s="103" t="s">
        <v>437</v>
      </c>
      <c r="I64" s="47" t="s">
        <v>490</v>
      </c>
      <c r="J64" s="48" t="s">
        <v>149</v>
      </c>
      <c r="K64" s="48" t="s">
        <v>75</v>
      </c>
      <c r="L64" s="111" t="s">
        <v>181</v>
      </c>
      <c r="M64" s="44" t="s">
        <v>76</v>
      </c>
      <c r="N64" s="44" t="s">
        <v>77</v>
      </c>
      <c r="O64" s="44" t="s">
        <v>247</v>
      </c>
      <c r="P64" s="48" t="s">
        <v>145</v>
      </c>
      <c r="Q64" s="48" t="s">
        <v>174</v>
      </c>
      <c r="R64" s="44" t="s">
        <v>28</v>
      </c>
      <c r="S64" s="44"/>
      <c r="T64" s="44"/>
      <c r="U64" s="44"/>
      <c r="V64" s="44"/>
      <c r="W64" s="60">
        <v>44202</v>
      </c>
      <c r="X64" s="60">
        <v>44203</v>
      </c>
      <c r="Y64" s="48" t="s">
        <v>85</v>
      </c>
      <c r="Z64" s="90">
        <v>44209</v>
      </c>
      <c r="AA64" s="90">
        <v>44203</v>
      </c>
      <c r="AB64" s="48" t="s">
        <v>29</v>
      </c>
      <c r="AC64" s="51">
        <v>44203</v>
      </c>
      <c r="AD64" s="51">
        <v>44203</v>
      </c>
      <c r="AE64" s="52"/>
      <c r="AF64" s="53"/>
      <c r="AG64" s="48" t="s">
        <v>85</v>
      </c>
      <c r="AH64" s="48" t="s">
        <v>29</v>
      </c>
      <c r="AI64" s="48" t="s">
        <v>246</v>
      </c>
      <c r="AJ64" s="47" t="s">
        <v>70</v>
      </c>
      <c r="AK64" s="46"/>
      <c r="AL64" s="49" t="s">
        <v>69</v>
      </c>
      <c r="AM64" s="60">
        <v>44209</v>
      </c>
      <c r="AN64" s="60"/>
      <c r="AO64" s="48" t="s">
        <v>91</v>
      </c>
      <c r="AP64" s="60">
        <v>44199</v>
      </c>
      <c r="AQ64" s="60"/>
      <c r="AR64" s="48" t="s">
        <v>312</v>
      </c>
    </row>
    <row r="65" spans="1:44" x14ac:dyDescent="0.3">
      <c r="A65" s="44">
        <f>IF(E65 &lt;&gt; "",ROW(E65)-COUNTIF($E$3:E65,"")-2,"")</f>
        <v>63</v>
      </c>
      <c r="B65" s="188">
        <v>44316</v>
      </c>
      <c r="C65" s="188"/>
      <c r="D65" s="194"/>
      <c r="E65" s="44" t="s">
        <v>75</v>
      </c>
      <c r="F65" s="44" t="str">
        <f t="shared" si="3"/>
        <v>PRM</v>
      </c>
      <c r="G65" s="91" t="s">
        <v>719</v>
      </c>
      <c r="H65" s="103" t="s">
        <v>682</v>
      </c>
      <c r="I65" s="47"/>
      <c r="J65" s="44" t="s">
        <v>76</v>
      </c>
      <c r="K65" s="44" t="s">
        <v>77</v>
      </c>
      <c r="L65" s="111" t="s">
        <v>245</v>
      </c>
      <c r="M65" s="48" t="s">
        <v>149</v>
      </c>
      <c r="N65" s="48" t="s">
        <v>75</v>
      </c>
      <c r="O65" s="48" t="s">
        <v>182</v>
      </c>
      <c r="P65" s="48" t="s">
        <v>145</v>
      </c>
      <c r="Q65" s="48" t="s">
        <v>174</v>
      </c>
      <c r="R65" s="44" t="s">
        <v>28</v>
      </c>
      <c r="S65" s="44"/>
      <c r="T65" s="44"/>
      <c r="U65" s="44"/>
      <c r="V65" s="44"/>
      <c r="W65" s="60">
        <v>44250</v>
      </c>
      <c r="X65" s="60">
        <v>44262</v>
      </c>
      <c r="Y65" s="48" t="s">
        <v>85</v>
      </c>
      <c r="Z65" s="90">
        <v>44260</v>
      </c>
      <c r="AA65" s="60">
        <v>44264</v>
      </c>
      <c r="AB65" s="48" t="s">
        <v>29</v>
      </c>
      <c r="AC65" s="51">
        <v>44284</v>
      </c>
      <c r="AD65" s="51"/>
      <c r="AE65" s="52"/>
      <c r="AF65" s="53"/>
      <c r="AG65" s="48" t="s">
        <v>246</v>
      </c>
      <c r="AH65" s="48" t="s">
        <v>29</v>
      </c>
      <c r="AI65" s="48" t="s">
        <v>85</v>
      </c>
      <c r="AJ65" s="47" t="s">
        <v>70</v>
      </c>
      <c r="AK65" s="46"/>
      <c r="AL65" s="49" t="s">
        <v>595</v>
      </c>
      <c r="AM65" s="60">
        <v>44257</v>
      </c>
      <c r="AN65" s="60"/>
      <c r="AO65" s="48" t="s">
        <v>308</v>
      </c>
      <c r="AP65" s="60">
        <v>44257</v>
      </c>
      <c r="AQ65" s="60"/>
      <c r="AR65" s="48" t="s">
        <v>91</v>
      </c>
    </row>
    <row r="66" spans="1:44" x14ac:dyDescent="0.3">
      <c r="A66" s="44">
        <f>IF(E66 &lt;&gt; "",ROW(E66)-COUNTIF($E$3:E66,"")-2,"")</f>
        <v>64</v>
      </c>
      <c r="B66" s="190">
        <v>44316</v>
      </c>
      <c r="C66" s="190"/>
      <c r="D66" s="195"/>
      <c r="E66" s="44" t="s">
        <v>360</v>
      </c>
      <c r="F66" s="44" t="str">
        <f t="shared" si="3"/>
        <v>PRM</v>
      </c>
      <c r="G66" s="91" t="s">
        <v>382</v>
      </c>
      <c r="H66" s="104" t="s">
        <v>646</v>
      </c>
      <c r="I66" s="55" t="s">
        <v>694</v>
      </c>
      <c r="J66" s="48" t="s">
        <v>149</v>
      </c>
      <c r="K66" s="48" t="s">
        <v>75</v>
      </c>
      <c r="L66" s="111" t="s">
        <v>181</v>
      </c>
      <c r="M66" s="44" t="s">
        <v>76</v>
      </c>
      <c r="N66" s="44" t="s">
        <v>77</v>
      </c>
      <c r="O66" s="44" t="s">
        <v>183</v>
      </c>
      <c r="P66" s="48" t="s">
        <v>356</v>
      </c>
      <c r="Q66" s="48" t="s">
        <v>174</v>
      </c>
      <c r="R66" s="48" t="s">
        <v>28</v>
      </c>
      <c r="S66" s="44"/>
      <c r="T66" s="48"/>
      <c r="U66" s="48"/>
      <c r="V66" s="48"/>
      <c r="W66" s="90">
        <v>44253</v>
      </c>
      <c r="X66" s="90">
        <v>44250</v>
      </c>
      <c r="Y66" s="48" t="s">
        <v>89</v>
      </c>
      <c r="Z66" s="90">
        <v>44253</v>
      </c>
      <c r="AA66" s="90">
        <v>44250</v>
      </c>
      <c r="AB66" s="48" t="s">
        <v>366</v>
      </c>
      <c r="AC66" s="90">
        <v>44250</v>
      </c>
      <c r="AD66" s="90">
        <v>44250</v>
      </c>
      <c r="AE66" s="48"/>
      <c r="AF66" s="53"/>
      <c r="AG66" s="48" t="s">
        <v>367</v>
      </c>
      <c r="AH66" s="48" t="s">
        <v>366</v>
      </c>
      <c r="AI66" s="48" t="s">
        <v>365</v>
      </c>
      <c r="AJ66" s="94" t="s">
        <v>70</v>
      </c>
      <c r="AL66" s="56" t="s">
        <v>595</v>
      </c>
      <c r="AM66" s="90">
        <v>44260</v>
      </c>
      <c r="AN66" s="90"/>
      <c r="AO66" s="48"/>
      <c r="AP66" s="90">
        <v>44260</v>
      </c>
      <c r="AQ66" s="90"/>
      <c r="AR66" s="48" t="s">
        <v>86</v>
      </c>
    </row>
    <row r="67" spans="1:44" x14ac:dyDescent="0.3">
      <c r="A67" s="44">
        <f>IF(E67 &lt;&gt; "",ROW(E67)-COUNTIF($E$3:E67,"")-2,"")</f>
        <v>65</v>
      </c>
      <c r="B67" s="49" t="s">
        <v>731</v>
      </c>
      <c r="C67" s="49"/>
      <c r="D67" s="196"/>
      <c r="E67" s="44" t="s">
        <v>75</v>
      </c>
      <c r="F67" s="44" t="str">
        <f t="shared" si="3"/>
        <v>PRM</v>
      </c>
      <c r="G67" s="91" t="s">
        <v>666</v>
      </c>
      <c r="H67" s="103" t="s">
        <v>526</v>
      </c>
      <c r="I67" s="47" t="s">
        <v>673</v>
      </c>
      <c r="J67" s="48" t="s">
        <v>149</v>
      </c>
      <c r="K67" s="48" t="s">
        <v>75</v>
      </c>
      <c r="L67" s="111" t="s">
        <v>181</v>
      </c>
      <c r="M67" s="44" t="s">
        <v>76</v>
      </c>
      <c r="N67" s="44" t="s">
        <v>77</v>
      </c>
      <c r="O67" s="44" t="s">
        <v>183</v>
      </c>
      <c r="P67" s="48" t="s">
        <v>145</v>
      </c>
      <c r="Q67" s="48" t="s">
        <v>174</v>
      </c>
      <c r="R67" s="44" t="s">
        <v>28</v>
      </c>
      <c r="S67" s="44"/>
      <c r="T67" s="44"/>
      <c r="U67" s="44"/>
      <c r="V67" s="44"/>
      <c r="W67" s="60">
        <v>44216</v>
      </c>
      <c r="X67" s="60">
        <v>44215</v>
      </c>
      <c r="Y67" s="48" t="s">
        <v>85</v>
      </c>
      <c r="Z67" s="60">
        <v>44211</v>
      </c>
      <c r="AA67" s="60">
        <v>44216</v>
      </c>
      <c r="AB67" s="48" t="s">
        <v>29</v>
      </c>
      <c r="AC67" s="51">
        <v>44263</v>
      </c>
      <c r="AD67" s="51">
        <v>44263</v>
      </c>
      <c r="AE67" s="52"/>
      <c r="AF67" s="53"/>
      <c r="AG67" s="48" t="s">
        <v>246</v>
      </c>
      <c r="AH67" s="48" t="s">
        <v>29</v>
      </c>
      <c r="AI67" s="48" t="s">
        <v>85</v>
      </c>
      <c r="AJ67" s="47" t="s">
        <v>70</v>
      </c>
      <c r="AK67" s="46"/>
      <c r="AL67" s="49" t="s">
        <v>69</v>
      </c>
      <c r="AM67" s="60">
        <v>44223</v>
      </c>
      <c r="AN67" s="60"/>
      <c r="AO67" s="48" t="s">
        <v>309</v>
      </c>
      <c r="AP67" s="60">
        <v>44223</v>
      </c>
      <c r="AQ67" s="60"/>
      <c r="AR67" s="48" t="s">
        <v>86</v>
      </c>
    </row>
    <row r="68" spans="1:44" x14ac:dyDescent="0.3">
      <c r="A68" s="44">
        <f>IF(E68 &lt;&gt; "",ROW(E68)-COUNTIF($E$3:E68,"")-2,"")</f>
        <v>66</v>
      </c>
      <c r="B68" s="188">
        <v>44316</v>
      </c>
      <c r="C68" s="188"/>
      <c r="D68" s="194"/>
      <c r="E68" s="44" t="s">
        <v>75</v>
      </c>
      <c r="F68" s="44" t="str">
        <f t="shared" si="3"/>
        <v>PRM</v>
      </c>
      <c r="G68" s="91" t="s">
        <v>476</v>
      </c>
      <c r="H68" s="103" t="s">
        <v>471</v>
      </c>
      <c r="I68" s="47" t="s">
        <v>672</v>
      </c>
      <c r="J68" s="44" t="s">
        <v>74</v>
      </c>
      <c r="K68" s="44" t="s">
        <v>515</v>
      </c>
      <c r="L68" s="112" t="s">
        <v>516</v>
      </c>
      <c r="M68" s="44" t="s">
        <v>415</v>
      </c>
      <c r="N68" s="44" t="s">
        <v>416</v>
      </c>
      <c r="O68" s="48" t="s">
        <v>514</v>
      </c>
      <c r="P68" s="48" t="s">
        <v>356</v>
      </c>
      <c r="Q68" s="48" t="s">
        <v>174</v>
      </c>
      <c r="R68" s="44" t="s">
        <v>28</v>
      </c>
      <c r="S68" s="44"/>
      <c r="T68" s="44"/>
      <c r="U68" s="44"/>
      <c r="V68" s="44"/>
      <c r="W68" s="90">
        <v>44204</v>
      </c>
      <c r="X68" s="90">
        <v>44207</v>
      </c>
      <c r="Y68" s="48" t="s">
        <v>419</v>
      </c>
      <c r="Z68" s="90">
        <v>44210</v>
      </c>
      <c r="AA68" s="90">
        <v>44207</v>
      </c>
      <c r="AB68" s="48" t="s">
        <v>418</v>
      </c>
      <c r="AC68" s="51">
        <v>44209</v>
      </c>
      <c r="AD68" s="51">
        <v>44209</v>
      </c>
      <c r="AE68" s="51">
        <v>44209</v>
      </c>
      <c r="AF68" s="53"/>
      <c r="AG68" s="48" t="s">
        <v>417</v>
      </c>
      <c r="AH68" s="48" t="s">
        <v>418</v>
      </c>
      <c r="AI68" s="48" t="s">
        <v>419</v>
      </c>
      <c r="AJ68" s="47" t="s">
        <v>70</v>
      </c>
      <c r="AK68" s="46"/>
      <c r="AL68" s="49" t="s">
        <v>69</v>
      </c>
      <c r="AM68" s="90">
        <v>44211</v>
      </c>
      <c r="AN68" s="90"/>
      <c r="AO68" s="48" t="s">
        <v>308</v>
      </c>
      <c r="AP68" s="90">
        <v>44211</v>
      </c>
      <c r="AQ68" s="90"/>
      <c r="AR68" s="48" t="s">
        <v>86</v>
      </c>
    </row>
    <row r="69" spans="1:44" x14ac:dyDescent="0.3">
      <c r="A69" s="44">
        <f>IF(E69 &lt;&gt; "",ROW(E69)-COUNTIF($E$3:E69,"")-2,"")</f>
        <v>67</v>
      </c>
      <c r="B69" s="188">
        <v>44316</v>
      </c>
      <c r="C69" s="188"/>
      <c r="D69" s="194"/>
      <c r="E69" s="44" t="s">
        <v>75</v>
      </c>
      <c r="F69" s="44" t="str">
        <f t="shared" si="3"/>
        <v>PRM</v>
      </c>
      <c r="G69" s="91" t="s">
        <v>568</v>
      </c>
      <c r="H69" s="103" t="s">
        <v>539</v>
      </c>
      <c r="I69" s="47" t="s">
        <v>538</v>
      </c>
      <c r="J69" s="44" t="s">
        <v>76</v>
      </c>
      <c r="K69" s="44" t="s">
        <v>77</v>
      </c>
      <c r="L69" s="111" t="s">
        <v>318</v>
      </c>
      <c r="M69" s="48" t="s">
        <v>149</v>
      </c>
      <c r="N69" s="48" t="s">
        <v>75</v>
      </c>
      <c r="O69" s="48" t="s">
        <v>182</v>
      </c>
      <c r="P69" s="48" t="s">
        <v>145</v>
      </c>
      <c r="Q69" s="48" t="s">
        <v>174</v>
      </c>
      <c r="R69" s="44" t="s">
        <v>28</v>
      </c>
      <c r="S69" s="44"/>
      <c r="T69" s="44"/>
      <c r="U69" s="44"/>
      <c r="V69" s="44"/>
      <c r="W69" s="60">
        <v>44214</v>
      </c>
      <c r="X69" s="90">
        <v>44215</v>
      </c>
      <c r="Y69" s="48" t="s">
        <v>85</v>
      </c>
      <c r="Z69" s="60">
        <f>W69</f>
        <v>44214</v>
      </c>
      <c r="AA69" s="60">
        <v>44216</v>
      </c>
      <c r="AB69" s="48" t="s">
        <v>29</v>
      </c>
      <c r="AC69" s="51">
        <v>44237</v>
      </c>
      <c r="AD69" s="51">
        <v>44237</v>
      </c>
      <c r="AE69" s="52"/>
      <c r="AF69" s="53"/>
      <c r="AG69" s="48" t="s">
        <v>246</v>
      </c>
      <c r="AH69" s="48" t="s">
        <v>29</v>
      </c>
      <c r="AI69" s="48" t="s">
        <v>85</v>
      </c>
      <c r="AJ69" s="47" t="s">
        <v>70</v>
      </c>
      <c r="AK69" s="46"/>
      <c r="AL69" s="49" t="s">
        <v>69</v>
      </c>
      <c r="AM69" s="60">
        <v>44221</v>
      </c>
      <c r="AN69" s="60"/>
      <c r="AO69" s="48" t="s">
        <v>310</v>
      </c>
      <c r="AP69" s="60">
        <v>44221</v>
      </c>
      <c r="AQ69" s="60"/>
      <c r="AR69" s="48" t="s">
        <v>91</v>
      </c>
    </row>
    <row r="70" spans="1:44" x14ac:dyDescent="0.3">
      <c r="A70" s="44">
        <f>IF(E70 &lt;&gt; "",ROW(E70)-COUNTIF($E$3:E70,"")-2,"")</f>
        <v>68</v>
      </c>
      <c r="B70" s="188">
        <v>44316</v>
      </c>
      <c r="C70" s="188"/>
      <c r="D70" s="194"/>
      <c r="E70" s="48" t="s">
        <v>75</v>
      </c>
      <c r="F70" s="44" t="str">
        <f t="shared" si="3"/>
        <v>PRM</v>
      </c>
      <c r="G70" s="91" t="s">
        <v>695</v>
      </c>
      <c r="H70" s="103" t="s">
        <v>696</v>
      </c>
      <c r="I70" s="47" t="s">
        <v>697</v>
      </c>
      <c r="J70" s="48" t="s">
        <v>149</v>
      </c>
      <c r="K70" s="48" t="s">
        <v>53</v>
      </c>
      <c r="L70" s="111" t="s">
        <v>285</v>
      </c>
      <c r="M70" s="44" t="s">
        <v>420</v>
      </c>
      <c r="N70" s="44" t="s">
        <v>269</v>
      </c>
      <c r="O70" s="44" t="s">
        <v>287</v>
      </c>
      <c r="P70" s="48" t="s">
        <v>356</v>
      </c>
      <c r="Q70" s="48" t="s">
        <v>174</v>
      </c>
      <c r="R70" s="44" t="s">
        <v>28</v>
      </c>
      <c r="S70" s="44"/>
      <c r="T70" s="44"/>
      <c r="U70" s="44"/>
      <c r="V70" s="44"/>
      <c r="W70" s="60">
        <v>44253</v>
      </c>
      <c r="X70" s="90">
        <v>44267</v>
      </c>
      <c r="Y70" s="48" t="s">
        <v>421</v>
      </c>
      <c r="Z70" s="90">
        <v>44260</v>
      </c>
      <c r="AA70" s="60">
        <v>44267</v>
      </c>
      <c r="AB70" s="48" t="s">
        <v>114</v>
      </c>
      <c r="AC70" s="90">
        <v>44267</v>
      </c>
      <c r="AD70" s="90">
        <v>44267</v>
      </c>
      <c r="AE70" s="52"/>
      <c r="AF70" s="53"/>
      <c r="AG70" s="48" t="s">
        <v>421</v>
      </c>
      <c r="AH70" s="48" t="s">
        <v>114</v>
      </c>
      <c r="AI70" s="48" t="s">
        <v>422</v>
      </c>
      <c r="AJ70" s="47" t="s">
        <v>70</v>
      </c>
      <c r="AK70" s="46"/>
      <c r="AL70" s="49" t="s">
        <v>595</v>
      </c>
      <c r="AM70" s="60">
        <v>44260</v>
      </c>
      <c r="AN70" s="60"/>
      <c r="AO70" s="48" t="s">
        <v>423</v>
      </c>
      <c r="AP70" s="60">
        <v>44260</v>
      </c>
      <c r="AQ70" s="60"/>
      <c r="AR70" s="48"/>
    </row>
    <row r="71" spans="1:44" x14ac:dyDescent="0.3">
      <c r="A71" s="44">
        <f>IF(E71 &lt;&gt; "",ROW(E71)-COUNTIF($E$3:E71,"")-2,"")</f>
        <v>69</v>
      </c>
      <c r="B71" s="188">
        <v>44316</v>
      </c>
      <c r="C71" s="188"/>
      <c r="D71" s="194"/>
      <c r="E71" s="44" t="s">
        <v>75</v>
      </c>
      <c r="F71" s="44" t="str">
        <f t="shared" ref="F71:F101" si="4">IF(LEFT(J71,3)="ERP",M71,J71)</f>
        <v>PRM</v>
      </c>
      <c r="G71" s="91" t="s">
        <v>542</v>
      </c>
      <c r="H71" s="103" t="s">
        <v>540</v>
      </c>
      <c r="I71" s="47" t="s">
        <v>584</v>
      </c>
      <c r="J71" s="44" t="s">
        <v>76</v>
      </c>
      <c r="K71" s="44" t="s">
        <v>77</v>
      </c>
      <c r="L71" s="111" t="s">
        <v>318</v>
      </c>
      <c r="M71" s="48" t="s">
        <v>149</v>
      </c>
      <c r="N71" s="48" t="s">
        <v>75</v>
      </c>
      <c r="O71" s="48" t="s">
        <v>182</v>
      </c>
      <c r="P71" s="48" t="s">
        <v>145</v>
      </c>
      <c r="Q71" s="48" t="s">
        <v>174</v>
      </c>
      <c r="R71" s="44" t="s">
        <v>28</v>
      </c>
      <c r="S71" s="44"/>
      <c r="T71" s="44"/>
      <c r="U71" s="44"/>
      <c r="V71" s="44"/>
      <c r="W71" s="60">
        <v>44211</v>
      </c>
      <c r="X71" s="90">
        <v>44215</v>
      </c>
      <c r="Y71" s="48" t="s">
        <v>89</v>
      </c>
      <c r="Z71" s="90">
        <v>44218</v>
      </c>
      <c r="AA71" s="60">
        <v>44217</v>
      </c>
      <c r="AB71" s="48" t="s">
        <v>29</v>
      </c>
      <c r="AC71" s="51">
        <v>44244</v>
      </c>
      <c r="AD71" s="51">
        <v>44244</v>
      </c>
      <c r="AE71" s="52"/>
      <c r="AF71" s="53"/>
      <c r="AG71" s="48" t="s">
        <v>246</v>
      </c>
      <c r="AH71" s="48" t="s">
        <v>29</v>
      </c>
      <c r="AI71" s="48" t="s">
        <v>89</v>
      </c>
      <c r="AJ71" s="47" t="s">
        <v>70</v>
      </c>
      <c r="AK71" s="46"/>
      <c r="AL71" s="49" t="s">
        <v>69</v>
      </c>
      <c r="AM71" s="60">
        <v>44218</v>
      </c>
      <c r="AN71" s="60"/>
      <c r="AO71" s="48" t="s">
        <v>307</v>
      </c>
      <c r="AP71" s="60">
        <v>44218</v>
      </c>
      <c r="AQ71" s="60"/>
      <c r="AR71" s="48" t="s">
        <v>91</v>
      </c>
    </row>
    <row r="72" spans="1:44" x14ac:dyDescent="0.3">
      <c r="A72" s="44">
        <f>IF(E72 &lt;&gt; "",ROW(E72)-COUNTIF($E$3:E72,"")-2,"")</f>
        <v>70</v>
      </c>
      <c r="B72" s="188">
        <v>44316</v>
      </c>
      <c r="C72" s="188"/>
      <c r="D72" s="194"/>
      <c r="E72" s="44" t="s">
        <v>75</v>
      </c>
      <c r="F72" s="44" t="str">
        <f t="shared" si="4"/>
        <v>PRM</v>
      </c>
      <c r="G72" s="91" t="s">
        <v>569</v>
      </c>
      <c r="H72" s="104" t="s">
        <v>430</v>
      </c>
      <c r="I72" s="47" t="s">
        <v>491</v>
      </c>
      <c r="J72" s="48" t="s">
        <v>149</v>
      </c>
      <c r="K72" s="48" t="s">
        <v>75</v>
      </c>
      <c r="L72" s="111" t="s">
        <v>181</v>
      </c>
      <c r="M72" s="44" t="s">
        <v>76</v>
      </c>
      <c r="N72" s="44" t="s">
        <v>77</v>
      </c>
      <c r="O72" s="44" t="s">
        <v>247</v>
      </c>
      <c r="P72" s="48" t="s">
        <v>145</v>
      </c>
      <c r="Q72" s="48" t="s">
        <v>174</v>
      </c>
      <c r="R72" s="44" t="s">
        <v>28</v>
      </c>
      <c r="S72" s="44"/>
      <c r="T72" s="44"/>
      <c r="U72" s="44"/>
      <c r="V72" s="44"/>
      <c r="W72" s="60">
        <v>44200</v>
      </c>
      <c r="X72" s="90">
        <v>44202</v>
      </c>
      <c r="Y72" s="48" t="s">
        <v>89</v>
      </c>
      <c r="Z72" s="90">
        <v>44207</v>
      </c>
      <c r="AA72" s="60">
        <v>44202</v>
      </c>
      <c r="AB72" s="48" t="s">
        <v>29</v>
      </c>
      <c r="AC72" s="90">
        <v>44202</v>
      </c>
      <c r="AD72" s="90">
        <v>44202</v>
      </c>
      <c r="AE72" s="52"/>
      <c r="AF72" s="53"/>
      <c r="AG72" s="48" t="s">
        <v>300</v>
      </c>
      <c r="AH72" s="48" t="s">
        <v>29</v>
      </c>
      <c r="AI72" s="48" t="s">
        <v>246</v>
      </c>
      <c r="AJ72" s="47" t="s">
        <v>70</v>
      </c>
      <c r="AK72" s="46"/>
      <c r="AL72" s="49" t="s">
        <v>69</v>
      </c>
      <c r="AM72" s="60">
        <v>44207</v>
      </c>
      <c r="AN72" s="60"/>
      <c r="AO72" s="48" t="s">
        <v>301</v>
      </c>
      <c r="AP72" s="60">
        <v>44207</v>
      </c>
      <c r="AQ72" s="60"/>
      <c r="AR72" s="48" t="s">
        <v>328</v>
      </c>
    </row>
    <row r="73" spans="1:44" hidden="1" x14ac:dyDescent="0.3">
      <c r="A73" s="44">
        <f>IF(E73 &lt;&gt; "",ROW(E73)-COUNTIF($E$3:E73,"")-2,"")</f>
        <v>71</v>
      </c>
      <c r="B73" s="188">
        <v>44316</v>
      </c>
      <c r="C73" s="188"/>
      <c r="D73" s="188"/>
      <c r="E73" s="44" t="s">
        <v>75</v>
      </c>
      <c r="F73" s="44" t="str">
        <f t="shared" si="4"/>
        <v>OMS</v>
      </c>
      <c r="G73" s="91" t="s">
        <v>315</v>
      </c>
      <c r="H73" s="104" t="s">
        <v>299</v>
      </c>
      <c r="I73" s="47" t="s">
        <v>601</v>
      </c>
      <c r="J73" s="48" t="s">
        <v>149</v>
      </c>
      <c r="K73" s="48" t="s">
        <v>75</v>
      </c>
      <c r="L73" s="111" t="s">
        <v>181</v>
      </c>
      <c r="M73" s="48" t="s">
        <v>88</v>
      </c>
      <c r="N73" s="48" t="s">
        <v>88</v>
      </c>
      <c r="O73" s="48" t="s">
        <v>247</v>
      </c>
      <c r="P73" s="48" t="s">
        <v>145</v>
      </c>
      <c r="Q73" s="48" t="s">
        <v>174</v>
      </c>
      <c r="R73" s="44" t="s">
        <v>28</v>
      </c>
      <c r="S73" s="44"/>
      <c r="T73" s="44"/>
      <c r="U73" s="44"/>
      <c r="V73" s="44"/>
      <c r="W73" s="60">
        <v>44200</v>
      </c>
      <c r="X73" s="90">
        <v>44203</v>
      </c>
      <c r="Y73" s="48" t="s">
        <v>89</v>
      </c>
      <c r="Z73" s="90">
        <v>44207</v>
      </c>
      <c r="AA73" s="60">
        <v>44204</v>
      </c>
      <c r="AB73" s="48" t="s">
        <v>29</v>
      </c>
      <c r="AC73" s="51">
        <v>44204</v>
      </c>
      <c r="AD73" s="51">
        <v>44204</v>
      </c>
      <c r="AE73" s="52"/>
      <c r="AF73" s="53"/>
      <c r="AG73" s="48" t="s">
        <v>89</v>
      </c>
      <c r="AH73" s="48" t="s">
        <v>29</v>
      </c>
      <c r="AI73" s="48" t="s">
        <v>88</v>
      </c>
      <c r="AJ73" s="47" t="s">
        <v>70</v>
      </c>
      <c r="AK73" s="46"/>
      <c r="AL73" s="49" t="s">
        <v>69</v>
      </c>
      <c r="AM73" s="60">
        <v>44207</v>
      </c>
      <c r="AN73" s="60"/>
      <c r="AO73" s="48" t="s">
        <v>301</v>
      </c>
      <c r="AP73" s="60">
        <v>44207</v>
      </c>
      <c r="AQ73" s="60"/>
      <c r="AR73" s="48" t="s">
        <v>334</v>
      </c>
    </row>
    <row r="74" spans="1:44" x14ac:dyDescent="0.3">
      <c r="A74" s="44">
        <f>IF(E74 &lt;&gt; "",ROW(E74)-COUNTIF($E$3:E74,"")-2,"")</f>
        <v>72</v>
      </c>
      <c r="B74" s="188">
        <v>44316</v>
      </c>
      <c r="C74" s="188"/>
      <c r="D74" s="194"/>
      <c r="E74" s="44" t="s">
        <v>75</v>
      </c>
      <c r="F74" s="44" t="str">
        <f t="shared" si="4"/>
        <v>PRM</v>
      </c>
      <c r="G74" s="61" t="s">
        <v>316</v>
      </c>
      <c r="H74" s="104" t="s">
        <v>625</v>
      </c>
      <c r="I74" s="47" t="s">
        <v>585</v>
      </c>
      <c r="J74" s="48" t="s">
        <v>149</v>
      </c>
      <c r="K74" s="48" t="s">
        <v>75</v>
      </c>
      <c r="L74" s="111" t="s">
        <v>181</v>
      </c>
      <c r="M74" s="44" t="s">
        <v>76</v>
      </c>
      <c r="N74" s="44" t="s">
        <v>77</v>
      </c>
      <c r="O74" s="48" t="s">
        <v>183</v>
      </c>
      <c r="P74" s="48" t="s">
        <v>145</v>
      </c>
      <c r="Q74" s="48" t="s">
        <v>174</v>
      </c>
      <c r="R74" s="44" t="s">
        <v>28</v>
      </c>
      <c r="S74" s="44"/>
      <c r="T74" s="44"/>
      <c r="U74" s="44"/>
      <c r="V74" s="44"/>
      <c r="W74" s="60">
        <v>44221</v>
      </c>
      <c r="X74" s="60">
        <v>44223</v>
      </c>
      <c r="Y74" s="48" t="s">
        <v>89</v>
      </c>
      <c r="Z74" s="90">
        <v>44228</v>
      </c>
      <c r="AA74" s="90">
        <v>44224</v>
      </c>
      <c r="AB74" s="48" t="s">
        <v>29</v>
      </c>
      <c r="AC74" s="51">
        <v>44231</v>
      </c>
      <c r="AD74" s="51">
        <v>44231</v>
      </c>
      <c r="AE74" s="52"/>
      <c r="AF74" s="53"/>
      <c r="AG74" s="48" t="s">
        <v>246</v>
      </c>
      <c r="AH74" s="48" t="s">
        <v>29</v>
      </c>
      <c r="AI74" s="48" t="s">
        <v>89</v>
      </c>
      <c r="AJ74" s="47" t="s">
        <v>70</v>
      </c>
      <c r="AK74" s="46"/>
      <c r="AL74" s="49" t="s">
        <v>69</v>
      </c>
      <c r="AM74" s="60">
        <v>44228</v>
      </c>
      <c r="AN74" s="60"/>
      <c r="AO74" s="48" t="s">
        <v>309</v>
      </c>
      <c r="AP74" s="60">
        <v>44228</v>
      </c>
      <c r="AQ74" s="60"/>
      <c r="AR74" s="48" t="s">
        <v>91</v>
      </c>
    </row>
    <row r="75" spans="1:44" x14ac:dyDescent="0.3">
      <c r="A75" s="44">
        <f>IF(E75 &lt;&gt; "",ROW(E75)-COUNTIF($E$3:E75,"")-2,"")</f>
        <v>73</v>
      </c>
      <c r="B75" s="188">
        <v>44316</v>
      </c>
      <c r="C75" s="188"/>
      <c r="D75" s="194"/>
      <c r="E75" s="44" t="s">
        <v>75</v>
      </c>
      <c r="F75" s="44" t="str">
        <f t="shared" si="4"/>
        <v>PRM</v>
      </c>
      <c r="G75" s="91" t="s">
        <v>715</v>
      </c>
      <c r="H75" s="104" t="s">
        <v>693</v>
      </c>
      <c r="I75" s="47" t="s">
        <v>520</v>
      </c>
      <c r="J75" s="44" t="s">
        <v>76</v>
      </c>
      <c r="K75" s="44" t="s">
        <v>77</v>
      </c>
      <c r="L75" s="111" t="s">
        <v>318</v>
      </c>
      <c r="M75" s="48" t="s">
        <v>149</v>
      </c>
      <c r="N75" s="48" t="s">
        <v>75</v>
      </c>
      <c r="O75" s="48" t="s">
        <v>182</v>
      </c>
      <c r="P75" s="48" t="s">
        <v>145</v>
      </c>
      <c r="Q75" s="48" t="s">
        <v>174</v>
      </c>
      <c r="R75" s="44" t="s">
        <v>28</v>
      </c>
      <c r="S75" s="44"/>
      <c r="T75" s="44"/>
      <c r="U75" s="44"/>
      <c r="V75" s="44"/>
      <c r="W75" s="60">
        <v>44251</v>
      </c>
      <c r="X75" s="60">
        <v>44265</v>
      </c>
      <c r="Y75" s="48" t="s">
        <v>89</v>
      </c>
      <c r="Z75" s="60">
        <f t="shared" ref="Z75:Z91" si="5">W75</f>
        <v>44251</v>
      </c>
      <c r="AA75" s="60">
        <v>44267</v>
      </c>
      <c r="AB75" s="48" t="s">
        <v>29</v>
      </c>
      <c r="AC75" s="51"/>
      <c r="AD75" s="51"/>
      <c r="AE75" s="52"/>
      <c r="AF75" s="53"/>
      <c r="AG75" s="48" t="s">
        <v>246</v>
      </c>
      <c r="AH75" s="48" t="s">
        <v>29</v>
      </c>
      <c r="AI75" s="48" t="s">
        <v>89</v>
      </c>
      <c r="AJ75" s="47" t="s">
        <v>70</v>
      </c>
      <c r="AK75" s="46"/>
      <c r="AL75" s="49" t="s">
        <v>595</v>
      </c>
      <c r="AM75" s="60">
        <v>44258</v>
      </c>
      <c r="AN75" s="60"/>
      <c r="AO75" s="48" t="s">
        <v>309</v>
      </c>
      <c r="AP75" s="60">
        <v>44258</v>
      </c>
      <c r="AQ75" s="60"/>
      <c r="AR75" s="48" t="s">
        <v>91</v>
      </c>
    </row>
    <row r="76" spans="1:44" x14ac:dyDescent="0.3">
      <c r="A76" s="44">
        <f>IF(E76 &lt;&gt; "",ROW(E76)-COUNTIF($E$3:E76,"")-2,"")</f>
        <v>74</v>
      </c>
      <c r="B76" s="188">
        <v>44316</v>
      </c>
      <c r="C76" s="188"/>
      <c r="D76" s="194"/>
      <c r="E76" s="44" t="s">
        <v>75</v>
      </c>
      <c r="F76" s="44" t="str">
        <f t="shared" si="4"/>
        <v>PRM</v>
      </c>
      <c r="G76" s="91" t="s">
        <v>664</v>
      </c>
      <c r="H76" s="104" t="s">
        <v>703</v>
      </c>
      <c r="I76" s="47" t="s">
        <v>702</v>
      </c>
      <c r="J76" s="48" t="s">
        <v>149</v>
      </c>
      <c r="K76" s="48" t="s">
        <v>75</v>
      </c>
      <c r="L76" s="111" t="s">
        <v>181</v>
      </c>
      <c r="M76" s="44" t="s">
        <v>76</v>
      </c>
      <c r="N76" s="44" t="s">
        <v>77</v>
      </c>
      <c r="O76" s="48" t="s">
        <v>183</v>
      </c>
      <c r="P76" s="48" t="s">
        <v>145</v>
      </c>
      <c r="Q76" s="48" t="s">
        <v>174</v>
      </c>
      <c r="R76" s="44" t="s">
        <v>28</v>
      </c>
      <c r="S76" s="44"/>
      <c r="T76" s="44"/>
      <c r="U76" s="44"/>
      <c r="V76" s="44"/>
      <c r="W76" s="60">
        <v>44253</v>
      </c>
      <c r="X76" s="60">
        <v>44259</v>
      </c>
      <c r="Y76" s="48" t="s">
        <v>85</v>
      </c>
      <c r="Z76" s="60">
        <f t="shared" si="5"/>
        <v>44253</v>
      </c>
      <c r="AA76" s="60">
        <v>44263</v>
      </c>
      <c r="AB76" s="48" t="s">
        <v>29</v>
      </c>
      <c r="AC76" s="51">
        <v>44273</v>
      </c>
      <c r="AD76" s="51"/>
      <c r="AE76" s="52"/>
      <c r="AF76" s="53"/>
      <c r="AG76" s="48" t="s">
        <v>246</v>
      </c>
      <c r="AH76" s="48" t="s">
        <v>29</v>
      </c>
      <c r="AI76" s="48" t="s">
        <v>85</v>
      </c>
      <c r="AJ76" s="47" t="s">
        <v>70</v>
      </c>
      <c r="AK76" s="46"/>
      <c r="AL76" s="49" t="s">
        <v>595</v>
      </c>
      <c r="AM76" s="60">
        <v>44263</v>
      </c>
      <c r="AN76" s="60"/>
      <c r="AO76" s="48" t="s">
        <v>311</v>
      </c>
      <c r="AP76" s="60">
        <v>44263</v>
      </c>
      <c r="AQ76" s="60"/>
      <c r="AR76" s="48" t="s">
        <v>91</v>
      </c>
    </row>
    <row r="77" spans="1:44" x14ac:dyDescent="0.3">
      <c r="A77" s="44">
        <f>IF(E77 &lt;&gt; "",ROW(E77)-COUNTIF($E$3:E77,"")-2,"")</f>
        <v>75</v>
      </c>
      <c r="B77" s="188">
        <v>44316</v>
      </c>
      <c r="C77" s="188"/>
      <c r="D77" s="194"/>
      <c r="E77" s="48" t="s">
        <v>75</v>
      </c>
      <c r="F77" s="44" t="str">
        <f t="shared" si="4"/>
        <v>PRM</v>
      </c>
      <c r="G77" s="91" t="s">
        <v>691</v>
      </c>
      <c r="H77" s="123" t="s">
        <v>684</v>
      </c>
      <c r="I77" s="47" t="s">
        <v>520</v>
      </c>
      <c r="J77" s="48" t="s">
        <v>420</v>
      </c>
      <c r="K77" s="48" t="s">
        <v>269</v>
      </c>
      <c r="L77" s="48" t="s">
        <v>287</v>
      </c>
      <c r="M77" s="48" t="s">
        <v>149</v>
      </c>
      <c r="N77" s="48" t="s">
        <v>53</v>
      </c>
      <c r="O77" s="111" t="s">
        <v>285</v>
      </c>
      <c r="P77" s="48" t="s">
        <v>145</v>
      </c>
      <c r="Q77" s="48" t="s">
        <v>174</v>
      </c>
      <c r="R77" s="44" t="s">
        <v>28</v>
      </c>
      <c r="S77" s="44"/>
      <c r="T77" s="44"/>
      <c r="U77" s="44"/>
      <c r="V77" s="44"/>
      <c r="W77" s="60">
        <v>44257</v>
      </c>
      <c r="X77" s="60">
        <v>44263</v>
      </c>
      <c r="Y77" s="48" t="s">
        <v>85</v>
      </c>
      <c r="Z77" s="60">
        <f t="shared" si="5"/>
        <v>44257</v>
      </c>
      <c r="AA77" s="60">
        <v>44264</v>
      </c>
      <c r="AB77" s="48" t="s">
        <v>29</v>
      </c>
      <c r="AC77" s="51">
        <v>44266</v>
      </c>
      <c r="AD77" s="51">
        <v>44266</v>
      </c>
      <c r="AE77" s="52"/>
      <c r="AF77" s="53"/>
      <c r="AG77" s="48" t="s">
        <v>85</v>
      </c>
      <c r="AH77" s="48" t="s">
        <v>29</v>
      </c>
      <c r="AI77" s="48" t="s">
        <v>246</v>
      </c>
      <c r="AJ77" s="47" t="s">
        <v>70</v>
      </c>
      <c r="AK77" s="46"/>
      <c r="AL77" s="49" t="s">
        <v>595</v>
      </c>
      <c r="AM77" s="60">
        <v>44264</v>
      </c>
      <c r="AN77" s="60"/>
      <c r="AO77" s="48" t="s">
        <v>91</v>
      </c>
      <c r="AP77" s="60">
        <v>44264</v>
      </c>
      <c r="AQ77" s="60"/>
      <c r="AR77" s="48" t="s">
        <v>314</v>
      </c>
    </row>
    <row r="78" spans="1:44" x14ac:dyDescent="0.3">
      <c r="A78" s="44">
        <f>IF(E78 &lt;&gt; "",ROW(E78)-COUNTIF($E$3:E78,"")-2,"")</f>
        <v>76</v>
      </c>
      <c r="B78" s="188">
        <v>44316</v>
      </c>
      <c r="C78" s="188"/>
      <c r="D78" s="194"/>
      <c r="E78" s="44" t="s">
        <v>75</v>
      </c>
      <c r="F78" s="44" t="str">
        <f t="shared" si="4"/>
        <v>PRM</v>
      </c>
      <c r="G78" s="91" t="s">
        <v>678</v>
      </c>
      <c r="H78" s="104" t="s">
        <v>302</v>
      </c>
      <c r="I78" s="47" t="s">
        <v>517</v>
      </c>
      <c r="J78" s="44" t="s">
        <v>76</v>
      </c>
      <c r="K78" s="44" t="s">
        <v>77</v>
      </c>
      <c r="L78" s="111" t="s">
        <v>318</v>
      </c>
      <c r="M78" s="48" t="s">
        <v>149</v>
      </c>
      <c r="N78" s="48" t="s">
        <v>75</v>
      </c>
      <c r="O78" s="48" t="s">
        <v>181</v>
      </c>
      <c r="P78" s="48" t="s">
        <v>145</v>
      </c>
      <c r="Q78" s="48" t="s">
        <v>174</v>
      </c>
      <c r="R78" s="44" t="s">
        <v>28</v>
      </c>
      <c r="S78" s="44"/>
      <c r="T78" s="44"/>
      <c r="U78" s="44"/>
      <c r="V78" s="44"/>
      <c r="W78" s="60">
        <v>44203</v>
      </c>
      <c r="X78" s="90">
        <v>44202</v>
      </c>
      <c r="Y78" s="48" t="s">
        <v>85</v>
      </c>
      <c r="Z78" s="90">
        <v>44210</v>
      </c>
      <c r="AA78" s="60">
        <v>44203</v>
      </c>
      <c r="AB78" s="48" t="s">
        <v>29</v>
      </c>
      <c r="AC78" s="51">
        <v>44265</v>
      </c>
      <c r="AD78" s="51">
        <v>44265</v>
      </c>
      <c r="AE78" s="52"/>
      <c r="AF78" s="53"/>
      <c r="AG78" s="48" t="s">
        <v>246</v>
      </c>
      <c r="AH78" s="48" t="s">
        <v>29</v>
      </c>
      <c r="AI78" s="48" t="s">
        <v>85</v>
      </c>
      <c r="AJ78" s="47" t="s">
        <v>70</v>
      </c>
      <c r="AK78" s="46"/>
      <c r="AL78" s="49" t="s">
        <v>93</v>
      </c>
      <c r="AM78" s="60">
        <v>44210</v>
      </c>
      <c r="AN78" s="60"/>
      <c r="AO78" s="48" t="s">
        <v>307</v>
      </c>
      <c r="AP78" s="60">
        <v>44210</v>
      </c>
      <c r="AQ78" s="60"/>
      <c r="AR78" s="48" t="s">
        <v>303</v>
      </c>
    </row>
    <row r="79" spans="1:44" hidden="1" x14ac:dyDescent="0.3">
      <c r="A79" s="44">
        <f>IF(E79 &lt;&gt; "",ROW(E79)-COUNTIF($E$3:E79,"")-2,"")</f>
        <v>77</v>
      </c>
      <c r="B79" s="188">
        <v>44316</v>
      </c>
      <c r="C79" s="188"/>
      <c r="D79" s="188"/>
      <c r="E79" s="44" t="s">
        <v>75</v>
      </c>
      <c r="F79" s="44" t="str">
        <f t="shared" si="4"/>
        <v>WMS</v>
      </c>
      <c r="G79" s="91" t="s">
        <v>667</v>
      </c>
      <c r="H79" s="104" t="s">
        <v>92</v>
      </c>
      <c r="I79" s="47" t="s">
        <v>518</v>
      </c>
      <c r="J79" s="48" t="s">
        <v>87</v>
      </c>
      <c r="K79" s="48" t="s">
        <v>130</v>
      </c>
      <c r="L79" s="111" t="s">
        <v>318</v>
      </c>
      <c r="M79" s="48" t="s">
        <v>149</v>
      </c>
      <c r="N79" s="48" t="s">
        <v>75</v>
      </c>
      <c r="O79" s="48" t="s">
        <v>182</v>
      </c>
      <c r="P79" s="48" t="s">
        <v>145</v>
      </c>
      <c r="Q79" s="48" t="s">
        <v>174</v>
      </c>
      <c r="R79" s="44" t="s">
        <v>28</v>
      </c>
      <c r="S79" s="44"/>
      <c r="T79" s="44"/>
      <c r="U79" s="44"/>
      <c r="V79" s="44"/>
      <c r="W79" s="60">
        <v>44181</v>
      </c>
      <c r="X79" s="90">
        <v>44187</v>
      </c>
      <c r="Y79" s="48" t="s">
        <v>89</v>
      </c>
      <c r="Z79" s="60">
        <v>44187</v>
      </c>
      <c r="AA79" s="60">
        <v>44188</v>
      </c>
      <c r="AB79" s="48" t="s">
        <v>29</v>
      </c>
      <c r="AC79" s="51">
        <v>44252</v>
      </c>
      <c r="AD79" s="51">
        <v>44252</v>
      </c>
      <c r="AE79" s="52"/>
      <c r="AF79" s="53"/>
      <c r="AG79" s="48" t="s">
        <v>304</v>
      </c>
      <c r="AH79" s="48" t="s">
        <v>29</v>
      </c>
      <c r="AI79" s="48" t="s">
        <v>89</v>
      </c>
      <c r="AJ79" s="47" t="s">
        <v>70</v>
      </c>
      <c r="AK79" s="46"/>
      <c r="AL79" s="49" t="s">
        <v>69</v>
      </c>
      <c r="AM79" s="60">
        <v>44183</v>
      </c>
      <c r="AN79" s="60"/>
      <c r="AO79" s="48" t="s">
        <v>305</v>
      </c>
      <c r="AP79" s="60">
        <v>44183</v>
      </c>
      <c r="AQ79" s="60"/>
      <c r="AR79" s="48" t="s">
        <v>253</v>
      </c>
    </row>
    <row r="80" spans="1:44" hidden="1" x14ac:dyDescent="0.3">
      <c r="A80" s="44">
        <f>IF(E80 &lt;&gt; "",ROW(E80)-COUNTIF($E$3:E80,"")-2,"")</f>
        <v>78</v>
      </c>
      <c r="B80" s="188">
        <v>44316</v>
      </c>
      <c r="C80" s="188"/>
      <c r="D80" s="188"/>
      <c r="E80" s="44" t="s">
        <v>75</v>
      </c>
      <c r="F80" s="44" t="str">
        <f t="shared" si="4"/>
        <v>WMS</v>
      </c>
      <c r="G80" s="61" t="s">
        <v>96</v>
      </c>
      <c r="H80" s="104" t="s">
        <v>386</v>
      </c>
      <c r="I80" s="47" t="s">
        <v>519</v>
      </c>
      <c r="J80" s="48" t="s">
        <v>87</v>
      </c>
      <c r="K80" s="48" t="s">
        <v>130</v>
      </c>
      <c r="L80" s="111" t="s">
        <v>318</v>
      </c>
      <c r="M80" s="48" t="s">
        <v>149</v>
      </c>
      <c r="N80" s="48" t="s">
        <v>75</v>
      </c>
      <c r="O80" s="48" t="s">
        <v>182</v>
      </c>
      <c r="P80" s="48" t="s">
        <v>145</v>
      </c>
      <c r="Q80" s="48" t="s">
        <v>174</v>
      </c>
      <c r="R80" s="44" t="s">
        <v>28</v>
      </c>
      <c r="S80" s="44"/>
      <c r="T80" s="44"/>
      <c r="U80" s="44"/>
      <c r="V80" s="44"/>
      <c r="W80" s="60">
        <v>44181</v>
      </c>
      <c r="X80" s="90">
        <v>44187</v>
      </c>
      <c r="Y80" s="48" t="s">
        <v>89</v>
      </c>
      <c r="Z80" s="60">
        <v>44188</v>
      </c>
      <c r="AA80" s="90">
        <v>44188</v>
      </c>
      <c r="AB80" s="48" t="s">
        <v>29</v>
      </c>
      <c r="AC80" s="51">
        <v>44252</v>
      </c>
      <c r="AD80" s="51">
        <v>44214</v>
      </c>
      <c r="AE80" s="52"/>
      <c r="AF80" s="53"/>
      <c r="AG80" s="48" t="s">
        <v>304</v>
      </c>
      <c r="AH80" s="48" t="s">
        <v>29</v>
      </c>
      <c r="AI80" s="48" t="s">
        <v>89</v>
      </c>
      <c r="AJ80" s="47" t="s">
        <v>70</v>
      </c>
      <c r="AK80" s="46"/>
      <c r="AL80" s="49" t="s">
        <v>69</v>
      </c>
      <c r="AM80" s="60">
        <v>44183</v>
      </c>
      <c r="AN80" s="60"/>
      <c r="AO80" s="48" t="s">
        <v>305</v>
      </c>
      <c r="AP80" s="60">
        <v>44183</v>
      </c>
      <c r="AQ80" s="60"/>
      <c r="AR80" s="48" t="s">
        <v>253</v>
      </c>
    </row>
    <row r="81" spans="1:44" ht="12.6" hidden="1" customHeight="1" x14ac:dyDescent="0.3">
      <c r="A81" s="44">
        <f>IF(E81 &lt;&gt; "",ROW(E81)-COUNTIF($E$3:E81,"")-2,"")</f>
        <v>79</v>
      </c>
      <c r="B81" s="188">
        <v>44316</v>
      </c>
      <c r="C81" s="188"/>
      <c r="D81" s="188"/>
      <c r="E81" s="48" t="s">
        <v>75</v>
      </c>
      <c r="F81" s="44" t="str">
        <f t="shared" si="4"/>
        <v>WMS</v>
      </c>
      <c r="G81" s="93" t="s">
        <v>395</v>
      </c>
      <c r="H81" s="108" t="s">
        <v>427</v>
      </c>
      <c r="I81" s="47" t="s">
        <v>403</v>
      </c>
      <c r="J81" s="48" t="s">
        <v>149</v>
      </c>
      <c r="K81" s="48" t="s">
        <v>75</v>
      </c>
      <c r="L81" s="111" t="s">
        <v>181</v>
      </c>
      <c r="M81" s="48" t="s">
        <v>87</v>
      </c>
      <c r="N81" s="48" t="s">
        <v>130</v>
      </c>
      <c r="O81" s="48" t="s">
        <v>317</v>
      </c>
      <c r="P81" s="48" t="s">
        <v>145</v>
      </c>
      <c r="Q81" s="48" t="s">
        <v>174</v>
      </c>
      <c r="R81" s="44" t="s">
        <v>28</v>
      </c>
      <c r="S81" s="44"/>
      <c r="T81" s="44"/>
      <c r="U81" s="44"/>
      <c r="V81" s="44"/>
      <c r="W81" s="60">
        <v>44186</v>
      </c>
      <c r="X81" s="90">
        <v>44187</v>
      </c>
      <c r="Y81" s="48" t="s">
        <v>85</v>
      </c>
      <c r="Z81" s="90">
        <v>44200</v>
      </c>
      <c r="AA81" s="60">
        <v>44201</v>
      </c>
      <c r="AB81" s="48" t="s">
        <v>29</v>
      </c>
      <c r="AC81" s="51">
        <v>44237</v>
      </c>
      <c r="AD81" s="51">
        <v>44237</v>
      </c>
      <c r="AE81" s="52"/>
      <c r="AF81" s="53"/>
      <c r="AG81" s="48" t="s">
        <v>85</v>
      </c>
      <c r="AH81" s="48" t="s">
        <v>29</v>
      </c>
      <c r="AI81" s="48" t="s">
        <v>304</v>
      </c>
      <c r="AJ81" s="47" t="s">
        <v>70</v>
      </c>
      <c r="AK81" s="46"/>
      <c r="AL81" s="49" t="s">
        <v>69</v>
      </c>
      <c r="AM81" s="60">
        <v>44193</v>
      </c>
      <c r="AN81" s="60"/>
      <c r="AO81" s="48" t="s">
        <v>252</v>
      </c>
      <c r="AP81" s="60">
        <v>44200</v>
      </c>
      <c r="AQ81" s="60"/>
      <c r="AR81" s="48" t="s">
        <v>305</v>
      </c>
    </row>
    <row r="82" spans="1:44" x14ac:dyDescent="0.3">
      <c r="A82" s="44">
        <f>IF(E82 &lt;&gt; "",ROW(E82)-COUNTIF($E$3:E82,"")-2,"")</f>
        <v>80</v>
      </c>
      <c r="B82" s="188">
        <v>44316</v>
      </c>
      <c r="C82" s="188"/>
      <c r="D82" s="194"/>
      <c r="E82" s="48" t="s">
        <v>75</v>
      </c>
      <c r="F82" s="44" t="str">
        <f t="shared" si="4"/>
        <v>PRM</v>
      </c>
      <c r="G82" s="91" t="s">
        <v>392</v>
      </c>
      <c r="H82" s="103" t="s">
        <v>393</v>
      </c>
      <c r="I82" s="47" t="s">
        <v>492</v>
      </c>
      <c r="J82" s="48" t="s">
        <v>149</v>
      </c>
      <c r="K82" s="48" t="s">
        <v>75</v>
      </c>
      <c r="L82" s="111" t="s">
        <v>181</v>
      </c>
      <c r="M82" s="44" t="s">
        <v>76</v>
      </c>
      <c r="N82" s="44" t="s">
        <v>77</v>
      </c>
      <c r="O82" s="44" t="s">
        <v>247</v>
      </c>
      <c r="P82" s="48" t="s">
        <v>145</v>
      </c>
      <c r="Q82" s="48" t="s">
        <v>174</v>
      </c>
      <c r="R82" s="44" t="s">
        <v>28</v>
      </c>
      <c r="S82" s="44"/>
      <c r="T82" s="44"/>
      <c r="U82" s="44"/>
      <c r="V82" s="44"/>
      <c r="W82" s="60">
        <v>44183</v>
      </c>
      <c r="X82" s="60">
        <v>44183</v>
      </c>
      <c r="Y82" s="48" t="s">
        <v>85</v>
      </c>
      <c r="Z82" s="60">
        <v>44194</v>
      </c>
      <c r="AA82" s="60">
        <v>44194</v>
      </c>
      <c r="AB82" s="48" t="s">
        <v>29</v>
      </c>
      <c r="AC82" s="90">
        <v>44194</v>
      </c>
      <c r="AD82" s="90">
        <v>44194</v>
      </c>
      <c r="AE82" s="51">
        <v>44207</v>
      </c>
      <c r="AF82" s="53"/>
      <c r="AG82" s="48" t="s">
        <v>85</v>
      </c>
      <c r="AH82" s="48" t="s">
        <v>29</v>
      </c>
      <c r="AI82" s="48" t="s">
        <v>246</v>
      </c>
      <c r="AJ82" s="47" t="s">
        <v>70</v>
      </c>
      <c r="AK82" s="46"/>
      <c r="AL82" s="49" t="s">
        <v>69</v>
      </c>
      <c r="AM82" s="60">
        <v>44194</v>
      </c>
      <c r="AN82" s="60"/>
      <c r="AO82" s="48" t="s">
        <v>252</v>
      </c>
      <c r="AP82" s="60">
        <v>44194</v>
      </c>
      <c r="AQ82" s="60"/>
      <c r="AR82" s="48" t="s">
        <v>313</v>
      </c>
    </row>
    <row r="83" spans="1:44" hidden="1" x14ac:dyDescent="0.3">
      <c r="A83" s="44">
        <f>IF(E83 &lt;&gt; "",ROW(E83)-COUNTIF($E$3:E83,"")-2,"")</f>
        <v>81</v>
      </c>
      <c r="B83" s="188">
        <v>44316</v>
      </c>
      <c r="C83" s="188"/>
      <c r="D83" s="188"/>
      <c r="E83" s="44" t="s">
        <v>75</v>
      </c>
      <c r="F83" s="44" t="str">
        <f t="shared" si="4"/>
        <v>WMS</v>
      </c>
      <c r="G83" s="91" t="s">
        <v>570</v>
      </c>
      <c r="H83" s="103" t="s">
        <v>429</v>
      </c>
      <c r="I83" s="47" t="s">
        <v>521</v>
      </c>
      <c r="J83" s="48" t="s">
        <v>87</v>
      </c>
      <c r="K83" s="48" t="s">
        <v>130</v>
      </c>
      <c r="L83" s="111" t="s">
        <v>318</v>
      </c>
      <c r="M83" s="48" t="s">
        <v>149</v>
      </c>
      <c r="N83" s="48" t="s">
        <v>75</v>
      </c>
      <c r="O83" s="48" t="s">
        <v>182</v>
      </c>
      <c r="P83" s="48" t="s">
        <v>145</v>
      </c>
      <c r="Q83" s="48" t="s">
        <v>174</v>
      </c>
      <c r="R83" s="44" t="s">
        <v>28</v>
      </c>
      <c r="S83" s="44"/>
      <c r="T83" s="44"/>
      <c r="U83" s="44"/>
      <c r="V83" s="44"/>
      <c r="W83" s="60">
        <v>44188</v>
      </c>
      <c r="X83" s="60">
        <v>44187</v>
      </c>
      <c r="Y83" s="48" t="s">
        <v>85</v>
      </c>
      <c r="Z83" s="60">
        <v>44202</v>
      </c>
      <c r="AA83" s="60">
        <v>44202</v>
      </c>
      <c r="AB83" s="48" t="s">
        <v>29</v>
      </c>
      <c r="AC83" s="51">
        <v>44236</v>
      </c>
      <c r="AD83" s="51">
        <v>44236</v>
      </c>
      <c r="AE83" s="51">
        <v>44228</v>
      </c>
      <c r="AF83" s="53"/>
      <c r="AG83" s="48" t="s">
        <v>304</v>
      </c>
      <c r="AH83" s="48" t="s">
        <v>29</v>
      </c>
      <c r="AI83" s="48" t="s">
        <v>85</v>
      </c>
      <c r="AJ83" s="47" t="s">
        <v>70</v>
      </c>
      <c r="AK83" s="46"/>
      <c r="AL83" s="49" t="s">
        <v>69</v>
      </c>
      <c r="AM83" s="60">
        <v>44202</v>
      </c>
      <c r="AN83" s="60"/>
      <c r="AO83" s="48" t="s">
        <v>305</v>
      </c>
      <c r="AP83" s="60">
        <v>44195</v>
      </c>
      <c r="AQ83" s="60"/>
      <c r="AR83" s="48" t="s">
        <v>253</v>
      </c>
    </row>
    <row r="84" spans="1:44" x14ac:dyDescent="0.3">
      <c r="A84" s="44">
        <f>IF(E84 &lt;&gt; "",ROW(E84)-COUNTIF($E$3:E84,"")-2,"")</f>
        <v>82</v>
      </c>
      <c r="B84" s="188">
        <v>44316</v>
      </c>
      <c r="C84" s="188"/>
      <c r="D84" s="194"/>
      <c r="E84" s="48" t="s">
        <v>75</v>
      </c>
      <c r="F84" s="44" t="str">
        <f t="shared" si="4"/>
        <v>PRM</v>
      </c>
      <c r="G84" s="91" t="s">
        <v>649</v>
      </c>
      <c r="H84" s="103" t="s">
        <v>426</v>
      </c>
      <c r="I84" s="47" t="s">
        <v>493</v>
      </c>
      <c r="J84" s="48" t="s">
        <v>149</v>
      </c>
      <c r="K84" s="48" t="s">
        <v>75</v>
      </c>
      <c r="L84" s="111" t="s">
        <v>181</v>
      </c>
      <c r="M84" s="44" t="s">
        <v>76</v>
      </c>
      <c r="N84" s="44" t="s">
        <v>77</v>
      </c>
      <c r="O84" s="44" t="s">
        <v>247</v>
      </c>
      <c r="P84" s="48" t="s">
        <v>145</v>
      </c>
      <c r="Q84" s="48" t="s">
        <v>174</v>
      </c>
      <c r="R84" s="44" t="s">
        <v>28</v>
      </c>
      <c r="S84" s="44"/>
      <c r="T84" s="44"/>
      <c r="U84" s="44"/>
      <c r="V84" s="44"/>
      <c r="W84" s="60">
        <v>44193</v>
      </c>
      <c r="X84" s="90">
        <v>44187</v>
      </c>
      <c r="Y84" s="48" t="s">
        <v>85</v>
      </c>
      <c r="Z84" s="60">
        <v>44200</v>
      </c>
      <c r="AA84" s="60">
        <v>44201</v>
      </c>
      <c r="AB84" s="48" t="s">
        <v>29</v>
      </c>
      <c r="AC84" s="51">
        <v>44201</v>
      </c>
      <c r="AD84" s="51">
        <v>44260</v>
      </c>
      <c r="AE84" s="52"/>
      <c r="AF84" s="53"/>
      <c r="AG84" s="48" t="s">
        <v>85</v>
      </c>
      <c r="AH84" s="48" t="s">
        <v>29</v>
      </c>
      <c r="AI84" s="48" t="s">
        <v>246</v>
      </c>
      <c r="AJ84" s="47" t="s">
        <v>70</v>
      </c>
      <c r="AK84" s="46"/>
      <c r="AL84" s="49" t="s">
        <v>69</v>
      </c>
      <c r="AM84" s="60">
        <v>44202</v>
      </c>
      <c r="AN84" s="60"/>
      <c r="AO84" s="48" t="s">
        <v>252</v>
      </c>
      <c r="AP84" s="60">
        <v>44202</v>
      </c>
      <c r="AQ84" s="60"/>
      <c r="AR84" s="48" t="s">
        <v>312</v>
      </c>
    </row>
    <row r="85" spans="1:44" ht="12" customHeight="1" x14ac:dyDescent="0.3">
      <c r="A85" s="44">
        <f>IF(E85 &lt;&gt; "",ROW(E85)-COUNTIF($E$3:E85,"")-2,"")</f>
        <v>83</v>
      </c>
      <c r="B85" s="188">
        <v>44316</v>
      </c>
      <c r="C85" s="188"/>
      <c r="D85" s="194"/>
      <c r="E85" s="44" t="s">
        <v>75</v>
      </c>
      <c r="F85" s="44" t="str">
        <f t="shared" si="4"/>
        <v>PRM</v>
      </c>
      <c r="G85" s="91" t="s">
        <v>571</v>
      </c>
      <c r="H85" s="103" t="s">
        <v>459</v>
      </c>
      <c r="I85" s="47" t="s">
        <v>522</v>
      </c>
      <c r="J85" s="44" t="s">
        <v>76</v>
      </c>
      <c r="K85" s="44" t="s">
        <v>77</v>
      </c>
      <c r="L85" s="111" t="s">
        <v>245</v>
      </c>
      <c r="M85" s="48" t="s">
        <v>149</v>
      </c>
      <c r="N85" s="48" t="s">
        <v>75</v>
      </c>
      <c r="O85" s="48" t="s">
        <v>182</v>
      </c>
      <c r="P85" s="48" t="s">
        <v>145</v>
      </c>
      <c r="Q85" s="48" t="s">
        <v>174</v>
      </c>
      <c r="R85" s="44" t="s">
        <v>28</v>
      </c>
      <c r="S85" s="44"/>
      <c r="T85" s="44"/>
      <c r="U85" s="44"/>
      <c r="V85" s="44"/>
      <c r="W85" s="60">
        <v>44204</v>
      </c>
      <c r="X85" s="90">
        <v>44202</v>
      </c>
      <c r="Y85" s="48" t="s">
        <v>85</v>
      </c>
      <c r="Z85" s="90">
        <v>44211</v>
      </c>
      <c r="AA85" s="60">
        <v>44208</v>
      </c>
      <c r="AB85" s="48" t="s">
        <v>29</v>
      </c>
      <c r="AC85" s="51">
        <v>44237</v>
      </c>
      <c r="AD85" s="51">
        <v>44237</v>
      </c>
      <c r="AE85" s="52"/>
      <c r="AF85" s="53"/>
      <c r="AG85" s="48" t="s">
        <v>246</v>
      </c>
      <c r="AH85" s="48" t="s">
        <v>29</v>
      </c>
      <c r="AI85" s="48" t="s">
        <v>85</v>
      </c>
      <c r="AJ85" s="47" t="s">
        <v>70</v>
      </c>
      <c r="AK85" s="46"/>
      <c r="AL85" s="49" t="s">
        <v>69</v>
      </c>
      <c r="AM85" s="60">
        <v>44211</v>
      </c>
      <c r="AN85" s="60"/>
      <c r="AO85" s="48" t="s">
        <v>311</v>
      </c>
      <c r="AP85" s="60">
        <v>44211</v>
      </c>
      <c r="AQ85" s="60"/>
      <c r="AR85" s="48" t="s">
        <v>91</v>
      </c>
    </row>
    <row r="86" spans="1:44" hidden="1" x14ac:dyDescent="0.3">
      <c r="A86" s="44">
        <f>IF(E86 &lt;&gt; "",ROW(E86)-COUNTIF($E$3:E86,"")-2,"")</f>
        <v>84</v>
      </c>
      <c r="B86" s="188">
        <v>44316</v>
      </c>
      <c r="C86" s="188"/>
      <c r="D86" s="188"/>
      <c r="E86" s="44" t="s">
        <v>75</v>
      </c>
      <c r="F86" s="44" t="str">
        <f t="shared" si="4"/>
        <v>WMS</v>
      </c>
      <c r="G86" s="91" t="s">
        <v>683</v>
      </c>
      <c r="H86" s="103" t="s">
        <v>156</v>
      </c>
      <c r="I86" s="47"/>
      <c r="J86" s="48" t="s">
        <v>87</v>
      </c>
      <c r="K86" s="48" t="s">
        <v>130</v>
      </c>
      <c r="L86" s="111" t="s">
        <v>318</v>
      </c>
      <c r="M86" s="48" t="s">
        <v>149</v>
      </c>
      <c r="N86" s="48" t="s">
        <v>75</v>
      </c>
      <c r="O86" s="48" t="s">
        <v>182</v>
      </c>
      <c r="P86" s="48" t="s">
        <v>145</v>
      </c>
      <c r="Q86" s="48" t="s">
        <v>174</v>
      </c>
      <c r="R86" s="44" t="s">
        <v>28</v>
      </c>
      <c r="S86" s="44"/>
      <c r="T86" s="44"/>
      <c r="U86" s="44"/>
      <c r="V86" s="44"/>
      <c r="W86" s="60">
        <v>44230</v>
      </c>
      <c r="X86" s="90">
        <v>44187</v>
      </c>
      <c r="Y86" s="48" t="s">
        <v>85</v>
      </c>
      <c r="Z86" s="60">
        <v>44215</v>
      </c>
      <c r="AA86" s="60">
        <v>44214</v>
      </c>
      <c r="AB86" s="48" t="s">
        <v>29</v>
      </c>
      <c r="AC86" s="51">
        <v>44265</v>
      </c>
      <c r="AD86" s="51">
        <v>44265</v>
      </c>
      <c r="AE86" s="52"/>
      <c r="AF86" s="53"/>
      <c r="AG86" s="48" t="s">
        <v>304</v>
      </c>
      <c r="AH86" s="48" t="s">
        <v>29</v>
      </c>
      <c r="AI86" s="48" t="s">
        <v>85</v>
      </c>
      <c r="AJ86" s="47" t="s">
        <v>70</v>
      </c>
      <c r="AK86" s="46"/>
      <c r="AL86" s="49" t="s">
        <v>69</v>
      </c>
      <c r="AM86" s="60">
        <v>44244</v>
      </c>
      <c r="AN86" s="60"/>
      <c r="AO86" s="48" t="s">
        <v>305</v>
      </c>
      <c r="AP86" s="60">
        <v>44237</v>
      </c>
      <c r="AQ86" s="60"/>
      <c r="AR86" s="48" t="s">
        <v>91</v>
      </c>
    </row>
    <row r="87" spans="1:44" hidden="1" x14ac:dyDescent="0.3">
      <c r="A87" s="44">
        <f>IF(E87 &lt;&gt; "",ROW(E87)-COUNTIF($E$3:E87,"")-2,"")</f>
        <v>85</v>
      </c>
      <c r="B87" s="188">
        <v>44316</v>
      </c>
      <c r="C87" s="188"/>
      <c r="D87" s="188"/>
      <c r="E87" s="44" t="s">
        <v>75</v>
      </c>
      <c r="F87" s="44" t="str">
        <f t="shared" si="4"/>
        <v>WMS</v>
      </c>
      <c r="G87" s="91" t="s">
        <v>679</v>
      </c>
      <c r="H87" s="103" t="s">
        <v>617</v>
      </c>
      <c r="I87" s="47"/>
      <c r="J87" s="48" t="s">
        <v>87</v>
      </c>
      <c r="K87" s="48" t="s">
        <v>130</v>
      </c>
      <c r="L87" s="111" t="s">
        <v>318</v>
      </c>
      <c r="M87" s="48" t="s">
        <v>149</v>
      </c>
      <c r="N87" s="48" t="s">
        <v>75</v>
      </c>
      <c r="O87" s="48" t="s">
        <v>182</v>
      </c>
      <c r="P87" s="48" t="s">
        <v>145</v>
      </c>
      <c r="Q87" s="48" t="s">
        <v>174</v>
      </c>
      <c r="R87" s="44" t="s">
        <v>28</v>
      </c>
      <c r="S87" s="44"/>
      <c r="T87" s="44"/>
      <c r="U87" s="44"/>
      <c r="V87" s="44"/>
      <c r="W87" s="60">
        <v>44210</v>
      </c>
      <c r="X87" s="60">
        <v>44229</v>
      </c>
      <c r="Y87" s="48" t="s">
        <v>85</v>
      </c>
      <c r="Z87" s="60">
        <v>44216</v>
      </c>
      <c r="AA87" s="60">
        <v>44230</v>
      </c>
      <c r="AB87" s="48" t="s">
        <v>29</v>
      </c>
      <c r="AC87" s="51">
        <v>44265</v>
      </c>
      <c r="AD87" s="51">
        <v>44265</v>
      </c>
      <c r="AE87" s="52"/>
      <c r="AF87" s="53"/>
      <c r="AG87" s="48" t="s">
        <v>304</v>
      </c>
      <c r="AH87" s="48" t="s">
        <v>29</v>
      </c>
      <c r="AI87" s="48" t="s">
        <v>85</v>
      </c>
      <c r="AJ87" s="47" t="s">
        <v>70</v>
      </c>
      <c r="AK87" s="46"/>
      <c r="AL87" s="49" t="s">
        <v>93</v>
      </c>
      <c r="AM87" s="60">
        <v>44224</v>
      </c>
      <c r="AN87" s="60"/>
      <c r="AO87" s="48" t="s">
        <v>305</v>
      </c>
      <c r="AP87" s="60">
        <v>44217</v>
      </c>
      <c r="AQ87" s="60"/>
      <c r="AR87" s="48" t="s">
        <v>91</v>
      </c>
    </row>
    <row r="88" spans="1:44" s="206" customFormat="1" x14ac:dyDescent="0.3">
      <c r="A88" s="197">
        <f>IF(E88 &lt;&gt; "",ROW(E88)-COUNTIF($E$3:E88,"")-2,"")</f>
        <v>86</v>
      </c>
      <c r="B88" s="198">
        <v>44302</v>
      </c>
      <c r="C88" s="198">
        <v>44306</v>
      </c>
      <c r="D88" s="198"/>
      <c r="E88" s="200" t="s">
        <v>75</v>
      </c>
      <c r="F88" s="197" t="str">
        <f t="shared" si="4"/>
        <v>PRM</v>
      </c>
      <c r="G88" s="210" t="s">
        <v>611</v>
      </c>
      <c r="H88" s="211" t="s">
        <v>627</v>
      </c>
      <c r="I88" s="207"/>
      <c r="J88" s="200" t="s">
        <v>149</v>
      </c>
      <c r="K88" s="200" t="s">
        <v>75</v>
      </c>
      <c r="L88" s="201" t="s">
        <v>181</v>
      </c>
      <c r="M88" s="197" t="s">
        <v>76</v>
      </c>
      <c r="N88" s="197" t="s">
        <v>77</v>
      </c>
      <c r="O88" s="197" t="s">
        <v>247</v>
      </c>
      <c r="P88" s="200" t="s">
        <v>145</v>
      </c>
      <c r="Q88" s="200" t="s">
        <v>174</v>
      </c>
      <c r="R88" s="197" t="s">
        <v>28</v>
      </c>
      <c r="S88" s="197"/>
      <c r="T88" s="197"/>
      <c r="U88" s="197"/>
      <c r="V88" s="197"/>
      <c r="W88" s="202">
        <v>44253</v>
      </c>
      <c r="X88" s="202">
        <v>44228</v>
      </c>
      <c r="Y88" s="200" t="s">
        <v>85</v>
      </c>
      <c r="Z88" s="202">
        <v>44232</v>
      </c>
      <c r="AA88" s="202">
        <v>44232</v>
      </c>
      <c r="AB88" s="200" t="s">
        <v>29</v>
      </c>
      <c r="AC88" s="203">
        <v>44235</v>
      </c>
      <c r="AD88" s="203">
        <v>44235</v>
      </c>
      <c r="AE88" s="197"/>
      <c r="AF88" s="204"/>
      <c r="AG88" s="200" t="s">
        <v>85</v>
      </c>
      <c r="AH88" s="200" t="s">
        <v>29</v>
      </c>
      <c r="AI88" s="200" t="s">
        <v>246</v>
      </c>
      <c r="AJ88" s="47" t="s">
        <v>70</v>
      </c>
      <c r="AK88" s="46"/>
      <c r="AL88" s="208" t="s">
        <v>595</v>
      </c>
      <c r="AM88" s="202">
        <v>44260</v>
      </c>
      <c r="AN88" s="202"/>
      <c r="AO88" s="200" t="s">
        <v>456</v>
      </c>
      <c r="AP88" s="202">
        <v>44260</v>
      </c>
      <c r="AQ88" s="202"/>
      <c r="AR88" s="200"/>
    </row>
    <row r="89" spans="1:44" hidden="1" x14ac:dyDescent="0.3">
      <c r="A89" s="44">
        <f>IF(E89 &lt;&gt; "",ROW(E89)-COUNTIF($E$3:E89,"")-2,"")</f>
        <v>87</v>
      </c>
      <c r="B89" s="188">
        <v>44316</v>
      </c>
      <c r="C89" s="188"/>
      <c r="D89" s="188"/>
      <c r="E89" s="48" t="s">
        <v>75</v>
      </c>
      <c r="F89" s="44" t="str">
        <f t="shared" si="4"/>
        <v>WMS</v>
      </c>
      <c r="G89" s="93" t="s">
        <v>640</v>
      </c>
      <c r="H89" s="109" t="s">
        <v>616</v>
      </c>
      <c r="I89" s="47" t="s">
        <v>404</v>
      </c>
      <c r="J89" s="48" t="s">
        <v>149</v>
      </c>
      <c r="K89" s="48" t="s">
        <v>75</v>
      </c>
      <c r="L89" s="111" t="s">
        <v>181</v>
      </c>
      <c r="M89" s="48" t="s">
        <v>87</v>
      </c>
      <c r="N89" s="48" t="s">
        <v>130</v>
      </c>
      <c r="O89" s="48" t="s">
        <v>317</v>
      </c>
      <c r="P89" s="48" t="s">
        <v>145</v>
      </c>
      <c r="Q89" s="48" t="s">
        <v>174</v>
      </c>
      <c r="R89" s="44" t="s">
        <v>28</v>
      </c>
      <c r="S89" s="44"/>
      <c r="T89" s="44"/>
      <c r="U89" s="44"/>
      <c r="V89" s="44"/>
      <c r="W89" s="60">
        <v>44245</v>
      </c>
      <c r="X89" s="90">
        <v>44187</v>
      </c>
      <c r="Y89" s="48" t="s">
        <v>85</v>
      </c>
      <c r="Z89" s="60">
        <f t="shared" si="5"/>
        <v>44245</v>
      </c>
      <c r="AA89" s="60">
        <v>44203</v>
      </c>
      <c r="AB89" s="48" t="s">
        <v>29</v>
      </c>
      <c r="AC89" s="51">
        <v>44245</v>
      </c>
      <c r="AD89" s="51">
        <v>44245</v>
      </c>
      <c r="AE89" s="52"/>
      <c r="AF89" s="53"/>
      <c r="AG89" s="48" t="s">
        <v>85</v>
      </c>
      <c r="AH89" s="48" t="s">
        <v>29</v>
      </c>
      <c r="AI89" s="48" t="s">
        <v>304</v>
      </c>
      <c r="AJ89" s="47" t="s">
        <v>70</v>
      </c>
      <c r="AK89" s="46"/>
      <c r="AL89" s="49" t="s">
        <v>595</v>
      </c>
      <c r="AM89" s="60">
        <v>44252</v>
      </c>
      <c r="AN89" s="60"/>
      <c r="AO89" s="48" t="s">
        <v>91</v>
      </c>
      <c r="AP89" s="60">
        <v>44259</v>
      </c>
      <c r="AQ89" s="60">
        <v>44201</v>
      </c>
      <c r="AR89" s="48" t="s">
        <v>305</v>
      </c>
    </row>
    <row r="90" spans="1:44" x14ac:dyDescent="0.3">
      <c r="A90" s="44">
        <f>IF(E90 &lt;&gt; "",ROW(E90)-COUNTIF($E$3:E90,"")-2,"")</f>
        <v>88</v>
      </c>
      <c r="B90" s="188">
        <v>44316</v>
      </c>
      <c r="C90" s="188"/>
      <c r="D90" s="194"/>
      <c r="E90" s="48" t="s">
        <v>75</v>
      </c>
      <c r="F90" s="44" t="str">
        <f t="shared" si="4"/>
        <v>PRM</v>
      </c>
      <c r="G90" s="61" t="s">
        <v>100</v>
      </c>
      <c r="H90" s="123" t="s">
        <v>689</v>
      </c>
      <c r="I90" s="47" t="s">
        <v>688</v>
      </c>
      <c r="J90" s="48" t="s">
        <v>149</v>
      </c>
      <c r="K90" s="48" t="s">
        <v>75</v>
      </c>
      <c r="L90" s="111" t="s">
        <v>181</v>
      </c>
      <c r="M90" s="44" t="s">
        <v>76</v>
      </c>
      <c r="N90" s="44" t="s">
        <v>77</v>
      </c>
      <c r="O90" s="44" t="s">
        <v>247</v>
      </c>
      <c r="P90" s="48" t="s">
        <v>145</v>
      </c>
      <c r="Q90" s="48" t="s">
        <v>174</v>
      </c>
      <c r="R90" s="44" t="s">
        <v>28</v>
      </c>
      <c r="S90" s="44"/>
      <c r="T90" s="44"/>
      <c r="U90" s="44"/>
      <c r="V90" s="44"/>
      <c r="W90" s="60">
        <v>44257</v>
      </c>
      <c r="X90" s="60">
        <v>44264</v>
      </c>
      <c r="Y90" s="48" t="s">
        <v>85</v>
      </c>
      <c r="Z90" s="90">
        <v>44260</v>
      </c>
      <c r="AA90" s="60">
        <v>44266</v>
      </c>
      <c r="AB90" s="48" t="s">
        <v>29</v>
      </c>
      <c r="AC90" s="51">
        <v>44266</v>
      </c>
      <c r="AD90" s="51">
        <v>44266</v>
      </c>
      <c r="AE90" s="52"/>
      <c r="AF90" s="53"/>
      <c r="AG90" s="48" t="s">
        <v>85</v>
      </c>
      <c r="AH90" s="48" t="s">
        <v>29</v>
      </c>
      <c r="AI90" s="48" t="s">
        <v>246</v>
      </c>
      <c r="AJ90" s="47" t="s">
        <v>70</v>
      </c>
      <c r="AK90" s="46"/>
      <c r="AL90" s="49" t="s">
        <v>595</v>
      </c>
      <c r="AM90" s="60">
        <v>44253</v>
      </c>
      <c r="AN90" s="60"/>
      <c r="AO90" s="48" t="s">
        <v>91</v>
      </c>
      <c r="AP90" s="60">
        <v>44253</v>
      </c>
      <c r="AQ90" s="60"/>
      <c r="AR90" s="48" t="s">
        <v>312</v>
      </c>
    </row>
    <row r="91" spans="1:44" x14ac:dyDescent="0.3">
      <c r="A91" s="44">
        <f>IF(E91 &lt;&gt; "",ROW(E91)-COUNTIF($E$3:E91,"")-2,"")</f>
        <v>89</v>
      </c>
      <c r="B91" s="188">
        <v>44316</v>
      </c>
      <c r="C91" s="188"/>
      <c r="D91" s="194"/>
      <c r="E91" s="44" t="s">
        <v>75</v>
      </c>
      <c r="F91" s="44" t="str">
        <f t="shared" si="4"/>
        <v>PRM</v>
      </c>
      <c r="G91" s="91" t="s">
        <v>572</v>
      </c>
      <c r="H91" s="103" t="s">
        <v>541</v>
      </c>
      <c r="I91" s="47"/>
      <c r="J91" s="48" t="s">
        <v>149</v>
      </c>
      <c r="K91" s="48" t="s">
        <v>75</v>
      </c>
      <c r="L91" s="111" t="s">
        <v>181</v>
      </c>
      <c r="M91" s="44" t="s">
        <v>76</v>
      </c>
      <c r="N91" s="44" t="s">
        <v>77</v>
      </c>
      <c r="O91" s="48" t="s">
        <v>364</v>
      </c>
      <c r="P91" s="48" t="s">
        <v>145</v>
      </c>
      <c r="Q91" s="48" t="s">
        <v>174</v>
      </c>
      <c r="R91" s="44" t="s">
        <v>28</v>
      </c>
      <c r="S91" s="44"/>
      <c r="T91" s="44"/>
      <c r="U91" s="44"/>
      <c r="V91" s="44"/>
      <c r="W91" s="60">
        <v>44215</v>
      </c>
      <c r="X91" s="90">
        <v>44217</v>
      </c>
      <c r="Y91" s="48" t="s">
        <v>89</v>
      </c>
      <c r="Z91" s="60">
        <f t="shared" si="5"/>
        <v>44215</v>
      </c>
      <c r="AA91" s="60">
        <v>44221</v>
      </c>
      <c r="AB91" s="48" t="s">
        <v>29</v>
      </c>
      <c r="AC91" s="90">
        <v>44221</v>
      </c>
      <c r="AD91" s="90">
        <v>44221</v>
      </c>
      <c r="AE91" s="52"/>
      <c r="AF91" s="53"/>
      <c r="AG91" s="48" t="s">
        <v>246</v>
      </c>
      <c r="AH91" s="48" t="s">
        <v>29</v>
      </c>
      <c r="AI91" s="48" t="s">
        <v>89</v>
      </c>
      <c r="AJ91" s="47" t="s">
        <v>70</v>
      </c>
      <c r="AK91" s="46"/>
      <c r="AL91" s="49" t="s">
        <v>595</v>
      </c>
      <c r="AM91" s="60">
        <v>44222</v>
      </c>
      <c r="AN91" s="60"/>
      <c r="AO91" s="48" t="s">
        <v>310</v>
      </c>
      <c r="AP91" s="60">
        <v>44222</v>
      </c>
      <c r="AQ91" s="60"/>
      <c r="AR91" s="48" t="s">
        <v>86</v>
      </c>
    </row>
    <row r="92" spans="1:44" x14ac:dyDescent="0.3">
      <c r="A92" s="44">
        <f>IF(E92 &lt;&gt; "",ROW(E92)-COUNTIF($E$3:E92,"")-2,"")</f>
        <v>90</v>
      </c>
      <c r="B92" s="188">
        <v>44316</v>
      </c>
      <c r="C92" s="188"/>
      <c r="D92" s="194"/>
      <c r="E92" s="44" t="s">
        <v>75</v>
      </c>
      <c r="F92" s="44" t="str">
        <f t="shared" si="4"/>
        <v>PRM</v>
      </c>
      <c r="G92" s="91" t="s">
        <v>718</v>
      </c>
      <c r="H92" s="103" t="s">
        <v>158</v>
      </c>
      <c r="I92" s="47"/>
      <c r="J92" s="44" t="s">
        <v>76</v>
      </c>
      <c r="K92" s="44" t="s">
        <v>77</v>
      </c>
      <c r="L92" s="111" t="s">
        <v>245</v>
      </c>
      <c r="M92" s="48" t="s">
        <v>149</v>
      </c>
      <c r="N92" s="48" t="s">
        <v>75</v>
      </c>
      <c r="O92" s="48" t="s">
        <v>182</v>
      </c>
      <c r="P92" s="48" t="s">
        <v>145</v>
      </c>
      <c r="Q92" s="48" t="s">
        <v>174</v>
      </c>
      <c r="R92" s="44" t="s">
        <v>28</v>
      </c>
      <c r="S92" s="44"/>
      <c r="T92" s="44"/>
      <c r="U92" s="44"/>
      <c r="V92" s="44"/>
      <c r="W92" s="60">
        <v>44244</v>
      </c>
      <c r="X92" s="60">
        <v>44264</v>
      </c>
      <c r="Y92" s="48" t="s">
        <v>89</v>
      </c>
      <c r="Z92" s="90">
        <v>44260</v>
      </c>
      <c r="AA92" s="60">
        <v>44266</v>
      </c>
      <c r="AB92" s="48" t="s">
        <v>29</v>
      </c>
      <c r="AC92" s="51"/>
      <c r="AD92" s="51"/>
      <c r="AE92" s="52"/>
      <c r="AF92" s="53"/>
      <c r="AG92" s="48" t="s">
        <v>246</v>
      </c>
      <c r="AH92" s="48" t="s">
        <v>29</v>
      </c>
      <c r="AI92" s="48" t="s">
        <v>89</v>
      </c>
      <c r="AJ92" s="47" t="s">
        <v>70</v>
      </c>
      <c r="AK92" s="46"/>
      <c r="AL92" s="49" t="s">
        <v>595</v>
      </c>
      <c r="AM92" s="60">
        <v>44251</v>
      </c>
      <c r="AN92" s="60"/>
      <c r="AO92" s="48" t="s">
        <v>311</v>
      </c>
      <c r="AP92" s="60">
        <v>44251</v>
      </c>
      <c r="AQ92" s="60"/>
      <c r="AR92" s="48" t="s">
        <v>86</v>
      </c>
    </row>
    <row r="93" spans="1:44" hidden="1" x14ac:dyDescent="0.3">
      <c r="A93" s="44">
        <f>IF(E93 &lt;&gt; "",ROW(E93)-COUNTIF($E$3:E93,"")-2,"")</f>
        <v>91</v>
      </c>
      <c r="B93" s="188">
        <v>44316</v>
      </c>
      <c r="C93" s="188"/>
      <c r="D93" s="188"/>
      <c r="E93" s="44" t="s">
        <v>75</v>
      </c>
      <c r="F93" s="44" t="str">
        <f t="shared" si="4"/>
        <v>OMS</v>
      </c>
      <c r="G93" s="91" t="s">
        <v>701</v>
      </c>
      <c r="H93" s="103" t="s">
        <v>254</v>
      </c>
      <c r="I93" s="47"/>
      <c r="J93" s="48" t="s">
        <v>88</v>
      </c>
      <c r="K93" s="48" t="s">
        <v>88</v>
      </c>
      <c r="L93" s="111" t="s">
        <v>245</v>
      </c>
      <c r="M93" s="48" t="s">
        <v>149</v>
      </c>
      <c r="N93" s="48" t="s">
        <v>75</v>
      </c>
      <c r="O93" s="48" t="s">
        <v>182</v>
      </c>
      <c r="P93" s="48" t="s">
        <v>145</v>
      </c>
      <c r="Q93" s="48" t="s">
        <v>174</v>
      </c>
      <c r="R93" s="44" t="s">
        <v>28</v>
      </c>
      <c r="S93" s="44"/>
      <c r="T93" s="44"/>
      <c r="U93" s="44"/>
      <c r="V93" s="44"/>
      <c r="W93" s="60">
        <v>44253</v>
      </c>
      <c r="X93" s="60">
        <v>44267</v>
      </c>
      <c r="Y93" s="48" t="s">
        <v>89</v>
      </c>
      <c r="Z93" s="90">
        <v>44253</v>
      </c>
      <c r="AA93" s="60">
        <v>44270</v>
      </c>
      <c r="AB93" s="48" t="s">
        <v>29</v>
      </c>
      <c r="AC93" s="90">
        <v>44270</v>
      </c>
      <c r="AD93" s="90">
        <v>44270</v>
      </c>
      <c r="AE93" s="52"/>
      <c r="AF93" s="63"/>
      <c r="AG93" s="48" t="s">
        <v>306</v>
      </c>
      <c r="AH93" s="48" t="s">
        <v>29</v>
      </c>
      <c r="AI93" s="48" t="s">
        <v>89</v>
      </c>
      <c r="AJ93" s="47" t="s">
        <v>70</v>
      </c>
      <c r="AK93" s="46"/>
      <c r="AL93" s="49" t="s">
        <v>595</v>
      </c>
      <c r="AM93" s="60">
        <v>44252</v>
      </c>
      <c r="AN93" s="60"/>
      <c r="AO93" s="48" t="s">
        <v>334</v>
      </c>
      <c r="AP93" s="60">
        <v>44252</v>
      </c>
      <c r="AQ93" s="60"/>
      <c r="AR93" s="48" t="s">
        <v>86</v>
      </c>
    </row>
    <row r="94" spans="1:44" hidden="1" x14ac:dyDescent="0.3">
      <c r="A94" s="44">
        <f>IF(E94 &lt;&gt; "",ROW(E94)-COUNTIF($E$3:E94,"")-2,"")</f>
        <v>92</v>
      </c>
      <c r="B94" s="189">
        <v>44316</v>
      </c>
      <c r="C94" s="189"/>
      <c r="D94" s="189"/>
      <c r="E94" s="44" t="s">
        <v>360</v>
      </c>
      <c r="F94" s="44" t="str">
        <f t="shared" si="4"/>
        <v>WMS</v>
      </c>
      <c r="G94" s="93" t="s">
        <v>698</v>
      </c>
      <c r="H94" s="108" t="s">
        <v>414</v>
      </c>
      <c r="I94" s="55" t="s">
        <v>402</v>
      </c>
      <c r="J94" s="48" t="s">
        <v>149</v>
      </c>
      <c r="K94" s="48" t="s">
        <v>360</v>
      </c>
      <c r="L94" s="111" t="s">
        <v>361</v>
      </c>
      <c r="M94" s="48" t="s">
        <v>369</v>
      </c>
      <c r="N94" s="48" t="s">
        <v>369</v>
      </c>
      <c r="O94" s="48" t="s">
        <v>245</v>
      </c>
      <c r="P94" s="48" t="s">
        <v>356</v>
      </c>
      <c r="Q94" s="48" t="s">
        <v>174</v>
      </c>
      <c r="R94" s="48" t="s">
        <v>28</v>
      </c>
      <c r="S94" s="44"/>
      <c r="T94" s="48"/>
      <c r="U94" s="48"/>
      <c r="V94" s="48"/>
      <c r="W94" s="90">
        <v>44246</v>
      </c>
      <c r="X94" s="90">
        <v>44203</v>
      </c>
      <c r="Y94" s="48" t="s">
        <v>371</v>
      </c>
      <c r="Z94" s="90">
        <v>44246</v>
      </c>
      <c r="AA94" s="90">
        <v>44207</v>
      </c>
      <c r="AB94" s="48" t="s">
        <v>366</v>
      </c>
      <c r="AC94" s="90">
        <v>44207</v>
      </c>
      <c r="AD94" s="90">
        <v>44207</v>
      </c>
      <c r="AE94" s="48"/>
      <c r="AF94" s="53"/>
      <c r="AG94" s="48" t="s">
        <v>365</v>
      </c>
      <c r="AH94" s="48" t="s">
        <v>366</v>
      </c>
      <c r="AI94" s="48" t="s">
        <v>370</v>
      </c>
      <c r="AJ94" s="94" t="s">
        <v>104</v>
      </c>
      <c r="AL94" s="56" t="s">
        <v>93</v>
      </c>
      <c r="AM94" s="90">
        <v>44260</v>
      </c>
      <c r="AN94" s="90"/>
      <c r="AO94" s="48" t="s">
        <v>91</v>
      </c>
      <c r="AP94" s="90">
        <v>44260</v>
      </c>
      <c r="AQ94" s="90"/>
      <c r="AR94" s="48" t="s">
        <v>372</v>
      </c>
    </row>
    <row r="95" spans="1:44" x14ac:dyDescent="0.3">
      <c r="A95" s="44">
        <f>IF(E95 &lt;&gt; "",ROW(E95)-COUNTIF($E$3:E95,"")-2,"")</f>
        <v>93</v>
      </c>
      <c r="B95" s="188">
        <v>44316</v>
      </c>
      <c r="C95" s="188"/>
      <c r="D95" s="194"/>
      <c r="E95" s="44" t="s">
        <v>360</v>
      </c>
      <c r="F95" s="44" t="str">
        <f t="shared" si="4"/>
        <v>PRM</v>
      </c>
      <c r="G95" s="91" t="s">
        <v>659</v>
      </c>
      <c r="H95" s="104" t="s">
        <v>379</v>
      </c>
      <c r="I95" s="55"/>
      <c r="J95" s="48" t="s">
        <v>362</v>
      </c>
      <c r="K95" s="48" t="s">
        <v>363</v>
      </c>
      <c r="L95" s="111" t="s">
        <v>245</v>
      </c>
      <c r="M95" s="48" t="s">
        <v>149</v>
      </c>
      <c r="N95" s="48" t="s">
        <v>360</v>
      </c>
      <c r="O95" s="48" t="s">
        <v>361</v>
      </c>
      <c r="P95" s="48" t="s">
        <v>356</v>
      </c>
      <c r="Q95" s="48" t="s">
        <v>174</v>
      </c>
      <c r="R95" s="48" t="s">
        <v>28</v>
      </c>
      <c r="S95" s="44"/>
      <c r="T95" s="48"/>
      <c r="U95" s="48"/>
      <c r="V95" s="48"/>
      <c r="W95" s="90">
        <v>44253</v>
      </c>
      <c r="X95" s="90">
        <v>44258</v>
      </c>
      <c r="Y95" s="48" t="s">
        <v>89</v>
      </c>
      <c r="Z95" s="90">
        <v>44260</v>
      </c>
      <c r="AA95" s="90">
        <v>44259</v>
      </c>
      <c r="AB95" s="48" t="s">
        <v>366</v>
      </c>
      <c r="AC95" s="90">
        <v>44263</v>
      </c>
      <c r="AD95" s="90">
        <v>44263</v>
      </c>
      <c r="AE95" s="48"/>
      <c r="AF95" s="53"/>
      <c r="AG95" s="48" t="s">
        <v>367</v>
      </c>
      <c r="AH95" s="48" t="s">
        <v>366</v>
      </c>
      <c r="AI95" s="48" t="s">
        <v>89</v>
      </c>
      <c r="AJ95" s="94" t="s">
        <v>104</v>
      </c>
      <c r="AL95" s="49" t="s">
        <v>595</v>
      </c>
      <c r="AM95" s="90">
        <v>44260</v>
      </c>
      <c r="AN95" s="90"/>
      <c r="AO95" s="48"/>
      <c r="AP95" s="90">
        <v>44260</v>
      </c>
      <c r="AQ95" s="90"/>
      <c r="AR95" s="48" t="s">
        <v>86</v>
      </c>
    </row>
    <row r="96" spans="1:44" s="206" customFormat="1" x14ac:dyDescent="0.3">
      <c r="A96" s="197">
        <f>IF(E96 &lt;&gt; "",ROW(E96)-COUNTIF($E$3:E96,"")-2,"")</f>
        <v>94</v>
      </c>
      <c r="B96" s="212">
        <v>44301</v>
      </c>
      <c r="C96" s="212">
        <v>44305</v>
      </c>
      <c r="D96" s="212"/>
      <c r="E96" s="197" t="s">
        <v>360</v>
      </c>
      <c r="F96" s="197" t="str">
        <f t="shared" si="4"/>
        <v>PRM</v>
      </c>
      <c r="G96" s="209" t="s">
        <v>573</v>
      </c>
      <c r="H96" s="157" t="s">
        <v>438</v>
      </c>
      <c r="I96" s="199" t="s">
        <v>457</v>
      </c>
      <c r="J96" s="200" t="s">
        <v>149</v>
      </c>
      <c r="K96" s="200" t="s">
        <v>360</v>
      </c>
      <c r="L96" s="201" t="s">
        <v>361</v>
      </c>
      <c r="M96" s="200" t="s">
        <v>362</v>
      </c>
      <c r="N96" s="200" t="s">
        <v>363</v>
      </c>
      <c r="O96" s="200" t="s">
        <v>364</v>
      </c>
      <c r="P96" s="200" t="s">
        <v>356</v>
      </c>
      <c r="Q96" s="200" t="s">
        <v>174</v>
      </c>
      <c r="R96" s="200" t="s">
        <v>28</v>
      </c>
      <c r="S96" s="197"/>
      <c r="T96" s="200"/>
      <c r="U96" s="200"/>
      <c r="V96" s="200"/>
      <c r="W96" s="202">
        <v>44253</v>
      </c>
      <c r="X96" s="202">
        <v>44203</v>
      </c>
      <c r="Y96" s="200" t="s">
        <v>365</v>
      </c>
      <c r="Z96" s="202">
        <v>44245</v>
      </c>
      <c r="AA96" s="202">
        <v>44204</v>
      </c>
      <c r="AB96" s="200" t="s">
        <v>366</v>
      </c>
      <c r="AC96" s="202">
        <v>44224</v>
      </c>
      <c r="AD96" s="202">
        <v>44224</v>
      </c>
      <c r="AE96" s="200"/>
      <c r="AF96" s="204"/>
      <c r="AG96" s="200" t="s">
        <v>365</v>
      </c>
      <c r="AH96" s="200" t="s">
        <v>366</v>
      </c>
      <c r="AI96" s="200" t="s">
        <v>367</v>
      </c>
      <c r="AJ96" s="94" t="s">
        <v>70</v>
      </c>
      <c r="AK96" s="21"/>
      <c r="AL96" s="205" t="s">
        <v>93</v>
      </c>
      <c r="AM96" s="202">
        <v>44260</v>
      </c>
      <c r="AN96" s="202"/>
      <c r="AO96" s="200" t="s">
        <v>373</v>
      </c>
      <c r="AP96" s="202">
        <v>44260</v>
      </c>
      <c r="AQ96" s="202"/>
      <c r="AR96" s="200"/>
    </row>
    <row r="97" spans="1:44" hidden="1" x14ac:dyDescent="0.3">
      <c r="A97" s="44">
        <f>IF(E97 &lt;&gt; "",ROW(E97)-COUNTIF($E$3:E97,"")-2,"")</f>
        <v>95</v>
      </c>
      <c r="B97" s="190">
        <v>44316</v>
      </c>
      <c r="C97" s="190"/>
      <c r="D97" s="190"/>
      <c r="E97" s="44" t="s">
        <v>360</v>
      </c>
      <c r="F97" s="44" t="str">
        <f t="shared" si="4"/>
        <v>OMS</v>
      </c>
      <c r="G97" s="91" t="s">
        <v>716</v>
      </c>
      <c r="H97" s="104" t="s">
        <v>597</v>
      </c>
      <c r="I97" s="55" t="s">
        <v>590</v>
      </c>
      <c r="J97" s="48" t="s">
        <v>374</v>
      </c>
      <c r="K97" s="48" t="s">
        <v>374</v>
      </c>
      <c r="L97" s="111" t="s">
        <v>563</v>
      </c>
      <c r="M97" s="48" t="s">
        <v>149</v>
      </c>
      <c r="N97" s="48" t="s">
        <v>360</v>
      </c>
      <c r="O97" s="48" t="s">
        <v>361</v>
      </c>
      <c r="P97" s="48" t="s">
        <v>592</v>
      </c>
      <c r="Q97" s="44" t="s">
        <v>171</v>
      </c>
      <c r="R97" s="48" t="s">
        <v>28</v>
      </c>
      <c r="S97" s="44"/>
      <c r="T97" s="48"/>
      <c r="U97" s="48"/>
      <c r="V97" s="48"/>
      <c r="W97" s="90">
        <v>44253</v>
      </c>
      <c r="X97" s="90">
        <v>44224</v>
      </c>
      <c r="Y97" s="48" t="s">
        <v>89</v>
      </c>
      <c r="Z97" s="90">
        <v>44260</v>
      </c>
      <c r="AA97" s="90">
        <v>44228</v>
      </c>
      <c r="AB97" s="48" t="s">
        <v>366</v>
      </c>
      <c r="AC97" s="90"/>
      <c r="AD97" s="90"/>
      <c r="AE97" s="48"/>
      <c r="AF97" s="53"/>
      <c r="AG97" s="48" t="s">
        <v>375</v>
      </c>
      <c r="AH97" s="48" t="s">
        <v>366</v>
      </c>
      <c r="AI97" s="48" t="s">
        <v>89</v>
      </c>
      <c r="AJ97" s="94" t="s">
        <v>70</v>
      </c>
      <c r="AL97" s="56" t="s">
        <v>595</v>
      </c>
      <c r="AM97" s="90">
        <v>44260</v>
      </c>
      <c r="AN97" s="90"/>
      <c r="AO97" s="48" t="s">
        <v>387</v>
      </c>
      <c r="AP97" s="90">
        <v>44260</v>
      </c>
      <c r="AQ97" s="90"/>
      <c r="AR97" s="48" t="s">
        <v>86</v>
      </c>
    </row>
    <row r="98" spans="1:44" s="206" customFormat="1" x14ac:dyDescent="0.3">
      <c r="A98" s="197">
        <f>IF(E98 &lt;&gt; "",ROW(E98)-COUNTIF($E$3:E98,"")-2,"")</f>
        <v>96</v>
      </c>
      <c r="B98" s="212">
        <v>44301</v>
      </c>
      <c r="C98" s="212">
        <v>44306</v>
      </c>
      <c r="D98" s="212"/>
      <c r="E98" s="197" t="s">
        <v>360</v>
      </c>
      <c r="F98" s="197" t="str">
        <f t="shared" si="4"/>
        <v>PRM</v>
      </c>
      <c r="G98" s="209" t="s">
        <v>574</v>
      </c>
      <c r="H98" s="157" t="s">
        <v>439</v>
      </c>
      <c r="I98" s="199" t="s">
        <v>458</v>
      </c>
      <c r="J98" s="200" t="s">
        <v>149</v>
      </c>
      <c r="K98" s="200" t="s">
        <v>53</v>
      </c>
      <c r="L98" s="201" t="s">
        <v>285</v>
      </c>
      <c r="M98" s="200" t="s">
        <v>420</v>
      </c>
      <c r="N98" s="200" t="s">
        <v>269</v>
      </c>
      <c r="O98" s="200" t="s">
        <v>287</v>
      </c>
      <c r="P98" s="200" t="s">
        <v>356</v>
      </c>
      <c r="Q98" s="200" t="s">
        <v>174</v>
      </c>
      <c r="R98" s="200" t="s">
        <v>28</v>
      </c>
      <c r="S98" s="197"/>
      <c r="T98" s="200"/>
      <c r="U98" s="200"/>
      <c r="V98" s="200"/>
      <c r="W98" s="202">
        <v>44253</v>
      </c>
      <c r="X98" s="202">
        <v>44203</v>
      </c>
      <c r="Y98" s="200" t="s">
        <v>421</v>
      </c>
      <c r="Z98" s="202">
        <v>44245</v>
      </c>
      <c r="AA98" s="202">
        <v>44204</v>
      </c>
      <c r="AB98" s="200" t="s">
        <v>114</v>
      </c>
      <c r="AC98" s="202">
        <v>44224</v>
      </c>
      <c r="AD98" s="202">
        <v>44224</v>
      </c>
      <c r="AE98" s="200"/>
      <c r="AF98" s="204"/>
      <c r="AG98" s="200" t="s">
        <v>421</v>
      </c>
      <c r="AH98" s="200" t="s">
        <v>114</v>
      </c>
      <c r="AI98" s="200" t="s">
        <v>422</v>
      </c>
      <c r="AJ98" s="94" t="s">
        <v>70</v>
      </c>
      <c r="AK98" s="21"/>
      <c r="AL98" s="205" t="s">
        <v>93</v>
      </c>
      <c r="AM98" s="202">
        <v>44260</v>
      </c>
      <c r="AN98" s="202"/>
      <c r="AO98" s="200" t="s">
        <v>423</v>
      </c>
      <c r="AP98" s="202">
        <v>44260</v>
      </c>
      <c r="AQ98" s="202"/>
      <c r="AR98" s="200"/>
    </row>
    <row r="99" spans="1:44" hidden="1" x14ac:dyDescent="0.3">
      <c r="A99" s="44">
        <f>IF(E99 &lt;&gt; "",ROW(E99)-COUNTIF($E$3:E99,"")-2,"")</f>
        <v>97</v>
      </c>
      <c r="B99" s="190">
        <v>44316</v>
      </c>
      <c r="C99" s="190"/>
      <c r="D99" s="190"/>
      <c r="E99" s="44" t="s">
        <v>360</v>
      </c>
      <c r="F99" s="44" t="str">
        <f t="shared" si="4"/>
        <v>OMS</v>
      </c>
      <c r="G99" s="91" t="s">
        <v>384</v>
      </c>
      <c r="H99" s="110" t="s">
        <v>663</v>
      </c>
      <c r="I99" s="55" t="s">
        <v>520</v>
      </c>
      <c r="J99" s="48" t="s">
        <v>374</v>
      </c>
      <c r="K99" s="48" t="s">
        <v>374</v>
      </c>
      <c r="L99" s="111" t="s">
        <v>245</v>
      </c>
      <c r="M99" s="48" t="s">
        <v>149</v>
      </c>
      <c r="N99" s="48" t="s">
        <v>360</v>
      </c>
      <c r="O99" s="48" t="s">
        <v>361</v>
      </c>
      <c r="P99" s="48" t="s">
        <v>356</v>
      </c>
      <c r="Q99" s="48" t="s">
        <v>174</v>
      </c>
      <c r="R99" s="48" t="s">
        <v>28</v>
      </c>
      <c r="S99" s="44"/>
      <c r="T99" s="48"/>
      <c r="U99" s="48"/>
      <c r="V99" s="48"/>
      <c r="W99" s="90">
        <v>44253</v>
      </c>
      <c r="X99" s="90">
        <v>44259</v>
      </c>
      <c r="Y99" s="48" t="s">
        <v>89</v>
      </c>
      <c r="Z99" s="90">
        <v>44260</v>
      </c>
      <c r="AA99" s="90">
        <v>44260</v>
      </c>
      <c r="AB99" s="48" t="s">
        <v>376</v>
      </c>
      <c r="AC99" s="90">
        <v>44263</v>
      </c>
      <c r="AD99" s="90">
        <v>44263</v>
      </c>
      <c r="AE99" s="48"/>
      <c r="AF99" s="53"/>
      <c r="AG99" s="48" t="s">
        <v>375</v>
      </c>
      <c r="AH99" s="48" t="s">
        <v>366</v>
      </c>
      <c r="AI99" s="48" t="s">
        <v>89</v>
      </c>
      <c r="AJ99" s="94" t="s">
        <v>70</v>
      </c>
      <c r="AL99" s="56" t="s">
        <v>595</v>
      </c>
      <c r="AM99" s="90">
        <v>44260</v>
      </c>
      <c r="AN99" s="90"/>
      <c r="AO99" s="48" t="s">
        <v>387</v>
      </c>
      <c r="AP99" s="90">
        <v>44260</v>
      </c>
      <c r="AQ99" s="90"/>
      <c r="AR99" s="48" t="s">
        <v>86</v>
      </c>
    </row>
    <row r="100" spans="1:44" hidden="1" x14ac:dyDescent="0.3">
      <c r="A100" s="44">
        <f>IF(E100 &lt;&gt; "",ROW(E100)-COUNTIF($E$3:E100,"")-2,"")</f>
        <v>98</v>
      </c>
      <c r="B100" s="190">
        <v>44316</v>
      </c>
      <c r="C100" s="190"/>
      <c r="D100" s="190"/>
      <c r="E100" s="44" t="s">
        <v>360</v>
      </c>
      <c r="F100" s="44" t="str">
        <f t="shared" ref="F100" si="6">IF(LEFT(J100,3)="ERP",M100,J100)</f>
        <v>OMS</v>
      </c>
      <c r="G100" s="91" t="s">
        <v>385</v>
      </c>
      <c r="H100" s="110" t="s">
        <v>612</v>
      </c>
      <c r="I100" s="55" t="s">
        <v>614</v>
      </c>
      <c r="J100" s="48" t="s">
        <v>270</v>
      </c>
      <c r="K100" s="48" t="s">
        <v>270</v>
      </c>
      <c r="L100" s="111" t="s">
        <v>245</v>
      </c>
      <c r="M100" s="48" t="s">
        <v>149</v>
      </c>
      <c r="N100" s="48" t="s">
        <v>53</v>
      </c>
      <c r="O100" s="48" t="s">
        <v>285</v>
      </c>
      <c r="P100" s="48" t="s">
        <v>356</v>
      </c>
      <c r="Q100" s="48" t="s">
        <v>174</v>
      </c>
      <c r="R100" s="48" t="s">
        <v>28</v>
      </c>
      <c r="S100" s="44"/>
      <c r="T100" s="48"/>
      <c r="U100" s="48"/>
      <c r="V100" s="48"/>
      <c r="W100" s="90">
        <v>44245</v>
      </c>
      <c r="X100" s="90">
        <v>44228</v>
      </c>
      <c r="Y100" s="48" t="s">
        <v>89</v>
      </c>
      <c r="Z100" s="90">
        <v>44246</v>
      </c>
      <c r="AA100" s="90">
        <v>44229</v>
      </c>
      <c r="AB100" s="48" t="s">
        <v>376</v>
      </c>
      <c r="AC100" s="90">
        <v>44236</v>
      </c>
      <c r="AD100" s="90">
        <v>44236</v>
      </c>
      <c r="AE100" s="48"/>
      <c r="AF100" s="53"/>
      <c r="AG100" s="48" t="s">
        <v>375</v>
      </c>
      <c r="AH100" s="48" t="s">
        <v>366</v>
      </c>
      <c r="AI100" s="48" t="s">
        <v>89</v>
      </c>
      <c r="AJ100" s="94" t="s">
        <v>70</v>
      </c>
      <c r="AL100" s="56" t="s">
        <v>93</v>
      </c>
      <c r="AM100" s="90">
        <v>44260</v>
      </c>
      <c r="AN100" s="90"/>
      <c r="AO100" s="48" t="s">
        <v>388</v>
      </c>
      <c r="AP100" s="90">
        <v>44260</v>
      </c>
      <c r="AQ100" s="90"/>
      <c r="AR100" s="48" t="s">
        <v>86</v>
      </c>
    </row>
    <row r="101" spans="1:44" hidden="1" x14ac:dyDescent="0.3">
      <c r="A101" s="44">
        <f>IF(E101 &lt;&gt; "",ROW(E101)-COUNTIF($E$3:E101,"")-2,"")</f>
        <v>99</v>
      </c>
      <c r="B101" s="191">
        <v>44316</v>
      </c>
      <c r="C101" s="191"/>
      <c r="D101" s="191"/>
      <c r="E101" s="159" t="s">
        <v>360</v>
      </c>
      <c r="F101" s="159" t="str">
        <f t="shared" si="4"/>
        <v>OMS</v>
      </c>
      <c r="G101" s="161" t="s">
        <v>650</v>
      </c>
      <c r="H101" s="162" t="s">
        <v>692</v>
      </c>
      <c r="I101" s="163" t="s">
        <v>614</v>
      </c>
      <c r="J101" s="164" t="s">
        <v>270</v>
      </c>
      <c r="K101" s="164" t="s">
        <v>270</v>
      </c>
      <c r="L101" s="165" t="s">
        <v>245</v>
      </c>
      <c r="M101" s="164" t="s">
        <v>149</v>
      </c>
      <c r="N101" s="164" t="s">
        <v>53</v>
      </c>
      <c r="O101" s="164" t="s">
        <v>285</v>
      </c>
      <c r="P101" s="164" t="s">
        <v>356</v>
      </c>
      <c r="Q101" s="164" t="s">
        <v>174</v>
      </c>
      <c r="R101" s="164" t="s">
        <v>28</v>
      </c>
      <c r="S101" s="159"/>
      <c r="T101" s="164"/>
      <c r="U101" s="164"/>
      <c r="V101" s="164"/>
      <c r="W101" s="166">
        <v>44267</v>
      </c>
      <c r="X101" s="166">
        <v>44266</v>
      </c>
      <c r="Y101" s="164" t="s">
        <v>89</v>
      </c>
      <c r="Z101" s="166">
        <v>44274</v>
      </c>
      <c r="AA101" s="166">
        <v>44267</v>
      </c>
      <c r="AB101" s="164" t="s">
        <v>376</v>
      </c>
      <c r="AC101" s="166">
        <v>44267</v>
      </c>
      <c r="AD101" s="166">
        <v>44267</v>
      </c>
      <c r="AE101" s="164"/>
      <c r="AF101" s="167"/>
      <c r="AG101" s="164" t="s">
        <v>375</v>
      </c>
      <c r="AH101" s="164" t="s">
        <v>366</v>
      </c>
      <c r="AI101" s="164" t="s">
        <v>89</v>
      </c>
      <c r="AJ101" s="168" t="s">
        <v>70</v>
      </c>
      <c r="AL101" s="160" t="s">
        <v>651</v>
      </c>
      <c r="AM101" s="166">
        <v>44267</v>
      </c>
      <c r="AN101" s="166"/>
      <c r="AO101" s="164" t="s">
        <v>388</v>
      </c>
      <c r="AP101" s="166">
        <v>44267</v>
      </c>
      <c r="AQ101" s="166"/>
      <c r="AR101" s="164" t="s">
        <v>86</v>
      </c>
    </row>
    <row r="102" spans="1:44" x14ac:dyDescent="0.3">
      <c r="A102" s="44">
        <f>IF(E102 &lt;&gt; "",ROW(E102)-COUNTIF($E$3:E102,"")-2,"")</f>
        <v>100</v>
      </c>
      <c r="B102" s="190">
        <v>44316</v>
      </c>
      <c r="C102" s="190"/>
      <c r="D102" s="195"/>
      <c r="E102" s="44" t="s">
        <v>349</v>
      </c>
      <c r="F102" s="44" t="s">
        <v>248</v>
      </c>
      <c r="G102" s="91" t="s">
        <v>668</v>
      </c>
      <c r="H102" s="131" t="s">
        <v>705</v>
      </c>
      <c r="I102" s="55" t="s">
        <v>724</v>
      </c>
      <c r="J102" s="48" t="s">
        <v>149</v>
      </c>
      <c r="K102" s="48" t="s">
        <v>53</v>
      </c>
      <c r="L102" s="48" t="s">
        <v>285</v>
      </c>
      <c r="M102" s="48" t="s">
        <v>76</v>
      </c>
      <c r="N102" s="48" t="s">
        <v>77</v>
      </c>
      <c r="O102" s="48" t="s">
        <v>183</v>
      </c>
      <c r="P102" s="48" t="s">
        <v>356</v>
      </c>
      <c r="Q102" s="48" t="s">
        <v>174</v>
      </c>
      <c r="R102" s="48"/>
      <c r="S102" s="44"/>
      <c r="T102" s="48"/>
      <c r="U102" s="48"/>
      <c r="V102" s="48"/>
      <c r="W102" s="90">
        <v>44278</v>
      </c>
      <c r="X102" s="90">
        <v>44278</v>
      </c>
      <c r="Y102" s="48" t="s">
        <v>85</v>
      </c>
      <c r="Z102" s="90">
        <v>44278</v>
      </c>
      <c r="AA102" s="90">
        <v>44278</v>
      </c>
      <c r="AB102" s="48" t="s">
        <v>79</v>
      </c>
      <c r="AC102" s="90">
        <v>44278</v>
      </c>
      <c r="AD102" s="90">
        <v>44278</v>
      </c>
      <c r="AE102" s="48"/>
      <c r="AF102" s="53"/>
      <c r="AG102" s="48"/>
      <c r="AH102" s="48"/>
      <c r="AI102" s="48"/>
      <c r="AJ102" s="94"/>
      <c r="AK102" s="94"/>
      <c r="AL102" s="56"/>
      <c r="AM102" s="90"/>
      <c r="AN102" s="90"/>
      <c r="AO102" s="48"/>
      <c r="AP102" s="90"/>
      <c r="AQ102" s="90"/>
      <c r="AR102" s="48"/>
    </row>
    <row r="103" spans="1:44" x14ac:dyDescent="0.3">
      <c r="A103" s="44">
        <f>IF(E103 &lt;&gt; "",ROW(E103)-COUNTIF($E$3:E103,"")-2,"")</f>
        <v>101</v>
      </c>
      <c r="B103" s="190">
        <v>44312</v>
      </c>
      <c r="C103" s="190"/>
      <c r="D103" s="195"/>
      <c r="E103" s="44" t="s">
        <v>670</v>
      </c>
      <c r="F103" s="44" t="s">
        <v>671</v>
      </c>
      <c r="G103" s="91" t="s">
        <v>717</v>
      </c>
      <c r="H103" s="131" t="s">
        <v>712</v>
      </c>
      <c r="I103" s="55"/>
      <c r="J103" s="48" t="s">
        <v>149</v>
      </c>
      <c r="K103" s="48" t="s">
        <v>53</v>
      </c>
      <c r="L103" s="48" t="s">
        <v>285</v>
      </c>
      <c r="M103" s="48" t="s">
        <v>76</v>
      </c>
      <c r="N103" s="48" t="s">
        <v>77</v>
      </c>
      <c r="O103" s="48" t="s">
        <v>669</v>
      </c>
      <c r="P103" s="48" t="s">
        <v>356</v>
      </c>
      <c r="Q103" s="48" t="s">
        <v>174</v>
      </c>
      <c r="R103" s="48"/>
      <c r="S103" s="44"/>
      <c r="T103" s="48"/>
      <c r="U103" s="48"/>
      <c r="V103" s="48"/>
      <c r="W103" s="90"/>
      <c r="X103" s="90"/>
      <c r="Y103" s="48" t="s">
        <v>713</v>
      </c>
      <c r="Z103" s="90"/>
      <c r="AA103" s="90"/>
      <c r="AB103" s="48"/>
      <c r="AC103" s="90"/>
      <c r="AD103" s="90"/>
      <c r="AE103" s="48"/>
      <c r="AF103" s="53"/>
      <c r="AG103" s="48"/>
      <c r="AH103" s="48"/>
      <c r="AI103" s="48"/>
      <c r="AJ103" s="94"/>
      <c r="AK103" s="94"/>
      <c r="AL103" s="56"/>
      <c r="AM103" s="90"/>
      <c r="AN103" s="90"/>
      <c r="AO103" s="48"/>
      <c r="AP103" s="90"/>
      <c r="AQ103" s="90"/>
      <c r="AR103" s="48"/>
    </row>
    <row r="104" spans="1:44" hidden="1" x14ac:dyDescent="0.3">
      <c r="A104" s="44">
        <f>IF(E104 &lt;&gt; "",ROW(E104)-COUNTIF($E$3:E104,"")-2,"")</f>
        <v>102</v>
      </c>
      <c r="B104" s="192">
        <v>44317</v>
      </c>
      <c r="C104" s="192"/>
      <c r="D104" s="192"/>
      <c r="E104" s="44" t="s">
        <v>165</v>
      </c>
      <c r="F104" s="44">
        <f>IF(LEFT(J104,3)="ERP",M104,J104)</f>
        <v>0</v>
      </c>
      <c r="G104" s="91" t="s">
        <v>732</v>
      </c>
      <c r="H104" s="131" t="s">
        <v>733</v>
      </c>
      <c r="I104" s="47"/>
      <c r="AG104" s="52" t="s">
        <v>736</v>
      </c>
      <c r="AH104" s="52" t="s">
        <v>737</v>
      </c>
      <c r="AI104" s="52" t="s">
        <v>738</v>
      </c>
      <c r="AL104" s="56" t="s">
        <v>179</v>
      </c>
      <c r="AM104" s="52"/>
      <c r="AN104" s="52"/>
      <c r="AO104" s="52"/>
      <c r="AP104" s="52"/>
      <c r="AQ104" s="52"/>
      <c r="AR104" s="52"/>
    </row>
  </sheetData>
  <autoFilter ref="A2:AR104" xr:uid="{00000000-0009-0000-0000-000002000000}">
    <filterColumn colId="5">
      <filters>
        <filter val="PRM"/>
      </filters>
    </filterColumn>
  </autoFilter>
  <dataConsolidate/>
  <customSheetViews>
    <customSheetView guid="{94F6EF88-F3F3-4147-A0A6-D7D872310F87}" showGridLines="0" filter="1" showAutoFilter="1" hiddenColumns="1">
      <pane xSplit="16" ySplit="4" topLeftCell="Q6" activePane="bottomRight" state="frozen"/>
      <selection pane="bottomRight" activeCell="H109" sqref="H109"/>
      <pageMargins left="0.23622047244094491" right="0.23622047244094491" top="0.39370078740157483" bottom="0.43307086614173229" header="0.15748031496062992" footer="0.15748031496062992"/>
      <pageSetup paperSize="9" scale="65" orientation="landscape" r:id="rId1"/>
      <headerFooter>
        <oddFooter>&amp;R&amp;P/&amp;N</oddFooter>
      </headerFooter>
      <autoFilter ref="A2:AR104" xr:uid="{00000000-0009-0000-0000-000002000000}">
        <filterColumn colId="5">
          <filters>
            <filter val="PRM"/>
          </filters>
        </filterColumn>
      </autoFilter>
    </customSheetView>
    <customSheetView guid="{8743E475-82A8-40E3-A89F-2D0E584F91E0}" showGridLines="0" filter="1" showAutoFilter="1" hiddenColumns="1">
      <pane xSplit="15.140625" ySplit="4" topLeftCell="Q6" activePane="bottomRight" state="frozen"/>
      <selection pane="bottomRight" activeCell="C2" sqref="C2"/>
      <pageMargins left="0.23622047244094491" right="0.23622047244094491" top="0.39370078740157483" bottom="0.43307086614173229" header="0.15748031496062992" footer="0.15748031496062992"/>
      <pageSetup paperSize="9" scale="65" orientation="landscape" r:id="rId2"/>
      <headerFooter>
        <oddFooter>&amp;R&amp;P/&amp;N</oddFooter>
      </headerFooter>
      <autoFilter ref="A2:AQ104" xr:uid="{00000000-0000-0000-0000-000000000000}">
        <filterColumn colId="4">
          <filters>
            <filter val="PRM"/>
          </filters>
        </filterColumn>
      </autoFilter>
    </customSheetView>
    <customSheetView guid="{7AA70812-ECD5-46F1-9429-36F5BE8AAEE9}" showGridLines="0" filter="1" showAutoFilter="1" hiddenColumns="1">
      <selection activeCell="G114" sqref="G114"/>
      <pageMargins left="0.23622047244094491" right="0.23622047244094491" top="0.39370078740157483" bottom="0.43307086614173229" header="0.15748031496062992" footer="0.15748031496062992"/>
      <pageSetup paperSize="9" scale="65" orientation="landscape" r:id="rId3"/>
      <headerFooter>
        <oddFooter>&amp;R&amp;P/&amp;N</oddFooter>
      </headerFooter>
      <autoFilter ref="A2:AP103" xr:uid="{00000000-0000-0000-0000-000000000000}">
        <filterColumn colId="2">
          <filters>
            <filter val="FI"/>
          </filters>
        </filterColumn>
      </autoFilter>
    </customSheetView>
    <customSheetView guid="{D15C44AF-0188-43AD-85C3-723784A3432F}" showGridLines="0" showAutoFilter="1" hiddenColumns="1">
      <pane xSplit="6" ySplit="2" topLeftCell="G3" activePane="bottomRight" state="frozen"/>
      <selection pane="bottomRight" activeCell="G5" sqref="G5"/>
      <pageMargins left="0.23622047244094491" right="0.23622047244094491" top="0.39370078740157483" bottom="0.43307086614173229" header="0.15748031496062992" footer="0.15748031496062992"/>
      <pageSetup paperSize="9" scale="65" orientation="landscape" r:id="rId4"/>
      <headerFooter>
        <oddFooter>&amp;R&amp;P/&amp;N</oddFooter>
      </headerFooter>
      <autoFilter ref="A2:AP103" xr:uid="{00000000-0000-0000-0000-000000000000}"/>
    </customSheetView>
    <customSheetView guid="{9C42C749-E16E-4DC0-991F-1D38A2D3BBE1}" scale="130" showGridLines="0" showAutoFilter="1" hiddenColumns="1">
      <selection activeCell="B2" sqref="B2"/>
      <pageMargins left="0.23622047244094491" right="0.23622047244094491" top="0.39370078740157483" bottom="0.43307086614173229" header="0.15748031496062992" footer="0.15748031496062992"/>
      <pageSetup paperSize="9" scale="65" orientation="landscape" r:id="rId5"/>
      <headerFooter>
        <oddFooter>&amp;R&amp;P/&amp;N</oddFooter>
      </headerFooter>
      <autoFilter ref="A2:AR102" xr:uid="{00000000-0000-0000-0000-000000000000}"/>
    </customSheetView>
    <customSheetView guid="{53F47E00-189D-4661-B9AF-1164B563763A}" showGridLines="0" filter="1" showAutoFilter="1" hiddenColumns="1" topLeftCell="A64">
      <selection activeCell="I93" sqref="I93"/>
      <pageMargins left="0.23622047244094491" right="0.23622047244094491" top="0.39370078740157483" bottom="0.43307086614173229" header="0.15748031496062992" footer="0.15748031496062992"/>
      <pageSetup paperSize="9" scale="65" orientation="landscape" r:id="rId6"/>
      <headerFooter>
        <oddFooter>&amp;R&amp;P/&amp;N</oddFooter>
      </headerFooter>
      <autoFilter ref="A2:AE97" xr:uid="{00000000-0000-0000-0000-000000000000}">
        <filterColumn colId="4">
          <filters>
            <filter val="SD"/>
          </filters>
        </filterColumn>
      </autoFilter>
    </customSheetView>
    <customSheetView guid="{CEA4BE4F-081E-4347-B6DC-7D60391B2BEE}" showGridLines="0" showAutoFilter="1" hiddenColumns="1" topLeftCell="J1">
      <pane xSplit="13" ySplit="1" topLeftCell="X2" activePane="bottomRight" state="frozen"/>
      <selection pane="bottomRight" activeCell="S8" sqref="S8"/>
      <pageMargins left="0.23622047244094491" right="0.23622047244094491" top="0.39370078740157483" bottom="0.43307086614173229" header="0.15748031496062992" footer="0.15748031496062992"/>
      <pageSetup paperSize="9" scale="65" orientation="landscape" r:id="rId7"/>
      <headerFooter>
        <oddFooter>&amp;R&amp;P/&amp;N</oddFooter>
      </headerFooter>
      <autoFilter ref="A2:AX94" xr:uid="{00000000-0000-0000-0000-000000000000}"/>
    </customSheetView>
    <customSheetView guid="{D096FF35-542B-4691-BEFD-FD1E12D459D4}" showGridLines="0" showAutoFilter="1" hiddenColumns="1">
      <pane xSplit="8" ySplit="2" topLeftCell="P27" activePane="bottomRight" state="frozen"/>
      <selection pane="bottomRight" activeCell="W41" sqref="W41"/>
      <pageMargins left="0.23622047244094491" right="0.23622047244094491" top="0.39370078740157483" bottom="0.43307086614173229" header="0.15748031496062992" footer="0.15748031496062992"/>
      <pageSetup paperSize="9" scale="65" orientation="landscape" r:id="rId8"/>
      <headerFooter>
        <oddFooter>&amp;R&amp;P/&amp;N</oddFooter>
      </headerFooter>
      <autoFilter ref="A2:AR102" xr:uid="{00000000-0000-0000-0000-000000000000}"/>
    </customSheetView>
    <customSheetView guid="{B32DF6D4-B4FC-4D21-932F-8389C8D7FEB3}" showGridLines="0" showAutoFilter="1" hiddenColumns="1">
      <pane xSplit="6" ySplit="2" topLeftCell="G3" activePane="bottomRight" state="frozen"/>
      <selection pane="bottomRight" activeCell="E9" sqref="E9"/>
      <pageMargins left="0.23622047244094491" right="0.23622047244094491" top="0.39370078740157483" bottom="0.43307086614173229" header="0.15748031496062992" footer="0.15748031496062992"/>
      <pageSetup paperSize="9" scale="65" orientation="landscape" r:id="rId9"/>
      <headerFooter>
        <oddFooter>&amp;R&amp;P/&amp;N</oddFooter>
      </headerFooter>
      <autoFilter ref="A2:AP103" xr:uid="{00000000-0000-0000-0000-000000000000}"/>
    </customSheetView>
    <customSheetView guid="{8469C684-BE99-40EE-BB9E-2CBDA6F12C64}" showGridLines="0" showAutoFilter="1" hiddenColumns="1" topLeftCell="E1">
      <selection activeCell="F9" sqref="F9"/>
      <pageMargins left="0.23622047244094491" right="0.23622047244094491" top="0.39370078740157483" bottom="0.43307086614173229" header="0.15748031496062992" footer="0.15748031496062992"/>
      <pageSetup paperSize="9" scale="65" orientation="landscape" r:id="rId10"/>
      <headerFooter>
        <oddFooter>&amp;R&amp;P/&amp;N</oddFooter>
      </headerFooter>
      <autoFilter ref="A2:AP103" xr:uid="{00000000-0000-0000-0000-000000000000}"/>
    </customSheetView>
  </customSheetViews>
  <mergeCells count="10">
    <mergeCell ref="A1:H1"/>
    <mergeCell ref="Z1:AB1"/>
    <mergeCell ref="AP1:AR1"/>
    <mergeCell ref="AM1:AO1"/>
    <mergeCell ref="AJ1:AK1"/>
    <mergeCell ref="AG1:AI1"/>
    <mergeCell ref="P1:U1"/>
    <mergeCell ref="W1:Y1"/>
    <mergeCell ref="J1:L1"/>
    <mergeCell ref="M1:O1"/>
  </mergeCells>
  <phoneticPr fontId="1" type="noConversion"/>
  <conditionalFormatting sqref="E3:F105">
    <cfRule type="expression" dxfId="10" priority="12">
      <formula>$AC3 &lt;&gt; ""</formula>
    </cfRule>
    <cfRule type="expression" dxfId="9" priority="15">
      <formula>$AD3 &lt;&gt; ""</formula>
    </cfRule>
    <cfRule type="expression" dxfId="8" priority="16">
      <formula>$AA3 &lt;&gt; ""</formula>
    </cfRule>
  </conditionalFormatting>
  <conditionalFormatting sqref="J3:L8 J12:L36 J38:L65 J67:L104">
    <cfRule type="expression" dxfId="7" priority="14">
      <formula>$J3 = "ERP"</formula>
    </cfRule>
  </conditionalFormatting>
  <conditionalFormatting sqref="M3:O8 M12:O36 M38:O65 M67:O103">
    <cfRule type="expression" dxfId="6" priority="13">
      <formula>$M3 = "ERP"</formula>
    </cfRule>
  </conditionalFormatting>
  <conditionalFormatting sqref="M66:O66">
    <cfRule type="expression" dxfId="5" priority="8">
      <formula>$M66 = "ERP"</formula>
    </cfRule>
  </conditionalFormatting>
  <conditionalFormatting sqref="J66:L66">
    <cfRule type="expression" dxfId="4" priority="6">
      <formula>$J66 = "ERP"</formula>
    </cfRule>
  </conditionalFormatting>
  <conditionalFormatting sqref="J9:L11">
    <cfRule type="expression" dxfId="3" priority="5">
      <formula>$M9 = "ERP"</formula>
    </cfRule>
  </conditionalFormatting>
  <conditionalFormatting sqref="M9:O11">
    <cfRule type="expression" dxfId="2" priority="3">
      <formula>$M9 = "ERP"</formula>
    </cfRule>
  </conditionalFormatting>
  <conditionalFormatting sqref="J37:L37">
    <cfRule type="expression" dxfId="1" priority="2">
      <formula>$J37 = "ERP"</formula>
    </cfRule>
  </conditionalFormatting>
  <conditionalFormatting sqref="M37:O37">
    <cfRule type="expression" dxfId="0" priority="1">
      <formula>$M37 = "ERP"</formula>
    </cfRule>
  </conditionalFormatting>
  <dataValidations count="5">
    <dataValidation type="list" allowBlank="1" showInputMessage="1" showErrorMessage="1" sqref="R91:R92 R80 R74:R75 R48:R51 R43:R44 R55:R56 R62 R67:R68 R85:R88 R28:R37 R3:R26" xr:uid="{00000000-0002-0000-0200-000000000000}">
      <formula1>"1.EAI, 2.FTP, 3.DBLink, 4.기타"</formula1>
    </dataValidation>
    <dataValidation type="list" allowBlank="1" showInputMessage="1" showErrorMessage="1" sqref="S3:S33 S42 S36:S42 S43:S54" xr:uid="{00000000-0002-0000-0200-000001000000}">
      <formula1>"1.입력,2.수정,3.삭제,4.조회,5.입력및수정,6.삭제및입력"</formula1>
    </dataValidation>
    <dataValidation type="list" allowBlank="1" showInputMessage="1" showErrorMessage="1" sqref="S55:S92 S34:S35" xr:uid="{00000000-0002-0000-0200-000002000000}">
      <formula1>"1.입력,2.수정,3.삭제,4.조회"</formula1>
    </dataValidation>
    <dataValidation type="list" allowBlank="1" showInputMessage="1" showErrorMessage="1" sqref="AL3:AL42 AL43:AL93 AL42" xr:uid="{00000000-0002-0000-0200-000003000000}">
      <formula1>"1차통테전,2차통테전,3차통테전,Open전,Open후"</formula1>
    </dataValidation>
    <dataValidation type="list" allowBlank="1" showInputMessage="1" showErrorMessage="1" sqref="AJ3:AJ42 AJ43:AJ92 AJ42" xr:uid="{00000000-0002-0000-0200-000004000000}">
      <formula1>"1.Master, 2.Transaction, 3.기타"</formula1>
    </dataValidation>
  </dataValidations>
  <pageMargins left="0.23622047244094491" right="0.23622047244094491" top="0.39370078740157483" bottom="0.43307086614173229" header="0.15748031496062992" footer="0.15748031496062992"/>
  <pageSetup paperSize="9" scale="65" orientation="landscape" r:id="rId11"/>
  <headerFoot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2C72-6494-4237-A23A-F7131E6430AB}">
  <dimension ref="A1:G11"/>
  <sheetViews>
    <sheetView workbookViewId="0">
      <selection activeCell="G29" sqref="G29"/>
    </sheetView>
  </sheetViews>
  <sheetFormatPr defaultRowHeight="16.5" x14ac:dyDescent="0.3"/>
  <cols>
    <col min="2" max="2" width="9.875" bestFit="1" customWidth="1"/>
    <col min="7" max="7" width="34.875" bestFit="1" customWidth="1"/>
  </cols>
  <sheetData>
    <row r="1" spans="1:7" x14ac:dyDescent="0.3">
      <c r="A1" s="188">
        <v>44302</v>
      </c>
      <c r="B1" s="188">
        <v>44305</v>
      </c>
      <c r="C1" s="194"/>
      <c r="D1" s="48" t="s">
        <v>75</v>
      </c>
      <c r="E1" s="44" t="s">
        <v>420</v>
      </c>
      <c r="F1" s="45" t="s">
        <v>94</v>
      </c>
      <c r="G1" s="104" t="s">
        <v>332</v>
      </c>
    </row>
    <row r="2" spans="1:7" x14ac:dyDescent="0.3">
      <c r="A2" s="188">
        <v>44305</v>
      </c>
      <c r="B2" s="188">
        <v>44307</v>
      </c>
      <c r="C2" s="194"/>
      <c r="D2" s="48" t="s">
        <v>75</v>
      </c>
      <c r="E2" s="44" t="s">
        <v>420</v>
      </c>
      <c r="F2" s="45" t="s">
        <v>535</v>
      </c>
      <c r="G2" s="103" t="s">
        <v>336</v>
      </c>
    </row>
    <row r="3" spans="1:7" x14ac:dyDescent="0.3">
      <c r="A3" s="188">
        <v>44307</v>
      </c>
      <c r="B3" s="188"/>
      <c r="C3" s="194"/>
      <c r="D3" s="48" t="s">
        <v>75</v>
      </c>
      <c r="E3" s="44" t="s">
        <v>420</v>
      </c>
      <c r="F3" s="91" t="s">
        <v>256</v>
      </c>
      <c r="G3" s="103" t="s">
        <v>340</v>
      </c>
    </row>
    <row r="4" spans="1:7" x14ac:dyDescent="0.3">
      <c r="A4" s="188">
        <v>44305</v>
      </c>
      <c r="B4" s="188">
        <v>44306</v>
      </c>
      <c r="C4" s="194"/>
      <c r="D4" s="48" t="s">
        <v>75</v>
      </c>
      <c r="E4" s="44" t="s">
        <v>420</v>
      </c>
      <c r="F4" s="91" t="s">
        <v>537</v>
      </c>
      <c r="G4" s="103" t="s">
        <v>338</v>
      </c>
    </row>
    <row r="5" spans="1:7" x14ac:dyDescent="0.3">
      <c r="A5" s="188">
        <v>44312</v>
      </c>
      <c r="B5" s="188"/>
      <c r="C5" s="194"/>
      <c r="D5" s="48" t="s">
        <v>75</v>
      </c>
      <c r="E5" s="44" t="s">
        <v>420</v>
      </c>
      <c r="F5" s="91" t="s">
        <v>396</v>
      </c>
      <c r="G5" s="103" t="s">
        <v>342</v>
      </c>
    </row>
    <row r="6" spans="1:7" x14ac:dyDescent="0.3">
      <c r="A6" s="188">
        <v>44312</v>
      </c>
      <c r="B6" s="188"/>
      <c r="C6" s="194"/>
      <c r="D6" s="48" t="s">
        <v>75</v>
      </c>
      <c r="E6" s="44" t="s">
        <v>420</v>
      </c>
      <c r="F6" s="91" t="s">
        <v>397</v>
      </c>
      <c r="G6" s="103" t="s">
        <v>155</v>
      </c>
    </row>
    <row r="7" spans="1:7" x14ac:dyDescent="0.3">
      <c r="A7" s="188">
        <v>44302</v>
      </c>
      <c r="B7" s="188">
        <v>44306</v>
      </c>
      <c r="C7" s="194"/>
      <c r="D7" s="48" t="s">
        <v>75</v>
      </c>
      <c r="E7" s="44" t="s">
        <v>420</v>
      </c>
      <c r="F7" s="122" t="s">
        <v>611</v>
      </c>
      <c r="G7" s="123" t="s">
        <v>627</v>
      </c>
    </row>
    <row r="8" spans="1:7" x14ac:dyDescent="0.3">
      <c r="A8" s="190">
        <v>44301</v>
      </c>
      <c r="B8" s="190">
        <v>44305</v>
      </c>
      <c r="C8" s="195"/>
      <c r="D8" s="44" t="s">
        <v>75</v>
      </c>
      <c r="E8" s="44" t="s">
        <v>420</v>
      </c>
      <c r="F8" s="91" t="s">
        <v>573</v>
      </c>
      <c r="G8" s="104" t="s">
        <v>438</v>
      </c>
    </row>
    <row r="9" spans="1:7" x14ac:dyDescent="0.3">
      <c r="A9" s="190">
        <v>44301</v>
      </c>
      <c r="B9" s="190">
        <v>44306</v>
      </c>
      <c r="C9" s="195"/>
      <c r="D9" s="44" t="s">
        <v>75</v>
      </c>
      <c r="E9" s="44" t="s">
        <v>420</v>
      </c>
      <c r="F9" s="91" t="s">
        <v>574</v>
      </c>
      <c r="G9" s="104" t="s">
        <v>439</v>
      </c>
    </row>
    <row r="10" spans="1:7" x14ac:dyDescent="0.3">
      <c r="A10" s="190">
        <v>44312</v>
      </c>
      <c r="B10" s="190"/>
      <c r="C10" s="195"/>
      <c r="D10" s="44" t="s">
        <v>75</v>
      </c>
      <c r="E10" s="44" t="s">
        <v>76</v>
      </c>
      <c r="F10" s="91" t="s">
        <v>717</v>
      </c>
      <c r="G10" s="131" t="s">
        <v>712</v>
      </c>
    </row>
    <row r="11" spans="1:7" x14ac:dyDescent="0.3">
      <c r="A11" s="188">
        <v>44316</v>
      </c>
      <c r="B11" s="190">
        <v>44330</v>
      </c>
      <c r="C11" s="194"/>
      <c r="D11" s="48" t="s">
        <v>75</v>
      </c>
      <c r="E11" s="44" t="s">
        <v>76</v>
      </c>
      <c r="F11" s="91" t="s">
        <v>358</v>
      </c>
      <c r="G11" s="103" t="s">
        <v>359</v>
      </c>
    </row>
  </sheetData>
  <customSheetViews>
    <customSheetView guid="{94F6EF88-F3F3-4147-A0A6-D7D872310F87}">
      <selection activeCell="G29" sqref="G29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D14" sqref="D14"/>
    </sheetView>
  </sheetViews>
  <sheetFormatPr defaultRowHeight="16.5" x14ac:dyDescent="0.3"/>
  <cols>
    <col min="1" max="1" width="1.375" customWidth="1"/>
    <col min="2" max="2" width="3.25" bestFit="1" customWidth="1"/>
    <col min="3" max="3" width="9.75" bestFit="1" customWidth="1"/>
    <col min="4" max="4" width="41.25" style="132" bestFit="1" customWidth="1"/>
    <col min="5" max="5" width="14.5" bestFit="1" customWidth="1"/>
    <col min="6" max="6" width="13.75" bestFit="1" customWidth="1"/>
    <col min="7" max="7" width="9.875" bestFit="1" customWidth="1"/>
    <col min="8" max="8" width="11.25" bestFit="1" customWidth="1"/>
    <col min="9" max="9" width="11.125" bestFit="1" customWidth="1"/>
  </cols>
  <sheetData>
    <row r="2" spans="2:9" x14ac:dyDescent="0.3">
      <c r="B2" s="239" t="s">
        <v>543</v>
      </c>
      <c r="C2" s="240" t="s">
        <v>544</v>
      </c>
      <c r="D2" s="241" t="s">
        <v>545</v>
      </c>
      <c r="E2" s="242" t="s">
        <v>551</v>
      </c>
      <c r="F2" s="239" t="s">
        <v>546</v>
      </c>
      <c r="G2" s="239"/>
      <c r="H2" s="238" t="s">
        <v>547</v>
      </c>
      <c r="I2" s="238" t="s">
        <v>548</v>
      </c>
    </row>
    <row r="3" spans="2:9" x14ac:dyDescent="0.3">
      <c r="B3" s="239"/>
      <c r="C3" s="240"/>
      <c r="D3" s="241"/>
      <c r="E3" s="242"/>
      <c r="F3" s="128" t="s">
        <v>549</v>
      </c>
      <c r="G3" s="128" t="s">
        <v>550</v>
      </c>
      <c r="H3" s="238"/>
      <c r="I3" s="238"/>
    </row>
    <row r="4" spans="2:9" x14ac:dyDescent="0.2">
      <c r="B4" s="52">
        <f>IF(C4 &lt;&gt; "",ROW(C4)-COUNTIF($C$4:C4,"")-3,"")</f>
        <v>1</v>
      </c>
      <c r="C4" s="45" t="s">
        <v>172</v>
      </c>
      <c r="D4" s="130" t="s">
        <v>348</v>
      </c>
      <c r="E4" s="129" t="s">
        <v>553</v>
      </c>
      <c r="F4" s="129" t="s">
        <v>552</v>
      </c>
      <c r="G4" s="52">
        <v>3600</v>
      </c>
      <c r="H4" s="44" t="s">
        <v>274</v>
      </c>
      <c r="I4" s="52" t="s">
        <v>554</v>
      </c>
    </row>
    <row r="5" spans="2:9" x14ac:dyDescent="0.2">
      <c r="B5" s="52">
        <f>IF(C5 &lt;&gt; "",ROW(C5)-COUNTIF($C$4:C5,"")-3,"")</f>
        <v>2</v>
      </c>
      <c r="C5" s="91" t="s">
        <v>628</v>
      </c>
      <c r="D5" s="103" t="s">
        <v>555</v>
      </c>
      <c r="E5" s="129" t="s">
        <v>553</v>
      </c>
      <c r="F5" s="129" t="s">
        <v>552</v>
      </c>
      <c r="G5" s="52">
        <v>3600</v>
      </c>
      <c r="H5" s="52" t="s">
        <v>88</v>
      </c>
      <c r="I5" s="52" t="s">
        <v>556</v>
      </c>
    </row>
    <row r="6" spans="2:9" x14ac:dyDescent="0.3">
      <c r="B6" s="52">
        <f>IF(C6 &lt;&gt; "",ROW(C6)-COUNTIF($C$4:C6,"")-3,"")</f>
        <v>3</v>
      </c>
      <c r="C6" s="91" t="s">
        <v>383</v>
      </c>
      <c r="D6" s="104" t="s">
        <v>380</v>
      </c>
      <c r="E6" s="52" t="s">
        <v>589</v>
      </c>
      <c r="F6" s="52" t="s">
        <v>588</v>
      </c>
      <c r="G6" s="52">
        <v>3600</v>
      </c>
      <c r="H6" s="52" t="s">
        <v>88</v>
      </c>
      <c r="I6" s="52" t="s">
        <v>556</v>
      </c>
    </row>
    <row r="7" spans="2:9" x14ac:dyDescent="0.3">
      <c r="B7" s="52" t="str">
        <f>IF(C7 &lt;&gt; "",ROW(C7)-COUNTIF($C$4:C7,"")-3,"")</f>
        <v/>
      </c>
      <c r="C7" s="52"/>
      <c r="D7" s="131"/>
      <c r="E7" s="52"/>
      <c r="F7" s="52"/>
      <c r="G7" s="52"/>
      <c r="H7" s="52"/>
      <c r="I7" s="52"/>
    </row>
    <row r="8" spans="2:9" x14ac:dyDescent="0.3">
      <c r="B8" s="52" t="str">
        <f>IF(C8 &lt;&gt; "",ROW(C8)-COUNTIF($C$4:C8,"")-3,"")</f>
        <v/>
      </c>
      <c r="C8" s="52"/>
      <c r="D8" s="131"/>
      <c r="E8" s="52"/>
      <c r="F8" s="52"/>
      <c r="G8" s="52"/>
      <c r="H8" s="52"/>
      <c r="I8" s="52"/>
    </row>
    <row r="9" spans="2:9" x14ac:dyDescent="0.3">
      <c r="B9" s="52" t="str">
        <f>IF(C9 &lt;&gt; "",ROW(C9)-COUNTIF($C$4:C9,"")-3,"")</f>
        <v/>
      </c>
      <c r="C9" s="52"/>
      <c r="D9" s="131"/>
      <c r="E9" s="52"/>
      <c r="F9" s="52"/>
      <c r="G9" s="52"/>
      <c r="H9" s="52"/>
      <c r="I9" s="52"/>
    </row>
  </sheetData>
  <customSheetViews>
    <customSheetView guid="{94F6EF88-F3F3-4147-A0A6-D7D872310F87}">
      <selection activeCell="D14" sqref="D14"/>
      <pageMargins left="0.7" right="0.7" top="0.75" bottom="0.75" header="0.3" footer="0.3"/>
    </customSheetView>
    <customSheetView guid="{8743E475-82A8-40E3-A89F-2D0E584F91E0}">
      <selection activeCell="D14" sqref="D14"/>
      <pageMargins left="0.7" right="0.7" top="0.75" bottom="0.75" header="0.3" footer="0.3"/>
    </customSheetView>
    <customSheetView guid="{7AA70812-ECD5-46F1-9429-36F5BE8AAEE9}">
      <selection activeCell="D14" sqref="D14"/>
      <pageMargins left="0.7" right="0.7" top="0.75" bottom="0.75" header="0.3" footer="0.3"/>
    </customSheetView>
    <customSheetView guid="{D15C44AF-0188-43AD-85C3-723784A3432F}">
      <selection activeCell="D14" sqref="D14"/>
      <pageMargins left="0.7" right="0.7" top="0.75" bottom="0.75" header="0.3" footer="0.3"/>
    </customSheetView>
    <customSheetView guid="{9C42C749-E16E-4DC0-991F-1D38A2D3BBE1}">
      <selection activeCell="H12" sqref="H12"/>
      <pageMargins left="0.7" right="0.7" top="0.75" bottom="0.75" header="0.3" footer="0.3"/>
    </customSheetView>
    <customSheetView guid="{53F47E00-189D-4661-B9AF-1164B563763A}">
      <selection activeCell="D16" sqref="D16"/>
      <pageMargins left="0.7" right="0.7" top="0.75" bottom="0.75" header="0.3" footer="0.3"/>
    </customSheetView>
    <customSheetView guid="{D096FF35-542B-4691-BEFD-FD1E12D459D4}">
      <selection activeCell="D14" sqref="D14"/>
      <pageMargins left="0.7" right="0.7" top="0.75" bottom="0.75" header="0.3" footer="0.3"/>
    </customSheetView>
    <customSheetView guid="{B32DF6D4-B4FC-4D21-932F-8389C8D7FEB3}">
      <selection activeCell="D14" sqref="D14"/>
      <pageMargins left="0.7" right="0.7" top="0.75" bottom="0.75" header="0.3" footer="0.3"/>
    </customSheetView>
    <customSheetView guid="{8469C684-BE99-40EE-BB9E-2CBDA6F12C64}">
      <selection activeCell="D14" sqref="D14"/>
      <pageMargins left="0.7" right="0.7" top="0.75" bottom="0.75" header="0.3" footer="0.3"/>
    </customSheetView>
  </customSheetViews>
  <mergeCells count="7">
    <mergeCell ref="I2:I3"/>
    <mergeCell ref="F2:G2"/>
    <mergeCell ref="B2:B3"/>
    <mergeCell ref="C2:C3"/>
    <mergeCell ref="D2:D3"/>
    <mergeCell ref="E2:E3"/>
    <mergeCell ref="H2:H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21"/>
  <sheetViews>
    <sheetView workbookViewId="0">
      <selection activeCell="F16" sqref="F16"/>
    </sheetView>
  </sheetViews>
  <sheetFormatPr defaultRowHeight="16.5" x14ac:dyDescent="0.3"/>
  <cols>
    <col min="2" max="2" width="12.25" bestFit="1" customWidth="1"/>
    <col min="3" max="3" width="51.25" bestFit="1" customWidth="1"/>
    <col min="4" max="4" width="41.25" bestFit="1" customWidth="1"/>
    <col min="5" max="5" width="19.375" style="39" bestFit="1" customWidth="1"/>
    <col min="6" max="6" width="27.5" bestFit="1" customWidth="1"/>
  </cols>
  <sheetData>
    <row r="1" spans="2:6" x14ac:dyDescent="0.3">
      <c r="B1" s="121" t="s">
        <v>450</v>
      </c>
    </row>
    <row r="2" spans="2:6" x14ac:dyDescent="0.3">
      <c r="B2" s="113" t="s">
        <v>13</v>
      </c>
      <c r="C2" s="113" t="s">
        <v>14</v>
      </c>
      <c r="D2" s="116" t="s">
        <v>442</v>
      </c>
      <c r="E2" s="116" t="s">
        <v>455</v>
      </c>
      <c r="F2" s="116" t="s">
        <v>443</v>
      </c>
    </row>
    <row r="3" spans="2:6" x14ac:dyDescent="0.3">
      <c r="B3" s="45" t="s">
        <v>637</v>
      </c>
      <c r="C3" s="46" t="s">
        <v>410</v>
      </c>
      <c r="D3" s="47" t="s">
        <v>478</v>
      </c>
      <c r="E3" s="52" t="s">
        <v>479</v>
      </c>
      <c r="F3" s="158" t="s">
        <v>676</v>
      </c>
    </row>
    <row r="4" spans="2:6" x14ac:dyDescent="0.3">
      <c r="B4" s="45" t="s">
        <v>480</v>
      </c>
      <c r="C4" s="46" t="s">
        <v>447</v>
      </c>
      <c r="D4" s="47" t="s">
        <v>454</v>
      </c>
      <c r="E4" s="52" t="s">
        <v>479</v>
      </c>
      <c r="F4" s="94"/>
    </row>
    <row r="5" spans="2:6" x14ac:dyDescent="0.3">
      <c r="B5" s="45" t="s">
        <v>329</v>
      </c>
      <c r="C5" s="46" t="s">
        <v>411</v>
      </c>
      <c r="D5" s="47" t="s">
        <v>446</v>
      </c>
      <c r="E5" s="44" t="s">
        <v>453</v>
      </c>
      <c r="F5" s="94"/>
    </row>
    <row r="6" spans="2:6" x14ac:dyDescent="0.3">
      <c r="B6" s="45" t="s">
        <v>436</v>
      </c>
      <c r="C6" s="54" t="s">
        <v>412</v>
      </c>
      <c r="D6" s="55" t="s">
        <v>440</v>
      </c>
      <c r="E6" s="52" t="s">
        <v>441</v>
      </c>
      <c r="F6" s="94"/>
    </row>
    <row r="7" spans="2:6" x14ac:dyDescent="0.3">
      <c r="B7" s="91" t="s">
        <v>337</v>
      </c>
      <c r="C7" s="46" t="s">
        <v>413</v>
      </c>
      <c r="D7" s="47" t="s">
        <v>444</v>
      </c>
      <c r="E7" s="52" t="s">
        <v>441</v>
      </c>
      <c r="F7" s="94"/>
    </row>
    <row r="8" spans="2:6" x14ac:dyDescent="0.3">
      <c r="B8" s="91" t="s">
        <v>638</v>
      </c>
      <c r="C8" s="54" t="s">
        <v>427</v>
      </c>
      <c r="D8" s="47" t="s">
        <v>448</v>
      </c>
      <c r="E8" s="52" t="s">
        <v>441</v>
      </c>
      <c r="F8" s="94"/>
    </row>
    <row r="9" spans="2:6" x14ac:dyDescent="0.3">
      <c r="B9" s="91" t="s">
        <v>99</v>
      </c>
      <c r="C9" s="46" t="s">
        <v>428</v>
      </c>
      <c r="D9" s="47" t="s">
        <v>449</v>
      </c>
      <c r="E9" s="52"/>
      <c r="F9" s="94"/>
    </row>
    <row r="10" spans="2:6" x14ac:dyDescent="0.3">
      <c r="B10" s="91" t="s">
        <v>452</v>
      </c>
      <c r="C10" s="54" t="s">
        <v>414</v>
      </c>
      <c r="D10" s="55" t="s">
        <v>445</v>
      </c>
      <c r="E10" s="52" t="s">
        <v>441</v>
      </c>
      <c r="F10" s="94"/>
    </row>
    <row r="11" spans="2:6" x14ac:dyDescent="0.3">
      <c r="B11" s="120" t="s">
        <v>675</v>
      </c>
      <c r="C11" s="118" t="s">
        <v>134</v>
      </c>
      <c r="D11" s="117"/>
      <c r="E11" s="119"/>
      <c r="F11" s="117" t="s">
        <v>674</v>
      </c>
    </row>
    <row r="13" spans="2:6" x14ac:dyDescent="0.3">
      <c r="B13" s="92" t="s">
        <v>451</v>
      </c>
    </row>
    <row r="14" spans="2:6" x14ac:dyDescent="0.3">
      <c r="B14" s="113" t="s">
        <v>13</v>
      </c>
      <c r="C14" s="113" t="s">
        <v>14</v>
      </c>
      <c r="D14" s="116" t="s">
        <v>442</v>
      </c>
      <c r="E14" s="116" t="s">
        <v>557</v>
      </c>
      <c r="F14" s="116" t="s">
        <v>443</v>
      </c>
    </row>
    <row r="15" spans="2:6" x14ac:dyDescent="0.3">
      <c r="B15" s="45" t="s">
        <v>467</v>
      </c>
      <c r="C15" s="46" t="s">
        <v>132</v>
      </c>
      <c r="D15" s="47" t="s">
        <v>461</v>
      </c>
      <c r="E15" s="44" t="s">
        <v>558</v>
      </c>
      <c r="F15" s="47"/>
    </row>
    <row r="16" spans="2:6" x14ac:dyDescent="0.3">
      <c r="B16" s="45" t="s">
        <v>559</v>
      </c>
      <c r="C16" s="46" t="s">
        <v>142</v>
      </c>
      <c r="D16" s="47" t="s">
        <v>463</v>
      </c>
      <c r="E16" s="44" t="s">
        <v>558</v>
      </c>
      <c r="F16" s="47"/>
    </row>
    <row r="17" spans="2:6" x14ac:dyDescent="0.3">
      <c r="B17" s="91" t="s">
        <v>560</v>
      </c>
      <c r="C17" s="54" t="s">
        <v>92</v>
      </c>
      <c r="D17" s="47" t="s">
        <v>464</v>
      </c>
      <c r="E17" s="44" t="s">
        <v>558</v>
      </c>
      <c r="F17" s="47"/>
    </row>
    <row r="18" spans="2:6" x14ac:dyDescent="0.3">
      <c r="B18" s="91" t="s">
        <v>561</v>
      </c>
      <c r="C18" s="54" t="s">
        <v>386</v>
      </c>
      <c r="D18" s="47" t="s">
        <v>465</v>
      </c>
      <c r="E18" s="44" t="s">
        <v>558</v>
      </c>
      <c r="F18" s="47"/>
    </row>
    <row r="19" spans="2:6" x14ac:dyDescent="0.3">
      <c r="B19" s="91" t="s">
        <v>562</v>
      </c>
      <c r="C19" s="46" t="s">
        <v>429</v>
      </c>
      <c r="D19" s="47" t="s">
        <v>466</v>
      </c>
      <c r="E19" s="44"/>
      <c r="F19" s="47"/>
    </row>
    <row r="20" spans="2:6" x14ac:dyDescent="0.3">
      <c r="B20" s="91" t="s">
        <v>97</v>
      </c>
      <c r="C20" s="46" t="s">
        <v>504</v>
      </c>
      <c r="D20" s="47" t="s">
        <v>503</v>
      </c>
      <c r="E20" s="44"/>
      <c r="F20" s="47"/>
    </row>
    <row r="21" spans="2:6" x14ac:dyDescent="0.3">
      <c r="B21" s="91" t="s">
        <v>98</v>
      </c>
      <c r="C21" s="46" t="s">
        <v>157</v>
      </c>
      <c r="D21" s="47" t="s">
        <v>462</v>
      </c>
      <c r="E21" s="44"/>
      <c r="F21" s="47"/>
    </row>
  </sheetData>
  <customSheetViews>
    <customSheetView guid="{94F6EF88-F3F3-4147-A0A6-D7D872310F87}">
      <selection activeCell="F16" sqref="F16"/>
      <pageMargins left="0.7" right="0.7" top="0.75" bottom="0.75" header="0.3" footer="0.3"/>
      <pageSetup paperSize="9" orientation="portrait" r:id="rId1"/>
    </customSheetView>
    <customSheetView guid="{8743E475-82A8-40E3-A89F-2D0E584F91E0}">
      <selection activeCell="F16" sqref="F16"/>
      <pageMargins left="0.7" right="0.7" top="0.75" bottom="0.75" header="0.3" footer="0.3"/>
      <pageSetup paperSize="9" orientation="portrait" r:id="rId2"/>
    </customSheetView>
    <customSheetView guid="{7AA70812-ECD5-46F1-9429-36F5BE8AAEE9}">
      <selection activeCell="F16" sqref="F16"/>
      <pageMargins left="0.7" right="0.7" top="0.75" bottom="0.75" header="0.3" footer="0.3"/>
      <pageSetup paperSize="9" orientation="portrait" r:id="rId3"/>
    </customSheetView>
    <customSheetView guid="{D15C44AF-0188-43AD-85C3-723784A3432F}">
      <selection activeCell="F16" sqref="F16"/>
      <pageMargins left="0.7" right="0.7" top="0.75" bottom="0.75" header="0.3" footer="0.3"/>
      <pageSetup paperSize="9" orientation="portrait" r:id="rId4"/>
    </customSheetView>
    <customSheetView guid="{9C42C749-E16E-4DC0-991F-1D38A2D3BBE1}">
      <selection activeCell="F16" sqref="F16"/>
      <pageMargins left="0.7" right="0.7" top="0.75" bottom="0.75" header="0.3" footer="0.3"/>
      <pageSetup paperSize="9" orientation="portrait" r:id="rId5"/>
    </customSheetView>
    <customSheetView guid="{53F47E00-189D-4661-B9AF-1164B563763A}">
      <selection activeCell="B20" sqref="B20:C20"/>
      <pageMargins left="0.7" right="0.7" top="0.75" bottom="0.75" header="0.3" footer="0.3"/>
      <pageSetup paperSize="9" orientation="portrait" r:id="rId6"/>
    </customSheetView>
    <customSheetView guid="{D096FF35-542B-4691-BEFD-FD1E12D459D4}">
      <selection activeCell="F16" sqref="F16"/>
      <pageMargins left="0.7" right="0.7" top="0.75" bottom="0.75" header="0.3" footer="0.3"/>
      <pageSetup paperSize="9" orientation="portrait" r:id="rId7"/>
    </customSheetView>
    <customSheetView guid="{B32DF6D4-B4FC-4D21-932F-8389C8D7FEB3}">
      <selection activeCell="F16" sqref="F16"/>
      <pageMargins left="0.7" right="0.7" top="0.75" bottom="0.75" header="0.3" footer="0.3"/>
      <pageSetup paperSize="9" orientation="portrait" r:id="rId8"/>
    </customSheetView>
    <customSheetView guid="{8469C684-BE99-40EE-BB9E-2CBDA6F12C64}">
      <selection activeCell="F16" sqref="F16"/>
      <pageMargins left="0.7" right="0.7" top="0.75" bottom="0.75" header="0.3" footer="0.3"/>
      <pageSetup paperSize="9" orientation="portrait" r:id="rId9"/>
    </customSheetView>
  </customSheetViews>
  <phoneticPr fontId="1" type="noConversion"/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D287"/>
  <sheetViews>
    <sheetView topLeftCell="A264" workbookViewId="0">
      <selection activeCell="AJ6" sqref="AJ6"/>
    </sheetView>
  </sheetViews>
  <sheetFormatPr defaultRowHeight="16.5" x14ac:dyDescent="0.3"/>
  <sheetData>
    <row r="2" spans="3:4" x14ac:dyDescent="0.3">
      <c r="C2" s="24" t="s">
        <v>194</v>
      </c>
      <c r="D2" s="24" t="s">
        <v>195</v>
      </c>
    </row>
    <row r="3" spans="3:4" x14ac:dyDescent="0.3">
      <c r="C3" s="25">
        <v>44109</v>
      </c>
      <c r="D3" s="26" t="s">
        <v>196</v>
      </c>
    </row>
    <row r="4" spans="3:4" x14ac:dyDescent="0.3">
      <c r="C4" s="25">
        <f>C3+1</f>
        <v>44110</v>
      </c>
      <c r="D4" s="26" t="s">
        <v>196</v>
      </c>
    </row>
    <row r="5" spans="3:4" x14ac:dyDescent="0.3">
      <c r="C5" s="25">
        <f>C4+1</f>
        <v>44111</v>
      </c>
      <c r="D5" s="26" t="s">
        <v>196</v>
      </c>
    </row>
    <row r="6" spans="3:4" x14ac:dyDescent="0.3">
      <c r="C6" s="25">
        <f>C5+1</f>
        <v>44112</v>
      </c>
      <c r="D6" s="26" t="s">
        <v>196</v>
      </c>
    </row>
    <row r="7" spans="3:4" x14ac:dyDescent="0.3">
      <c r="C7" s="25">
        <f>C6+1</f>
        <v>44113</v>
      </c>
      <c r="D7" s="26" t="s">
        <v>196</v>
      </c>
    </row>
    <row r="8" spans="3:4" x14ac:dyDescent="0.3">
      <c r="C8" s="25">
        <f t="shared" ref="C8:C9" si="0">C7+1</f>
        <v>44114</v>
      </c>
      <c r="D8" s="26" t="s">
        <v>197</v>
      </c>
    </row>
    <row r="9" spans="3:4" x14ac:dyDescent="0.3">
      <c r="C9" s="25">
        <f t="shared" si="0"/>
        <v>44115</v>
      </c>
      <c r="D9" s="26" t="s">
        <v>197</v>
      </c>
    </row>
    <row r="10" spans="3:4" x14ac:dyDescent="0.3">
      <c r="C10" s="27">
        <v>44116</v>
      </c>
      <c r="D10" s="26" t="s">
        <v>197</v>
      </c>
    </row>
    <row r="11" spans="3:4" x14ac:dyDescent="0.3">
      <c r="C11" s="27">
        <v>44117</v>
      </c>
      <c r="D11" s="26" t="s">
        <v>197</v>
      </c>
    </row>
    <row r="12" spans="3:4" x14ac:dyDescent="0.3">
      <c r="C12" s="27">
        <v>44118</v>
      </c>
      <c r="D12" s="26" t="s">
        <v>197</v>
      </c>
    </row>
    <row r="13" spans="3:4" x14ac:dyDescent="0.3">
      <c r="C13" s="27">
        <v>44119</v>
      </c>
      <c r="D13" s="26" t="s">
        <v>197</v>
      </c>
    </row>
    <row r="14" spans="3:4" x14ac:dyDescent="0.3">
      <c r="C14" s="27">
        <v>44120</v>
      </c>
      <c r="D14" s="26" t="s">
        <v>197</v>
      </c>
    </row>
    <row r="15" spans="3:4" x14ac:dyDescent="0.3">
      <c r="C15" s="27">
        <v>44121</v>
      </c>
      <c r="D15" s="26" t="s">
        <v>198</v>
      </c>
    </row>
    <row r="16" spans="3:4" x14ac:dyDescent="0.3">
      <c r="C16" s="27">
        <v>44122</v>
      </c>
      <c r="D16" s="26" t="s">
        <v>198</v>
      </c>
    </row>
    <row r="17" spans="3:4" x14ac:dyDescent="0.3">
      <c r="C17" s="27">
        <v>44123</v>
      </c>
      <c r="D17" s="26" t="s">
        <v>198</v>
      </c>
    </row>
    <row r="18" spans="3:4" x14ac:dyDescent="0.3">
      <c r="C18" s="27">
        <v>44124</v>
      </c>
      <c r="D18" s="26" t="s">
        <v>198</v>
      </c>
    </row>
    <row r="19" spans="3:4" x14ac:dyDescent="0.3">
      <c r="C19" s="27">
        <v>44125</v>
      </c>
      <c r="D19" s="26" t="s">
        <v>198</v>
      </c>
    </row>
    <row r="20" spans="3:4" x14ac:dyDescent="0.3">
      <c r="C20" s="27">
        <v>44126</v>
      </c>
      <c r="D20" s="26" t="s">
        <v>198</v>
      </c>
    </row>
    <row r="21" spans="3:4" x14ac:dyDescent="0.3">
      <c r="C21" s="27">
        <v>44127</v>
      </c>
      <c r="D21" s="26" t="s">
        <v>198</v>
      </c>
    </row>
    <row r="22" spans="3:4" x14ac:dyDescent="0.3">
      <c r="C22" s="27">
        <v>44128</v>
      </c>
      <c r="D22" s="26" t="s">
        <v>199</v>
      </c>
    </row>
    <row r="23" spans="3:4" x14ac:dyDescent="0.3">
      <c r="C23" s="27">
        <v>44129</v>
      </c>
      <c r="D23" s="26" t="s">
        <v>199</v>
      </c>
    </row>
    <row r="24" spans="3:4" x14ac:dyDescent="0.3">
      <c r="C24" s="27">
        <v>44130</v>
      </c>
      <c r="D24" s="26" t="s">
        <v>199</v>
      </c>
    </row>
    <row r="25" spans="3:4" x14ac:dyDescent="0.3">
      <c r="C25" s="27">
        <v>44131</v>
      </c>
      <c r="D25" s="26" t="s">
        <v>199</v>
      </c>
    </row>
    <row r="26" spans="3:4" x14ac:dyDescent="0.3">
      <c r="C26" s="27">
        <v>44132</v>
      </c>
      <c r="D26" s="26" t="s">
        <v>199</v>
      </c>
    </row>
    <row r="27" spans="3:4" x14ac:dyDescent="0.3">
      <c r="C27" s="27">
        <v>44133</v>
      </c>
      <c r="D27" s="26" t="s">
        <v>199</v>
      </c>
    </row>
    <row r="28" spans="3:4" x14ac:dyDescent="0.3">
      <c r="C28" s="27">
        <v>44134</v>
      </c>
      <c r="D28" s="26" t="s">
        <v>199</v>
      </c>
    </row>
    <row r="29" spans="3:4" x14ac:dyDescent="0.3">
      <c r="C29" s="27">
        <v>44135</v>
      </c>
      <c r="D29" s="26" t="s">
        <v>200</v>
      </c>
    </row>
    <row r="30" spans="3:4" x14ac:dyDescent="0.3">
      <c r="C30" s="27">
        <v>44136</v>
      </c>
      <c r="D30" s="26" t="s">
        <v>200</v>
      </c>
    </row>
    <row r="31" spans="3:4" x14ac:dyDescent="0.3">
      <c r="C31" s="27">
        <v>44137</v>
      </c>
      <c r="D31" s="26" t="s">
        <v>200</v>
      </c>
    </row>
    <row r="32" spans="3:4" x14ac:dyDescent="0.3">
      <c r="C32" s="27">
        <v>44138</v>
      </c>
      <c r="D32" s="26" t="s">
        <v>200</v>
      </c>
    </row>
    <row r="33" spans="3:4" x14ac:dyDescent="0.3">
      <c r="C33" s="27">
        <v>44139</v>
      </c>
      <c r="D33" s="26" t="s">
        <v>200</v>
      </c>
    </row>
    <row r="34" spans="3:4" x14ac:dyDescent="0.3">
      <c r="C34" s="27">
        <v>44140</v>
      </c>
      <c r="D34" s="26" t="s">
        <v>200</v>
      </c>
    </row>
    <row r="35" spans="3:4" x14ac:dyDescent="0.3">
      <c r="C35" s="27">
        <v>44141</v>
      </c>
      <c r="D35" s="26" t="s">
        <v>200</v>
      </c>
    </row>
    <row r="36" spans="3:4" x14ac:dyDescent="0.3">
      <c r="C36" s="27">
        <v>44142</v>
      </c>
      <c r="D36" s="26" t="s">
        <v>201</v>
      </c>
    </row>
    <row r="37" spans="3:4" x14ac:dyDescent="0.3">
      <c r="C37" s="27">
        <v>44143</v>
      </c>
      <c r="D37" s="26" t="s">
        <v>201</v>
      </c>
    </row>
    <row r="38" spans="3:4" x14ac:dyDescent="0.3">
      <c r="C38" s="27">
        <v>44144</v>
      </c>
      <c r="D38" s="26" t="s">
        <v>201</v>
      </c>
    </row>
    <row r="39" spans="3:4" x14ac:dyDescent="0.3">
      <c r="C39" s="27">
        <v>44145</v>
      </c>
      <c r="D39" s="26" t="s">
        <v>201</v>
      </c>
    </row>
    <row r="40" spans="3:4" x14ac:dyDescent="0.3">
      <c r="C40" s="27">
        <v>44146</v>
      </c>
      <c r="D40" s="26" t="s">
        <v>201</v>
      </c>
    </row>
    <row r="41" spans="3:4" x14ac:dyDescent="0.3">
      <c r="C41" s="27">
        <v>44147</v>
      </c>
      <c r="D41" s="26" t="s">
        <v>201</v>
      </c>
    </row>
    <row r="42" spans="3:4" x14ac:dyDescent="0.3">
      <c r="C42" s="27">
        <v>44148</v>
      </c>
      <c r="D42" s="26" t="s">
        <v>201</v>
      </c>
    </row>
    <row r="43" spans="3:4" x14ac:dyDescent="0.3">
      <c r="C43" s="27">
        <v>44149</v>
      </c>
      <c r="D43" s="26" t="s">
        <v>202</v>
      </c>
    </row>
    <row r="44" spans="3:4" x14ac:dyDescent="0.3">
      <c r="C44" s="27">
        <v>44150</v>
      </c>
      <c r="D44" s="26" t="s">
        <v>202</v>
      </c>
    </row>
    <row r="45" spans="3:4" x14ac:dyDescent="0.3">
      <c r="C45" s="27">
        <v>44151</v>
      </c>
      <c r="D45" s="26" t="s">
        <v>202</v>
      </c>
    </row>
    <row r="46" spans="3:4" x14ac:dyDescent="0.3">
      <c r="C46" s="27">
        <v>44152</v>
      </c>
      <c r="D46" s="26" t="s">
        <v>202</v>
      </c>
    </row>
    <row r="47" spans="3:4" x14ac:dyDescent="0.3">
      <c r="C47" s="27">
        <v>44153</v>
      </c>
      <c r="D47" s="26" t="s">
        <v>202</v>
      </c>
    </row>
    <row r="48" spans="3:4" x14ac:dyDescent="0.3">
      <c r="C48" s="27">
        <v>44154</v>
      </c>
      <c r="D48" s="26" t="s">
        <v>202</v>
      </c>
    </row>
    <row r="49" spans="3:4" x14ac:dyDescent="0.3">
      <c r="C49" s="27">
        <v>44155</v>
      </c>
      <c r="D49" s="26" t="s">
        <v>202</v>
      </c>
    </row>
    <row r="50" spans="3:4" x14ac:dyDescent="0.3">
      <c r="C50" s="27">
        <v>44156</v>
      </c>
      <c r="D50" s="26" t="s">
        <v>203</v>
      </c>
    </row>
    <row r="51" spans="3:4" x14ac:dyDescent="0.3">
      <c r="C51" s="27">
        <v>44157</v>
      </c>
      <c r="D51" s="26" t="s">
        <v>203</v>
      </c>
    </row>
    <row r="52" spans="3:4" x14ac:dyDescent="0.3">
      <c r="C52" s="27">
        <v>44158</v>
      </c>
      <c r="D52" s="26" t="s">
        <v>203</v>
      </c>
    </row>
    <row r="53" spans="3:4" x14ac:dyDescent="0.3">
      <c r="C53" s="27">
        <v>44159</v>
      </c>
      <c r="D53" s="26" t="s">
        <v>203</v>
      </c>
    </row>
    <row r="54" spans="3:4" x14ac:dyDescent="0.3">
      <c r="C54" s="27">
        <v>44160</v>
      </c>
      <c r="D54" s="26" t="s">
        <v>203</v>
      </c>
    </row>
    <row r="55" spans="3:4" x14ac:dyDescent="0.3">
      <c r="C55" s="27">
        <v>44161</v>
      </c>
      <c r="D55" s="26" t="s">
        <v>203</v>
      </c>
    </row>
    <row r="56" spans="3:4" x14ac:dyDescent="0.3">
      <c r="C56" s="27">
        <v>44162</v>
      </c>
      <c r="D56" s="26" t="s">
        <v>203</v>
      </c>
    </row>
    <row r="57" spans="3:4" x14ac:dyDescent="0.3">
      <c r="C57" s="27">
        <v>44163</v>
      </c>
      <c r="D57" s="26" t="s">
        <v>204</v>
      </c>
    </row>
    <row r="58" spans="3:4" x14ac:dyDescent="0.3">
      <c r="C58" s="27">
        <v>44164</v>
      </c>
      <c r="D58" s="26" t="s">
        <v>204</v>
      </c>
    </row>
    <row r="59" spans="3:4" x14ac:dyDescent="0.3">
      <c r="C59" s="27">
        <v>44165</v>
      </c>
      <c r="D59" s="26" t="s">
        <v>204</v>
      </c>
    </row>
    <row r="60" spans="3:4" x14ac:dyDescent="0.3">
      <c r="C60" s="27">
        <v>44166</v>
      </c>
      <c r="D60" s="26" t="s">
        <v>204</v>
      </c>
    </row>
    <row r="61" spans="3:4" x14ac:dyDescent="0.3">
      <c r="C61" s="27">
        <v>44167</v>
      </c>
      <c r="D61" s="26" t="s">
        <v>204</v>
      </c>
    </row>
    <row r="62" spans="3:4" x14ac:dyDescent="0.3">
      <c r="C62" s="27">
        <v>44168</v>
      </c>
      <c r="D62" s="26" t="s">
        <v>204</v>
      </c>
    </row>
    <row r="63" spans="3:4" x14ac:dyDescent="0.3">
      <c r="C63" s="27">
        <v>44169</v>
      </c>
      <c r="D63" s="26" t="s">
        <v>204</v>
      </c>
    </row>
    <row r="64" spans="3:4" x14ac:dyDescent="0.3">
      <c r="C64" s="27">
        <v>44170</v>
      </c>
      <c r="D64" s="26" t="s">
        <v>205</v>
      </c>
    </row>
    <row r="65" spans="3:4" x14ac:dyDescent="0.3">
      <c r="C65" s="27">
        <v>44171</v>
      </c>
      <c r="D65" s="26" t="s">
        <v>205</v>
      </c>
    </row>
    <row r="66" spans="3:4" x14ac:dyDescent="0.3">
      <c r="C66" s="27">
        <v>44172</v>
      </c>
      <c r="D66" s="26" t="s">
        <v>205</v>
      </c>
    </row>
    <row r="67" spans="3:4" x14ac:dyDescent="0.3">
      <c r="C67" s="27">
        <v>44173</v>
      </c>
      <c r="D67" s="26" t="s">
        <v>205</v>
      </c>
    </row>
    <row r="68" spans="3:4" x14ac:dyDescent="0.3">
      <c r="C68" s="27">
        <v>44174</v>
      </c>
      <c r="D68" s="26" t="s">
        <v>205</v>
      </c>
    </row>
    <row r="69" spans="3:4" x14ac:dyDescent="0.3">
      <c r="C69" s="27">
        <v>44175</v>
      </c>
      <c r="D69" s="26" t="s">
        <v>205</v>
      </c>
    </row>
    <row r="70" spans="3:4" x14ac:dyDescent="0.3">
      <c r="C70" s="27">
        <v>44176</v>
      </c>
      <c r="D70" s="26" t="s">
        <v>205</v>
      </c>
    </row>
    <row r="71" spans="3:4" x14ac:dyDescent="0.3">
      <c r="C71" s="27">
        <v>44177</v>
      </c>
      <c r="D71" s="26" t="s">
        <v>206</v>
      </c>
    </row>
    <row r="72" spans="3:4" x14ac:dyDescent="0.3">
      <c r="C72" s="27">
        <v>44178</v>
      </c>
      <c r="D72" s="26" t="s">
        <v>206</v>
      </c>
    </row>
    <row r="73" spans="3:4" x14ac:dyDescent="0.3">
      <c r="C73" s="27">
        <v>44179</v>
      </c>
      <c r="D73" s="26" t="s">
        <v>206</v>
      </c>
    </row>
    <row r="74" spans="3:4" x14ac:dyDescent="0.3">
      <c r="C74" s="27">
        <v>44180</v>
      </c>
      <c r="D74" s="26" t="s">
        <v>206</v>
      </c>
    </row>
    <row r="75" spans="3:4" x14ac:dyDescent="0.3">
      <c r="C75" s="27">
        <v>44181</v>
      </c>
      <c r="D75" s="26" t="s">
        <v>206</v>
      </c>
    </row>
    <row r="76" spans="3:4" x14ac:dyDescent="0.3">
      <c r="C76" s="27">
        <v>44182</v>
      </c>
      <c r="D76" s="26" t="s">
        <v>206</v>
      </c>
    </row>
    <row r="77" spans="3:4" x14ac:dyDescent="0.3">
      <c r="C77" s="27">
        <v>44183</v>
      </c>
      <c r="D77" s="26" t="s">
        <v>206</v>
      </c>
    </row>
    <row r="78" spans="3:4" x14ac:dyDescent="0.3">
      <c r="C78" s="27">
        <v>44184</v>
      </c>
      <c r="D78" s="26" t="s">
        <v>207</v>
      </c>
    </row>
    <row r="79" spans="3:4" x14ac:dyDescent="0.3">
      <c r="C79" s="27">
        <v>44185</v>
      </c>
      <c r="D79" s="26" t="s">
        <v>207</v>
      </c>
    </row>
    <row r="80" spans="3:4" x14ac:dyDescent="0.3">
      <c r="C80" s="27">
        <v>44186</v>
      </c>
      <c r="D80" s="26" t="s">
        <v>207</v>
      </c>
    </row>
    <row r="81" spans="3:4" x14ac:dyDescent="0.3">
      <c r="C81" s="27">
        <v>44187</v>
      </c>
      <c r="D81" s="26" t="s">
        <v>207</v>
      </c>
    </row>
    <row r="82" spans="3:4" x14ac:dyDescent="0.3">
      <c r="C82" s="27">
        <v>44188</v>
      </c>
      <c r="D82" s="26" t="s">
        <v>207</v>
      </c>
    </row>
    <row r="83" spans="3:4" x14ac:dyDescent="0.3">
      <c r="C83" s="27">
        <v>44189</v>
      </c>
      <c r="D83" s="26" t="s">
        <v>207</v>
      </c>
    </row>
    <row r="84" spans="3:4" x14ac:dyDescent="0.3">
      <c r="C84" s="27">
        <v>44190</v>
      </c>
      <c r="D84" s="26" t="s">
        <v>207</v>
      </c>
    </row>
    <row r="85" spans="3:4" x14ac:dyDescent="0.3">
      <c r="C85" s="27">
        <v>44191</v>
      </c>
      <c r="D85" s="26" t="s">
        <v>208</v>
      </c>
    </row>
    <row r="86" spans="3:4" x14ac:dyDescent="0.3">
      <c r="C86" s="27">
        <v>44192</v>
      </c>
      <c r="D86" s="26" t="s">
        <v>208</v>
      </c>
    </row>
    <row r="87" spans="3:4" x14ac:dyDescent="0.3">
      <c r="C87" s="27">
        <v>44193</v>
      </c>
      <c r="D87" s="26" t="s">
        <v>208</v>
      </c>
    </row>
    <row r="88" spans="3:4" x14ac:dyDescent="0.3">
      <c r="C88" s="27">
        <v>44194</v>
      </c>
      <c r="D88" s="26" t="s">
        <v>208</v>
      </c>
    </row>
    <row r="89" spans="3:4" x14ac:dyDescent="0.3">
      <c r="C89" s="27">
        <v>44195</v>
      </c>
      <c r="D89" s="26" t="s">
        <v>208</v>
      </c>
    </row>
    <row r="90" spans="3:4" x14ac:dyDescent="0.3">
      <c r="C90" s="27">
        <v>44196</v>
      </c>
      <c r="D90" s="26" t="s">
        <v>208</v>
      </c>
    </row>
    <row r="91" spans="3:4" x14ac:dyDescent="0.3">
      <c r="C91" s="27">
        <v>44197</v>
      </c>
      <c r="D91" s="26" t="s">
        <v>208</v>
      </c>
    </row>
    <row r="92" spans="3:4" x14ac:dyDescent="0.3">
      <c r="C92" s="27">
        <v>44198</v>
      </c>
      <c r="D92" s="26" t="s">
        <v>209</v>
      </c>
    </row>
    <row r="93" spans="3:4" x14ac:dyDescent="0.3">
      <c r="C93" s="27">
        <v>44199</v>
      </c>
      <c r="D93" s="26" t="s">
        <v>209</v>
      </c>
    </row>
    <row r="94" spans="3:4" x14ac:dyDescent="0.3">
      <c r="C94" s="27">
        <v>44200</v>
      </c>
      <c r="D94" s="26" t="s">
        <v>209</v>
      </c>
    </row>
    <row r="95" spans="3:4" x14ac:dyDescent="0.3">
      <c r="C95" s="27">
        <v>44201</v>
      </c>
      <c r="D95" s="26" t="s">
        <v>209</v>
      </c>
    </row>
    <row r="96" spans="3:4" x14ac:dyDescent="0.3">
      <c r="C96" s="27">
        <v>44202</v>
      </c>
      <c r="D96" s="26" t="s">
        <v>209</v>
      </c>
    </row>
    <row r="97" spans="3:4" x14ac:dyDescent="0.3">
      <c r="C97" s="27">
        <v>44203</v>
      </c>
      <c r="D97" s="26" t="s">
        <v>209</v>
      </c>
    </row>
    <row r="98" spans="3:4" x14ac:dyDescent="0.3">
      <c r="C98" s="27">
        <v>44204</v>
      </c>
      <c r="D98" s="26" t="s">
        <v>209</v>
      </c>
    </row>
    <row r="99" spans="3:4" x14ac:dyDescent="0.3">
      <c r="C99" s="27">
        <v>44205</v>
      </c>
      <c r="D99" s="26" t="s">
        <v>210</v>
      </c>
    </row>
    <row r="100" spans="3:4" x14ac:dyDescent="0.3">
      <c r="C100" s="27">
        <v>44206</v>
      </c>
      <c r="D100" s="26" t="s">
        <v>210</v>
      </c>
    </row>
    <row r="101" spans="3:4" x14ac:dyDescent="0.3">
      <c r="C101" s="27">
        <v>44207</v>
      </c>
      <c r="D101" s="26" t="s">
        <v>210</v>
      </c>
    </row>
    <row r="102" spans="3:4" x14ac:dyDescent="0.3">
      <c r="C102" s="27">
        <v>44208</v>
      </c>
      <c r="D102" s="26" t="s">
        <v>210</v>
      </c>
    </row>
    <row r="103" spans="3:4" x14ac:dyDescent="0.3">
      <c r="C103" s="27">
        <v>44209</v>
      </c>
      <c r="D103" s="26" t="s">
        <v>210</v>
      </c>
    </row>
    <row r="104" spans="3:4" x14ac:dyDescent="0.3">
      <c r="C104" s="27">
        <v>44210</v>
      </c>
      <c r="D104" s="26" t="s">
        <v>210</v>
      </c>
    </row>
    <row r="105" spans="3:4" x14ac:dyDescent="0.3">
      <c r="C105" s="27">
        <v>44211</v>
      </c>
      <c r="D105" s="26" t="s">
        <v>210</v>
      </c>
    </row>
    <row r="106" spans="3:4" x14ac:dyDescent="0.3">
      <c r="C106" s="27">
        <v>44212</v>
      </c>
      <c r="D106" s="26" t="s">
        <v>211</v>
      </c>
    </row>
    <row r="107" spans="3:4" x14ac:dyDescent="0.3">
      <c r="C107" s="27">
        <v>44213</v>
      </c>
      <c r="D107" s="26" t="s">
        <v>211</v>
      </c>
    </row>
    <row r="108" spans="3:4" x14ac:dyDescent="0.3">
      <c r="C108" s="27">
        <v>44214</v>
      </c>
      <c r="D108" s="26" t="s">
        <v>211</v>
      </c>
    </row>
    <row r="109" spans="3:4" x14ac:dyDescent="0.3">
      <c r="C109" s="27">
        <v>44215</v>
      </c>
      <c r="D109" s="26" t="s">
        <v>211</v>
      </c>
    </row>
    <row r="110" spans="3:4" x14ac:dyDescent="0.3">
      <c r="C110" s="27">
        <v>44216</v>
      </c>
      <c r="D110" s="26" t="s">
        <v>211</v>
      </c>
    </row>
    <row r="111" spans="3:4" x14ac:dyDescent="0.3">
      <c r="C111" s="27">
        <v>44217</v>
      </c>
      <c r="D111" s="26" t="s">
        <v>211</v>
      </c>
    </row>
    <row r="112" spans="3:4" x14ac:dyDescent="0.3">
      <c r="C112" s="27">
        <v>44218</v>
      </c>
      <c r="D112" s="26" t="s">
        <v>211</v>
      </c>
    </row>
    <row r="113" spans="3:4" x14ac:dyDescent="0.3">
      <c r="C113" s="27">
        <v>44219</v>
      </c>
      <c r="D113" s="26" t="s">
        <v>212</v>
      </c>
    </row>
    <row r="114" spans="3:4" x14ac:dyDescent="0.3">
      <c r="C114" s="27">
        <v>44220</v>
      </c>
      <c r="D114" s="26" t="s">
        <v>212</v>
      </c>
    </row>
    <row r="115" spans="3:4" x14ac:dyDescent="0.3">
      <c r="C115" s="27">
        <v>44221</v>
      </c>
      <c r="D115" s="26" t="s">
        <v>212</v>
      </c>
    </row>
    <row r="116" spans="3:4" x14ac:dyDescent="0.3">
      <c r="C116" s="27">
        <v>44222</v>
      </c>
      <c r="D116" s="26" t="s">
        <v>212</v>
      </c>
    </row>
    <row r="117" spans="3:4" x14ac:dyDescent="0.3">
      <c r="C117" s="27">
        <v>44223</v>
      </c>
      <c r="D117" s="26" t="s">
        <v>212</v>
      </c>
    </row>
    <row r="118" spans="3:4" x14ac:dyDescent="0.3">
      <c r="C118" s="27">
        <v>44224</v>
      </c>
      <c r="D118" s="26" t="s">
        <v>212</v>
      </c>
    </row>
    <row r="119" spans="3:4" x14ac:dyDescent="0.3">
      <c r="C119" s="27">
        <v>44225</v>
      </c>
      <c r="D119" s="26" t="s">
        <v>212</v>
      </c>
    </row>
    <row r="120" spans="3:4" x14ac:dyDescent="0.3">
      <c r="C120" s="27">
        <v>44226</v>
      </c>
      <c r="D120" s="26" t="s">
        <v>213</v>
      </c>
    </row>
    <row r="121" spans="3:4" x14ac:dyDescent="0.3">
      <c r="C121" s="27">
        <v>44227</v>
      </c>
      <c r="D121" s="26" t="s">
        <v>213</v>
      </c>
    </row>
    <row r="122" spans="3:4" x14ac:dyDescent="0.3">
      <c r="C122" s="27">
        <v>44228</v>
      </c>
      <c r="D122" s="26" t="s">
        <v>213</v>
      </c>
    </row>
    <row r="123" spans="3:4" x14ac:dyDescent="0.3">
      <c r="C123" s="27">
        <v>44229</v>
      </c>
      <c r="D123" s="26" t="s">
        <v>213</v>
      </c>
    </row>
    <row r="124" spans="3:4" x14ac:dyDescent="0.3">
      <c r="C124" s="27">
        <v>44230</v>
      </c>
      <c r="D124" s="26" t="s">
        <v>213</v>
      </c>
    </row>
    <row r="125" spans="3:4" x14ac:dyDescent="0.3">
      <c r="C125" s="27">
        <v>44231</v>
      </c>
      <c r="D125" s="26" t="s">
        <v>213</v>
      </c>
    </row>
    <row r="126" spans="3:4" x14ac:dyDescent="0.3">
      <c r="C126" s="27">
        <v>44232</v>
      </c>
      <c r="D126" s="26" t="s">
        <v>213</v>
      </c>
    </row>
    <row r="127" spans="3:4" x14ac:dyDescent="0.3">
      <c r="C127" s="27">
        <v>44233</v>
      </c>
      <c r="D127" s="26" t="s">
        <v>214</v>
      </c>
    </row>
    <row r="128" spans="3:4" x14ac:dyDescent="0.3">
      <c r="C128" s="27">
        <v>44234</v>
      </c>
      <c r="D128" s="26" t="s">
        <v>214</v>
      </c>
    </row>
    <row r="129" spans="3:4" x14ac:dyDescent="0.3">
      <c r="C129" s="27">
        <v>44235</v>
      </c>
      <c r="D129" s="26" t="s">
        <v>214</v>
      </c>
    </row>
    <row r="130" spans="3:4" x14ac:dyDescent="0.3">
      <c r="C130" s="27">
        <v>44236</v>
      </c>
      <c r="D130" s="26" t="s">
        <v>214</v>
      </c>
    </row>
    <row r="131" spans="3:4" x14ac:dyDescent="0.3">
      <c r="C131" s="27">
        <v>44237</v>
      </c>
      <c r="D131" s="26" t="s">
        <v>214</v>
      </c>
    </row>
    <row r="132" spans="3:4" x14ac:dyDescent="0.3">
      <c r="C132" s="27">
        <v>44238</v>
      </c>
      <c r="D132" s="26" t="s">
        <v>214</v>
      </c>
    </row>
    <row r="133" spans="3:4" x14ac:dyDescent="0.3">
      <c r="C133" s="27">
        <v>44239</v>
      </c>
      <c r="D133" s="26" t="s">
        <v>214</v>
      </c>
    </row>
    <row r="134" spans="3:4" x14ac:dyDescent="0.3">
      <c r="C134" s="27">
        <v>44240</v>
      </c>
      <c r="D134" s="26" t="s">
        <v>215</v>
      </c>
    </row>
    <row r="135" spans="3:4" x14ac:dyDescent="0.3">
      <c r="C135" s="27">
        <v>44241</v>
      </c>
      <c r="D135" s="26" t="s">
        <v>215</v>
      </c>
    </row>
    <row r="136" spans="3:4" x14ac:dyDescent="0.3">
      <c r="C136" s="27">
        <v>44242</v>
      </c>
      <c r="D136" s="26" t="s">
        <v>215</v>
      </c>
    </row>
    <row r="137" spans="3:4" x14ac:dyDescent="0.3">
      <c r="C137" s="27">
        <v>44243</v>
      </c>
      <c r="D137" s="26" t="s">
        <v>215</v>
      </c>
    </row>
    <row r="138" spans="3:4" x14ac:dyDescent="0.3">
      <c r="C138" s="27">
        <v>44244</v>
      </c>
      <c r="D138" s="26" t="s">
        <v>215</v>
      </c>
    </row>
    <row r="139" spans="3:4" x14ac:dyDescent="0.3">
      <c r="C139" s="27">
        <v>44245</v>
      </c>
      <c r="D139" s="26" t="s">
        <v>215</v>
      </c>
    </row>
    <row r="140" spans="3:4" x14ac:dyDescent="0.3">
      <c r="C140" s="27">
        <v>44246</v>
      </c>
      <c r="D140" s="26" t="s">
        <v>215</v>
      </c>
    </row>
    <row r="141" spans="3:4" x14ac:dyDescent="0.3">
      <c r="C141" s="27">
        <v>44247</v>
      </c>
      <c r="D141" s="26" t="s">
        <v>216</v>
      </c>
    </row>
    <row r="142" spans="3:4" x14ac:dyDescent="0.3">
      <c r="C142" s="27">
        <v>44248</v>
      </c>
      <c r="D142" s="26" t="s">
        <v>216</v>
      </c>
    </row>
    <row r="143" spans="3:4" x14ac:dyDescent="0.3">
      <c r="C143" s="27">
        <v>44249</v>
      </c>
      <c r="D143" s="26" t="s">
        <v>216</v>
      </c>
    </row>
    <row r="144" spans="3:4" x14ac:dyDescent="0.3">
      <c r="C144" s="27">
        <v>44250</v>
      </c>
      <c r="D144" s="26" t="s">
        <v>216</v>
      </c>
    </row>
    <row r="145" spans="3:4" x14ac:dyDescent="0.3">
      <c r="C145" s="27">
        <v>44251</v>
      </c>
      <c r="D145" s="26" t="s">
        <v>216</v>
      </c>
    </row>
    <row r="146" spans="3:4" x14ac:dyDescent="0.3">
      <c r="C146" s="27">
        <v>44252</v>
      </c>
      <c r="D146" s="26" t="s">
        <v>216</v>
      </c>
    </row>
    <row r="147" spans="3:4" x14ac:dyDescent="0.3">
      <c r="C147" s="27">
        <v>44253</v>
      </c>
      <c r="D147" s="26" t="s">
        <v>216</v>
      </c>
    </row>
    <row r="148" spans="3:4" x14ac:dyDescent="0.3">
      <c r="C148" s="27">
        <v>44254</v>
      </c>
      <c r="D148" s="26" t="s">
        <v>217</v>
      </c>
    </row>
    <row r="149" spans="3:4" x14ac:dyDescent="0.3">
      <c r="C149" s="27">
        <v>44255</v>
      </c>
      <c r="D149" s="26" t="s">
        <v>217</v>
      </c>
    </row>
    <row r="150" spans="3:4" x14ac:dyDescent="0.3">
      <c r="C150" s="27">
        <v>44256</v>
      </c>
      <c r="D150" s="26" t="s">
        <v>217</v>
      </c>
    </row>
    <row r="151" spans="3:4" x14ac:dyDescent="0.3">
      <c r="C151" s="27">
        <v>44257</v>
      </c>
      <c r="D151" s="26" t="s">
        <v>217</v>
      </c>
    </row>
    <row r="152" spans="3:4" x14ac:dyDescent="0.3">
      <c r="C152" s="27">
        <v>44258</v>
      </c>
      <c r="D152" s="26" t="s">
        <v>217</v>
      </c>
    </row>
    <row r="153" spans="3:4" x14ac:dyDescent="0.3">
      <c r="C153" s="27">
        <v>44259</v>
      </c>
      <c r="D153" s="26" t="s">
        <v>217</v>
      </c>
    </row>
    <row r="154" spans="3:4" x14ac:dyDescent="0.3">
      <c r="C154" s="27">
        <v>44260</v>
      </c>
      <c r="D154" s="26" t="s">
        <v>217</v>
      </c>
    </row>
    <row r="155" spans="3:4" x14ac:dyDescent="0.3">
      <c r="C155" s="27">
        <v>44261</v>
      </c>
      <c r="D155" s="26" t="s">
        <v>218</v>
      </c>
    </row>
    <row r="156" spans="3:4" x14ac:dyDescent="0.3">
      <c r="C156" s="27">
        <v>44262</v>
      </c>
      <c r="D156" s="26" t="s">
        <v>218</v>
      </c>
    </row>
    <row r="157" spans="3:4" x14ac:dyDescent="0.3">
      <c r="C157" s="27">
        <v>44263</v>
      </c>
      <c r="D157" s="26" t="s">
        <v>218</v>
      </c>
    </row>
    <row r="158" spans="3:4" x14ac:dyDescent="0.3">
      <c r="C158" s="27">
        <v>44264</v>
      </c>
      <c r="D158" s="26" t="s">
        <v>218</v>
      </c>
    </row>
    <row r="159" spans="3:4" x14ac:dyDescent="0.3">
      <c r="C159" s="27">
        <v>44265</v>
      </c>
      <c r="D159" s="26" t="s">
        <v>218</v>
      </c>
    </row>
    <row r="160" spans="3:4" x14ac:dyDescent="0.3">
      <c r="C160" s="27">
        <v>44266</v>
      </c>
      <c r="D160" s="26" t="s">
        <v>218</v>
      </c>
    </row>
    <row r="161" spans="3:4" x14ac:dyDescent="0.3">
      <c r="C161" s="27">
        <v>44267</v>
      </c>
      <c r="D161" s="26" t="s">
        <v>218</v>
      </c>
    </row>
    <row r="162" spans="3:4" x14ac:dyDescent="0.3">
      <c r="C162" s="27">
        <v>44268</v>
      </c>
      <c r="D162" s="26" t="s">
        <v>219</v>
      </c>
    </row>
    <row r="163" spans="3:4" x14ac:dyDescent="0.3">
      <c r="C163" s="27">
        <v>44269</v>
      </c>
      <c r="D163" s="26" t="s">
        <v>219</v>
      </c>
    </row>
    <row r="164" spans="3:4" x14ac:dyDescent="0.3">
      <c r="C164" s="27">
        <v>44270</v>
      </c>
      <c r="D164" s="26" t="s">
        <v>219</v>
      </c>
    </row>
    <row r="165" spans="3:4" x14ac:dyDescent="0.3">
      <c r="C165" s="27">
        <v>44271</v>
      </c>
      <c r="D165" s="26" t="s">
        <v>219</v>
      </c>
    </row>
    <row r="166" spans="3:4" x14ac:dyDescent="0.3">
      <c r="C166" s="27">
        <v>44272</v>
      </c>
      <c r="D166" s="26" t="s">
        <v>219</v>
      </c>
    </row>
    <row r="167" spans="3:4" x14ac:dyDescent="0.3">
      <c r="C167" s="27">
        <v>44273</v>
      </c>
      <c r="D167" s="26" t="s">
        <v>219</v>
      </c>
    </row>
    <row r="168" spans="3:4" x14ac:dyDescent="0.3">
      <c r="C168" s="27">
        <v>44274</v>
      </c>
      <c r="D168" s="26" t="s">
        <v>219</v>
      </c>
    </row>
    <row r="169" spans="3:4" x14ac:dyDescent="0.3">
      <c r="C169" s="27">
        <v>44275</v>
      </c>
      <c r="D169" s="26" t="s">
        <v>220</v>
      </c>
    </row>
    <row r="170" spans="3:4" x14ac:dyDescent="0.3">
      <c r="C170" s="27">
        <v>44276</v>
      </c>
      <c r="D170" s="26" t="s">
        <v>220</v>
      </c>
    </row>
    <row r="171" spans="3:4" x14ac:dyDescent="0.3">
      <c r="C171" s="27">
        <v>44277</v>
      </c>
      <c r="D171" s="26" t="s">
        <v>220</v>
      </c>
    </row>
    <row r="172" spans="3:4" x14ac:dyDescent="0.3">
      <c r="C172" s="27">
        <v>44278</v>
      </c>
      <c r="D172" s="26" t="s">
        <v>220</v>
      </c>
    </row>
    <row r="173" spans="3:4" x14ac:dyDescent="0.3">
      <c r="C173" s="27">
        <v>44279</v>
      </c>
      <c r="D173" s="26" t="s">
        <v>220</v>
      </c>
    </row>
    <row r="174" spans="3:4" x14ac:dyDescent="0.3">
      <c r="C174" s="27">
        <v>44280</v>
      </c>
      <c r="D174" s="26" t="s">
        <v>220</v>
      </c>
    </row>
    <row r="175" spans="3:4" x14ac:dyDescent="0.3">
      <c r="C175" s="27">
        <v>44281</v>
      </c>
      <c r="D175" s="26" t="s">
        <v>220</v>
      </c>
    </row>
    <row r="176" spans="3:4" x14ac:dyDescent="0.3">
      <c r="C176" s="27">
        <v>44282</v>
      </c>
      <c r="D176" s="26" t="s">
        <v>221</v>
      </c>
    </row>
    <row r="177" spans="3:4" x14ac:dyDescent="0.3">
      <c r="C177" s="27">
        <v>44283</v>
      </c>
      <c r="D177" s="26" t="s">
        <v>221</v>
      </c>
    </row>
    <row r="178" spans="3:4" x14ac:dyDescent="0.3">
      <c r="C178" s="27">
        <v>44284</v>
      </c>
      <c r="D178" s="26" t="s">
        <v>221</v>
      </c>
    </row>
    <row r="179" spans="3:4" x14ac:dyDescent="0.3">
      <c r="C179" s="27">
        <v>44285</v>
      </c>
      <c r="D179" s="26" t="s">
        <v>221</v>
      </c>
    </row>
    <row r="180" spans="3:4" x14ac:dyDescent="0.3">
      <c r="C180" s="27">
        <v>44286</v>
      </c>
      <c r="D180" s="26" t="s">
        <v>221</v>
      </c>
    </row>
    <row r="181" spans="3:4" x14ac:dyDescent="0.3">
      <c r="C181" s="27">
        <v>44287</v>
      </c>
      <c r="D181" s="26" t="s">
        <v>221</v>
      </c>
    </row>
    <row r="182" spans="3:4" x14ac:dyDescent="0.3">
      <c r="C182" s="27">
        <v>44288</v>
      </c>
      <c r="D182" s="26" t="s">
        <v>221</v>
      </c>
    </row>
    <row r="183" spans="3:4" x14ac:dyDescent="0.3">
      <c r="C183" s="27">
        <v>44289</v>
      </c>
      <c r="D183" s="26" t="s">
        <v>222</v>
      </c>
    </row>
    <row r="184" spans="3:4" x14ac:dyDescent="0.3">
      <c r="C184" s="27">
        <v>44290</v>
      </c>
      <c r="D184" s="26" t="s">
        <v>222</v>
      </c>
    </row>
    <row r="185" spans="3:4" x14ac:dyDescent="0.3">
      <c r="C185" s="27">
        <v>44291</v>
      </c>
      <c r="D185" s="26" t="s">
        <v>222</v>
      </c>
    </row>
    <row r="186" spans="3:4" x14ac:dyDescent="0.3">
      <c r="C186" s="27">
        <v>44292</v>
      </c>
      <c r="D186" s="26" t="s">
        <v>222</v>
      </c>
    </row>
    <row r="187" spans="3:4" x14ac:dyDescent="0.3">
      <c r="C187" s="27">
        <v>44293</v>
      </c>
      <c r="D187" s="26" t="s">
        <v>222</v>
      </c>
    </row>
    <row r="188" spans="3:4" x14ac:dyDescent="0.3">
      <c r="C188" s="27">
        <v>44294</v>
      </c>
      <c r="D188" s="26" t="s">
        <v>222</v>
      </c>
    </row>
    <row r="189" spans="3:4" x14ac:dyDescent="0.3">
      <c r="C189" s="27">
        <v>44295</v>
      </c>
      <c r="D189" s="26" t="s">
        <v>222</v>
      </c>
    </row>
    <row r="190" spans="3:4" x14ac:dyDescent="0.3">
      <c r="C190" s="27">
        <v>44296</v>
      </c>
      <c r="D190" s="26" t="s">
        <v>223</v>
      </c>
    </row>
    <row r="191" spans="3:4" x14ac:dyDescent="0.3">
      <c r="C191" s="27">
        <v>44297</v>
      </c>
      <c r="D191" s="26" t="s">
        <v>223</v>
      </c>
    </row>
    <row r="192" spans="3:4" x14ac:dyDescent="0.3">
      <c r="C192" s="27">
        <v>44298</v>
      </c>
      <c r="D192" s="26" t="s">
        <v>223</v>
      </c>
    </row>
    <row r="193" spans="3:4" x14ac:dyDescent="0.3">
      <c r="C193" s="27">
        <v>44299</v>
      </c>
      <c r="D193" s="26" t="s">
        <v>223</v>
      </c>
    </row>
    <row r="194" spans="3:4" x14ac:dyDescent="0.3">
      <c r="C194" s="27">
        <v>44300</v>
      </c>
      <c r="D194" s="26" t="s">
        <v>223</v>
      </c>
    </row>
    <row r="195" spans="3:4" x14ac:dyDescent="0.3">
      <c r="C195" s="27">
        <v>44301</v>
      </c>
      <c r="D195" s="26" t="s">
        <v>223</v>
      </c>
    </row>
    <row r="196" spans="3:4" x14ac:dyDescent="0.3">
      <c r="C196" s="27">
        <v>44302</v>
      </c>
      <c r="D196" s="26" t="s">
        <v>223</v>
      </c>
    </row>
    <row r="197" spans="3:4" x14ac:dyDescent="0.3">
      <c r="C197" s="27">
        <v>44303</v>
      </c>
      <c r="D197" s="26" t="s">
        <v>224</v>
      </c>
    </row>
    <row r="198" spans="3:4" x14ac:dyDescent="0.3">
      <c r="C198" s="27">
        <v>44304</v>
      </c>
      <c r="D198" s="26" t="s">
        <v>224</v>
      </c>
    </row>
    <row r="199" spans="3:4" x14ac:dyDescent="0.3">
      <c r="C199" s="27">
        <v>44305</v>
      </c>
      <c r="D199" s="26" t="s">
        <v>224</v>
      </c>
    </row>
    <row r="200" spans="3:4" x14ac:dyDescent="0.3">
      <c r="C200" s="27">
        <v>44306</v>
      </c>
      <c r="D200" s="26" t="s">
        <v>224</v>
      </c>
    </row>
    <row r="201" spans="3:4" x14ac:dyDescent="0.3">
      <c r="C201" s="27">
        <v>44307</v>
      </c>
      <c r="D201" s="26" t="s">
        <v>224</v>
      </c>
    </row>
    <row r="202" spans="3:4" x14ac:dyDescent="0.3">
      <c r="C202" s="27">
        <v>44308</v>
      </c>
      <c r="D202" s="26" t="s">
        <v>224</v>
      </c>
    </row>
    <row r="203" spans="3:4" x14ac:dyDescent="0.3">
      <c r="C203" s="27">
        <v>44309</v>
      </c>
      <c r="D203" s="26" t="s">
        <v>224</v>
      </c>
    </row>
    <row r="204" spans="3:4" x14ac:dyDescent="0.3">
      <c r="C204" s="27">
        <v>44310</v>
      </c>
      <c r="D204" s="26" t="s">
        <v>225</v>
      </c>
    </row>
    <row r="205" spans="3:4" x14ac:dyDescent="0.3">
      <c r="C205" s="27">
        <v>44311</v>
      </c>
      <c r="D205" s="26" t="s">
        <v>225</v>
      </c>
    </row>
    <row r="206" spans="3:4" x14ac:dyDescent="0.3">
      <c r="C206" s="27">
        <v>44312</v>
      </c>
      <c r="D206" s="26" t="s">
        <v>225</v>
      </c>
    </row>
    <row r="207" spans="3:4" x14ac:dyDescent="0.3">
      <c r="C207" s="27">
        <v>44313</v>
      </c>
      <c r="D207" s="26" t="s">
        <v>225</v>
      </c>
    </row>
    <row r="208" spans="3:4" x14ac:dyDescent="0.3">
      <c r="C208" s="27">
        <v>44314</v>
      </c>
      <c r="D208" s="26" t="s">
        <v>225</v>
      </c>
    </row>
    <row r="209" spans="3:4" x14ac:dyDescent="0.3">
      <c r="C209" s="27">
        <v>44315</v>
      </c>
      <c r="D209" s="26" t="s">
        <v>225</v>
      </c>
    </row>
    <row r="210" spans="3:4" x14ac:dyDescent="0.3">
      <c r="C210" s="27">
        <v>44316</v>
      </c>
      <c r="D210" s="26" t="s">
        <v>225</v>
      </c>
    </row>
    <row r="211" spans="3:4" x14ac:dyDescent="0.3">
      <c r="C211" s="27">
        <v>44317</v>
      </c>
      <c r="D211" s="26" t="s">
        <v>226</v>
      </c>
    </row>
    <row r="212" spans="3:4" x14ac:dyDescent="0.3">
      <c r="C212" s="27">
        <v>44318</v>
      </c>
      <c r="D212" s="26" t="s">
        <v>226</v>
      </c>
    </row>
    <row r="213" spans="3:4" x14ac:dyDescent="0.3">
      <c r="C213" s="27">
        <v>44319</v>
      </c>
      <c r="D213" s="26" t="s">
        <v>226</v>
      </c>
    </row>
    <row r="214" spans="3:4" x14ac:dyDescent="0.3">
      <c r="C214" s="27">
        <v>44320</v>
      </c>
      <c r="D214" s="26" t="s">
        <v>226</v>
      </c>
    </row>
    <row r="215" spans="3:4" x14ac:dyDescent="0.3">
      <c r="C215" s="27">
        <v>44321</v>
      </c>
      <c r="D215" s="26" t="s">
        <v>226</v>
      </c>
    </row>
    <row r="216" spans="3:4" x14ac:dyDescent="0.3">
      <c r="C216" s="27">
        <v>44322</v>
      </c>
      <c r="D216" s="26" t="s">
        <v>226</v>
      </c>
    </row>
    <row r="217" spans="3:4" x14ac:dyDescent="0.3">
      <c r="C217" s="27">
        <v>44323</v>
      </c>
      <c r="D217" s="26" t="s">
        <v>226</v>
      </c>
    </row>
    <row r="218" spans="3:4" x14ac:dyDescent="0.3">
      <c r="C218" s="27">
        <v>44324</v>
      </c>
      <c r="D218" s="26" t="s">
        <v>227</v>
      </c>
    </row>
    <row r="219" spans="3:4" x14ac:dyDescent="0.3">
      <c r="C219" s="27">
        <v>44325</v>
      </c>
      <c r="D219" s="26" t="s">
        <v>227</v>
      </c>
    </row>
    <row r="220" spans="3:4" x14ac:dyDescent="0.3">
      <c r="C220" s="27">
        <v>44326</v>
      </c>
      <c r="D220" s="26" t="s">
        <v>227</v>
      </c>
    </row>
    <row r="221" spans="3:4" x14ac:dyDescent="0.3">
      <c r="C221" s="27">
        <v>44327</v>
      </c>
      <c r="D221" s="26" t="s">
        <v>227</v>
      </c>
    </row>
    <row r="222" spans="3:4" x14ac:dyDescent="0.3">
      <c r="C222" s="27">
        <v>44328</v>
      </c>
      <c r="D222" s="26" t="s">
        <v>227</v>
      </c>
    </row>
    <row r="223" spans="3:4" x14ac:dyDescent="0.3">
      <c r="C223" s="27">
        <v>44329</v>
      </c>
      <c r="D223" s="26" t="s">
        <v>227</v>
      </c>
    </row>
    <row r="224" spans="3:4" x14ac:dyDescent="0.3">
      <c r="C224" s="27">
        <v>44330</v>
      </c>
      <c r="D224" s="26" t="s">
        <v>227</v>
      </c>
    </row>
    <row r="225" spans="3:4" x14ac:dyDescent="0.3">
      <c r="C225" s="27">
        <v>44331</v>
      </c>
      <c r="D225" s="26" t="s">
        <v>228</v>
      </c>
    </row>
    <row r="226" spans="3:4" x14ac:dyDescent="0.3">
      <c r="C226" s="27">
        <v>44332</v>
      </c>
      <c r="D226" s="26" t="s">
        <v>228</v>
      </c>
    </row>
    <row r="227" spans="3:4" x14ac:dyDescent="0.3">
      <c r="C227" s="27">
        <v>44333</v>
      </c>
      <c r="D227" s="26" t="s">
        <v>228</v>
      </c>
    </row>
    <row r="228" spans="3:4" x14ac:dyDescent="0.3">
      <c r="C228" s="27">
        <v>44334</v>
      </c>
      <c r="D228" s="26" t="s">
        <v>228</v>
      </c>
    </row>
    <row r="229" spans="3:4" x14ac:dyDescent="0.3">
      <c r="C229" s="27">
        <v>44335</v>
      </c>
      <c r="D229" s="26" t="s">
        <v>228</v>
      </c>
    </row>
    <row r="230" spans="3:4" x14ac:dyDescent="0.3">
      <c r="C230" s="27">
        <v>44336</v>
      </c>
      <c r="D230" s="26" t="s">
        <v>228</v>
      </c>
    </row>
    <row r="231" spans="3:4" x14ac:dyDescent="0.3">
      <c r="C231" s="27">
        <v>44337</v>
      </c>
      <c r="D231" s="26" t="s">
        <v>228</v>
      </c>
    </row>
    <row r="232" spans="3:4" x14ac:dyDescent="0.3">
      <c r="C232" s="27">
        <v>44338</v>
      </c>
      <c r="D232" s="26" t="s">
        <v>229</v>
      </c>
    </row>
    <row r="233" spans="3:4" x14ac:dyDescent="0.3">
      <c r="C233" s="27">
        <v>44339</v>
      </c>
      <c r="D233" s="26" t="s">
        <v>229</v>
      </c>
    </row>
    <row r="234" spans="3:4" x14ac:dyDescent="0.3">
      <c r="C234" s="27">
        <v>44340</v>
      </c>
      <c r="D234" s="26" t="s">
        <v>229</v>
      </c>
    </row>
    <row r="235" spans="3:4" x14ac:dyDescent="0.3">
      <c r="C235" s="27">
        <v>44341</v>
      </c>
      <c r="D235" s="26" t="s">
        <v>229</v>
      </c>
    </row>
    <row r="236" spans="3:4" x14ac:dyDescent="0.3">
      <c r="C236" s="27">
        <v>44342</v>
      </c>
      <c r="D236" s="26" t="s">
        <v>229</v>
      </c>
    </row>
    <row r="237" spans="3:4" x14ac:dyDescent="0.3">
      <c r="C237" s="27">
        <v>44343</v>
      </c>
      <c r="D237" s="26" t="s">
        <v>229</v>
      </c>
    </row>
    <row r="238" spans="3:4" x14ac:dyDescent="0.3">
      <c r="C238" s="27">
        <v>44344</v>
      </c>
      <c r="D238" s="26" t="s">
        <v>229</v>
      </c>
    </row>
    <row r="239" spans="3:4" x14ac:dyDescent="0.3">
      <c r="C239" s="27">
        <v>44345</v>
      </c>
      <c r="D239" s="26" t="s">
        <v>230</v>
      </c>
    </row>
    <row r="240" spans="3:4" x14ac:dyDescent="0.3">
      <c r="C240" s="27">
        <v>44346</v>
      </c>
      <c r="D240" s="26" t="s">
        <v>230</v>
      </c>
    </row>
    <row r="241" spans="3:4" x14ac:dyDescent="0.3">
      <c r="C241" s="27">
        <v>44347</v>
      </c>
      <c r="D241" s="26" t="s">
        <v>230</v>
      </c>
    </row>
    <row r="242" spans="3:4" x14ac:dyDescent="0.3">
      <c r="C242" s="27">
        <v>44348</v>
      </c>
      <c r="D242" s="26" t="s">
        <v>230</v>
      </c>
    </row>
    <row r="243" spans="3:4" x14ac:dyDescent="0.3">
      <c r="C243" s="27">
        <v>44349</v>
      </c>
      <c r="D243" s="26" t="s">
        <v>230</v>
      </c>
    </row>
    <row r="244" spans="3:4" x14ac:dyDescent="0.3">
      <c r="C244" s="27">
        <v>44350</v>
      </c>
      <c r="D244" s="26" t="s">
        <v>230</v>
      </c>
    </row>
    <row r="245" spans="3:4" x14ac:dyDescent="0.3">
      <c r="C245" s="27">
        <v>44351</v>
      </c>
      <c r="D245" s="26" t="s">
        <v>230</v>
      </c>
    </row>
    <row r="246" spans="3:4" x14ac:dyDescent="0.3">
      <c r="C246" s="27">
        <v>44352</v>
      </c>
      <c r="D246" s="26" t="s">
        <v>231</v>
      </c>
    </row>
    <row r="247" spans="3:4" x14ac:dyDescent="0.3">
      <c r="C247" s="27">
        <v>44353</v>
      </c>
      <c r="D247" s="26" t="s">
        <v>231</v>
      </c>
    </row>
    <row r="248" spans="3:4" x14ac:dyDescent="0.3">
      <c r="C248" s="27">
        <v>44354</v>
      </c>
      <c r="D248" s="26" t="s">
        <v>231</v>
      </c>
    </row>
    <row r="249" spans="3:4" x14ac:dyDescent="0.3">
      <c r="C249" s="27">
        <v>44355</v>
      </c>
      <c r="D249" s="26" t="s">
        <v>231</v>
      </c>
    </row>
    <row r="250" spans="3:4" x14ac:dyDescent="0.3">
      <c r="C250" s="27">
        <v>44356</v>
      </c>
      <c r="D250" s="26" t="s">
        <v>231</v>
      </c>
    </row>
    <row r="251" spans="3:4" x14ac:dyDescent="0.3">
      <c r="C251" s="27">
        <v>44357</v>
      </c>
      <c r="D251" s="26" t="s">
        <v>231</v>
      </c>
    </row>
    <row r="252" spans="3:4" x14ac:dyDescent="0.3">
      <c r="C252" s="27">
        <v>44358</v>
      </c>
      <c r="D252" s="26" t="s">
        <v>231</v>
      </c>
    </row>
    <row r="253" spans="3:4" x14ac:dyDescent="0.3">
      <c r="C253" s="27">
        <v>44359</v>
      </c>
      <c r="D253" s="26" t="s">
        <v>232</v>
      </c>
    </row>
    <row r="254" spans="3:4" x14ac:dyDescent="0.3">
      <c r="C254" s="27">
        <v>44360</v>
      </c>
      <c r="D254" s="26" t="s">
        <v>232</v>
      </c>
    </row>
    <row r="255" spans="3:4" x14ac:dyDescent="0.3">
      <c r="C255" s="27">
        <v>44361</v>
      </c>
      <c r="D255" s="26" t="s">
        <v>232</v>
      </c>
    </row>
    <row r="256" spans="3:4" x14ac:dyDescent="0.3">
      <c r="C256" s="27">
        <v>44362</v>
      </c>
      <c r="D256" s="26" t="s">
        <v>232</v>
      </c>
    </row>
    <row r="257" spans="3:4" x14ac:dyDescent="0.3">
      <c r="C257" s="27">
        <v>44363</v>
      </c>
      <c r="D257" s="26" t="s">
        <v>232</v>
      </c>
    </row>
    <row r="258" spans="3:4" x14ac:dyDescent="0.3">
      <c r="C258" s="27">
        <v>44364</v>
      </c>
      <c r="D258" s="26" t="s">
        <v>232</v>
      </c>
    </row>
    <row r="259" spans="3:4" x14ac:dyDescent="0.3">
      <c r="C259" s="27">
        <v>44365</v>
      </c>
      <c r="D259" s="26" t="s">
        <v>232</v>
      </c>
    </row>
    <row r="260" spans="3:4" x14ac:dyDescent="0.3">
      <c r="C260" s="27">
        <v>44366</v>
      </c>
      <c r="D260" s="26" t="s">
        <v>233</v>
      </c>
    </row>
    <row r="261" spans="3:4" x14ac:dyDescent="0.3">
      <c r="C261" s="27">
        <v>44367</v>
      </c>
      <c r="D261" s="26" t="s">
        <v>233</v>
      </c>
    </row>
    <row r="262" spans="3:4" x14ac:dyDescent="0.3">
      <c r="C262" s="27">
        <v>44368</v>
      </c>
      <c r="D262" s="26" t="s">
        <v>233</v>
      </c>
    </row>
    <row r="263" spans="3:4" x14ac:dyDescent="0.3">
      <c r="C263" s="27">
        <v>44369</v>
      </c>
      <c r="D263" s="26" t="s">
        <v>233</v>
      </c>
    </row>
    <row r="264" spans="3:4" x14ac:dyDescent="0.3">
      <c r="C264" s="27">
        <v>44370</v>
      </c>
      <c r="D264" s="26" t="s">
        <v>233</v>
      </c>
    </row>
    <row r="265" spans="3:4" x14ac:dyDescent="0.3">
      <c r="C265" s="27">
        <v>44371</v>
      </c>
      <c r="D265" s="26" t="s">
        <v>233</v>
      </c>
    </row>
    <row r="266" spans="3:4" x14ac:dyDescent="0.3">
      <c r="C266" s="27">
        <v>44372</v>
      </c>
      <c r="D266" s="26" t="s">
        <v>233</v>
      </c>
    </row>
    <row r="267" spans="3:4" x14ac:dyDescent="0.3">
      <c r="C267" s="27">
        <v>44373</v>
      </c>
      <c r="D267" s="26" t="s">
        <v>234</v>
      </c>
    </row>
    <row r="268" spans="3:4" x14ac:dyDescent="0.3">
      <c r="C268" s="27">
        <v>44374</v>
      </c>
      <c r="D268" s="26" t="s">
        <v>234</v>
      </c>
    </row>
    <row r="269" spans="3:4" x14ac:dyDescent="0.3">
      <c r="C269" s="27">
        <v>44375</v>
      </c>
      <c r="D269" s="26" t="s">
        <v>234</v>
      </c>
    </row>
    <row r="270" spans="3:4" x14ac:dyDescent="0.3">
      <c r="C270" s="27">
        <v>44376</v>
      </c>
      <c r="D270" s="26" t="s">
        <v>234</v>
      </c>
    </row>
    <row r="271" spans="3:4" x14ac:dyDescent="0.3">
      <c r="C271" s="27">
        <v>44377</v>
      </c>
      <c r="D271" s="26" t="s">
        <v>234</v>
      </c>
    </row>
    <row r="272" spans="3:4" x14ac:dyDescent="0.3">
      <c r="C272" s="27">
        <v>44378</v>
      </c>
      <c r="D272" s="26" t="s">
        <v>234</v>
      </c>
    </row>
    <row r="273" spans="3:4" x14ac:dyDescent="0.3">
      <c r="C273" s="27">
        <v>44379</v>
      </c>
      <c r="D273" s="26" t="s">
        <v>234</v>
      </c>
    </row>
    <row r="274" spans="3:4" x14ac:dyDescent="0.3">
      <c r="C274" s="27">
        <v>44380</v>
      </c>
      <c r="D274" s="26" t="s">
        <v>235</v>
      </c>
    </row>
    <row r="275" spans="3:4" x14ac:dyDescent="0.3">
      <c r="C275" s="27">
        <v>44381</v>
      </c>
      <c r="D275" s="26" t="s">
        <v>235</v>
      </c>
    </row>
    <row r="276" spans="3:4" x14ac:dyDescent="0.3">
      <c r="C276" s="27">
        <v>44382</v>
      </c>
      <c r="D276" s="26" t="s">
        <v>235</v>
      </c>
    </row>
    <row r="277" spans="3:4" x14ac:dyDescent="0.3">
      <c r="C277" s="27">
        <v>44383</v>
      </c>
      <c r="D277" s="26" t="s">
        <v>235</v>
      </c>
    </row>
    <row r="278" spans="3:4" x14ac:dyDescent="0.3">
      <c r="C278" s="27">
        <v>44384</v>
      </c>
      <c r="D278" s="26" t="s">
        <v>235</v>
      </c>
    </row>
    <row r="279" spans="3:4" x14ac:dyDescent="0.3">
      <c r="C279" s="27">
        <v>44385</v>
      </c>
      <c r="D279" s="26" t="s">
        <v>235</v>
      </c>
    </row>
    <row r="280" spans="3:4" x14ac:dyDescent="0.3">
      <c r="C280" s="27">
        <v>44386</v>
      </c>
      <c r="D280" s="26" t="s">
        <v>235</v>
      </c>
    </row>
    <row r="281" spans="3:4" x14ac:dyDescent="0.3">
      <c r="C281" s="27">
        <v>44387</v>
      </c>
      <c r="D281" s="26" t="s">
        <v>236</v>
      </c>
    </row>
    <row r="282" spans="3:4" x14ac:dyDescent="0.3">
      <c r="C282" s="27">
        <v>44388</v>
      </c>
      <c r="D282" s="26" t="s">
        <v>236</v>
      </c>
    </row>
    <row r="283" spans="3:4" x14ac:dyDescent="0.3">
      <c r="C283" s="27">
        <v>44389</v>
      </c>
      <c r="D283" s="26" t="s">
        <v>236</v>
      </c>
    </row>
    <row r="284" spans="3:4" x14ac:dyDescent="0.3">
      <c r="C284" s="27">
        <v>44390</v>
      </c>
      <c r="D284" s="26" t="s">
        <v>236</v>
      </c>
    </row>
    <row r="285" spans="3:4" x14ac:dyDescent="0.3">
      <c r="C285" s="27">
        <v>44391</v>
      </c>
      <c r="D285" s="26" t="s">
        <v>236</v>
      </c>
    </row>
    <row r="286" spans="3:4" x14ac:dyDescent="0.3">
      <c r="C286" s="27">
        <v>44392</v>
      </c>
      <c r="D286" s="26" t="s">
        <v>236</v>
      </c>
    </row>
    <row r="287" spans="3:4" x14ac:dyDescent="0.3">
      <c r="C287" s="27">
        <v>44393</v>
      </c>
      <c r="D287" s="26" t="s">
        <v>236</v>
      </c>
    </row>
  </sheetData>
  <customSheetViews>
    <customSheetView guid="{94F6EF88-F3F3-4147-A0A6-D7D872310F87}" state="hidden" topLeftCell="A264">
      <selection activeCell="AJ6" sqref="AJ6"/>
      <pageMargins left="0.7" right="0.7" top="0.75" bottom="0.75" header="0.3" footer="0.3"/>
    </customSheetView>
    <customSheetView guid="{8743E475-82A8-40E3-A89F-2D0E584F91E0}" state="hidden" topLeftCell="A264">
      <selection activeCell="AJ6" sqref="AJ6"/>
      <pageMargins left="0.7" right="0.7" top="0.75" bottom="0.75" header="0.3" footer="0.3"/>
    </customSheetView>
    <customSheetView guid="{7AA70812-ECD5-46F1-9429-36F5BE8AAEE9}" state="hidden" topLeftCell="A264">
      <selection activeCell="AJ6" sqref="AJ6"/>
      <pageMargins left="0.7" right="0.7" top="0.75" bottom="0.75" header="0.3" footer="0.3"/>
    </customSheetView>
    <customSheetView guid="{D15C44AF-0188-43AD-85C3-723784A3432F}" state="hidden" topLeftCell="A264">
      <selection activeCell="AJ6" sqref="AJ6"/>
      <pageMargins left="0.7" right="0.7" top="0.75" bottom="0.75" header="0.3" footer="0.3"/>
    </customSheetView>
    <customSheetView guid="{9C42C749-E16E-4DC0-991F-1D38A2D3BBE1}" state="hidden" topLeftCell="A264">
      <selection activeCell="AJ6" sqref="AJ6"/>
      <pageMargins left="0.7" right="0.7" top="0.75" bottom="0.75" header="0.3" footer="0.3"/>
    </customSheetView>
    <customSheetView guid="{53F47E00-189D-4661-B9AF-1164B563763A}" state="hidden" topLeftCell="A264">
      <selection activeCell="AJ6" sqref="AJ6"/>
      <pageMargins left="0.7" right="0.7" top="0.75" bottom="0.75" header="0.3" footer="0.3"/>
    </customSheetView>
    <customSheetView guid="{CEA4BE4F-081E-4347-B6DC-7D60391B2BEE}" state="hidden" topLeftCell="A264">
      <selection activeCell="AJ6" sqref="AJ6"/>
      <pageMargins left="0.7" right="0.7" top="0.75" bottom="0.75" header="0.3" footer="0.3"/>
    </customSheetView>
    <customSheetView guid="{D096FF35-542B-4691-BEFD-FD1E12D459D4}" state="hidden" topLeftCell="A264">
      <selection activeCell="AJ6" sqref="AJ6"/>
      <pageMargins left="0.7" right="0.7" top="0.75" bottom="0.75" header="0.3" footer="0.3"/>
    </customSheetView>
    <customSheetView guid="{B32DF6D4-B4FC-4D21-932F-8389C8D7FEB3}" state="hidden" topLeftCell="A264">
      <selection activeCell="AJ6" sqref="AJ6"/>
      <pageMargins left="0.7" right="0.7" top="0.75" bottom="0.75" header="0.3" footer="0.3"/>
    </customSheetView>
    <customSheetView guid="{8469C684-BE99-40EE-BB9E-2CBDA6F12C64}" state="hidden" topLeftCell="A264">
      <selection activeCell="AJ6" sqref="AJ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31"/>
  <sheetViews>
    <sheetView workbookViewId="0">
      <selection activeCell="G23" sqref="G23"/>
    </sheetView>
  </sheetViews>
  <sheetFormatPr defaultRowHeight="16.5" x14ac:dyDescent="0.3"/>
  <cols>
    <col min="1" max="1" width="3.875" style="22" customWidth="1"/>
    <col min="2" max="2" width="8.75" bestFit="1" customWidth="1"/>
    <col min="3" max="3" width="15" bestFit="1" customWidth="1"/>
    <col min="4" max="9" width="5.75" customWidth="1"/>
    <col min="10" max="10" width="11.125" bestFit="1" customWidth="1"/>
    <col min="11" max="11" width="8.75" style="22"/>
    <col min="12" max="12" width="10.875" style="22" bestFit="1" customWidth="1"/>
    <col min="13" max="28" width="8.75" style="22"/>
  </cols>
  <sheetData>
    <row r="1" spans="2:12" s="22" customFormat="1" ht="17.25" thickBot="1" x14ac:dyDescent="0.35"/>
    <row r="2" spans="2:12" x14ac:dyDescent="0.3">
      <c r="B2" s="8"/>
      <c r="C2" s="9" t="s">
        <v>17</v>
      </c>
      <c r="D2" s="9" t="s">
        <v>164</v>
      </c>
      <c r="E2" s="9" t="s">
        <v>51</v>
      </c>
      <c r="F2" s="9" t="s">
        <v>59</v>
      </c>
      <c r="G2" s="9" t="s">
        <v>53</v>
      </c>
      <c r="H2" s="9" t="s">
        <v>52</v>
      </c>
      <c r="I2" s="9" t="s">
        <v>175</v>
      </c>
      <c r="J2" s="10" t="s">
        <v>178</v>
      </c>
    </row>
    <row r="3" spans="2:12" x14ac:dyDescent="0.3">
      <c r="B3" s="17" t="s">
        <v>83</v>
      </c>
      <c r="C3" s="18" t="s">
        <v>84</v>
      </c>
      <c r="D3" s="18">
        <f>COUNTIF('Interface 현황 List'!E:E,"CM")</f>
        <v>2</v>
      </c>
      <c r="E3" s="18">
        <f>COUNTIF('Interface 현황 List'!E:E,"FI")</f>
        <v>7</v>
      </c>
      <c r="F3" s="18">
        <f>COUNTIF('Interface 현황 List'!E:E,"CO")</f>
        <v>1</v>
      </c>
      <c r="G3" s="18">
        <f>COUNTIF('Interface 현황 List'!E:E,"SD")</f>
        <v>61</v>
      </c>
      <c r="H3" s="18">
        <f>COUNTIF('Interface 현황 List'!E:E,"MM")</f>
        <v>31</v>
      </c>
      <c r="I3" s="20">
        <f t="shared" ref="I3:I10" si="0">SUM(E3:H3)</f>
        <v>100</v>
      </c>
      <c r="J3" s="19"/>
    </row>
    <row r="4" spans="2:12" x14ac:dyDescent="0.3">
      <c r="B4" s="244" t="s">
        <v>56</v>
      </c>
      <c r="C4" s="12" t="s">
        <v>176</v>
      </c>
      <c r="D4" s="14">
        <f>COUNTIFS('Interface 현황 List'!E:E,"CM",'Interface 현황 List'!W:W,"&lt;&gt;"&amp;"")</f>
        <v>2</v>
      </c>
      <c r="E4" s="14">
        <f>COUNTIFS('Interface 현황 List'!E:E,"FI",'Interface 현황 List'!W:W,"&lt;&gt;"&amp;"")</f>
        <v>5</v>
      </c>
      <c r="F4" s="14">
        <f>COUNTIFS('Interface 현황 List'!E:E,"CO",'Interface 현황 List'!W:W,"&lt;&gt;"&amp;"")</f>
        <v>1</v>
      </c>
      <c r="G4" s="14">
        <f>COUNTIFS('Interface 현황 List'!E:E,"SD",'Interface 현황 List'!W:W,"&lt;&gt;"&amp;"")</f>
        <v>60</v>
      </c>
      <c r="H4" s="14">
        <f>COUNTIFS('Interface 현황 List'!E:E,"MM",'Interface 현황 List'!W:W,"&lt;&gt;"&amp;"")</f>
        <v>31</v>
      </c>
      <c r="I4" s="14">
        <f t="shared" si="0"/>
        <v>97</v>
      </c>
      <c r="J4" s="243">
        <f>I5/I3</f>
        <v>0.97</v>
      </c>
    </row>
    <row r="5" spans="2:12" x14ac:dyDescent="0.3">
      <c r="B5" s="245"/>
      <c r="C5" s="12" t="s">
        <v>60</v>
      </c>
      <c r="D5" s="14">
        <f>COUNTIFS('Interface 현황 List'!E:E,"CM",'Interface 현황 List'!X:X,"&lt;&gt;"&amp;"")</f>
        <v>2</v>
      </c>
      <c r="E5" s="14">
        <f>COUNTIFS('Interface 현황 List'!E:E,"FI",'Interface 현황 List'!X:X,"&lt;&gt;"&amp;"")</f>
        <v>5</v>
      </c>
      <c r="F5" s="14">
        <f>COUNTIFS('Interface 현황 List'!E:E,"CO",'Interface 현황 List'!X:X,"&lt;&gt;"&amp;"")</f>
        <v>1</v>
      </c>
      <c r="G5" s="14">
        <f>COUNTIFS('Interface 현황 List'!E:E,"SD",'Interface 현황 List'!X:X,"&lt;&gt;"&amp;"")</f>
        <v>60</v>
      </c>
      <c r="H5" s="14">
        <f>COUNTIFS('Interface 현황 List'!E:E,"MM",'Interface 현황 List'!X:X,"&lt;&gt;"&amp;"")</f>
        <v>31</v>
      </c>
      <c r="I5" s="14">
        <f t="shared" si="0"/>
        <v>97</v>
      </c>
      <c r="J5" s="243"/>
      <c r="L5" s="23"/>
    </row>
    <row r="6" spans="2:12" x14ac:dyDescent="0.3">
      <c r="B6" s="245"/>
      <c r="C6" s="12" t="s">
        <v>61</v>
      </c>
      <c r="D6" s="7">
        <f ca="1">COUNTIFS('Interface 현황 List'!E:E,"CM",'Interface 현황 List'!W:W,"&lt;"&amp;TODAY())-COUNTIFS('Interface 현황 List'!E:E,"CM",'Interface 현황 List'!X:X,"&lt;"&amp;TODAY())</f>
        <v>0</v>
      </c>
      <c r="E6" s="7">
        <f ca="1">COUNTIFS('Interface 현황 List'!E:E,"FI",'Interface 현황 List'!W:W,"&lt;"&amp;TODAY())-COUNTIFS('Interface 현황 List'!E:E,"FI",'Interface 현황 List'!X:X,"&lt;"&amp;TODAY())</f>
        <v>0</v>
      </c>
      <c r="F6" s="7">
        <f ca="1">COUNTIFS('Interface 현황 List'!E:E,"CO",'Interface 현황 List'!W:W,"&lt;"&amp;TODAY())</f>
        <v>1</v>
      </c>
      <c r="G6" s="7">
        <f ca="1">COUNTIFS('Interface 현황 List'!E:E,"SD",'Interface 현황 List'!W:W,"&lt;"&amp;TODAY())-COUNTIFS('Interface 현황 List'!E:E,"SD",'Interface 현황 List'!X:X,"&lt;"&amp;TODAY())</f>
        <v>0</v>
      </c>
      <c r="H6" s="7">
        <f ca="1">COUNTIFS('Interface 현황 List'!E:E,"MM",'Interface 현황 List'!W:W,"&lt;"&amp;TODAY())-COUNTIFS('Interface 현황 List'!E:E,"MM",'Interface 현황 List'!X:X,"&lt;"&amp;TODAY())</f>
        <v>0</v>
      </c>
      <c r="I6" s="7">
        <f t="shared" ca="1" si="0"/>
        <v>1</v>
      </c>
      <c r="J6" s="243"/>
      <c r="L6" s="23"/>
    </row>
    <row r="7" spans="2:12" x14ac:dyDescent="0.3">
      <c r="B7" s="246" t="s">
        <v>57</v>
      </c>
      <c r="C7" s="6" t="s">
        <v>177</v>
      </c>
      <c r="D7" s="14">
        <f>COUNTIFS('Interface 현황 List'!E:E,"CM",'Interface 현황 List'!Z:Z,"&lt;&gt;"&amp;"")</f>
        <v>2</v>
      </c>
      <c r="E7" s="14">
        <f>COUNTIFS('Interface 현황 List'!E:E,"FI",'Interface 현황 List'!Z:Z,"&lt;&gt;"&amp;"")</f>
        <v>5</v>
      </c>
      <c r="F7" s="14">
        <f>COUNTIFS('Interface 현황 List'!E:E,"CO",'Interface 현황 List'!Z:Z,"&lt;&gt;"&amp;"")</f>
        <v>1</v>
      </c>
      <c r="G7" s="14">
        <f>COUNTIFS('Interface 현황 List'!E:E,"SD",'Interface 현황 List'!Z:Z,"&lt;&gt;"&amp;"")</f>
        <v>60</v>
      </c>
      <c r="H7" s="14">
        <f>COUNTIFS('Interface 현황 List'!E:E,"MM",'Interface 현황 List'!Z:Z,"&lt;&gt;"&amp;"")</f>
        <v>31</v>
      </c>
      <c r="I7" s="14">
        <f t="shared" si="0"/>
        <v>97</v>
      </c>
      <c r="J7" s="243">
        <f>I8/I3</f>
        <v>0.97</v>
      </c>
    </row>
    <row r="8" spans="2:12" x14ac:dyDescent="0.3">
      <c r="B8" s="247"/>
      <c r="C8" s="6" t="s">
        <v>62</v>
      </c>
      <c r="D8" s="14">
        <f>COUNTIFS('Interface 현황 List'!E:E,"CM",'Interface 현황 List'!AA:AA,"&lt;&gt;"&amp;"")</f>
        <v>2</v>
      </c>
      <c r="E8" s="14">
        <f>COUNTIFS('Interface 현황 List'!E:E,"FI",'Interface 현황 List'!AA:AA,"&lt;&gt;"&amp;"")</f>
        <v>5</v>
      </c>
      <c r="F8" s="14">
        <f>COUNTIFS('Interface 현황 List'!E:E,"CO",'Interface 현황 List'!AA:AA,"&lt;&gt;"&amp;"")</f>
        <v>1</v>
      </c>
      <c r="G8" s="14">
        <f>COUNTIFS('Interface 현황 List'!E:E,"SD",'Interface 현황 List'!AA:AA,"&lt;&gt;"&amp;"")</f>
        <v>60</v>
      </c>
      <c r="H8" s="14">
        <f>COUNTIFS('Interface 현황 List'!E:E,"MM",'Interface 현황 List'!AA:AA,"&lt;&gt;"&amp;"")</f>
        <v>31</v>
      </c>
      <c r="I8" s="14">
        <f t="shared" si="0"/>
        <v>97</v>
      </c>
      <c r="J8" s="243"/>
    </row>
    <row r="9" spans="2:12" x14ac:dyDescent="0.3">
      <c r="B9" s="247"/>
      <c r="C9" s="6" t="s">
        <v>63</v>
      </c>
      <c r="D9" s="7">
        <f ca="1">COUNTIFS('Interface 현황 List'!E:E,"CM",'Interface 현황 List'!Z:Z,"&lt;"&amp;TODAY())-COUNTIFS('Interface 현황 List'!E:E,"CM",'Interface 현황 List'!AA:AA,"&lt;"&amp;TODAY())</f>
        <v>0</v>
      </c>
      <c r="E9" s="7">
        <f ca="1">COUNTIFS('Interface 현황 List'!E:E,"FI",'Interface 현황 List'!Z:Z,"&lt;"&amp;TODAY())-COUNTIFS('Interface 현황 List'!E:E,"FI",'Interface 현황 List'!AA:AA,"&lt;"&amp;TODAY())</f>
        <v>0</v>
      </c>
      <c r="F9" s="7">
        <f ca="1">COUNTIFS('Interface 현황 List'!E:E,"CO",'Interface 현황 List'!Z:Z,"&lt;"&amp;TODAY())-COUNTIFS('Interface 현황 List'!E:E,"CO",'Interface 현황 List'!AA:AA,"&lt;"&amp;TODAY())</f>
        <v>0</v>
      </c>
      <c r="G9" s="7">
        <f ca="1">COUNTIFS('Interface 현황 List'!E:E,"SD",'Interface 현황 List'!Z:Z,"&lt;"&amp;TODAY())-COUNTIFS('Interface 현황 List'!E:E,"SD",'Interface 현황 List'!AA:AA,"&lt;"&amp;TODAY())</f>
        <v>0</v>
      </c>
      <c r="H9" s="7">
        <f ca="1">COUNTIFS('Interface 현황 List'!E:E,"MM",'Interface 현황 List'!Z:Z,"&lt;"&amp;TODAY())-COUNTIFS('Interface 현황 List'!E:E,"MM",'Interface 현황 List'!AA:AA,"&lt;"&amp;TODAY())</f>
        <v>0</v>
      </c>
      <c r="I9" s="7">
        <f t="shared" ca="1" si="0"/>
        <v>0</v>
      </c>
      <c r="J9" s="243"/>
    </row>
    <row r="10" spans="2:12" ht="17.25" thickBot="1" x14ac:dyDescent="0.35">
      <c r="B10" s="16" t="s">
        <v>58</v>
      </c>
      <c r="C10" s="13" t="s">
        <v>64</v>
      </c>
      <c r="D10" s="15">
        <f>COUNTIFS('Interface 현황 List'!E:E,"CM",'Interface 현황 List'!AD:AD,"&lt;&gt;"&amp;"")</f>
        <v>2</v>
      </c>
      <c r="E10" s="15">
        <f>COUNTIFS('Interface 현황 List'!E:E,"FI",'Interface 현황 List'!AD:AD,"&lt;&gt;"&amp;"")</f>
        <v>5</v>
      </c>
      <c r="F10" s="15">
        <f>COUNTIFS('Interface 현황 List'!E:E,"CO",'Interface 현황 List'!AD:AD,"&lt;&gt;"&amp;"")</f>
        <v>1</v>
      </c>
      <c r="G10" s="15">
        <f>COUNTIFS('Interface 현황 List'!E:E,"SD",'Interface 현황 List'!AD:AD,"&lt;&gt;"&amp;"")</f>
        <v>55</v>
      </c>
      <c r="H10" s="15">
        <f>COUNTIFS('Interface 현황 List'!E:E,"MM",'Interface 현황 List'!AD:AD,"&lt;&gt;"&amp;"")</f>
        <v>29</v>
      </c>
      <c r="I10" s="15">
        <f t="shared" si="0"/>
        <v>90</v>
      </c>
      <c r="J10" s="11">
        <f>I10/I3</f>
        <v>0.9</v>
      </c>
    </row>
    <row r="11" spans="2:12" s="22" customFormat="1" x14ac:dyDescent="0.3"/>
    <row r="12" spans="2:12" s="22" customFormat="1" x14ac:dyDescent="0.3"/>
    <row r="13" spans="2:12" s="22" customFormat="1" x14ac:dyDescent="0.3"/>
    <row r="14" spans="2:12" s="22" customFormat="1" x14ac:dyDescent="0.3"/>
    <row r="15" spans="2:12" s="22" customFormat="1" x14ac:dyDescent="0.3"/>
    <row r="16" spans="2:12" s="22" customFormat="1" x14ac:dyDescent="0.3"/>
    <row r="17" s="22" customFormat="1" x14ac:dyDescent="0.3"/>
    <row r="18" s="22" customFormat="1" x14ac:dyDescent="0.3"/>
    <row r="19" s="22" customFormat="1" x14ac:dyDescent="0.3"/>
    <row r="20" s="22" customFormat="1" x14ac:dyDescent="0.3"/>
    <row r="21" s="22" customFormat="1" x14ac:dyDescent="0.3"/>
    <row r="22" s="22" customFormat="1" x14ac:dyDescent="0.3"/>
    <row r="23" s="22" customFormat="1" x14ac:dyDescent="0.3"/>
    <row r="24" s="22" customFormat="1" x14ac:dyDescent="0.3"/>
    <row r="25" s="22" customFormat="1" x14ac:dyDescent="0.3"/>
    <row r="26" s="22" customFormat="1" x14ac:dyDescent="0.3"/>
    <row r="27" s="22" customFormat="1" x14ac:dyDescent="0.3"/>
    <row r="28" s="22" customFormat="1" x14ac:dyDescent="0.3"/>
    <row r="29" s="22" customFormat="1" x14ac:dyDescent="0.3"/>
    <row r="30" s="22" customFormat="1" x14ac:dyDescent="0.3"/>
    <row r="31" s="22" customFormat="1" x14ac:dyDescent="0.3"/>
    <row r="32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  <row r="47" s="22" customFormat="1" x14ac:dyDescent="0.3"/>
    <row r="48" s="22" customFormat="1" x14ac:dyDescent="0.3"/>
    <row r="49" s="22" customFormat="1" x14ac:dyDescent="0.3"/>
    <row r="50" s="22" customFormat="1" x14ac:dyDescent="0.3"/>
    <row r="51" s="22" customFormat="1" x14ac:dyDescent="0.3"/>
    <row r="52" s="22" customFormat="1" x14ac:dyDescent="0.3"/>
    <row r="53" s="22" customFormat="1" x14ac:dyDescent="0.3"/>
    <row r="54" s="22" customFormat="1" x14ac:dyDescent="0.3"/>
    <row r="55" s="22" customFormat="1" x14ac:dyDescent="0.3"/>
    <row r="56" s="22" customFormat="1" x14ac:dyDescent="0.3"/>
    <row r="57" s="22" customFormat="1" x14ac:dyDescent="0.3"/>
    <row r="58" s="22" customFormat="1" x14ac:dyDescent="0.3"/>
    <row r="59" s="22" customFormat="1" x14ac:dyDescent="0.3"/>
    <row r="60" s="22" customFormat="1" x14ac:dyDescent="0.3"/>
    <row r="61" s="22" customFormat="1" x14ac:dyDescent="0.3"/>
    <row r="62" s="22" customFormat="1" x14ac:dyDescent="0.3"/>
    <row r="63" s="22" customFormat="1" x14ac:dyDescent="0.3"/>
    <row r="64" s="22" customFormat="1" x14ac:dyDescent="0.3"/>
    <row r="65" s="22" customFormat="1" x14ac:dyDescent="0.3"/>
    <row r="66" s="22" customFormat="1" x14ac:dyDescent="0.3"/>
    <row r="67" s="22" customFormat="1" x14ac:dyDescent="0.3"/>
    <row r="68" s="22" customFormat="1" x14ac:dyDescent="0.3"/>
    <row r="69" s="22" customFormat="1" x14ac:dyDescent="0.3"/>
    <row r="70" s="22" customFormat="1" x14ac:dyDescent="0.3"/>
    <row r="71" s="22" customFormat="1" x14ac:dyDescent="0.3"/>
    <row r="72" s="22" customFormat="1" x14ac:dyDescent="0.3"/>
    <row r="73" s="22" customFormat="1" x14ac:dyDescent="0.3"/>
    <row r="74" s="22" customFormat="1" x14ac:dyDescent="0.3"/>
    <row r="75" s="22" customFormat="1" x14ac:dyDescent="0.3"/>
    <row r="76" s="22" customFormat="1" x14ac:dyDescent="0.3"/>
    <row r="77" s="22" customFormat="1" x14ac:dyDescent="0.3"/>
    <row r="78" s="22" customFormat="1" x14ac:dyDescent="0.3"/>
    <row r="79" s="22" customFormat="1" x14ac:dyDescent="0.3"/>
    <row r="80" s="22" customFormat="1" x14ac:dyDescent="0.3"/>
    <row r="81" s="22" customFormat="1" x14ac:dyDescent="0.3"/>
    <row r="82" s="22" customFormat="1" x14ac:dyDescent="0.3"/>
    <row r="83" s="22" customFormat="1" x14ac:dyDescent="0.3"/>
    <row r="84" s="22" customFormat="1" x14ac:dyDescent="0.3"/>
    <row r="85" s="22" customFormat="1" x14ac:dyDescent="0.3"/>
    <row r="86" s="22" customFormat="1" x14ac:dyDescent="0.3"/>
    <row r="87" s="22" customFormat="1" x14ac:dyDescent="0.3"/>
    <row r="88" s="22" customFormat="1" x14ac:dyDescent="0.3"/>
    <row r="89" s="22" customFormat="1" x14ac:dyDescent="0.3"/>
    <row r="90" s="22" customFormat="1" x14ac:dyDescent="0.3"/>
    <row r="91" s="22" customFormat="1" x14ac:dyDescent="0.3"/>
    <row r="92" s="22" customFormat="1" x14ac:dyDescent="0.3"/>
    <row r="93" s="22" customFormat="1" x14ac:dyDescent="0.3"/>
    <row r="94" s="22" customFormat="1" x14ac:dyDescent="0.3"/>
    <row r="95" s="22" customFormat="1" x14ac:dyDescent="0.3"/>
    <row r="96" s="22" customFormat="1" x14ac:dyDescent="0.3"/>
    <row r="97" s="22" customFormat="1" x14ac:dyDescent="0.3"/>
    <row r="98" s="22" customFormat="1" x14ac:dyDescent="0.3"/>
    <row r="99" s="22" customFormat="1" x14ac:dyDescent="0.3"/>
    <row r="100" s="22" customFormat="1" x14ac:dyDescent="0.3"/>
    <row r="101" s="22" customFormat="1" x14ac:dyDescent="0.3"/>
    <row r="102" s="22" customFormat="1" x14ac:dyDescent="0.3"/>
    <row r="103" s="22" customFormat="1" x14ac:dyDescent="0.3"/>
    <row r="104" s="22" customFormat="1" x14ac:dyDescent="0.3"/>
    <row r="105" s="22" customFormat="1" x14ac:dyDescent="0.3"/>
    <row r="106" s="22" customFormat="1" x14ac:dyDescent="0.3"/>
    <row r="107" s="22" customFormat="1" x14ac:dyDescent="0.3"/>
    <row r="108" s="22" customFormat="1" x14ac:dyDescent="0.3"/>
    <row r="109" s="22" customFormat="1" x14ac:dyDescent="0.3"/>
    <row r="110" s="22" customFormat="1" x14ac:dyDescent="0.3"/>
    <row r="111" s="22" customFormat="1" x14ac:dyDescent="0.3"/>
    <row r="112" s="22" customFormat="1" x14ac:dyDescent="0.3"/>
    <row r="113" s="22" customFormat="1" x14ac:dyDescent="0.3"/>
    <row r="114" s="22" customFormat="1" x14ac:dyDescent="0.3"/>
    <row r="115" s="22" customFormat="1" x14ac:dyDescent="0.3"/>
    <row r="116" s="22" customFormat="1" x14ac:dyDescent="0.3"/>
    <row r="117" s="22" customFormat="1" x14ac:dyDescent="0.3"/>
    <row r="118" s="22" customFormat="1" x14ac:dyDescent="0.3"/>
    <row r="119" s="22" customFormat="1" x14ac:dyDescent="0.3"/>
    <row r="120" s="22" customFormat="1" x14ac:dyDescent="0.3"/>
    <row r="121" s="22" customFormat="1" x14ac:dyDescent="0.3"/>
    <row r="122" s="22" customFormat="1" x14ac:dyDescent="0.3"/>
    <row r="123" s="22" customFormat="1" x14ac:dyDescent="0.3"/>
    <row r="124" s="22" customFormat="1" x14ac:dyDescent="0.3"/>
    <row r="125" s="22" customFormat="1" x14ac:dyDescent="0.3"/>
    <row r="126" s="22" customFormat="1" x14ac:dyDescent="0.3"/>
    <row r="127" s="22" customFormat="1" x14ac:dyDescent="0.3"/>
    <row r="128" s="22" customFormat="1" x14ac:dyDescent="0.3"/>
    <row r="129" s="22" customFormat="1" x14ac:dyDescent="0.3"/>
    <row r="130" s="22" customFormat="1" x14ac:dyDescent="0.3"/>
    <row r="131" s="22" customFormat="1" x14ac:dyDescent="0.3"/>
  </sheetData>
  <customSheetViews>
    <customSheetView guid="{94F6EF88-F3F3-4147-A0A6-D7D872310F87}">
      <selection activeCell="G23" sqref="G23"/>
      <pageMargins left="0.7" right="0.7" top="0.75" bottom="0.75" header="0.3" footer="0.3"/>
      <pageSetup paperSize="9" orientation="portrait" r:id="rId1"/>
    </customSheetView>
    <customSheetView guid="{8743E475-82A8-40E3-A89F-2D0E584F91E0}">
      <selection activeCell="G23" sqref="G23"/>
      <pageMargins left="0.7" right="0.7" top="0.75" bottom="0.75" header="0.3" footer="0.3"/>
      <pageSetup paperSize="9" orientation="portrait" r:id="rId2"/>
    </customSheetView>
    <customSheetView guid="{7AA70812-ECD5-46F1-9429-36F5BE8AAEE9}">
      <selection activeCell="G23" sqref="G23"/>
      <pageMargins left="0.7" right="0.7" top="0.75" bottom="0.75" header="0.3" footer="0.3"/>
      <pageSetup paperSize="9" orientation="portrait" r:id="rId3"/>
    </customSheetView>
    <customSheetView guid="{D15C44AF-0188-43AD-85C3-723784A3432F}">
      <selection activeCell="G23" sqref="G23"/>
      <pageMargins left="0.7" right="0.7" top="0.75" bottom="0.75" header="0.3" footer="0.3"/>
      <pageSetup paperSize="9" orientation="portrait" r:id="rId4"/>
    </customSheetView>
    <customSheetView guid="{9C42C749-E16E-4DC0-991F-1D38A2D3BBE1}">
      <selection activeCell="G23" sqref="G23"/>
      <pageMargins left="0.7" right="0.7" top="0.75" bottom="0.75" header="0.3" footer="0.3"/>
      <pageSetup paperSize="9" orientation="portrait" r:id="rId5"/>
    </customSheetView>
    <customSheetView guid="{53F47E00-189D-4661-B9AF-1164B563763A}">
      <selection activeCell="G23" sqref="G23"/>
      <pageMargins left="0.7" right="0.7" top="0.75" bottom="0.75" header="0.3" footer="0.3"/>
      <pageSetup paperSize="9" orientation="portrait" r:id="rId6"/>
    </customSheetView>
    <customSheetView guid="{CEA4BE4F-081E-4347-B6DC-7D60391B2BEE}">
      <selection activeCell="G23" sqref="G23"/>
      <pageMargins left="0.7" right="0.7" top="0.75" bottom="0.75" header="0.3" footer="0.3"/>
      <pageSetup paperSize="9" orientation="portrait" r:id="rId7"/>
    </customSheetView>
    <customSheetView guid="{D096FF35-542B-4691-BEFD-FD1E12D459D4}">
      <selection activeCell="G23" sqref="G23"/>
      <pageMargins left="0.7" right="0.7" top="0.75" bottom="0.75" header="0.3" footer="0.3"/>
      <pageSetup paperSize="9" orientation="portrait" r:id="rId8"/>
    </customSheetView>
    <customSheetView guid="{B32DF6D4-B4FC-4D21-932F-8389C8D7FEB3}">
      <selection activeCell="G23" sqref="G23"/>
      <pageMargins left="0.7" right="0.7" top="0.75" bottom="0.75" header="0.3" footer="0.3"/>
      <pageSetup paperSize="9" orientation="portrait" r:id="rId9"/>
    </customSheetView>
    <customSheetView guid="{8469C684-BE99-40EE-BB9E-2CBDA6F12C64}">
      <selection activeCell="G23" sqref="G23"/>
      <pageMargins left="0.7" right="0.7" top="0.75" bottom="0.75" header="0.3" footer="0.3"/>
      <pageSetup paperSize="9" orientation="portrait" r:id="rId10"/>
    </customSheetView>
  </customSheetViews>
  <mergeCells count="4">
    <mergeCell ref="J4:J6"/>
    <mergeCell ref="J7:J9"/>
    <mergeCell ref="B4:B6"/>
    <mergeCell ref="B7:B9"/>
  </mergeCells>
  <phoneticPr fontId="1" type="noConversion"/>
  <pageMargins left="0.7" right="0.7" top="0.75" bottom="0.75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31"/>
  <sheetViews>
    <sheetView topLeftCell="A16" zoomScaleNormal="85" workbookViewId="0">
      <selection activeCell="T1" sqref="T1:T1048576"/>
    </sheetView>
  </sheetViews>
  <sheetFormatPr defaultRowHeight="16.5" x14ac:dyDescent="0.3"/>
  <cols>
    <col min="2" max="2" width="10" bestFit="1" customWidth="1"/>
    <col min="16" max="16" width="10.875" bestFit="1" customWidth="1"/>
    <col min="20" max="20" width="8.75" style="179"/>
    <col min="22" max="22" width="9.875" bestFit="1" customWidth="1"/>
    <col min="25" max="26" width="10.5" bestFit="1" customWidth="1"/>
  </cols>
  <sheetData>
    <row r="1" spans="2:26" x14ac:dyDescent="0.3">
      <c r="B1" s="78">
        <v>44283</v>
      </c>
      <c r="C1" s="68"/>
      <c r="D1" s="68"/>
      <c r="E1" s="69" t="s">
        <v>280</v>
      </c>
      <c r="F1" s="69" t="s">
        <v>280</v>
      </c>
      <c r="G1" s="69" t="s">
        <v>281</v>
      </c>
      <c r="H1" s="69" t="s">
        <v>282</v>
      </c>
      <c r="I1" s="69" t="s">
        <v>280</v>
      </c>
      <c r="J1" s="69" t="s">
        <v>280</v>
      </c>
      <c r="K1" s="69" t="s">
        <v>281</v>
      </c>
      <c r="L1" s="69" t="s">
        <v>282</v>
      </c>
      <c r="M1" s="69" t="s">
        <v>283</v>
      </c>
      <c r="N1" s="69" t="s">
        <v>280</v>
      </c>
      <c r="O1" s="69" t="s">
        <v>284</v>
      </c>
      <c r="P1" s="69" t="s">
        <v>280</v>
      </c>
      <c r="Q1" s="69" t="s">
        <v>280</v>
      </c>
      <c r="R1" s="69" t="s">
        <v>281</v>
      </c>
      <c r="S1" s="69" t="s">
        <v>282</v>
      </c>
      <c r="T1" s="175"/>
    </row>
    <row r="2" spans="2:26" ht="18" customHeight="1" thickBot="1" x14ac:dyDescent="0.35">
      <c r="B2" s="248" t="s">
        <v>259</v>
      </c>
      <c r="C2" s="250"/>
      <c r="D2" s="254" t="s">
        <v>260</v>
      </c>
      <c r="E2" s="248" t="s">
        <v>261</v>
      </c>
      <c r="F2" s="249"/>
      <c r="G2" s="249"/>
      <c r="H2" s="250"/>
      <c r="I2" s="248" t="s">
        <v>262</v>
      </c>
      <c r="J2" s="249"/>
      <c r="K2" s="249"/>
      <c r="L2" s="250"/>
      <c r="M2" s="251" t="s">
        <v>596</v>
      </c>
      <c r="N2" s="252"/>
      <c r="O2" s="253"/>
      <c r="P2" s="248" t="s">
        <v>263</v>
      </c>
      <c r="Q2" s="249"/>
      <c r="R2" s="249"/>
      <c r="S2" s="250"/>
      <c r="T2" s="176"/>
    </row>
    <row r="3" spans="2:26" ht="17.45" customHeight="1" x14ac:dyDescent="0.3">
      <c r="B3" s="248" t="s">
        <v>264</v>
      </c>
      <c r="C3" s="250"/>
      <c r="D3" s="255"/>
      <c r="E3" s="70" t="s">
        <v>265</v>
      </c>
      <c r="F3" s="70" t="s">
        <v>266</v>
      </c>
      <c r="G3" s="70" t="s">
        <v>267</v>
      </c>
      <c r="H3" s="70" t="s">
        <v>268</v>
      </c>
      <c r="I3" s="70" t="s">
        <v>265</v>
      </c>
      <c r="J3" s="70" t="s">
        <v>266</v>
      </c>
      <c r="K3" s="70" t="s">
        <v>267</v>
      </c>
      <c r="L3" s="70" t="s">
        <v>268</v>
      </c>
      <c r="M3" s="70" t="s">
        <v>259</v>
      </c>
      <c r="N3" s="70" t="s">
        <v>266</v>
      </c>
      <c r="O3" s="71" t="s">
        <v>268</v>
      </c>
      <c r="P3" s="70" t="s">
        <v>265</v>
      </c>
      <c r="Q3" s="70" t="s">
        <v>266</v>
      </c>
      <c r="R3" s="70" t="s">
        <v>268</v>
      </c>
      <c r="S3" s="70" t="s">
        <v>267</v>
      </c>
      <c r="T3" s="177"/>
      <c r="U3" s="181"/>
      <c r="V3" s="180" t="s">
        <v>494</v>
      </c>
      <c r="W3" s="180" t="s">
        <v>495</v>
      </c>
      <c r="X3" s="181"/>
      <c r="Y3" s="180" t="s">
        <v>496</v>
      </c>
      <c r="Z3" s="180" t="s">
        <v>497</v>
      </c>
    </row>
    <row r="4" spans="2:26" x14ac:dyDescent="0.3">
      <c r="B4" s="256" t="s">
        <v>53</v>
      </c>
      <c r="C4" s="72" t="s">
        <v>269</v>
      </c>
      <c r="D4" s="73">
        <f>COUNTIFS('Interface 현황 List'!E:E,"SD",'Interface 현황 List'!J:J,"PRM")+COUNTIFS('Interface 현황 List'!E:E,"SD",'Interface 현황 List'!M:M,"PRM")</f>
        <v>36</v>
      </c>
      <c r="E4" s="75">
        <f>COUNTIFS('Interface 현황 List'!E:E,"SD",'Interface 현황 List'!J:J,"PRM",'Interface 현황 List'!W:W,"&lt;="&amp;B1)+COUNTIFS('Interface 현황 List'!E:E,"SD",'Interface 현황 List'!M:M,"PRM",'Interface 현황 List'!W:W,"&lt;="&amp;B1)</f>
        <v>35</v>
      </c>
      <c r="F4" s="75">
        <f>COUNTIFS('Interface 현황 List'!E:E,"SD",'Interface 현황 List'!J:J,"PRM",'Interface 현황 List'!X:X,"&lt;="&amp;B1)+COUNTIFS('Interface 현황 List'!E:E,"SD",'Interface 현황 List'!M:M,"PRM",'Interface 현황 List'!X:X,"&lt;="&amp;B1)</f>
        <v>35</v>
      </c>
      <c r="G4" s="74">
        <f>IFERROR(F4/E4,0)</f>
        <v>1</v>
      </c>
      <c r="H4" s="74">
        <f>IFERROR(F4/D4,0)</f>
        <v>0.97222222222222221</v>
      </c>
      <c r="I4" s="75">
        <f>COUNTIFS('Interface 현황 List'!E:E,"SD",'Interface 현황 List'!J:J,"PRM",'Interface 현황 List'!Z:Z,"&lt;="&amp;B1)+COUNTIFS('Interface 현황 List'!E:E,"SD",'Interface 현황 List'!M:M,"PRM",'Interface 현황 List'!Z:Z,"&lt;="&amp;B1)</f>
        <v>35</v>
      </c>
      <c r="J4" s="75">
        <f>COUNTIFS('Interface 현황 List'!E:E,"SD",'Interface 현황 List'!J:J,"PRM",'Interface 현황 List'!AA:AA,"&lt;="&amp;B1)+COUNTIFS('Interface 현황 List'!E:E,"SD",'Interface 현황 List'!M:M,"PRM",'Interface 현황 List'!AA:AA,"&lt;="&amp;B1)</f>
        <v>35</v>
      </c>
      <c r="K4" s="74">
        <f>IFERROR(J4/I4,0)</f>
        <v>1</v>
      </c>
      <c r="L4" s="74">
        <f t="shared" ref="L4:L17" si="0">IFERROR(J4/D4,0)</f>
        <v>0.97222222222222221</v>
      </c>
      <c r="M4" s="73">
        <f>COUNTIFS('Interface 현황 List'!E:E,"SD",'Interface 현황 List'!AL:AL,"1차통테전",'Interface 현황 List'!J:J,"PRM")+COUNTIFS('Interface 현황 List'!E:E,"SD",'Interface 현황 List'!AL:AL,"1차통테전",'Interface 현황 List'!M:M,"PRM")+COUNTIFS('Interface 현황 List'!E:E,"SD",'Interface 현황 List'!AL:AL,"2차통테전",'Interface 현황 List'!J:J,"PRM")+COUNTIFS('Interface 현황 List'!E:E,"SD",'Interface 현황 List'!AL:AL,"2차통테전",'Interface 현황 List'!M:M,"PRM")</f>
        <v>23</v>
      </c>
      <c r="N4" s="75">
        <f>J4</f>
        <v>35</v>
      </c>
      <c r="O4" s="74">
        <f>IFERROR(N4/M4,0)</f>
        <v>1.5217391304347827</v>
      </c>
      <c r="P4" s="75">
        <f>Q4</f>
        <v>31</v>
      </c>
      <c r="Q4" s="75">
        <f>COUNTIFS('Interface 현황 List'!E:E,"SD",'Interface 현황 List'!J:J,"PRM",'Interface 현황 List'!AD:AD,"&lt;="&amp;B1)+COUNTIFS('Interface 현황 List'!E:E,"SD",'Interface 현황 List'!M:M,"PRM",'Interface 현황 List'!AD:AD,"&lt;="&amp;B1)</f>
        <v>31</v>
      </c>
      <c r="R4" s="74">
        <f>IFERROR(Q4/P4,0)</f>
        <v>1</v>
      </c>
      <c r="S4" s="74">
        <f t="shared" ref="S4:S17" si="1">IFERROR(Q4/D4,0)</f>
        <v>0.86111111111111116</v>
      </c>
      <c r="T4" s="178"/>
      <c r="U4" s="181"/>
      <c r="V4" s="181"/>
      <c r="W4" s="181"/>
      <c r="X4" s="181"/>
      <c r="Y4" s="181"/>
      <c r="Z4" s="181"/>
    </row>
    <row r="5" spans="2:26" x14ac:dyDescent="0.3">
      <c r="B5" s="262"/>
      <c r="C5" s="72" t="s">
        <v>270</v>
      </c>
      <c r="D5" s="73">
        <f>COUNTIFS('Interface 현황 List'!E:E,"SD",'Interface 현황 List'!J:J,"OMS")+COUNTIFS('Interface 현황 List'!E:E,"SD",'Interface 현황 List'!M:M,"OMS")</f>
        <v>15</v>
      </c>
      <c r="E5" s="75">
        <f>COUNTIFS('Interface 현황 List'!E:E,"SD",'Interface 현황 List'!J:J,"OMS",'Interface 현황 List'!W:W,"&lt;="&amp;B1)+COUNTIFS('Interface 현황 List'!E:E,"SD",'Interface 현황 List'!M:M,"OMS",'Interface 현황 List'!W:W,"&lt;="&amp;B1)</f>
        <v>15</v>
      </c>
      <c r="F5" s="75">
        <f>COUNTIFS('Interface 현황 List'!E:E,"SD",'Interface 현황 List'!J:J,"OMS",'Interface 현황 List'!X:X,"&lt;="&amp;B1)+COUNTIFS('Interface 현황 List'!E:E,"SD",'Interface 현황 List'!M:M,"OMS",'Interface 현황 List'!X:X,"&lt;="&amp;B1)</f>
        <v>15</v>
      </c>
      <c r="G5" s="74">
        <f t="shared" ref="G5:G16" si="2">IFERROR(F5/E5,0)</f>
        <v>1</v>
      </c>
      <c r="H5" s="74">
        <f t="shared" ref="H5:H17" si="3">IFERROR(F5/D5,0)</f>
        <v>1</v>
      </c>
      <c r="I5" s="75">
        <f>COUNTIFS('Interface 현황 List'!E:E,"SD",'Interface 현황 List'!J:J,"OMS",'Interface 현황 List'!Z:Z,"&lt;="&amp;B1)+COUNTIFS('Interface 현황 List'!E:E,"SD",'Interface 현황 List'!M:M,"OMS",'Interface 현황 List'!Z:Z,"&lt;="&amp;B1)</f>
        <v>15</v>
      </c>
      <c r="J5" s="75">
        <f>COUNTIFS('Interface 현황 List'!E:E,"SD",'Interface 현황 List'!J:J,"OMS",'Interface 현황 List'!AA:AA,"&lt;="&amp;B1)+COUNTIFS('Interface 현황 List'!E:E,"SD",'Interface 현황 List'!M:M,"OMS",'Interface 현황 List'!AA:AA,"&lt;="&amp;B1)</f>
        <v>15</v>
      </c>
      <c r="K5" s="74">
        <f t="shared" ref="K5:K16" si="4">IFERROR(J5/I5,0)</f>
        <v>1</v>
      </c>
      <c r="L5" s="74">
        <f t="shared" si="0"/>
        <v>1</v>
      </c>
      <c r="M5" s="73">
        <f>COUNTIFS('Interface 현황 List'!E:E,"SD",'Interface 현황 List'!AL:AL,"1차통테전",'Interface 현황 List'!J:J,"OMS")+COUNTIFS('Interface 현황 List'!E:E,"SD",'Interface 현황 List'!AL:AL,"1차통테전",'Interface 현황 List'!M:M,"OMS")+COUNTIFS('Interface 현황 List'!E:E,"SD",'Interface 현황 List'!AL:AL,"2차통테전",'Interface 현황 List'!J:J,"OMS")+COUNTIFS('Interface 현황 List'!E:E,"SD",'Interface 현황 List'!AL:AL,"2차통테전",'Interface 현황 List'!M:M,"OMS")</f>
        <v>11</v>
      </c>
      <c r="N5" s="75">
        <f t="shared" ref="N5:N16" si="5">J5</f>
        <v>15</v>
      </c>
      <c r="O5" s="74">
        <f t="shared" ref="O5:O16" si="6">IFERROR(N5/M5,0)</f>
        <v>1.3636363636363635</v>
      </c>
      <c r="P5" s="75">
        <f t="shared" ref="P5:P16" si="7">Q5</f>
        <v>14</v>
      </c>
      <c r="Q5" s="75">
        <f>COUNTIFS('Interface 현황 List'!E:E,"SD",'Interface 현황 List'!J:J,"OMS",'Interface 현황 List'!AD:AD,"&lt;="&amp;B1)+COUNTIFS('Interface 현황 List'!E:E,"SD",'Interface 현황 List'!M:M,"OMS",'Interface 현황 List'!AD:AD,"&lt;="&amp;B1)</f>
        <v>14</v>
      </c>
      <c r="R5" s="74">
        <f t="shared" ref="R5:R16" si="8">IFERROR(Q5/P5,0)</f>
        <v>1</v>
      </c>
      <c r="S5" s="74">
        <f t="shared" si="1"/>
        <v>0.93333333333333335</v>
      </c>
      <c r="T5" s="178"/>
      <c r="U5" s="181"/>
      <c r="V5" s="181"/>
      <c r="W5" s="181"/>
      <c r="X5" s="181"/>
      <c r="Y5" s="181"/>
      <c r="Z5" s="181"/>
    </row>
    <row r="6" spans="2:26" x14ac:dyDescent="0.3">
      <c r="B6" s="257"/>
      <c r="C6" s="72" t="s">
        <v>271</v>
      </c>
      <c r="D6" s="73">
        <f>COUNTIFS('Interface 현황 List'!E:E,"SD",'Interface 현황 List'!J:J,"WMS")+COUNTIFS('Interface 현황 List'!E:E,"SD",'Interface 현황 List'!M:M,"WMS")</f>
        <v>10</v>
      </c>
      <c r="E6" s="75">
        <f>COUNTIFS('Interface 현황 List'!E:E,"SD",'Interface 현황 List'!J:J,"WMS",'Interface 현황 List'!W:W,"&lt;="&amp;B1)+COUNTIFS('Interface 현황 List'!E:E,"SD",'Interface 현황 List'!M:M,"WMS",'Interface 현황 List'!W:W,"&lt;="&amp;B1)</f>
        <v>10</v>
      </c>
      <c r="F6" s="75">
        <f>COUNTIFS('Interface 현황 List'!E:E,"SD",'Interface 현황 List'!J:J,"WMS",'Interface 현황 List'!X:X,"&lt;="&amp;B1)+COUNTIFS('Interface 현황 List'!E:E,"SD",'Interface 현황 List'!M:M,"WMS",'Interface 현황 List'!X:X,"&lt;="&amp;B1)</f>
        <v>10</v>
      </c>
      <c r="G6" s="74">
        <f t="shared" si="2"/>
        <v>1</v>
      </c>
      <c r="H6" s="74">
        <f t="shared" si="3"/>
        <v>1</v>
      </c>
      <c r="I6" s="75">
        <f>COUNTIFS('Interface 현황 List'!E:E,"SD",'Interface 현황 List'!J:J,"WMS",'Interface 현황 List'!Z:Z,"&lt;="&amp;B1)+COUNTIFS('Interface 현황 List'!E:E,"SD",'Interface 현황 List'!M:M,"WMS",'Interface 현황 List'!Z:Z,"&lt;="&amp;B1)</f>
        <v>10</v>
      </c>
      <c r="J6" s="75">
        <f>COUNTIFS('Interface 현황 List'!E:E,"SD",'Interface 현황 List'!J:J,"WMS",'Interface 현황 List'!AA:AA,"&lt;="&amp;B1)+COUNTIFS('Interface 현황 List'!E:E,"SD",'Interface 현황 List'!M:M,"WMS",'Interface 현황 List'!AA:AA,"&lt;="&amp;B1)</f>
        <v>10</v>
      </c>
      <c r="K6" s="74">
        <f t="shared" si="4"/>
        <v>1</v>
      </c>
      <c r="L6" s="74">
        <f t="shared" si="0"/>
        <v>1</v>
      </c>
      <c r="M6" s="73">
        <f>COUNTIFS('Interface 현황 List'!E:E,"SD",'Interface 현황 List'!AL:AL,"1차통테전",'Interface 현황 List'!J:J,"WMS")+COUNTIFS('Interface 현황 List'!E:E,"SD",'Interface 현황 List'!AL:AL,"1차통테전",'Interface 현황 List'!M:M,"WMS")+COUNTIFS('Interface 현황 List'!E:E,"SD",'Interface 현황 List'!AL:AL,"2차통테전",'Interface 현황 List'!J:J,"WMS")+COUNTIFS('Interface 현황 List'!E:E,"SD",'Interface 현황 List'!AL:AL,"2차통테전",'Interface 현황 List'!M:M,"WMS")</f>
        <v>9</v>
      </c>
      <c r="N6" s="75">
        <f t="shared" si="5"/>
        <v>10</v>
      </c>
      <c r="O6" s="74">
        <f t="shared" si="6"/>
        <v>1.1111111111111112</v>
      </c>
      <c r="P6" s="75">
        <f t="shared" si="7"/>
        <v>10</v>
      </c>
      <c r="Q6" s="75">
        <f>COUNTIFS('Interface 현황 List'!E:E,"SD",'Interface 현황 List'!J:J,"WMS",'Interface 현황 List'!AD:AD,"&lt;="&amp;B1)+COUNTIFS('Interface 현황 List'!E:E,"SD",'Interface 현황 List'!M:M,"WMS",'Interface 현황 List'!AD:AD,"&lt;="&amp;B1)</f>
        <v>10</v>
      </c>
      <c r="R6" s="74">
        <f t="shared" si="8"/>
        <v>1</v>
      </c>
      <c r="S6" s="74">
        <f t="shared" si="1"/>
        <v>1</v>
      </c>
      <c r="T6" s="178"/>
      <c r="U6" s="181"/>
      <c r="V6" s="181"/>
      <c r="W6" s="181"/>
      <c r="X6" s="181"/>
      <c r="Y6" s="181"/>
      <c r="Z6" s="181"/>
    </row>
    <row r="7" spans="2:26" x14ac:dyDescent="0.3">
      <c r="B7" s="263" t="s">
        <v>272</v>
      </c>
      <c r="C7" s="264"/>
      <c r="D7" s="87">
        <f>SUM(D4:D6)</f>
        <v>61</v>
      </c>
      <c r="E7" s="87">
        <f t="shared" ref="E7:F7" si="9">SUM(E4:E6)</f>
        <v>60</v>
      </c>
      <c r="F7" s="87">
        <f t="shared" si="9"/>
        <v>60</v>
      </c>
      <c r="G7" s="88">
        <f t="shared" si="2"/>
        <v>1</v>
      </c>
      <c r="H7" s="88">
        <f t="shared" si="3"/>
        <v>0.98360655737704916</v>
      </c>
      <c r="I7" s="87">
        <f t="shared" ref="I7" si="10">SUM(I4:I6)</f>
        <v>60</v>
      </c>
      <c r="J7" s="87">
        <f t="shared" ref="J7" si="11">SUM(J4:J6)</f>
        <v>60</v>
      </c>
      <c r="K7" s="88">
        <f t="shared" si="4"/>
        <v>1</v>
      </c>
      <c r="L7" s="88">
        <f t="shared" si="0"/>
        <v>0.98360655737704916</v>
      </c>
      <c r="M7" s="87">
        <f>SUM(M4:M6)</f>
        <v>43</v>
      </c>
      <c r="N7" s="89">
        <f t="shared" si="5"/>
        <v>60</v>
      </c>
      <c r="O7" s="88">
        <f t="shared" si="6"/>
        <v>1.3953488372093024</v>
      </c>
      <c r="P7" s="89">
        <f t="shared" si="7"/>
        <v>55</v>
      </c>
      <c r="Q7" s="87">
        <f t="shared" ref="Q7" si="12">SUM(Q4:Q6)</f>
        <v>55</v>
      </c>
      <c r="R7" s="88">
        <f t="shared" si="8"/>
        <v>1</v>
      </c>
      <c r="S7" s="88">
        <f t="shared" si="1"/>
        <v>0.90163934426229508</v>
      </c>
      <c r="T7" s="178"/>
      <c r="U7" s="183" t="s">
        <v>498</v>
      </c>
      <c r="V7" s="185">
        <f>E7/D7</f>
        <v>0.98360655737704916</v>
      </c>
      <c r="W7" s="185">
        <f>F7/D7</f>
        <v>0.98360655737704916</v>
      </c>
      <c r="X7" s="186"/>
      <c r="Y7" s="185">
        <f>P7/D7</f>
        <v>0.90163934426229508</v>
      </c>
      <c r="Z7" s="185">
        <f>Q7/D7</f>
        <v>0.90163934426229508</v>
      </c>
    </row>
    <row r="8" spans="2:26" x14ac:dyDescent="0.3">
      <c r="B8" s="256" t="s">
        <v>52</v>
      </c>
      <c r="C8" s="72" t="s">
        <v>273</v>
      </c>
      <c r="D8" s="73">
        <f>COUNTIFS('Interface 현황 List'!E:E,"MM",'Interface 현황 List'!J:J,"PPT")+COUNTIFS('Interface 현황 List'!E:E,"MM",'Interface 현황 List'!M:M,"PPT")</f>
        <v>25</v>
      </c>
      <c r="E8" s="75">
        <f>COUNTIFS('Interface 현황 List'!E:E,"MM",'Interface 현황 List'!J:J,"PPT",'Interface 현황 List'!W:W,"&lt;="&amp;B1)+COUNTIFS('Interface 현황 List'!E:E,"MM",'Interface 현황 List'!M:M,"PPT",'Interface 현황 List'!W:W,"&lt;="&amp;B1)</f>
        <v>24</v>
      </c>
      <c r="F8" s="75">
        <f>COUNTIFS('Interface 현황 List'!E:E,"MM",'Interface 현황 List'!J:J,"PPT",'Interface 현황 List'!X:X,"&lt;="&amp;B1)+COUNTIFS('Interface 현황 List'!E:E,"MM",'Interface 현황 List'!M:M,"PPT",'Interface 현황 List'!X:X,"&lt;="&amp;B1)</f>
        <v>24</v>
      </c>
      <c r="G8" s="74">
        <f t="shared" si="2"/>
        <v>1</v>
      </c>
      <c r="H8" s="74">
        <f t="shared" si="3"/>
        <v>0.96</v>
      </c>
      <c r="I8" s="73">
        <f>COUNTIFS('Interface 현황 List'!E:E,"MM",'Interface 현황 List'!J:J,"PPT",'Interface 현황 List'!Z:Z,"&lt;="&amp;B1)+COUNTIFS('Interface 현황 List'!E:E,"MM",'Interface 현황 List'!M:M,"PPT",'Interface 현황 List'!Z:Z,"&lt;="&amp;B1)</f>
        <v>20</v>
      </c>
      <c r="J8" s="73">
        <f>COUNTIFS('Interface 현황 List'!E:E,"MM",'Interface 현황 List'!J:J,"PPT",'Interface 현황 List'!AA:AA,"&lt;="&amp;B1)+COUNTIFS('Interface 현황 List'!E:E,"MM",'Interface 현황 List'!M:M,"PPT",'Interface 현황 List'!AA:AA,"&lt;="&amp;B1)</f>
        <v>24</v>
      </c>
      <c r="K8" s="74">
        <f t="shared" si="4"/>
        <v>1.2</v>
      </c>
      <c r="L8" s="74">
        <f t="shared" si="0"/>
        <v>0.96</v>
      </c>
      <c r="M8" s="73">
        <f>COUNTIFS('Interface 현황 List'!E:E,"MM",'Interface 현황 List'!AL:AL,"1차통테전",'Interface 현황 List'!J:J,"PPT")+COUNTIFS('Interface 현황 List'!E:E,"MM",'Interface 현황 List'!AL:AL,"1차통테전",'Interface 현황 List'!M:M,"PPT")+COUNTIFS('Interface 현황 List'!E:E,"MM",'Interface 현황 List'!AL:AL,"2차통테전",'Interface 현황 List'!J:J,"PPT")+COUNTIFS('Interface 현황 List'!E:E,"MM",'Interface 현황 List'!AL:AL,"2차통테전",'Interface 현황 List'!M:M,"PPT")</f>
        <v>16</v>
      </c>
      <c r="N8" s="75">
        <f t="shared" si="5"/>
        <v>24</v>
      </c>
      <c r="O8" s="74">
        <f t="shared" si="6"/>
        <v>1.5</v>
      </c>
      <c r="P8" s="75">
        <f t="shared" si="7"/>
        <v>23</v>
      </c>
      <c r="Q8" s="82">
        <f>COUNTIFS('Interface 현황 List'!E:E,"MM",'Interface 현황 List'!J:J,"PPT",'Interface 현황 List'!AD:AD,"&lt;="&amp;B1)+COUNTIFS('Interface 현황 List'!E:E,"MM",'Interface 현황 List'!M:M,"PPT",'Interface 현황 List'!AD:AD,"&lt;="&amp;B1)</f>
        <v>23</v>
      </c>
      <c r="R8" s="74">
        <f t="shared" si="8"/>
        <v>1</v>
      </c>
      <c r="S8" s="74">
        <f t="shared" si="1"/>
        <v>0.92</v>
      </c>
      <c r="T8" s="178"/>
      <c r="U8" s="184"/>
      <c r="V8" s="182"/>
      <c r="W8" s="182"/>
      <c r="X8" s="182"/>
      <c r="Y8" s="182"/>
      <c r="Z8" s="182"/>
    </row>
    <row r="9" spans="2:26" x14ac:dyDescent="0.3">
      <c r="B9" s="257"/>
      <c r="C9" s="72" t="s">
        <v>271</v>
      </c>
      <c r="D9" s="73">
        <f>COUNTIFS('Interface 현황 List'!E:E,"MM",'Interface 현황 List'!J:J,"WMS")+COUNTIFS('Interface 현황 List'!E:E,"MM",'Interface 현황 List'!M:M,"WMS")</f>
        <v>6</v>
      </c>
      <c r="E9" s="75">
        <f>COUNTIFS('Interface 현황 List'!E:E,"MM",'Interface 현황 List'!J:J,"WMS",'Interface 현황 List'!W:W,"&lt;="&amp;B1)+COUNTIFS('Interface 현황 List'!E:E,"MM",'Interface 현황 List'!M:M,"WMS",'Interface 현황 List'!W:W,"&lt;="&amp;B1)</f>
        <v>6</v>
      </c>
      <c r="F9" s="75">
        <f>COUNTIFS('Interface 현황 List'!E:E,"MM",'Interface 현황 List'!J:J,"WMS",'Interface 현황 List'!X:X,"&lt;="&amp;B1)+COUNTIFS('Interface 현황 List'!E:E,"MM",'Interface 현황 List'!M:M,"WMS",'Interface 현황 List'!X:X,"&lt;="&amp;B1)</f>
        <v>6</v>
      </c>
      <c r="G9" s="74">
        <f t="shared" si="2"/>
        <v>1</v>
      </c>
      <c r="H9" s="74">
        <f t="shared" si="3"/>
        <v>1</v>
      </c>
      <c r="I9" s="75">
        <f>COUNTIFS('Interface 현황 List'!E:E,"MM",'Interface 현황 List'!J:J,"WMS",'Interface 현황 List'!Z:Z,"&lt;="&amp;B1)+COUNTIFS('Interface 현황 List'!E:E,"MM",'Interface 현황 List'!M:M,"WMS",'Interface 현황 List'!Z:Z,"&lt;="&amp;B1)</f>
        <v>6</v>
      </c>
      <c r="J9" s="75">
        <f>COUNTIFS('Interface 현황 List'!E:E,"MM",'Interface 현황 List'!J:J,"WMS",'Interface 현황 List'!AA:AA,"&lt;="&amp;B1)+COUNTIFS('Interface 현황 List'!E:E,"MM",'Interface 현황 List'!M:M,"WMS",'Interface 현황 List'!AA:AA,"&lt;="&amp;B1)</f>
        <v>6</v>
      </c>
      <c r="K9" s="74">
        <f t="shared" si="4"/>
        <v>1</v>
      </c>
      <c r="L9" s="74">
        <f t="shared" si="0"/>
        <v>1</v>
      </c>
      <c r="M9" s="73">
        <f>COUNTIFS('Interface 현황 List'!E:E,"MM",'Interface 현황 List'!AL:AL,"1차통테전",'Interface 현황 List'!J:J,"WMS")+COUNTIFS('Interface 현황 List'!E:E,"MM",'Interface 현황 List'!AL:AL,"1차통테전",'Interface 현황 List'!M:M,"WMS")+COUNTIFS('Interface 현황 List'!E:E,"MM",'Interface 현황 List'!AL:AL,"2차통테전",'Interface 현황 List'!J:J,"WMS")+COUNTIFS('Interface 현황 List'!E:E,"MM",'Interface 현황 List'!AL:AL,"2차통테전",'Interface 현황 List'!M:M,"WMS")</f>
        <v>5</v>
      </c>
      <c r="N9" s="75">
        <f t="shared" si="5"/>
        <v>6</v>
      </c>
      <c r="O9" s="74">
        <f t="shared" si="6"/>
        <v>1.2</v>
      </c>
      <c r="P9" s="75">
        <f t="shared" si="7"/>
        <v>6</v>
      </c>
      <c r="Q9" s="75">
        <f>COUNTIFS('Interface 현황 List'!E:E,"MM",'Interface 현황 List'!J:J,"WMS",'Interface 현황 List'!AD:AD,"&lt;="&amp;B1)+COUNTIFS('Interface 현황 List'!E:E,"MM",'Interface 현황 List'!M:M,"WMS",'Interface 현황 List'!AD:AD,"&lt;="&amp;B1)</f>
        <v>6</v>
      </c>
      <c r="R9" s="74">
        <f t="shared" si="8"/>
        <v>1</v>
      </c>
      <c r="S9" s="74">
        <f t="shared" si="1"/>
        <v>1</v>
      </c>
      <c r="T9" s="178"/>
      <c r="U9" s="184"/>
      <c r="V9" s="182"/>
      <c r="W9" s="182"/>
      <c r="X9" s="182"/>
      <c r="Y9" s="182"/>
      <c r="Z9" s="182"/>
    </row>
    <row r="10" spans="2:26" x14ac:dyDescent="0.3">
      <c r="B10" s="263" t="s">
        <v>272</v>
      </c>
      <c r="C10" s="264"/>
      <c r="D10" s="87">
        <f>SUM(D8:D9)</f>
        <v>31</v>
      </c>
      <c r="E10" s="87">
        <f t="shared" ref="E10:F10" si="13">SUM(E8:E9)</f>
        <v>30</v>
      </c>
      <c r="F10" s="87">
        <f t="shared" si="13"/>
        <v>30</v>
      </c>
      <c r="G10" s="88">
        <f t="shared" si="2"/>
        <v>1</v>
      </c>
      <c r="H10" s="88">
        <f t="shared" si="3"/>
        <v>0.967741935483871</v>
      </c>
      <c r="I10" s="87">
        <f t="shared" ref="I10" si="14">SUM(I8:I9)</f>
        <v>26</v>
      </c>
      <c r="J10" s="87">
        <f t="shared" ref="J10" si="15">SUM(J8:J9)</f>
        <v>30</v>
      </c>
      <c r="K10" s="88">
        <f t="shared" si="4"/>
        <v>1.1538461538461537</v>
      </c>
      <c r="L10" s="88">
        <f t="shared" si="0"/>
        <v>0.967741935483871</v>
      </c>
      <c r="M10" s="87">
        <f t="shared" ref="M10" si="16">SUM(M8:M9)</f>
        <v>21</v>
      </c>
      <c r="N10" s="89">
        <f t="shared" si="5"/>
        <v>30</v>
      </c>
      <c r="O10" s="88">
        <f t="shared" si="6"/>
        <v>1.4285714285714286</v>
      </c>
      <c r="P10" s="89">
        <f t="shared" si="7"/>
        <v>29</v>
      </c>
      <c r="Q10" s="87">
        <f t="shared" ref="Q10" si="17">SUM(Q8:Q9)</f>
        <v>29</v>
      </c>
      <c r="R10" s="88">
        <f t="shared" si="8"/>
        <v>1</v>
      </c>
      <c r="S10" s="88">
        <f t="shared" si="1"/>
        <v>0.93548387096774188</v>
      </c>
      <c r="T10" s="178"/>
      <c r="U10" s="183" t="s">
        <v>499</v>
      </c>
      <c r="V10" s="185">
        <f>E10/D10</f>
        <v>0.967741935483871</v>
      </c>
      <c r="W10" s="185">
        <f>F10/D10</f>
        <v>0.967741935483871</v>
      </c>
      <c r="X10" s="186"/>
      <c r="Y10" s="185">
        <f>P10/D10</f>
        <v>0.93548387096774188</v>
      </c>
      <c r="Z10" s="185">
        <f>Q10/D10</f>
        <v>0.93548387096774188</v>
      </c>
    </row>
    <row r="11" spans="2:26" x14ac:dyDescent="0.3">
      <c r="B11" s="256" t="s">
        <v>51</v>
      </c>
      <c r="C11" s="72" t="s">
        <v>269</v>
      </c>
      <c r="D11" s="73">
        <f>COUNTIFS('Interface 현황 List'!E:E,"FI",'Interface 현황 List'!J:J,"PRM")+COUNTIFS('Interface 현황 List'!E:E,"FI",'Interface 현황 List'!M:M,"PRM")</f>
        <v>1</v>
      </c>
      <c r="E11" s="75">
        <f>COUNTIFS('Interface 현황 List'!E:E,"FI",'Interface 현황 List'!J:J,"PRM",'Interface 현황 List'!W:W,"&lt;="&amp;B1)+COUNTIFS('Interface 현황 List'!E:E,"FI",'Interface 현황 List'!M:M,"PRM",'Interface 현황 List'!W:W,"&lt;="&amp;B1)</f>
        <v>0</v>
      </c>
      <c r="F11" s="75">
        <f>COUNTIFS('Interface 현황 List'!E:E,"FI",'Interface 현황 List'!J:J,"PRM",'Interface 현황 List'!X:X,"&lt;="&amp;B1)+COUNTIFS('Interface 현황 List'!E:E,"FI",'Interface 현황 List'!M:M,"PRM",'Interface 현황 List'!X:X,"&lt;="&amp;B1)</f>
        <v>0</v>
      </c>
      <c r="G11" s="74">
        <f t="shared" si="2"/>
        <v>0</v>
      </c>
      <c r="H11" s="74">
        <f t="shared" si="3"/>
        <v>0</v>
      </c>
      <c r="I11" s="75">
        <f>COUNTIFS('Interface 현황 List'!E:E,"FI",'Interface 현황 List'!J:J,"PRM",'Interface 현황 List'!Z:Z,"&lt;="&amp;B1)+COUNTIFS('Interface 현황 List'!E:E,"FI",'Interface 현황 List'!M:M,"PRM",'Interface 현황 List'!Z:Z,"&lt;="&amp;B1)</f>
        <v>0</v>
      </c>
      <c r="J11" s="75">
        <f>COUNTIFS('Interface 현황 List'!E:E,"FI",'Interface 현황 List'!J:J,"PRM",'Interface 현황 List'!AA:AA,"&lt;="&amp;B1)+COUNTIFS('Interface 현황 List'!E:E,"FI",'Interface 현황 List'!M:M,"PRM",'Interface 현황 List'!AA:AA,"&lt;="&amp;B1)</f>
        <v>0</v>
      </c>
      <c r="K11" s="74">
        <f t="shared" si="4"/>
        <v>0</v>
      </c>
      <c r="L11" s="74">
        <f t="shared" si="0"/>
        <v>0</v>
      </c>
      <c r="M11" s="73">
        <f>COUNTIFS('Interface 현황 List'!E:E,"FI",'Interface 현황 List'!AL:AL,"1차통테전",'Interface 현황 List'!J:J,"PRM")+COUNTIFS('Interface 현황 List'!E:E,"FI",'Interface 현황 List'!AL:AL,"1차통테전",'Interface 현황 List'!M:M,"PRM")+COUNTIFS('Interface 현황 List'!E:E,"FI",'Interface 현황 List'!AL:AL,"2차통테전",'Interface 현황 List'!J:J,"PRM")+COUNTIFS('Interface 현황 List'!E:E,"FI",'Interface 현황 List'!AL:AL,"2차통테전",'Interface 현황 List'!M:M,"PRM")</f>
        <v>0</v>
      </c>
      <c r="N11" s="75">
        <f t="shared" si="5"/>
        <v>0</v>
      </c>
      <c r="O11" s="74">
        <f t="shared" si="6"/>
        <v>0</v>
      </c>
      <c r="P11" s="75">
        <f t="shared" si="7"/>
        <v>0</v>
      </c>
      <c r="Q11" s="75">
        <f>COUNTIFS('Interface 현황 List'!E:E,"FI",'Interface 현황 List'!J:J,"PRM",'Interface 현황 List'!AD:AD,"&lt;="&amp;B1)+COUNTIFS('Interface 현황 List'!E:E,"FI",'Interface 현황 List'!M:M,"PRM",'Interface 현황 List'!AD:AD,"&lt;="&amp;B1)</f>
        <v>0</v>
      </c>
      <c r="R11" s="74">
        <f t="shared" si="8"/>
        <v>0</v>
      </c>
      <c r="S11" s="74">
        <f t="shared" si="1"/>
        <v>0</v>
      </c>
      <c r="T11" s="178"/>
      <c r="U11" s="184"/>
      <c r="V11" s="182"/>
      <c r="W11" s="182"/>
      <c r="X11" s="182"/>
      <c r="Y11" s="182"/>
      <c r="Z11" s="182"/>
    </row>
    <row r="12" spans="2:26" x14ac:dyDescent="0.3">
      <c r="B12" s="262"/>
      <c r="C12" s="72" t="s">
        <v>274</v>
      </c>
      <c r="D12" s="73">
        <f>COUNTIFS('Interface 현황 List'!E:E,"FI",'Interface 현황 List'!J:J,"KSNET")+COUNTIFS('Interface 현황 List'!E:E,"FI",'Interface 현황 List'!M:M,"KSNET")</f>
        <v>1</v>
      </c>
      <c r="E12" s="75">
        <f>COUNTIFS('Interface 현황 List'!E:E,"FI",'Interface 현황 List'!J:J,"KSNET",'Interface 현황 List'!W:W,"&lt;="&amp;B1)+COUNTIFS('Interface 현황 List'!E:E,"FI",'Interface 현황 List'!M:M,"KSNET",'Interface 현황 List'!W:W,"&lt;="&amp;B1)</f>
        <v>1</v>
      </c>
      <c r="F12" s="75">
        <f>COUNTIFS('Interface 현황 List'!E:E,"FI",'Interface 현황 List'!J:J,"KSNET",'Interface 현황 List'!X:X,"&lt;="&amp;B1)+COUNTIFS('Interface 현황 List'!E:E,"FI",'Interface 현황 List'!M:M,"KSNET",'Interface 현황 List'!X:X,"&lt;="&amp;B1)</f>
        <v>1</v>
      </c>
      <c r="G12" s="74">
        <f t="shared" si="2"/>
        <v>1</v>
      </c>
      <c r="H12" s="74">
        <f t="shared" si="3"/>
        <v>1</v>
      </c>
      <c r="I12" s="75">
        <f>COUNTIFS('Interface 현황 List'!E:E,"FI",'Interface 현황 List'!J:J,"KSNET",'Interface 현황 List'!Z:Z,"&lt;="&amp;B1)+COUNTIFS('Interface 현황 List'!E:E,"FI",'Interface 현황 List'!M:M,"KSNET",'Interface 현황 List'!Z:Z,"&lt;="&amp;B1)</f>
        <v>1</v>
      </c>
      <c r="J12" s="75">
        <f>COUNTIFS('Interface 현황 List'!E:E,"FI",'Interface 현황 List'!J:J,"KSNET",'Interface 현황 List'!AA:AA,"&lt;="&amp;B1)+COUNTIFS('Interface 현황 List'!E:E,"FI",'Interface 현황 List'!M:M,"KSNET",'Interface 현황 List'!AA:AA,"&lt;="&amp;B1)</f>
        <v>1</v>
      </c>
      <c r="K12" s="74">
        <f t="shared" si="4"/>
        <v>1</v>
      </c>
      <c r="L12" s="74">
        <f t="shared" si="0"/>
        <v>1</v>
      </c>
      <c r="M12" s="73">
        <f>COUNTIFS('Interface 현황 List'!E:E,"FI",'Interface 현황 List'!AL:AL,"1차통테전",'Interface 현황 List'!J:J,"KSNET")+COUNTIFS('Interface 현황 List'!E:E,"FI",'Interface 현황 List'!AL:AL,"1차통테전",'Interface 현황 List'!M:M,"KSNET")+COUNTIFS('Interface 현황 List'!E:E,"FI",'Interface 현황 List'!AL:AL,"2차통테전",'Interface 현황 List'!J:J,"KSNET")+COUNTIFS('Interface 현황 List'!E:E,"FI",'Interface 현황 List'!AL:AL,"2차통테전",'Interface 현황 List'!M:M,"KSNET")</f>
        <v>0</v>
      </c>
      <c r="N12" s="75">
        <f t="shared" si="5"/>
        <v>1</v>
      </c>
      <c r="O12" s="74">
        <f t="shared" si="6"/>
        <v>0</v>
      </c>
      <c r="P12" s="75">
        <f t="shared" si="7"/>
        <v>1</v>
      </c>
      <c r="Q12" s="75">
        <f>COUNTIFS('Interface 현황 List'!E:E,"FI",'Interface 현황 List'!J:J,"KSNET",'Interface 현황 List'!AD:AD,"&lt;="&amp;B1)+COUNTIFS('Interface 현황 List'!E:E,"FI",'Interface 현황 List'!M:M,"KSNET",'Interface 현황 List'!AD:AD,"&lt;="&amp;B1)</f>
        <v>1</v>
      </c>
      <c r="R12" s="74">
        <f t="shared" si="8"/>
        <v>1</v>
      </c>
      <c r="S12" s="74">
        <f t="shared" si="1"/>
        <v>1</v>
      </c>
      <c r="T12" s="178"/>
      <c r="U12" s="184"/>
      <c r="V12" s="182"/>
      <c r="W12" s="182"/>
      <c r="X12" s="182"/>
      <c r="Y12" s="182"/>
      <c r="Z12" s="182"/>
    </row>
    <row r="13" spans="2:26" x14ac:dyDescent="0.3">
      <c r="B13" s="257"/>
      <c r="C13" s="72" t="s">
        <v>275</v>
      </c>
      <c r="D13" s="73">
        <f>COUNTIFS('Interface 현황 List'!E:E,"CM",'Interface 현황 List'!J:J,"GW")+COUNTIFS('Interface 현황 List'!E:E,"CM",'Interface 현황 List'!M:M,"GW")</f>
        <v>2</v>
      </c>
      <c r="E13" s="75">
        <f>COUNTIFS('Interface 현황 List'!E:E,"CM",'Interface 현황 List'!J:J,"GW",'Interface 현황 List'!W:W,"&lt;="&amp;B1)+COUNTIFS('Interface 현황 List'!E:E,"CM",'Interface 현황 List'!M:M,"GW",'Interface 현황 List'!W:W,"&lt;="&amp;B1)</f>
        <v>2</v>
      </c>
      <c r="F13" s="75">
        <f>COUNTIFS('Interface 현황 List'!E:E,"CM",'Interface 현황 List'!J:J,"GW",'Interface 현황 List'!X:X,"&lt;="&amp;B1)+COUNTIFS('Interface 현황 List'!E:E,"CM",'Interface 현황 List'!M:M,"GW",'Interface 현황 List'!X:X,"&lt;="&amp;B1)</f>
        <v>2</v>
      </c>
      <c r="G13" s="74">
        <f t="shared" si="2"/>
        <v>1</v>
      </c>
      <c r="H13" s="74">
        <f t="shared" si="3"/>
        <v>1</v>
      </c>
      <c r="I13" s="75">
        <f>COUNTIFS('Interface 현황 List'!E:E,"CM",'Interface 현황 List'!J:J,"GW",'Interface 현황 List'!Z:Z,"&lt;="&amp;B1)+COUNTIFS('Interface 현황 List'!E:E,"CM",'Interface 현황 List'!M:M,"GW",'Interface 현황 List'!Z:Z,"&lt;="&amp;B1)</f>
        <v>2</v>
      </c>
      <c r="J13" s="75">
        <f>COUNTIFS('Interface 현황 List'!E:E,"CM",'Interface 현황 List'!J:J,"GW",'Interface 현황 List'!AA:AA,"&lt;="&amp;B1)+COUNTIFS('Interface 현황 List'!E:E,"CM",'Interface 현황 List'!M:M,"GW",'Interface 현황 List'!AA:AA,"&lt;="&amp;B1)</f>
        <v>2</v>
      </c>
      <c r="K13" s="74">
        <f t="shared" si="4"/>
        <v>1</v>
      </c>
      <c r="L13" s="74">
        <f t="shared" si="0"/>
        <v>1</v>
      </c>
      <c r="M13" s="73">
        <f>COUNTIFS('Interface 현황 List'!E:E,"CM",'Interface 현황 List'!AL:AL,"1차통테전",'Interface 현황 List'!J:J,"GW")+COUNTIFS('Interface 현황 List'!E:E,"CM",'Interface 현황 List'!AL:AL,"1차통테전",'Interface 현황 List'!M:M,"GW")+COUNTIFS('Interface 현황 List'!E:E,"CM",'Interface 현황 List'!AL:AL,"2차통테전",'Interface 현황 List'!J:J,"GW")+COUNTIFS('Interface 현황 List'!E:E,"CM",'Interface 현황 List'!AL:AL,"2차통테전",'Interface 현황 List'!M:M,"GW")</f>
        <v>2</v>
      </c>
      <c r="N13" s="75">
        <f t="shared" si="5"/>
        <v>2</v>
      </c>
      <c r="O13" s="74">
        <f t="shared" si="6"/>
        <v>1</v>
      </c>
      <c r="P13" s="75">
        <f t="shared" si="7"/>
        <v>2</v>
      </c>
      <c r="Q13" s="75">
        <f>COUNTIFS('Interface 현황 List'!E:E,"CM",'Interface 현황 List'!J:J,"GW",'Interface 현황 List'!AD:AD,"&lt;="&amp;B1)+COUNTIFS('Interface 현황 List'!E:E,"CM",'Interface 현황 List'!M:M,"GW",'Interface 현황 List'!AD:AD,"&lt;="&amp;B1)</f>
        <v>2</v>
      </c>
      <c r="R13" s="74">
        <f t="shared" si="8"/>
        <v>1</v>
      </c>
      <c r="S13" s="74">
        <f t="shared" si="1"/>
        <v>1</v>
      </c>
      <c r="T13" s="178"/>
      <c r="U13" s="184"/>
      <c r="V13" s="182"/>
      <c r="W13" s="182"/>
      <c r="X13" s="182"/>
      <c r="Y13" s="182"/>
      <c r="Z13" s="182"/>
    </row>
    <row r="14" spans="2:26" x14ac:dyDescent="0.3">
      <c r="B14" s="263" t="s">
        <v>276</v>
      </c>
      <c r="C14" s="264"/>
      <c r="D14" s="87">
        <f>SUM(D11:D13)</f>
        <v>4</v>
      </c>
      <c r="E14" s="87">
        <f t="shared" ref="E14:F14" si="18">SUM(E11:E13)</f>
        <v>3</v>
      </c>
      <c r="F14" s="87">
        <f t="shared" si="18"/>
        <v>3</v>
      </c>
      <c r="G14" s="88">
        <f t="shared" si="2"/>
        <v>1</v>
      </c>
      <c r="H14" s="88">
        <f t="shared" si="3"/>
        <v>0.75</v>
      </c>
      <c r="I14" s="87">
        <f t="shared" ref="I14:J14" si="19">SUM(I11:I13)</f>
        <v>3</v>
      </c>
      <c r="J14" s="87">
        <f t="shared" si="19"/>
        <v>3</v>
      </c>
      <c r="K14" s="88">
        <f t="shared" si="4"/>
        <v>1</v>
      </c>
      <c r="L14" s="88">
        <f t="shared" si="0"/>
        <v>0.75</v>
      </c>
      <c r="M14" s="87">
        <f t="shared" ref="M14" si="20">SUM(M11:M13)</f>
        <v>2</v>
      </c>
      <c r="N14" s="89">
        <f t="shared" si="5"/>
        <v>3</v>
      </c>
      <c r="O14" s="88">
        <f t="shared" si="6"/>
        <v>1.5</v>
      </c>
      <c r="P14" s="89">
        <f t="shared" si="7"/>
        <v>3</v>
      </c>
      <c r="Q14" s="87">
        <f t="shared" ref="Q14" si="21">SUM(Q11:Q13)</f>
        <v>3</v>
      </c>
      <c r="R14" s="88">
        <f t="shared" si="8"/>
        <v>1</v>
      </c>
      <c r="S14" s="88">
        <f t="shared" si="1"/>
        <v>0.75</v>
      </c>
      <c r="T14" s="178"/>
      <c r="U14" s="183" t="s">
        <v>500</v>
      </c>
      <c r="V14" s="185">
        <f>E14/D14</f>
        <v>0.75</v>
      </c>
      <c r="W14" s="185">
        <f>F14/D14</f>
        <v>0.75</v>
      </c>
      <c r="X14" s="186"/>
      <c r="Y14" s="185">
        <f>P14/D14</f>
        <v>0.75</v>
      </c>
      <c r="Z14" s="185">
        <f>Q14/D14</f>
        <v>0.75</v>
      </c>
    </row>
    <row r="15" spans="2:26" x14ac:dyDescent="0.3">
      <c r="B15" s="72" t="s">
        <v>277</v>
      </c>
      <c r="C15" s="72" t="s">
        <v>278</v>
      </c>
      <c r="D15" s="73">
        <f>COUNTIFS('Interface 현황 List'!E:E,"CO",'Interface 현황 List'!J:J,"EHR")+COUNTIFS('Interface 현황 List'!E:E,"CO",'Interface 현황 List'!M:M,"EHR")</f>
        <v>1</v>
      </c>
      <c r="E15" s="75">
        <f>COUNTIFS('Interface 현황 List'!E:E,"CO",'Interface 현황 List'!J:J,"EHR",'Interface 현황 List'!W:W,"&lt;="&amp;B1)+COUNTIFS('Interface 현황 List'!E:E,"CO",'Interface 현황 List'!M:M,"EHR",'Interface 현황 List'!W:W,"&lt;="&amp;B1)</f>
        <v>1</v>
      </c>
      <c r="F15" s="75">
        <f>COUNTIFS('Interface 현황 List'!E:E,"CO",'Interface 현황 List'!J:J,"EHR",'Interface 현황 List'!X:X,"&lt;="&amp;B1)+COUNTIFS('Interface 현황 List'!E:E,"CO",'Interface 현황 List'!M:M,"EHR",'Interface 현황 List'!X:X,"&lt;="&amp;B1)</f>
        <v>1</v>
      </c>
      <c r="G15" s="74">
        <f t="shared" si="2"/>
        <v>1</v>
      </c>
      <c r="H15" s="74">
        <f t="shared" si="3"/>
        <v>1</v>
      </c>
      <c r="I15" s="73">
        <f>COUNTIFS('Interface 현황 List'!E:E,"CO",'Interface 현황 List'!J:J,"EHR",'Interface 현황 List'!Z:Z,"&lt;="&amp;B1)+COUNTIFS('Interface 현황 List'!E:E,"CO",'Interface 현황 List'!M:M,"EHR",'Interface 현황 List'!Z:Z,"&lt;="&amp;B1)</f>
        <v>1</v>
      </c>
      <c r="J15" s="73">
        <f>COUNTIFS('Interface 현황 List'!E:E,"CO",'Interface 현황 List'!J:J,"EHR",'Interface 현황 List'!AA:AA,"&lt;="&amp;B1)+COUNTIFS('Interface 현황 List'!E:E,"CO",'Interface 현황 List'!M:M,"EHR",'Interface 현황 List'!AA:AA,"&lt;="&amp;B1)</f>
        <v>1</v>
      </c>
      <c r="K15" s="74">
        <f t="shared" si="4"/>
        <v>1</v>
      </c>
      <c r="L15" s="74">
        <f t="shared" si="0"/>
        <v>1</v>
      </c>
      <c r="M15" s="73">
        <f>COUNTIFS('Interface 현황 List'!E:E,"CO",'Interface 현황 List'!AL:AL,"1차통테전",'Interface 현황 List'!J:J,"EHR")+COUNTIFS('Interface 현황 List'!E:E,"CO",'Interface 현황 List'!AL:AL,"1차통테전",'Interface 현황 List'!M:M,"EHR")+COUNTIFS('Interface 현황 List'!E:E,"CO",'Interface 현황 List'!AL:AL,"2차통테전",'Interface 현황 List'!J:J,"EHR")+COUNTIFS('Interface 현황 List'!E:E,"CO",'Interface 현황 List'!AL:AL,"2차통테전",'Interface 현황 List'!M:M,"EHR")</f>
        <v>1</v>
      </c>
      <c r="N15" s="75">
        <f t="shared" si="5"/>
        <v>1</v>
      </c>
      <c r="O15" s="74">
        <f t="shared" si="6"/>
        <v>1</v>
      </c>
      <c r="P15" s="75">
        <f t="shared" si="7"/>
        <v>1</v>
      </c>
      <c r="Q15" s="73">
        <f>COUNTIFS('Interface 현황 List'!E:E,"CO",'Interface 현황 List'!J:J,"EHR",'Interface 현황 List'!AD:AD,"&lt;="&amp;B1)+COUNTIFS('Interface 현황 List'!E:E,"CO",'Interface 현황 List'!M:M,"EHR",'Interface 현황 List'!AD:AD,"&lt;="&amp;B1)</f>
        <v>1</v>
      </c>
      <c r="R15" s="74">
        <f t="shared" si="8"/>
        <v>1</v>
      </c>
      <c r="S15" s="74">
        <f t="shared" si="1"/>
        <v>1</v>
      </c>
      <c r="T15" s="178"/>
      <c r="U15" s="184"/>
      <c r="V15" s="182"/>
      <c r="W15" s="182"/>
      <c r="X15" s="182"/>
      <c r="Y15" s="182"/>
      <c r="Z15" s="182"/>
    </row>
    <row r="16" spans="2:26" x14ac:dyDescent="0.3">
      <c r="B16" s="144" t="s">
        <v>272</v>
      </c>
      <c r="C16" s="145"/>
      <c r="D16" s="87">
        <f>SUM(D15)</f>
        <v>1</v>
      </c>
      <c r="E16" s="87">
        <f t="shared" ref="E16:F16" si="22">SUM(E15)</f>
        <v>1</v>
      </c>
      <c r="F16" s="87">
        <f t="shared" si="22"/>
        <v>1</v>
      </c>
      <c r="G16" s="88">
        <f t="shared" si="2"/>
        <v>1</v>
      </c>
      <c r="H16" s="88">
        <f t="shared" si="3"/>
        <v>1</v>
      </c>
      <c r="I16" s="87">
        <f t="shared" ref="I16" si="23">SUM(I15)</f>
        <v>1</v>
      </c>
      <c r="J16" s="87">
        <f t="shared" ref="J16" si="24">SUM(J15)</f>
        <v>1</v>
      </c>
      <c r="K16" s="88">
        <f t="shared" si="4"/>
        <v>1</v>
      </c>
      <c r="L16" s="88">
        <f t="shared" si="0"/>
        <v>1</v>
      </c>
      <c r="M16" s="87">
        <f t="shared" ref="M16" si="25">SUM(M15)</f>
        <v>1</v>
      </c>
      <c r="N16" s="89">
        <f t="shared" si="5"/>
        <v>1</v>
      </c>
      <c r="O16" s="88">
        <f t="shared" si="6"/>
        <v>1</v>
      </c>
      <c r="P16" s="89">
        <f t="shared" si="7"/>
        <v>1</v>
      </c>
      <c r="Q16" s="87">
        <f t="shared" ref="Q16" si="26">SUM(Q15)</f>
        <v>1</v>
      </c>
      <c r="R16" s="88">
        <f t="shared" si="8"/>
        <v>1</v>
      </c>
      <c r="S16" s="88">
        <f t="shared" si="1"/>
        <v>1</v>
      </c>
      <c r="T16" s="178"/>
      <c r="U16" s="183" t="s">
        <v>501</v>
      </c>
      <c r="V16" s="185">
        <f>E16/D16</f>
        <v>1</v>
      </c>
      <c r="W16" s="185">
        <f>F16/D16</f>
        <v>1</v>
      </c>
      <c r="X16" s="186"/>
      <c r="Y16" s="185">
        <f>P16/D16</f>
        <v>1</v>
      </c>
      <c r="Z16" s="185">
        <f>Q16/D16</f>
        <v>1</v>
      </c>
    </row>
    <row r="17" spans="2:20" x14ac:dyDescent="0.3">
      <c r="B17" s="260" t="s">
        <v>279</v>
      </c>
      <c r="C17" s="261"/>
      <c r="D17" s="79">
        <f>D7+D10+D14+D16</f>
        <v>97</v>
      </c>
      <c r="E17" s="79">
        <f t="shared" ref="E17:F17" si="27">E7+E10+E14+E16</f>
        <v>94</v>
      </c>
      <c r="F17" s="79">
        <f t="shared" si="27"/>
        <v>94</v>
      </c>
      <c r="G17" s="77">
        <f>IFERROR(F17/E17,0)</f>
        <v>1</v>
      </c>
      <c r="H17" s="88">
        <f t="shared" si="3"/>
        <v>0.96907216494845361</v>
      </c>
      <c r="I17" s="79">
        <f t="shared" ref="I17:J17" si="28">I7+I10+I14+I16</f>
        <v>90</v>
      </c>
      <c r="J17" s="79">
        <f t="shared" si="28"/>
        <v>94</v>
      </c>
      <c r="K17" s="77">
        <f>IFERROR(J17/I17,0)</f>
        <v>1.0444444444444445</v>
      </c>
      <c r="L17" s="77">
        <f t="shared" si="0"/>
        <v>0.96907216494845361</v>
      </c>
      <c r="M17" s="79">
        <f t="shared" ref="M17" si="29">M7+M10+M14+M16</f>
        <v>67</v>
      </c>
      <c r="N17" s="79">
        <f t="shared" ref="N17" si="30">N7+N10+N14+N16</f>
        <v>94</v>
      </c>
      <c r="O17" s="77">
        <f>IFERROR(N17/M17,0)</f>
        <v>1.4029850746268657</v>
      </c>
      <c r="P17" s="81">
        <f t="shared" ref="P17" si="31">P7+P10+P14+P16</f>
        <v>88</v>
      </c>
      <c r="Q17" s="80">
        <f t="shared" ref="Q17" si="32">Q7+Q10+Q14+Q16</f>
        <v>88</v>
      </c>
      <c r="R17" s="77">
        <f>IFERROR(Q17/P17,0)</f>
        <v>1</v>
      </c>
      <c r="S17" s="77">
        <f t="shared" si="1"/>
        <v>0.90721649484536082</v>
      </c>
      <c r="T17" s="178"/>
    </row>
    <row r="18" spans="2:20" x14ac:dyDescent="0.3">
      <c r="E18" s="76"/>
    </row>
    <row r="19" spans="2:20" ht="17.25" thickBot="1" x14ac:dyDescent="0.35">
      <c r="B19" s="146" t="s">
        <v>259</v>
      </c>
      <c r="C19" s="147"/>
      <c r="D19" s="148" t="s">
        <v>260</v>
      </c>
      <c r="E19" s="248" t="s">
        <v>261</v>
      </c>
      <c r="F19" s="249"/>
      <c r="G19" s="249"/>
      <c r="H19" s="250"/>
      <c r="I19" s="248" t="s">
        <v>262</v>
      </c>
      <c r="J19" s="249"/>
      <c r="K19" s="249"/>
      <c r="L19" s="250"/>
      <c r="M19" s="251" t="s">
        <v>596</v>
      </c>
      <c r="N19" s="252"/>
      <c r="O19" s="253"/>
      <c r="P19" s="248" t="s">
        <v>263</v>
      </c>
      <c r="Q19" s="249"/>
      <c r="R19" s="249"/>
      <c r="S19" s="250"/>
      <c r="T19" s="176"/>
    </row>
    <row r="20" spans="2:20" x14ac:dyDescent="0.3">
      <c r="B20" s="146" t="s">
        <v>264</v>
      </c>
      <c r="C20" s="147"/>
      <c r="D20" s="149"/>
      <c r="E20" s="70" t="s">
        <v>265</v>
      </c>
      <c r="F20" s="70" t="s">
        <v>266</v>
      </c>
      <c r="G20" s="70" t="s">
        <v>267</v>
      </c>
      <c r="H20" s="70" t="s">
        <v>268</v>
      </c>
      <c r="I20" s="70" t="s">
        <v>265</v>
      </c>
      <c r="J20" s="70" t="s">
        <v>266</v>
      </c>
      <c r="K20" s="70" t="s">
        <v>267</v>
      </c>
      <c r="L20" s="70" t="s">
        <v>268</v>
      </c>
      <c r="M20" s="70" t="s">
        <v>259</v>
      </c>
      <c r="N20" s="70" t="s">
        <v>266</v>
      </c>
      <c r="O20" s="71" t="s">
        <v>268</v>
      </c>
      <c r="P20" s="70" t="s">
        <v>265</v>
      </c>
      <c r="Q20" s="70" t="s">
        <v>266</v>
      </c>
      <c r="R20" s="70" t="s">
        <v>268</v>
      </c>
      <c r="S20" s="70" t="s">
        <v>267</v>
      </c>
      <c r="T20" s="177"/>
    </row>
    <row r="21" spans="2:20" x14ac:dyDescent="0.3">
      <c r="B21" s="256" t="s">
        <v>606</v>
      </c>
      <c r="C21" s="72" t="s">
        <v>605</v>
      </c>
      <c r="D21" s="73">
        <f>COUNTIFS('Interface 현황 List'!E:E,"SD",'Interface 현황 List'!F:F,"WMS")</f>
        <v>10</v>
      </c>
      <c r="E21" s="75">
        <f>COUNTIFS('Interface 현황 List'!E:E,"SD",'Interface 현황 List'!F:F,"WMS",'Interface 현황 List'!W:W,"&lt;="&amp;B1)</f>
        <v>10</v>
      </c>
      <c r="F21" s="75">
        <f>COUNTIFS('Interface 현황 List'!E:E,"SD",'Interface 현황 List'!F:F,"WMS",'Interface 현황 List'!X:X,"&lt;="&amp;B1)</f>
        <v>10</v>
      </c>
      <c r="G21" s="74">
        <f>IFERROR(F21/E21,0)</f>
        <v>1</v>
      </c>
      <c r="H21" s="74">
        <f>IFERROR(F21/D21,0)</f>
        <v>1</v>
      </c>
      <c r="I21" s="75">
        <f>COUNTIFS('Interface 현황 List'!E:E,"SD",'Interface 현황 List'!F:F,"WMS",'Interface 현황 List'!Z:Z,"&lt;="&amp;B1)</f>
        <v>10</v>
      </c>
      <c r="J21" s="75">
        <f>COUNTIFS('Interface 현황 List'!E:E,"SD",'Interface 현황 List'!F:F,"WMS",'Interface 현황 List'!AC:AC,"&lt;="&amp;B1)</f>
        <v>10</v>
      </c>
      <c r="K21" s="74">
        <f>IFERROR(J21/I21,0)</f>
        <v>1</v>
      </c>
      <c r="L21" s="74">
        <f>IFERROR(J21/D21,0)</f>
        <v>1</v>
      </c>
      <c r="M21" s="73">
        <f>COUNTIFS('Interface 현황 List'!E:E,"SD",'Interface 현황 List'!AL:AL,"1차통테전",'Interface 현황 List'!F:F,"WMS")+COUNTIFS('Interface 현황 List'!E:E,"SD",'Interface 현황 List'!AL:AL,"2차통테전",'Interface 현황 List'!F:F,"WMS")</f>
        <v>9</v>
      </c>
      <c r="N21" s="75">
        <f>COUNTIFS('Interface 현황 List'!E:E,"SD",'Interface 현황 List'!AL:AL,"1차통테전",'Interface 현황 List'!F:F,"WMS",'Interface 현황 List'!AC:AC,"&lt;="&amp;B1)+COUNTIFS('Interface 현황 List'!E:E,"SD",'Interface 현황 List'!AL:AL,"2차통테전",'Interface 현황 List'!F:F,"WMS",'Interface 현황 List'!AC:AC,"&lt;="&amp;B1)</f>
        <v>9</v>
      </c>
      <c r="O21" s="74">
        <f>IFERROR(N21/M21,0)</f>
        <v>1</v>
      </c>
      <c r="P21" s="75">
        <f>Q21</f>
        <v>10</v>
      </c>
      <c r="Q21" s="75">
        <f>COUNTIFS('Interface 현황 List'!E:E,"SD",'Interface 현황 List'!F:F,"WMS",'Interface 현황 List'!AD:AD,"&lt;="&amp;B1)</f>
        <v>10</v>
      </c>
      <c r="R21" s="74">
        <f>IFERROR(Q21/P21,0)</f>
        <v>1</v>
      </c>
      <c r="S21" s="74">
        <f>IFERROR(Q21/D21,0)</f>
        <v>1</v>
      </c>
      <c r="T21" s="178"/>
    </row>
    <row r="22" spans="2:20" x14ac:dyDescent="0.3">
      <c r="B22" s="257"/>
      <c r="C22" s="72" t="s">
        <v>607</v>
      </c>
      <c r="D22" s="73">
        <f>COUNTIFS('Interface 현황 List'!E:E,"MM",'Interface 현황 List'!F:F,"WMS")</f>
        <v>6</v>
      </c>
      <c r="E22" s="75">
        <f>COUNTIFS('Interface 현황 List'!E:E,"MM",'Interface 현황 List'!F:F,"WMS",'Interface 현황 List'!W:W,"&lt;="&amp;B1)</f>
        <v>6</v>
      </c>
      <c r="F22" s="75">
        <f>COUNTIFS('Interface 현황 List'!E:E,"MM",'Interface 현황 List'!F:F,"WMS",'Interface 현황 List'!X:X,"&lt;="&amp;B1)</f>
        <v>6</v>
      </c>
      <c r="G22" s="74">
        <f t="shared" ref="G22:G30" si="33">IFERROR(F22/E22,0)</f>
        <v>1</v>
      </c>
      <c r="H22" s="74">
        <f t="shared" ref="H22:H31" si="34">IFERROR(F22/D22,0)</f>
        <v>1</v>
      </c>
      <c r="I22" s="73">
        <f>COUNTIFS('Interface 현황 List'!E:E,"MM",'Interface 현황 List'!F:F,"WMS",'Interface 현황 List'!Z:Z,"&lt;="&amp;B1)</f>
        <v>6</v>
      </c>
      <c r="J22" s="73">
        <f>COUNTIFS('Interface 현황 List'!E:E,"MM",'Interface 현황 List'!F:F,"WMS",'Interface 현황 List'!AC:AC,"&lt;="&amp;B1)</f>
        <v>6</v>
      </c>
      <c r="K22" s="74">
        <f t="shared" ref="K22:K30" si="35">IFERROR(J22/I22,0)</f>
        <v>1</v>
      </c>
      <c r="L22" s="74">
        <f t="shared" ref="L22:L31" si="36">IFERROR(J22/D22,0)</f>
        <v>1</v>
      </c>
      <c r="M22" s="73">
        <f>COUNTIFS('Interface 현황 List'!E:E,"MM",'Interface 현황 List'!AL:AL,"1차통테전",'Interface 현황 List'!F:F,"WMS")+COUNTIFS('Interface 현황 List'!E:E,"MM",'Interface 현황 List'!AL:AL,"2차통테전",'Interface 현황 List'!F:F,"WMS")</f>
        <v>5</v>
      </c>
      <c r="N22" s="75">
        <f>COUNTIFS('Interface 현황 List'!E:E,"MM",'Interface 현황 List'!AL:AL,"1차통테전",'Interface 현황 List'!F:F,"WMS",'Interface 현황 List'!AC:AC,"&lt;="&amp;B1)+COUNTIFS('Interface 현황 List'!E:E,"MM",'Interface 현황 List'!AL:AL,"2차통테전",'Interface 현황 List'!F:F,"WMS",'Interface 현황 List'!AC:AC,"&lt;="&amp;B1)</f>
        <v>5</v>
      </c>
      <c r="O22" s="74">
        <f t="shared" ref="O22:O30" si="37">IFERROR(N22/M22,0)</f>
        <v>1</v>
      </c>
      <c r="P22" s="75">
        <f t="shared" ref="P22:P30" si="38">Q22</f>
        <v>6</v>
      </c>
      <c r="Q22" s="82">
        <f>COUNTIFS('Interface 현황 List'!E:E,"MM",'Interface 현황 List'!F:F,"WMS",'Interface 현황 List'!AD:AD,"&lt;="&amp;B1)</f>
        <v>6</v>
      </c>
      <c r="R22" s="74">
        <f t="shared" ref="R22:R30" si="39">IFERROR(Q22/P22,0)</f>
        <v>1</v>
      </c>
      <c r="S22" s="74">
        <f t="shared" ref="S22:S31" si="40">IFERROR(Q22/D22,0)</f>
        <v>1</v>
      </c>
      <c r="T22" s="178"/>
    </row>
    <row r="23" spans="2:20" x14ac:dyDescent="0.3">
      <c r="B23" s="72" t="s">
        <v>270</v>
      </c>
      <c r="C23" s="72" t="s">
        <v>604</v>
      </c>
      <c r="D23" s="73">
        <f>COUNTIFS('Interface 현황 List'!E:E,"SD",'Interface 현황 List'!F:F,"OMS")</f>
        <v>15</v>
      </c>
      <c r="E23" s="75">
        <f>COUNTIFS('Interface 현황 List'!E:E,"SD",'Interface 현황 List'!F:F,"OMS",'Interface 현황 List'!W:W,"&lt;="&amp;B1)</f>
        <v>15</v>
      </c>
      <c r="F23" s="75">
        <f>COUNTIFS('Interface 현황 List'!E:E,"SD",'Interface 현황 List'!F:F,"OMS",'Interface 현황 List'!X:X,"&lt;="&amp;B1)</f>
        <v>15</v>
      </c>
      <c r="G23" s="74">
        <f t="shared" ref="G23:G28" si="41">IFERROR(F23/E23,0)</f>
        <v>1</v>
      </c>
      <c r="H23" s="74">
        <f t="shared" ref="H23:H28" si="42">IFERROR(F23/D23,0)</f>
        <v>1</v>
      </c>
      <c r="I23" s="73">
        <f>COUNTIFS('Interface 현황 List'!E:E,"SD",'Interface 현황 List'!F:F,"OMS",'Interface 현황 List'!Z:Z,"&lt;="&amp;B1)</f>
        <v>15</v>
      </c>
      <c r="J23" s="73">
        <f>COUNTIFS('Interface 현황 List'!E:E,"SD",'Interface 현황 List'!F:F,"OMS",'Interface 현황 List'!AC:AC,"&lt;="&amp;B1)</f>
        <v>14</v>
      </c>
      <c r="K23" s="74">
        <f t="shared" ref="K23:K28" si="43">IFERROR(J23/I23,0)</f>
        <v>0.93333333333333335</v>
      </c>
      <c r="L23" s="74">
        <f t="shared" ref="L23:L28" si="44">IFERROR(J23/D23,0)</f>
        <v>0.93333333333333335</v>
      </c>
      <c r="M23" s="73">
        <f>COUNTIFS('Interface 현황 List'!E:E,"SD",'Interface 현황 List'!AL:AL,"1차통테전",'Interface 현황 List'!F:F,"OMS")+COUNTIFS('Interface 현황 List'!E:E,"SD",'Interface 현황 List'!AL:AL,"2차통테전",'Interface 현황 List'!F:F,"OMS")</f>
        <v>11</v>
      </c>
      <c r="N23" s="75">
        <f>COUNTIFS('Interface 현황 List'!E:E,"SD",'Interface 현황 List'!AL:AL,"1차통테전",'Interface 현황 List'!F:F,"OMS",'Interface 현황 List'!AC:AC,"&lt;="&amp;B1)+COUNTIFS('Interface 현황 List'!E:E,"SD",'Interface 현황 List'!AL:AL,"2차통테전",'Interface 현황 List'!F:F,"OMS",'Interface 현황 List'!AC:AC,"&lt;="&amp;B1)</f>
        <v>11</v>
      </c>
      <c r="O23" s="74">
        <f t="shared" ref="O23:O29" si="45">IFERROR(N23/M23,0)</f>
        <v>1</v>
      </c>
      <c r="P23" s="75">
        <f t="shared" ref="P23:P29" si="46">Q23</f>
        <v>14</v>
      </c>
      <c r="Q23" s="73">
        <f>COUNTIFS('Interface 현황 List'!E:E,"SD",'Interface 현황 List'!F:F,"OMS",'Interface 현황 List'!AD:AD,"&lt;="&amp;B1)</f>
        <v>14</v>
      </c>
      <c r="R23" s="74">
        <f t="shared" ref="R23:R28" si="47">IFERROR(Q23/P23,0)</f>
        <v>1</v>
      </c>
      <c r="S23" s="74">
        <f t="shared" ref="S23:S28" si="48">IFERROR(Q23/D23,0)</f>
        <v>0.93333333333333335</v>
      </c>
      <c r="T23" s="178"/>
    </row>
    <row r="24" spans="2:20" x14ac:dyDescent="0.3">
      <c r="B24" s="258" t="s">
        <v>602</v>
      </c>
      <c r="C24" s="72" t="s">
        <v>605</v>
      </c>
      <c r="D24" s="73">
        <f>COUNTIFS('Interface 현황 List'!E:E,"SD",'Interface 현황 List'!F:F,"PRM")</f>
        <v>36</v>
      </c>
      <c r="E24" s="75">
        <f>COUNTIFS('Interface 현황 List'!E:E,"SD",'Interface 현황 List'!F:F,"PRM",'Interface 현황 List'!W:W,"&lt;="&amp;B1)</f>
        <v>35</v>
      </c>
      <c r="F24" s="75">
        <f>COUNTIFS('Interface 현황 List'!E:E,"SD",'Interface 현황 List'!F:F,"PRM",'Interface 현황 List'!X:X,"&lt;="&amp;B1)</f>
        <v>35</v>
      </c>
      <c r="G24" s="74">
        <f>IFERROR(F24/E24,0)</f>
        <v>1</v>
      </c>
      <c r="H24" s="74">
        <f>IFERROR(F24/D24,0)</f>
        <v>0.97222222222222221</v>
      </c>
      <c r="I24" s="75">
        <f>COUNTIFS('Interface 현황 List'!E:E,"SD",'Interface 현황 List'!F:F,"PRM",'Interface 현황 List'!Z:Z,"&lt;="&amp;B1)</f>
        <v>35</v>
      </c>
      <c r="J24" s="75">
        <f>COUNTIFS('Interface 현황 List'!E:E,"SD",'Interface 현황 List'!F:F,"PRM",'Interface 현황 List'!AC:AC,"&lt;="&amp;B1)</f>
        <v>32</v>
      </c>
      <c r="K24" s="74">
        <f>IFERROR(J24/I24,0)</f>
        <v>0.91428571428571426</v>
      </c>
      <c r="L24" s="74">
        <f>IFERROR(J24/D24,0)</f>
        <v>0.88888888888888884</v>
      </c>
      <c r="M24" s="73">
        <f>COUNTIFS('Interface 현황 List'!E:E,"SD",'Interface 현황 List'!AL:AL,"1차통테전",'Interface 현황 List'!F:F,"PRM")+COUNTIFS('Interface 현황 List'!E:E,"SD",'Interface 현황 List'!AL:AL,"2차통테전",'Interface 현황 List'!F:F,"PRM")</f>
        <v>23</v>
      </c>
      <c r="N24" s="75">
        <f>COUNTIFS('Interface 현황 List'!E:E,"SD",'Interface 현황 List'!AL:AL,"1차통테전",'Interface 현황 List'!F:F,"PRM",'Interface 현황 List'!AC:AC,"&lt;="&amp;B1)+COUNTIFS('Interface 현황 List'!E:E,"SD",'Interface 현황 List'!AL:AL,"2차통테전",'Interface 현황 List'!F:F,"PRM",'Interface 현황 List'!AC:AC,"&lt;="&amp;B1)</f>
        <v>23</v>
      </c>
      <c r="O24" s="74">
        <f>IFERROR(N24/M24,0)</f>
        <v>1</v>
      </c>
      <c r="P24" s="75">
        <f>Q24</f>
        <v>31</v>
      </c>
      <c r="Q24" s="75">
        <f>COUNTIFS('Interface 현황 List'!E:E,"SD",'Interface 현황 List'!F:F,"PRM",'Interface 현황 List'!AD:AD,"&lt;="&amp;B1)</f>
        <v>31</v>
      </c>
      <c r="R24" s="74">
        <f>IFERROR(Q24/P24,0)</f>
        <v>1</v>
      </c>
      <c r="S24" s="74">
        <f>IFERROR(Q24/D24,0)</f>
        <v>0.86111111111111116</v>
      </c>
      <c r="T24" s="178"/>
    </row>
    <row r="25" spans="2:20" x14ac:dyDescent="0.3">
      <c r="B25" s="259"/>
      <c r="C25" s="72" t="s">
        <v>603</v>
      </c>
      <c r="D25" s="73">
        <f>COUNTIFS('Interface 현황 List'!E:E,"FI",'Interface 현황 List'!F:F,"PRM")</f>
        <v>1</v>
      </c>
      <c r="E25" s="75">
        <f>COUNTIFS('Interface 현황 List'!E:E,"FI",'Interface 현황 List'!F:F,"PRM",'Interface 현황 List'!W:W,"&lt;="&amp;B1)</f>
        <v>0</v>
      </c>
      <c r="F25" s="75">
        <f>COUNTIFS('Interface 현황 List'!E:E,"FI",'Interface 현황 List'!F:F,"PRM",'Interface 현황 List'!X:X,"&lt;="&amp;B1)</f>
        <v>0</v>
      </c>
      <c r="G25" s="74">
        <f t="shared" si="41"/>
        <v>0</v>
      </c>
      <c r="H25" s="74">
        <f t="shared" si="42"/>
        <v>0</v>
      </c>
      <c r="I25" s="75">
        <f>COUNTIFS('Interface 현황 List'!E:E,"FI",'Interface 현황 List'!F:F,"PRM",'Interface 현황 List'!Z:Z,"&lt;="&amp;B1)</f>
        <v>0</v>
      </c>
      <c r="J25" s="75">
        <f>COUNTIFS('Interface 현황 List'!E:E,"FI",'Interface 현황 List'!F:F,"PRM",'Interface 현황 List'!AC:AC,"&lt;="&amp;B1)</f>
        <v>0</v>
      </c>
      <c r="K25" s="74">
        <f t="shared" si="43"/>
        <v>0</v>
      </c>
      <c r="L25" s="74">
        <f t="shared" si="44"/>
        <v>0</v>
      </c>
      <c r="M25" s="73">
        <f>COUNTIFS('Interface 현황 List'!E:E,"FI",'Interface 현황 List'!AL:AL,"1차통테전",'Interface 현황 List'!F:F,"PRM")+COUNTIFS('Interface 현황 List'!E:E,"FI",'Interface 현황 List'!AL:AL,"2차통테전",'Interface 현황 List'!F:F,"PRM")</f>
        <v>0</v>
      </c>
      <c r="N25" s="75">
        <f>COUNTIFS('Interface 현황 List'!E:E,"FI",'Interface 현황 List'!AL:AL,"1차통테전",'Interface 현황 List'!F:F,"PRM",'Interface 현황 List'!AC:AC,"&lt;="&amp;B1)+COUNTIFS('Interface 현황 List'!E:E,"FI",'Interface 현황 List'!AL:AL,"2차통테전",'Interface 현황 List'!F:F,"PRM",'Interface 현황 List'!AC:AC,"&lt;="&amp;B1)</f>
        <v>0</v>
      </c>
      <c r="O25" s="74">
        <f t="shared" si="45"/>
        <v>0</v>
      </c>
      <c r="P25" s="75">
        <f t="shared" si="46"/>
        <v>0</v>
      </c>
      <c r="Q25" s="75">
        <f>COUNTIFS('Interface 현황 List'!E:E,"FI",'Interface 현황 List'!F:F,"PRM",'Interface 현황 List'!AD:AD,"&lt;="&amp;B1)</f>
        <v>0</v>
      </c>
      <c r="R25" s="74">
        <f t="shared" si="47"/>
        <v>0</v>
      </c>
      <c r="S25" s="74">
        <f t="shared" si="48"/>
        <v>0</v>
      </c>
      <c r="T25" s="178"/>
    </row>
    <row r="26" spans="2:20" x14ac:dyDescent="0.3">
      <c r="B26" s="143" t="s">
        <v>608</v>
      </c>
      <c r="C26" s="72" t="s">
        <v>607</v>
      </c>
      <c r="D26" s="73">
        <f>COUNTIFS('Interface 현황 List'!E:E,"MM",'Interface 현황 List'!F:F,"PPT")</f>
        <v>25</v>
      </c>
      <c r="E26" s="75">
        <f>COUNTIFS('Interface 현황 List'!E:E,"MM",'Interface 현황 List'!F:F,"PPT",'Interface 현황 List'!W:W,"&lt;="&amp;B1)</f>
        <v>24</v>
      </c>
      <c r="F26" s="75">
        <f>COUNTIFS('Interface 현황 List'!E:E,"MM",'Interface 현황 List'!F:F,"PPT",'Interface 현황 List'!X:X,"&lt;="&amp;B1)</f>
        <v>24</v>
      </c>
      <c r="G26" s="74">
        <f t="shared" si="41"/>
        <v>1</v>
      </c>
      <c r="H26" s="74">
        <f t="shared" si="42"/>
        <v>0.96</v>
      </c>
      <c r="I26" s="75">
        <f>COUNTIFS('Interface 현황 List'!E:E,"MM",'Interface 현황 List'!F:F,"PPT",'Interface 현황 List'!Z:Z,"&lt;="&amp;B1)</f>
        <v>20</v>
      </c>
      <c r="J26" s="75">
        <f>COUNTIFS('Interface 현황 List'!E:E,"MM",'Interface 현황 List'!F:F,"PPT",'Interface 현황 List'!AC:AC,"&lt;="&amp;B1)</f>
        <v>23</v>
      </c>
      <c r="K26" s="74">
        <f t="shared" si="43"/>
        <v>1.1499999999999999</v>
      </c>
      <c r="L26" s="74">
        <f t="shared" si="44"/>
        <v>0.92</v>
      </c>
      <c r="M26" s="73">
        <f>COUNTIFS('Interface 현황 List'!E:E,"MM",'Interface 현황 List'!AL:AL,"1차통테전",'Interface 현황 List'!F:F,"PPT")+COUNTIFS('Interface 현황 List'!E:E,"MM",'Interface 현황 List'!AL:AL,"2차통테전",'Interface 현황 List'!F:F,"PPT")</f>
        <v>16</v>
      </c>
      <c r="N26" s="75">
        <f>COUNTIFS('Interface 현황 List'!E:E,"MM",'Interface 현황 List'!AL:AL,"1차통테전",'Interface 현황 List'!F:F,"PPT",'Interface 현황 List'!AC:AC,"&lt;="&amp;B1)+COUNTIFS('Interface 현황 List'!E:E,"MM",'Interface 현황 List'!AL:AL,"2차통테전",'Interface 현황 List'!F:F,"PPT",'Interface 현황 List'!AC:AC,"&lt;="&amp;B1)</f>
        <v>16</v>
      </c>
      <c r="O26" s="74">
        <f t="shared" si="45"/>
        <v>1</v>
      </c>
      <c r="P26" s="75">
        <f t="shared" si="46"/>
        <v>23</v>
      </c>
      <c r="Q26" s="75">
        <f>COUNTIFS('Interface 현황 List'!E:E,"MM",'Interface 현황 List'!F:F,"PPT",'Interface 현황 List'!AD:AD,"&lt;="&amp;B1)</f>
        <v>23</v>
      </c>
      <c r="R26" s="74">
        <f t="shared" si="47"/>
        <v>1</v>
      </c>
      <c r="S26" s="74">
        <f t="shared" si="48"/>
        <v>0.92</v>
      </c>
      <c r="T26" s="178"/>
    </row>
    <row r="27" spans="2:20" x14ac:dyDescent="0.3">
      <c r="B27" s="72" t="s">
        <v>274</v>
      </c>
      <c r="C27" s="72" t="s">
        <v>603</v>
      </c>
      <c r="D27" s="73">
        <f>COUNTIFS('Interface 현황 List'!E:E,"FI",'Interface 현황 List'!F:F,"KSNET")</f>
        <v>1</v>
      </c>
      <c r="E27" s="75">
        <f>COUNTIFS('Interface 현황 List'!E:E,"FI",'Interface 현황 List'!F:F,"KSNET",'Interface 현황 List'!W:W,"&lt;="&amp;B1)</f>
        <v>1</v>
      </c>
      <c r="F27" s="75">
        <f>COUNTIFS('Interface 현황 List'!E:E,"FI",'Interface 현황 List'!F:F,"KSNET",'Interface 현황 List'!X:X,"&lt;="&amp;B1)</f>
        <v>1</v>
      </c>
      <c r="G27" s="74">
        <f t="shared" si="41"/>
        <v>1</v>
      </c>
      <c r="H27" s="74">
        <f t="shared" si="42"/>
        <v>1</v>
      </c>
      <c r="I27" s="73">
        <f>COUNTIFS('Interface 현황 List'!E:E,"FI",'Interface 현황 List'!F:F,"KSNET",'Interface 현황 List'!Z:Z,"&lt;="&amp;B1)</f>
        <v>1</v>
      </c>
      <c r="J27" s="73">
        <f>COUNTIFS('Interface 현황 List'!E:E,"FI",'Interface 현황 List'!F:F,"KSNET",'Interface 현황 List'!AC:AC,"&lt;="&amp;B1)</f>
        <v>1</v>
      </c>
      <c r="K27" s="74">
        <f t="shared" si="43"/>
        <v>1</v>
      </c>
      <c r="L27" s="74">
        <f t="shared" si="44"/>
        <v>1</v>
      </c>
      <c r="M27" s="73">
        <f>COUNTIFS('Interface 현황 List'!E:E,"FI",'Interface 현황 List'!AL:AL,"1차통테전",'Interface 현황 List'!F:F,"KSNET")+COUNTIFS('Interface 현황 List'!E:E,"FI",'Interface 현황 List'!AL:AL,"2차통테전",'Interface 현황 List'!F:F,"KSNET")</f>
        <v>0</v>
      </c>
      <c r="N27" s="75">
        <f>COUNTIFS('Interface 현황 List'!E:E,"FI",'Interface 현황 List'!AL:AL,"1차통테전",'Interface 현황 List'!F:F,"KSNET",'Interface 현황 List'!AC:AC,"&lt;="&amp;B1)+COUNTIFS('Interface 현황 List'!E:E,"FI",'Interface 현황 List'!AL:AL,"2차통테전",'Interface 현황 List'!F:F,"KSNET",'Interface 현황 List'!AC:AC,"&lt;="&amp;B1)</f>
        <v>0</v>
      </c>
      <c r="O27" s="74">
        <f t="shared" si="45"/>
        <v>0</v>
      </c>
      <c r="P27" s="75">
        <f t="shared" si="46"/>
        <v>1</v>
      </c>
      <c r="Q27" s="73">
        <f>COUNTIFS('Interface 현황 List'!E:E,"FI",'Interface 현황 List'!F:F,"KSNET",'Interface 현황 List'!AD:AD,"&lt;="&amp;B1)</f>
        <v>1</v>
      </c>
      <c r="R27" s="74">
        <f t="shared" si="47"/>
        <v>1</v>
      </c>
      <c r="S27" s="74">
        <f t="shared" si="48"/>
        <v>1</v>
      </c>
      <c r="T27" s="178"/>
    </row>
    <row r="28" spans="2:20" x14ac:dyDescent="0.3">
      <c r="B28" s="256" t="s">
        <v>636</v>
      </c>
      <c r="C28" s="72" t="s">
        <v>277</v>
      </c>
      <c r="D28" s="73">
        <f>COUNTIFS('Interface 현황 List'!E:E,"CO",'Interface 현황 List'!F:F,"EHR")</f>
        <v>1</v>
      </c>
      <c r="E28" s="75">
        <f>COUNTIFS('Interface 현황 List'!E:E,"CO",'Interface 현황 List'!F:F,"EHR",'Interface 현황 List'!W:W,"&lt;="&amp;B1)</f>
        <v>1</v>
      </c>
      <c r="F28" s="75">
        <f>COUNTIFS('Interface 현황 List'!E:E,"CO",'Interface 현황 List'!F:F,"EHR",'Interface 현황 List'!X:X,"&lt;="&amp;B1)</f>
        <v>1</v>
      </c>
      <c r="G28" s="74">
        <f t="shared" si="41"/>
        <v>1</v>
      </c>
      <c r="H28" s="74">
        <f t="shared" si="42"/>
        <v>1</v>
      </c>
      <c r="I28" s="73">
        <f>COUNTIFS('Interface 현황 List'!E:E,"CO",'Interface 현황 List'!F:F,"EHR",'Interface 현황 List'!Z:Z,"&lt;="&amp;B1)</f>
        <v>1</v>
      </c>
      <c r="J28" s="73">
        <f>COUNTIFS('Interface 현황 List'!E:E,"CO",'Interface 현황 List'!F:F,"EHR",'Interface 현황 List'!AC:AC,"&lt;="&amp;B1)</f>
        <v>1</v>
      </c>
      <c r="K28" s="74">
        <f t="shared" si="43"/>
        <v>1</v>
      </c>
      <c r="L28" s="74">
        <f t="shared" si="44"/>
        <v>1</v>
      </c>
      <c r="M28" s="73">
        <f>COUNTIFS('Interface 현황 List'!E:E,"CO",'Interface 현황 List'!AL:AL,"1차통테전",'Interface 현황 List'!F:F,"EHR")+COUNTIFS('Interface 현황 List'!E:E,"CO",'Interface 현황 List'!AL:AL,"2차통테전",'Interface 현황 List'!F:F,"EHR")</f>
        <v>1</v>
      </c>
      <c r="N28" s="75">
        <f>COUNTIFS('Interface 현황 List'!E:E,"CO",'Interface 현황 List'!AL:AL,"1차통테전",'Interface 현황 List'!F:F,"EHR",'Interface 현황 List'!AC:AC,"&lt;="&amp;B1)+COUNTIFS('Interface 현황 List'!E:E,"CO",'Interface 현황 List'!AL:AL,"2차통테전",'Interface 현황 List'!F:F,"EHR",'Interface 현황 List'!AC:AC,"&lt;="&amp;B1)</f>
        <v>1</v>
      </c>
      <c r="O28" s="74">
        <f t="shared" si="45"/>
        <v>1</v>
      </c>
      <c r="P28" s="75">
        <f t="shared" si="46"/>
        <v>1</v>
      </c>
      <c r="Q28" s="73">
        <f>COUNTIFS('Interface 현황 List'!E:E,"CO",'Interface 현황 List'!F:F,"EHR",'Interface 현황 List'!AD:AD,"&lt;="&amp;B1)</f>
        <v>1</v>
      </c>
      <c r="R28" s="74">
        <f t="shared" si="47"/>
        <v>1</v>
      </c>
      <c r="S28" s="74">
        <f t="shared" si="48"/>
        <v>1</v>
      </c>
      <c r="T28" s="178"/>
    </row>
    <row r="29" spans="2:20" x14ac:dyDescent="0.3">
      <c r="B29" s="257"/>
      <c r="C29" s="72" t="s">
        <v>635</v>
      </c>
      <c r="D29" s="73">
        <f>COUNTIFS('Interface 현황 List'!E:E,"FI",'Interface 현황 List'!F:F,"EHR")</f>
        <v>4</v>
      </c>
      <c r="E29" s="75">
        <f>COUNTIFS('Interface 현황 List'!E:E,"FI",'Interface 현황 List'!F:F,"EHR",'Interface 현황 List'!W:W,"&lt;="&amp;B1)</f>
        <v>3</v>
      </c>
      <c r="F29" s="75">
        <f>COUNTIFS('Interface 현황 List'!E:E,"FI",'Interface 현황 List'!F:F,"EHR",'Interface 현황 List'!X:X,"&lt;="&amp;B1)</f>
        <v>3</v>
      </c>
      <c r="G29" s="74">
        <f t="shared" ref="G29" si="49">IFERROR(F29/E29,0)</f>
        <v>1</v>
      </c>
      <c r="H29" s="74">
        <f t="shared" ref="H29" si="50">IFERROR(F29/D29,0)</f>
        <v>0.75</v>
      </c>
      <c r="I29" s="73">
        <f>COUNTIFS('Interface 현황 List'!E:E,"FI",'Interface 현황 List'!F:F,"EHR",'Interface 현황 List'!Z:Z,"&lt;="&amp;B1)</f>
        <v>3</v>
      </c>
      <c r="J29" s="73">
        <f>COUNTIFS('Interface 현황 List'!E:E,"FI",'Interface 현황 List'!F:F,"EHR",'Interface 현황 List'!AC:AC,"&lt;="&amp;B1)</f>
        <v>3</v>
      </c>
      <c r="K29" s="74">
        <f t="shared" ref="K29" si="51">IFERROR(J29/I29,0)</f>
        <v>1</v>
      </c>
      <c r="L29" s="74">
        <f t="shared" ref="L29" si="52">IFERROR(J29/D29,0)</f>
        <v>0.75</v>
      </c>
      <c r="M29" s="73">
        <f>COUNTIFS('Interface 현황 List'!E:E,"FI",'Interface 현황 List'!AL:AL,"1차통테전",'Interface 현황 List'!F:F,"EHR")+COUNTIFS('Interface 현황 List'!E:E,"FI",'Interface 현황 List'!AL:AL,"2차통테전",'Interface 현황 List'!F:F,"EHR")</f>
        <v>0</v>
      </c>
      <c r="N29" s="75">
        <f>COUNTIFS('Interface 현황 List'!E:E,"FI",'Interface 현황 List'!AL:AL,"1차통테전",'Interface 현황 List'!F:F,"EHR",'Interface 현황 List'!AC:AC,"&lt;="&amp;B1)+COUNTIFS('Interface 현황 List'!E:E,"FI",'Interface 현황 List'!AL:AL,"2차통테전",'Interface 현황 List'!F:F,"EHR",'Interface 현황 List'!AC:AC,"&lt;="&amp;B1)</f>
        <v>0</v>
      </c>
      <c r="O29" s="74">
        <f t="shared" si="45"/>
        <v>0</v>
      </c>
      <c r="P29" s="75">
        <f t="shared" si="46"/>
        <v>3</v>
      </c>
      <c r="Q29" s="73">
        <f>COUNTIFS('Interface 현황 List'!E:E,"FI",'Interface 현황 List'!F:F,"EHR",'Interface 현황 List'!AD:AD,"&lt;="&amp;B1)</f>
        <v>3</v>
      </c>
      <c r="R29" s="74">
        <f t="shared" ref="R29" si="53">IFERROR(Q29/P29,0)</f>
        <v>1</v>
      </c>
      <c r="S29" s="74">
        <f t="shared" ref="S29" si="54">IFERROR(Q29/D29,0)</f>
        <v>0.75</v>
      </c>
      <c r="T29" s="178"/>
    </row>
    <row r="30" spans="2:20" x14ac:dyDescent="0.3">
      <c r="B30" s="72" t="s">
        <v>609</v>
      </c>
      <c r="C30" s="72" t="s">
        <v>610</v>
      </c>
      <c r="D30" s="73">
        <f>COUNTIFS('Interface 현황 List'!E:E,"CM",'Interface 현황 List'!F:F,"GW")</f>
        <v>2</v>
      </c>
      <c r="E30" s="75">
        <f>COUNTIFS('Interface 현황 List'!E:E,"CM",'Interface 현황 List'!F:F,"GW",'Interface 현황 List'!W:W,"&lt;="&amp;B1)</f>
        <v>2</v>
      </c>
      <c r="F30" s="75">
        <f>COUNTIFS('Interface 현황 List'!E:E,"CM",'Interface 현황 List'!F:F,"GW",'Interface 현황 List'!X:X,"&lt;="&amp;B1)</f>
        <v>2</v>
      </c>
      <c r="G30" s="74">
        <f t="shared" si="33"/>
        <v>1</v>
      </c>
      <c r="H30" s="74">
        <f t="shared" si="34"/>
        <v>1</v>
      </c>
      <c r="I30" s="73">
        <f>COUNTIFS('Interface 현황 List'!E:E,"CM",'Interface 현황 List'!F:F,"GW",'Interface 현황 List'!Z:Z,"&lt;="&amp;B1)</f>
        <v>2</v>
      </c>
      <c r="J30" s="73">
        <f>COUNTIFS('Interface 현황 List'!E:E,"CM",'Interface 현황 List'!F:F,"GW",'Interface 현황 List'!AC:AC,"&lt;="&amp;B1)</f>
        <v>2</v>
      </c>
      <c r="K30" s="74">
        <f t="shared" si="35"/>
        <v>1</v>
      </c>
      <c r="L30" s="74">
        <f t="shared" si="36"/>
        <v>1</v>
      </c>
      <c r="M30" s="73">
        <f>COUNTIFS('Interface 현황 List'!E:E,"CM",'Interface 현황 List'!AL:AL,"1차통테전",'Interface 현황 List'!F:F,"GW")+COUNTIFS('Interface 현황 List'!E:E,"CM",'Interface 현황 List'!AL:AL,"2차통테전",'Interface 현황 List'!F:F,"GW")</f>
        <v>2</v>
      </c>
      <c r="N30" s="75">
        <f>COUNTIFS('Interface 현황 List'!E:E,"CM",'Interface 현황 List'!AL:AL,"1차통테전",'Interface 현황 List'!F:F,"GW",'Interface 현황 List'!AC:AC,"&lt;="&amp;B1)+COUNTIFS('Interface 현황 List'!E:E,"CM",'Interface 현황 List'!AL:AL,"2차통테전",'Interface 현황 List'!F:F,"GW",'Interface 현황 List'!AC:AC,"&lt;="&amp;B1)</f>
        <v>2</v>
      </c>
      <c r="O30" s="74">
        <f t="shared" si="37"/>
        <v>1</v>
      </c>
      <c r="P30" s="75">
        <f t="shared" si="38"/>
        <v>2</v>
      </c>
      <c r="Q30" s="73">
        <f>COUNTIFS('Interface 현황 List'!E:E,"CM",'Interface 현황 List'!F:F,"GW",'Interface 현황 List'!AD:AD,"&lt;="&amp;B1)</f>
        <v>2</v>
      </c>
      <c r="R30" s="74">
        <f t="shared" si="39"/>
        <v>1</v>
      </c>
      <c r="S30" s="74">
        <f t="shared" si="40"/>
        <v>1</v>
      </c>
      <c r="T30" s="178"/>
    </row>
    <row r="31" spans="2:20" x14ac:dyDescent="0.3">
      <c r="B31" s="141" t="s">
        <v>279</v>
      </c>
      <c r="C31" s="142"/>
      <c r="D31" s="79">
        <f>SUM(D21:D30)</f>
        <v>101</v>
      </c>
      <c r="E31" s="79">
        <f t="shared" ref="E31:F31" si="55">SUM(E21:E30)</f>
        <v>97</v>
      </c>
      <c r="F31" s="79">
        <f t="shared" si="55"/>
        <v>97</v>
      </c>
      <c r="G31" s="77">
        <f>IFERROR(F31/E31,0)</f>
        <v>1</v>
      </c>
      <c r="H31" s="88">
        <f t="shared" si="34"/>
        <v>0.96039603960396036</v>
      </c>
      <c r="I31" s="79">
        <f t="shared" ref="I31" si="56">SUM(I21:I30)</f>
        <v>93</v>
      </c>
      <c r="J31" s="79">
        <f t="shared" ref="J31" si="57">SUM(J21:J30)</f>
        <v>92</v>
      </c>
      <c r="K31" s="77">
        <f>IFERROR(J31/I31,0)</f>
        <v>0.989247311827957</v>
      </c>
      <c r="L31" s="77">
        <f t="shared" si="36"/>
        <v>0.91089108910891092</v>
      </c>
      <c r="M31" s="79">
        <f t="shared" ref="M31" si="58">SUM(M21:M30)</f>
        <v>67</v>
      </c>
      <c r="N31" s="79">
        <f t="shared" ref="N31" si="59">SUM(N21:N30)</f>
        <v>67</v>
      </c>
      <c r="O31" s="77">
        <f>IFERROR(N31/M31,0)</f>
        <v>1</v>
      </c>
      <c r="P31" s="79">
        <f t="shared" ref="P31" si="60">SUM(P21:P30)</f>
        <v>91</v>
      </c>
      <c r="Q31" s="79">
        <f t="shared" ref="Q31" si="61">SUM(Q21:Q30)</f>
        <v>91</v>
      </c>
      <c r="R31" s="77">
        <f>IFERROR(Q31/P31,0)</f>
        <v>1</v>
      </c>
      <c r="S31" s="77">
        <f t="shared" si="40"/>
        <v>0.90099009900990101</v>
      </c>
      <c r="T31" s="178"/>
    </row>
  </sheetData>
  <customSheetViews>
    <customSheetView guid="{94F6EF88-F3F3-4147-A0A6-D7D872310F87}" topLeftCell="A16">
      <selection activeCell="T1" sqref="T1:T1048576"/>
      <pageMargins left="0.7" right="0.7" top="0.75" bottom="0.75" header="0.3" footer="0.3"/>
    </customSheetView>
    <customSheetView guid="{8743E475-82A8-40E3-A89F-2D0E584F91E0}" topLeftCell="A16">
      <selection activeCell="T1" sqref="T1:T1048576"/>
      <pageMargins left="0.7" right="0.7" top="0.75" bottom="0.75" header="0.3" footer="0.3"/>
    </customSheetView>
    <customSheetView guid="{7AA70812-ECD5-46F1-9429-36F5BE8AAEE9}" topLeftCell="A16">
      <selection activeCell="T1" sqref="T1:T1048576"/>
      <pageMargins left="0.7" right="0.7" top="0.75" bottom="0.75" header="0.3" footer="0.3"/>
    </customSheetView>
    <customSheetView guid="{D15C44AF-0188-43AD-85C3-723784A3432F}" topLeftCell="A16">
      <selection activeCell="T1" sqref="T1:T1048576"/>
      <pageMargins left="0.7" right="0.7" top="0.75" bottom="0.75" header="0.3" footer="0.3"/>
    </customSheetView>
    <customSheetView guid="{9C42C749-E16E-4DC0-991F-1D38A2D3BBE1}" showGridLines="0" topLeftCell="I1">
      <selection activeCell="Z5" sqref="Z5"/>
      <pageMargins left="0.7" right="0.7" top="0.75" bottom="0.75" header="0.3" footer="0.3"/>
    </customSheetView>
    <customSheetView guid="{53F47E00-189D-4661-B9AF-1164B563763A}">
      <selection activeCell="J20" sqref="J20"/>
      <pageMargins left="0.7" right="0.7" top="0.75" bottom="0.75" header="0.3" footer="0.3"/>
    </customSheetView>
    <customSheetView guid="{CEA4BE4F-081E-4347-B6DC-7D60391B2BEE}">
      <selection activeCell="I23" sqref="I23"/>
      <pageMargins left="0.7" right="0.7" top="0.75" bottom="0.75" header="0.3" footer="0.3"/>
    </customSheetView>
    <customSheetView guid="{D096FF35-542B-4691-BEFD-FD1E12D459D4}" topLeftCell="A16">
      <selection activeCell="O31" sqref="O31"/>
      <pageMargins left="0.7" right="0.7" top="0.75" bottom="0.75" header="0.3" footer="0.3"/>
    </customSheetView>
    <customSheetView guid="{B32DF6D4-B4FC-4D21-932F-8389C8D7FEB3}" topLeftCell="A16">
      <selection activeCell="T1" sqref="T1:T1048576"/>
      <pageMargins left="0.7" right="0.7" top="0.75" bottom="0.75" header="0.3" footer="0.3"/>
    </customSheetView>
    <customSheetView guid="{8469C684-BE99-40EE-BB9E-2CBDA6F12C64}" topLeftCell="A16">
      <selection activeCell="T1" sqref="T1:T1048576"/>
      <pageMargins left="0.7" right="0.7" top="0.75" bottom="0.75" header="0.3" footer="0.3"/>
    </customSheetView>
  </customSheetViews>
  <mergeCells count="21">
    <mergeCell ref="B28:B29"/>
    <mergeCell ref="B24:B25"/>
    <mergeCell ref="B21:B22"/>
    <mergeCell ref="B17:C17"/>
    <mergeCell ref="B4:B6"/>
    <mergeCell ref="B7:C7"/>
    <mergeCell ref="B8:B9"/>
    <mergeCell ref="B10:C10"/>
    <mergeCell ref="B11:B13"/>
    <mergeCell ref="B14:C14"/>
    <mergeCell ref="B3:C3"/>
    <mergeCell ref="B2:C2"/>
    <mergeCell ref="D2:D3"/>
    <mergeCell ref="E2:H2"/>
    <mergeCell ref="I2:L2"/>
    <mergeCell ref="E19:H19"/>
    <mergeCell ref="I19:L19"/>
    <mergeCell ref="M19:O19"/>
    <mergeCell ref="P19:S19"/>
    <mergeCell ref="P2:S2"/>
    <mergeCell ref="M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개정 이력</vt:lpstr>
      <vt:lpstr>Sheet2</vt:lpstr>
      <vt:lpstr>Interface 현황 List</vt:lpstr>
      <vt:lpstr>Sheet3</vt:lpstr>
      <vt:lpstr>PO Batch_Job</vt:lpstr>
      <vt:lpstr>WMS</vt:lpstr>
      <vt:lpstr>Sheet1</vt:lpstr>
      <vt:lpstr>진척률</vt:lpstr>
      <vt:lpstr>주간보고</vt:lpstr>
      <vt:lpstr>EAI개발계획일원본</vt:lpstr>
      <vt:lpstr>EAI개발완료일원본</vt:lpstr>
      <vt:lpstr>MODULE</vt:lpstr>
      <vt:lpstr>'개정 이력'!Print_Area</vt:lpstr>
      <vt:lpstr>SPEC작성계획일원본</vt:lpstr>
      <vt:lpstr>SPEC작성완료일원본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Jeondongil</dc:creator>
  <cp:lastModifiedBy>탁창범</cp:lastModifiedBy>
  <cp:lastPrinted>2021-03-08T08:59:19Z</cp:lastPrinted>
  <dcterms:created xsi:type="dcterms:W3CDTF">2020-10-30T00:35:16Z</dcterms:created>
  <dcterms:modified xsi:type="dcterms:W3CDTF">2021-04-12T02:58:01Z</dcterms:modified>
</cp:coreProperties>
</file>