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analyses/KZdemography/KZ_QT_IPM/data/KZ/"/>
    </mc:Choice>
  </mc:AlternateContent>
  <xr:revisionPtr revIDLastSave="0" documentId="13_ncr:1_{99B3C331-3050-0C4E-8429-C32D67F48B5A}" xr6:coauthVersionLast="45" xr6:coauthVersionMax="45" xr10:uidLastSave="{00000000-0000-0000-0000-000000000000}"/>
  <bookViews>
    <workbookView xWindow="2460" yWindow="1500" windowWidth="31000" windowHeight="16440" xr2:uid="{00000000-000D-0000-FFFF-FFFF00000000}"/>
  </bookViews>
  <sheets>
    <sheet name="MinCount_summary_KZ-withim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2" l="1"/>
  <c r="O3" i="2"/>
  <c r="O2" i="2"/>
  <c r="K2" i="2"/>
  <c r="J2" i="2"/>
  <c r="H3" i="2"/>
  <c r="I3" i="2"/>
  <c r="I2" i="2"/>
  <c r="H2" i="2"/>
  <c r="F3" i="2"/>
  <c r="E3" i="2"/>
  <c r="F20" i="2" l="1"/>
  <c r="E20" i="2"/>
  <c r="F19" i="2"/>
  <c r="E19" i="2"/>
  <c r="F18" i="2"/>
  <c r="E18" i="2"/>
  <c r="F16" i="2"/>
  <c r="E16" i="2"/>
  <c r="F12" i="2"/>
  <c r="E12" i="2"/>
  <c r="D2" i="2"/>
  <c r="F2" i="2" s="1"/>
  <c r="C2" i="2"/>
  <c r="E2" i="2" s="1"/>
  <c r="M2" i="2" l="1"/>
  <c r="N2" i="2" s="1"/>
  <c r="G16" i="2"/>
  <c r="G12" i="2"/>
  <c r="D20" i="2"/>
  <c r="C20" i="2"/>
  <c r="H20" i="2" s="1"/>
  <c r="D19" i="2"/>
  <c r="C19" i="2"/>
  <c r="H19" i="2" s="1"/>
  <c r="D18" i="2"/>
  <c r="C18" i="2"/>
  <c r="H18" i="2" s="1"/>
  <c r="D16" i="2"/>
  <c r="C16" i="2"/>
  <c r="D12" i="2"/>
  <c r="C12" i="2"/>
  <c r="D3" i="2"/>
  <c r="C3" i="2"/>
  <c r="P3" i="2" l="1"/>
  <c r="V2" i="2"/>
  <c r="U2" i="2"/>
  <c r="I19" i="2"/>
  <c r="P19" i="2"/>
  <c r="I20" i="2"/>
  <c r="V20" i="2" s="1"/>
  <c r="P20" i="2"/>
  <c r="P18" i="2"/>
  <c r="H16" i="2"/>
  <c r="I12" i="2"/>
  <c r="K12" i="2" s="1"/>
  <c r="M12" i="2" s="1"/>
  <c r="N12" i="2" s="1"/>
  <c r="I18" i="2"/>
  <c r="U18" i="2" s="1"/>
  <c r="U19" i="2"/>
  <c r="V19" i="2"/>
  <c r="H12" i="2"/>
  <c r="P12" i="2" s="1"/>
  <c r="V18" i="2"/>
  <c r="U3" i="2"/>
  <c r="J3" i="2" l="1"/>
  <c r="V3" i="2"/>
  <c r="L2" i="2"/>
  <c r="T2" i="2"/>
  <c r="S2" i="2"/>
  <c r="U20" i="2"/>
  <c r="I16" i="2"/>
  <c r="U16" i="2" s="1"/>
  <c r="P16" i="2"/>
  <c r="U12" i="2"/>
  <c r="V12" i="2"/>
  <c r="L3" i="2"/>
  <c r="K16" i="2"/>
  <c r="M16" i="2" s="1"/>
  <c r="N16" i="2" s="1"/>
  <c r="K18" i="2"/>
  <c r="M18" i="2" s="1"/>
  <c r="N18" i="2" s="1"/>
  <c r="K19" i="2"/>
  <c r="M19" i="2" s="1"/>
  <c r="N19" i="2" s="1"/>
  <c r="K20" i="2"/>
  <c r="M20" i="2" s="1"/>
  <c r="N20" i="2" s="1"/>
  <c r="K3" i="2"/>
  <c r="S3" i="2" s="1"/>
  <c r="J12" i="2"/>
  <c r="O12" i="2" s="1"/>
  <c r="J16" i="2"/>
  <c r="J18" i="2"/>
  <c r="J19" i="2"/>
  <c r="O19" i="2" s="1"/>
  <c r="J20" i="2"/>
  <c r="H22" i="2"/>
  <c r="H23" i="2"/>
  <c r="H24" i="2"/>
  <c r="H25" i="2"/>
  <c r="H26" i="2"/>
  <c r="H27" i="2"/>
  <c r="H21" i="2"/>
  <c r="L20" i="2" l="1"/>
  <c r="T20" i="2"/>
  <c r="S20" i="2"/>
  <c r="O20" i="2"/>
  <c r="O16" i="2"/>
  <c r="P26" i="2"/>
  <c r="O18" i="2"/>
  <c r="P24" i="2"/>
  <c r="I23" i="2"/>
  <c r="K23" i="2" s="1"/>
  <c r="N23" i="2" s="1"/>
  <c r="I24" i="2"/>
  <c r="K24" i="2" s="1"/>
  <c r="N24" i="2" s="1"/>
  <c r="V16" i="2"/>
  <c r="J22" i="2"/>
  <c r="O22" i="2" s="1"/>
  <c r="J21" i="2"/>
  <c r="V21" i="2"/>
  <c r="J27" i="2"/>
  <c r="J26" i="2"/>
  <c r="J25" i="2"/>
  <c r="U25" i="2"/>
  <c r="J24" i="2"/>
  <c r="U24" i="2"/>
  <c r="S16" i="2"/>
  <c r="J23" i="2"/>
  <c r="O23" i="2" s="1"/>
  <c r="U23" i="2"/>
  <c r="L19" i="2"/>
  <c r="T19" i="2"/>
  <c r="S19" i="2"/>
  <c r="L18" i="2"/>
  <c r="T18" i="2"/>
  <c r="S18" i="2"/>
  <c r="L16" i="2"/>
  <c r="T16" i="2"/>
  <c r="L12" i="2"/>
  <c r="T12" i="2"/>
  <c r="S12" i="2"/>
  <c r="T3" i="2"/>
  <c r="I25" i="2"/>
  <c r="K25" i="2" s="1"/>
  <c r="N25" i="2" s="1"/>
  <c r="M3" i="2"/>
  <c r="N3" i="2" s="1"/>
  <c r="I22" i="2"/>
  <c r="K22" i="2" s="1"/>
  <c r="N22" i="2" s="1"/>
  <c r="I26" i="2"/>
  <c r="K26" i="2" s="1"/>
  <c r="N26" i="2" s="1"/>
  <c r="I27" i="2"/>
  <c r="K27" i="2" s="1"/>
  <c r="N27" i="2" s="1"/>
  <c r="I21" i="2"/>
  <c r="K21" i="2" s="1"/>
  <c r="N21" i="2" s="1"/>
  <c r="O25" i="2" l="1"/>
  <c r="V23" i="2"/>
  <c r="O26" i="2"/>
  <c r="P21" i="2"/>
  <c r="P27" i="2"/>
  <c r="P25" i="2"/>
  <c r="O27" i="2"/>
  <c r="P22" i="2"/>
  <c r="V24" i="2"/>
  <c r="O21" i="2"/>
  <c r="P23" i="2"/>
  <c r="T24" i="2"/>
  <c r="O24" i="2"/>
  <c r="U27" i="2"/>
  <c r="S24" i="2"/>
  <c r="V25" i="2"/>
  <c r="T27" i="2"/>
  <c r="S27" i="2"/>
  <c r="S25" i="2"/>
  <c r="T25" i="2"/>
  <c r="U21" i="2"/>
  <c r="S23" i="2"/>
  <c r="T23" i="2"/>
  <c r="V26" i="2"/>
  <c r="T21" i="2"/>
  <c r="S21" i="2"/>
  <c r="U26" i="2"/>
  <c r="T26" i="2"/>
  <c r="S26" i="2"/>
  <c r="U22" i="2"/>
  <c r="V22" i="2"/>
  <c r="V27" i="2"/>
  <c r="S22" i="2"/>
  <c r="T22" i="2"/>
</calcChain>
</file>

<file path=xl/sharedStrings.xml><?xml version="1.0" encoding="utf-8"?>
<sst xmlns="http://schemas.openxmlformats.org/spreadsheetml/2006/main" count="49" uniqueCount="40">
  <si>
    <t>Year</t>
  </si>
  <si>
    <t>Moberley Count</t>
  </si>
  <si>
    <t>Scott Count Min</t>
  </si>
  <si>
    <t>Scott Count Max</t>
  </si>
  <si>
    <t>KZ total count_MIN</t>
  </si>
  <si>
    <t>KZ total count_MAX</t>
  </si>
  <si>
    <t>Calves_count</t>
  </si>
  <si>
    <t>Calves_min</t>
  </si>
  <si>
    <t>Calves_max</t>
  </si>
  <si>
    <t>Adults_min</t>
  </si>
  <si>
    <t>Adults_max</t>
  </si>
  <si>
    <t>F_min</t>
  </si>
  <si>
    <t>F_max</t>
  </si>
  <si>
    <t>Citation</t>
  </si>
  <si>
    <t>Comments</t>
  </si>
  <si>
    <t>Mean_Sightability</t>
  </si>
  <si>
    <t>SD_Sightability</t>
  </si>
  <si>
    <t>SexRatio</t>
  </si>
  <si>
    <t>Wood and Hengeveld 1998</t>
  </si>
  <si>
    <t>Sightability Comments</t>
  </si>
  <si>
    <t>A sightability of 0.7 was used, based off of other counts. SD would normally be 0.15 for 7/10 seen, but we increased SD to 0.3 to reflect our uncertainty in the sightability</t>
  </si>
  <si>
    <t>Seip and Jones 2008</t>
  </si>
  <si>
    <t>Min count means collars were used, so we bumped sightability slightly</t>
  </si>
  <si>
    <t>Estimate_ADULTMF</t>
  </si>
  <si>
    <t>SD_Estimate_ADULTMF</t>
  </si>
  <si>
    <t>Estimate_CALFMF</t>
  </si>
  <si>
    <t>SD_Estimate_CALFMF</t>
  </si>
  <si>
    <t xml:space="preserve">Seip &amp; Jones 2012 </t>
  </si>
  <si>
    <t>Seip and Jones 2013</t>
  </si>
  <si>
    <t>The highest recent minimum count was 41 in 2005 (Seip, unpublished data). On average (2003 to 2013), calves comprised 14.0% of the Moberly population</t>
  </si>
  <si>
    <t xml:space="preserve">In 2009, there were a minimum of 48 caribou in the herd </t>
  </si>
  <si>
    <t xml:space="preserve">We saw all seven radio-collared caribou without using telemetry to find them. We also saw three additional groups of non-collared caribou (Table 5). A total of 35 caribou were counted during the census (Table 4). Given the 100% sightability of the collared caribou, the population estimate is 35 animals. </t>
  </si>
  <si>
    <t>Seip and Jones 2011</t>
  </si>
  <si>
    <t xml:space="preserve">There were three radio-collared caribou in the census area at the time of the census. All three caribou were spotted within a single group of 25 caribou on Mount McAllister (Table 6). Given 100% sightability of the collared caribou, the 2012 population estimate for the Moberly herd is 25 animals. The group of 25 caribou included three calves for a calf recruitment rate of 12.0%. </t>
  </si>
  <si>
    <t>Seip &amp; Jones 2013</t>
  </si>
  <si>
    <t>During intensive search efforts to locate and collar caribou on three separate occasions in winter 2012/2013, no more than 16 caribou (6 bulls, 9 cows, 1 calf) were ever sighted within the Moberly range</t>
  </si>
  <si>
    <t>McNay Unpublished</t>
  </si>
  <si>
    <t>SurveryCount_ADULTMF</t>
  </si>
  <si>
    <t>SurveryCount_CALFMF</t>
  </si>
  <si>
    <t>Moberley count was 181 animals, found without telemetry (there were no collars out). They say 59 ADM, 105 ADF, and 17 calves. They saw 189 the winter before.  Used the 9% of population is calves from Moberly to get a calf estimate for Scott. Scott count is a minimum based on expert observations and local knowledge.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</si>
</sst>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"/>
  <sheetViews>
    <sheetView tabSelected="1" topLeftCell="J1" workbookViewId="0">
      <selection activeCell="W3" sqref="W3"/>
    </sheetView>
  </sheetViews>
  <sheetFormatPr baseColWidth="10" defaultRowHeight="16" x14ac:dyDescent="0.2"/>
  <cols>
    <col min="3" max="3" width="14.1640625" bestFit="1" customWidth="1"/>
    <col min="4" max="4" width="14.5" bestFit="1" customWidth="1"/>
    <col min="5" max="5" width="17.1640625" bestFit="1" customWidth="1"/>
    <col min="6" max="6" width="17.5" bestFit="1" customWidth="1"/>
    <col min="7" max="7" width="18.5" customWidth="1"/>
    <col min="17" max="17" width="16" bestFit="1" customWidth="1"/>
    <col min="19" max="19" width="17.83203125" bestFit="1" customWidth="1"/>
    <col min="22" max="22" width="19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37</v>
      </c>
      <c r="P1" t="s">
        <v>38</v>
      </c>
      <c r="Q1" t="s">
        <v>15</v>
      </c>
      <c r="R1" t="s">
        <v>16</v>
      </c>
      <c r="S1" t="s">
        <v>23</v>
      </c>
      <c r="T1" t="s">
        <v>24</v>
      </c>
      <c r="U1" t="s">
        <v>25</v>
      </c>
      <c r="V1" t="s">
        <v>26</v>
      </c>
      <c r="W1" t="s">
        <v>13</v>
      </c>
      <c r="X1" t="s">
        <v>14</v>
      </c>
      <c r="Y1" t="s">
        <v>19</v>
      </c>
    </row>
    <row r="2" spans="1:25" x14ac:dyDescent="0.2">
      <c r="A2">
        <v>1995</v>
      </c>
      <c r="B2">
        <v>189</v>
      </c>
      <c r="C2">
        <f>30*Q2</f>
        <v>21</v>
      </c>
      <c r="D2">
        <f>50*Q2</f>
        <v>35</v>
      </c>
      <c r="E2">
        <f>B2+C2</f>
        <v>210</v>
      </c>
      <c r="F2">
        <f>B2+D2</f>
        <v>224</v>
      </c>
      <c r="H2">
        <f>E2*0.1</f>
        <v>21</v>
      </c>
      <c r="I2">
        <f>F2*0.1</f>
        <v>22.400000000000002</v>
      </c>
      <c r="J2">
        <f>E2-H2</f>
        <v>189</v>
      </c>
      <c r="K2">
        <f>F2-I2</f>
        <v>201.6</v>
      </c>
      <c r="L2">
        <f>J2*0.64</f>
        <v>120.96000000000001</v>
      </c>
      <c r="M2">
        <f>K2*0.64</f>
        <v>129.024</v>
      </c>
      <c r="N2">
        <f t="shared" ref="N2" si="0">M2/K2</f>
        <v>0.64</v>
      </c>
      <c r="O2">
        <f>AVERAGE(J2:K2)</f>
        <v>195.3</v>
      </c>
      <c r="P2">
        <f>AVERAGE(H2:I2)</f>
        <v>21.700000000000003</v>
      </c>
      <c r="Q2">
        <v>0.7</v>
      </c>
      <c r="R2">
        <v>0.3</v>
      </c>
      <c r="S2">
        <f>AVERAGE(J2:K2)/Q2</f>
        <v>279.00000000000006</v>
      </c>
      <c r="T2">
        <f>AVERAGE(J2:K2)*R2</f>
        <v>58.59</v>
      </c>
      <c r="U2">
        <f>AVERAGE(H2:I2)/Q2</f>
        <v>31.000000000000007</v>
      </c>
      <c r="V2">
        <f>AVERAGE(H2:I2)*R2</f>
        <v>6.5100000000000007</v>
      </c>
      <c r="W2" t="s">
        <v>18</v>
      </c>
      <c r="Y2" t="s">
        <v>20</v>
      </c>
    </row>
    <row r="3" spans="1:25" x14ac:dyDescent="0.2">
      <c r="A3">
        <v>1996</v>
      </c>
      <c r="B3">
        <v>181</v>
      </c>
      <c r="C3">
        <f>30*Q3</f>
        <v>21</v>
      </c>
      <c r="D3">
        <f>50*Q3</f>
        <v>35</v>
      </c>
      <c r="E3">
        <f>B3+C3</f>
        <v>202</v>
      </c>
      <c r="F3">
        <f>B3+D3</f>
        <v>216</v>
      </c>
      <c r="G3">
        <v>17</v>
      </c>
      <c r="H3">
        <f>G3+(0.09*C3)</f>
        <v>18.89</v>
      </c>
      <c r="I3">
        <f>G3+(0.09*D3)</f>
        <v>20.149999999999999</v>
      </c>
      <c r="J3">
        <f>E3-H3</f>
        <v>183.11</v>
      </c>
      <c r="K3">
        <f>F3-I3</f>
        <v>195.85</v>
      </c>
      <c r="L3">
        <f>J3*0.64</f>
        <v>117.19040000000001</v>
      </c>
      <c r="M3">
        <f>K3*0.64</f>
        <v>125.34399999999999</v>
      </c>
      <c r="N3">
        <f t="shared" ref="N3:N26" si="1">M3/K3</f>
        <v>0.64</v>
      </c>
      <c r="O3">
        <f>AVERAGE(J3:K3)</f>
        <v>189.48000000000002</v>
      </c>
      <c r="P3">
        <f>AVERAGE(H3:I3)</f>
        <v>19.52</v>
      </c>
      <c r="Q3">
        <v>0.7</v>
      </c>
      <c r="R3">
        <v>0.3</v>
      </c>
      <c r="S3">
        <f>AVERAGE(J3:K3)/Q3</f>
        <v>270.68571428571431</v>
      </c>
      <c r="T3">
        <f>AVERAGE(J3:K3)*R3</f>
        <v>56.844000000000001</v>
      </c>
      <c r="U3">
        <f>AVERAGE(H3:I3)/Q3</f>
        <v>27.885714285714286</v>
      </c>
      <c r="V3">
        <f>AVERAGE(H3:I3)*R3</f>
        <v>5.8559999999999999</v>
      </c>
      <c r="W3" t="s">
        <v>18</v>
      </c>
      <c r="X3" t="s">
        <v>39</v>
      </c>
      <c r="Y3" t="s">
        <v>20</v>
      </c>
    </row>
    <row r="4" spans="1:25" x14ac:dyDescent="0.2">
      <c r="A4">
        <v>1997</v>
      </c>
    </row>
    <row r="5" spans="1:25" x14ac:dyDescent="0.2">
      <c r="A5">
        <v>1998</v>
      </c>
    </row>
    <row r="6" spans="1:25" x14ac:dyDescent="0.2">
      <c r="A6">
        <v>1999</v>
      </c>
    </row>
    <row r="7" spans="1:25" x14ac:dyDescent="0.2">
      <c r="A7">
        <v>2000</v>
      </c>
    </row>
    <row r="8" spans="1:25" x14ac:dyDescent="0.2">
      <c r="A8">
        <v>2001</v>
      </c>
    </row>
    <row r="9" spans="1:25" x14ac:dyDescent="0.2">
      <c r="A9">
        <v>2002</v>
      </c>
    </row>
    <row r="10" spans="1:25" x14ac:dyDescent="0.2">
      <c r="A10">
        <v>2003</v>
      </c>
    </row>
    <row r="11" spans="1:25" x14ac:dyDescent="0.2">
      <c r="A11">
        <v>2004</v>
      </c>
      <c r="X11" t="s">
        <v>29</v>
      </c>
      <c r="Y11" s="2" t="s">
        <v>22</v>
      </c>
    </row>
    <row r="12" spans="1:25" x14ac:dyDescent="0.2">
      <c r="A12">
        <v>2005</v>
      </c>
      <c r="B12">
        <v>41</v>
      </c>
      <c r="C12">
        <f>20*Q12</f>
        <v>14</v>
      </c>
      <c r="D12">
        <f>20*Q12</f>
        <v>14</v>
      </c>
      <c r="E12">
        <f>B12+C12</f>
        <v>55</v>
      </c>
      <c r="F12">
        <f>B12+D12</f>
        <v>55</v>
      </c>
      <c r="G12" s="1">
        <f>B12*0.14</f>
        <v>5.74</v>
      </c>
      <c r="H12">
        <f>G12+(C12*0.14)</f>
        <v>7.7</v>
      </c>
      <c r="I12">
        <f>G12+(D12*0.14)</f>
        <v>7.7</v>
      </c>
      <c r="J12">
        <f t="shared" ref="J12:J20" si="2">E12-H12</f>
        <v>47.3</v>
      </c>
      <c r="K12">
        <f>F12-I12</f>
        <v>47.3</v>
      </c>
      <c r="L12">
        <f>J12*0.64</f>
        <v>30.271999999999998</v>
      </c>
      <c r="M12">
        <f>K12*0.64</f>
        <v>30.271999999999998</v>
      </c>
      <c r="N12">
        <f>M12/K12</f>
        <v>0.64</v>
      </c>
      <c r="O12">
        <f>AVERAGE(J12:K12)</f>
        <v>47.3</v>
      </c>
      <c r="P12">
        <f>AVERAGE(H12:I12)</f>
        <v>7.7</v>
      </c>
      <c r="Q12">
        <v>0.7</v>
      </c>
      <c r="R12">
        <v>0.25</v>
      </c>
      <c r="S12">
        <f>AVERAGE(J12:K12)/Q12</f>
        <v>67.571428571428569</v>
      </c>
      <c r="T12">
        <f>AVERAGE(J12:K12)*R12</f>
        <v>11.824999999999999</v>
      </c>
      <c r="U12">
        <f>AVERAGE(H12:I12)/Q12</f>
        <v>11.000000000000002</v>
      </c>
      <c r="V12">
        <f>AVERAGE(H12:I12)*R12</f>
        <v>1.925</v>
      </c>
      <c r="W12" t="s">
        <v>21</v>
      </c>
    </row>
    <row r="13" spans="1:25" x14ac:dyDescent="0.2">
      <c r="A13">
        <v>2006</v>
      </c>
    </row>
    <row r="14" spans="1:25" x14ac:dyDescent="0.2">
      <c r="A14">
        <v>2007</v>
      </c>
    </row>
    <row r="15" spans="1:25" x14ac:dyDescent="0.2">
      <c r="A15">
        <v>2008</v>
      </c>
      <c r="X15" s="2" t="s">
        <v>30</v>
      </c>
      <c r="Y15" s="2" t="s">
        <v>22</v>
      </c>
    </row>
    <row r="16" spans="1:25" x14ac:dyDescent="0.2">
      <c r="A16">
        <v>2009</v>
      </c>
      <c r="B16">
        <v>48</v>
      </c>
      <c r="C16">
        <f>20*Q16</f>
        <v>14</v>
      </c>
      <c r="D16">
        <f>20*Q16</f>
        <v>14</v>
      </c>
      <c r="E16">
        <f>B16+C16</f>
        <v>62</v>
      </c>
      <c r="F16">
        <f>B16+D16</f>
        <v>62</v>
      </c>
      <c r="G16" s="3">
        <f>B16*0.14</f>
        <v>6.7200000000000006</v>
      </c>
      <c r="H16">
        <f>G16+(C16*0.14)</f>
        <v>8.6800000000000015</v>
      </c>
      <c r="I16">
        <f>H16+(D16*0.14)</f>
        <v>10.640000000000002</v>
      </c>
      <c r="J16">
        <f t="shared" si="2"/>
        <v>53.32</v>
      </c>
      <c r="K16">
        <f t="shared" ref="K16:K20" si="3">F16-I16</f>
        <v>51.36</v>
      </c>
      <c r="L16">
        <f>J16*0.64</f>
        <v>34.1248</v>
      </c>
      <c r="M16">
        <f>K16*0.64</f>
        <v>32.870400000000004</v>
      </c>
      <c r="N16">
        <f t="shared" si="1"/>
        <v>0.64000000000000012</v>
      </c>
      <c r="O16">
        <f>AVERAGE(J16:K16)</f>
        <v>52.34</v>
      </c>
      <c r="P16">
        <f>AVERAGE(H16:I16)</f>
        <v>9.6600000000000019</v>
      </c>
      <c r="Q16">
        <v>0.7</v>
      </c>
      <c r="R16">
        <v>0.25</v>
      </c>
      <c r="S16">
        <f>AVERAGE(J16:K16)/Q16</f>
        <v>74.771428571428586</v>
      </c>
      <c r="T16">
        <f>AVERAGE(J16:K16)*R16</f>
        <v>13.085000000000001</v>
      </c>
      <c r="U16">
        <f>AVERAGE(H16:I16)/Q16</f>
        <v>13.800000000000004</v>
      </c>
      <c r="V16">
        <f>AVERAGE(H16:I16)*R16</f>
        <v>2.4150000000000005</v>
      </c>
      <c r="W16" t="s">
        <v>28</v>
      </c>
    </row>
    <row r="17" spans="1:24" x14ac:dyDescent="0.2">
      <c r="A17">
        <v>2010</v>
      </c>
      <c r="X17" s="2" t="s">
        <v>31</v>
      </c>
    </row>
    <row r="18" spans="1:24" x14ac:dyDescent="0.2">
      <c r="A18">
        <v>2011</v>
      </c>
      <c r="B18">
        <v>35</v>
      </c>
      <c r="C18">
        <f>20*Q18</f>
        <v>20</v>
      </c>
      <c r="D18">
        <f>20*Q18</f>
        <v>20</v>
      </c>
      <c r="E18">
        <f>B18+C18</f>
        <v>55</v>
      </c>
      <c r="F18">
        <f>B18+D18</f>
        <v>55</v>
      </c>
      <c r="G18">
        <v>2</v>
      </c>
      <c r="H18">
        <f t="shared" ref="H18:I20" si="4">G18+(C18*0.14)</f>
        <v>4.8000000000000007</v>
      </c>
      <c r="I18">
        <f t="shared" si="4"/>
        <v>7.6000000000000014</v>
      </c>
      <c r="J18">
        <f t="shared" si="2"/>
        <v>50.2</v>
      </c>
      <c r="K18">
        <f t="shared" si="3"/>
        <v>47.4</v>
      </c>
      <c r="L18">
        <f t="shared" ref="L18:M20" si="5">J18*0.64</f>
        <v>32.128</v>
      </c>
      <c r="M18">
        <f t="shared" si="5"/>
        <v>30.335999999999999</v>
      </c>
      <c r="N18">
        <f t="shared" si="1"/>
        <v>0.64</v>
      </c>
      <c r="O18">
        <f>AVERAGE(J18:K18)</f>
        <v>48.8</v>
      </c>
      <c r="P18">
        <f>AVERAGE(H18:I18)</f>
        <v>6.2000000000000011</v>
      </c>
      <c r="Q18">
        <v>1</v>
      </c>
      <c r="R18">
        <v>0.12</v>
      </c>
      <c r="S18">
        <f>AVERAGE(J18:K18)/Q18</f>
        <v>48.8</v>
      </c>
      <c r="T18">
        <f>AVERAGE(J18:K18)*R18</f>
        <v>5.8559999999999999</v>
      </c>
      <c r="U18">
        <f>AVERAGE(H18:I18)/Q18</f>
        <v>6.2000000000000011</v>
      </c>
      <c r="V18">
        <f>AVERAGE(H18:I18)*R18</f>
        <v>0.74400000000000011</v>
      </c>
      <c r="W18" t="s">
        <v>32</v>
      </c>
      <c r="X18" s="2" t="s">
        <v>33</v>
      </c>
    </row>
    <row r="19" spans="1:24" x14ac:dyDescent="0.2">
      <c r="A19">
        <v>2012</v>
      </c>
      <c r="B19">
        <v>25</v>
      </c>
      <c r="C19">
        <f>20*Q19</f>
        <v>20</v>
      </c>
      <c r="D19">
        <f>20*Q19</f>
        <v>20</v>
      </c>
      <c r="E19">
        <f>B19+C19</f>
        <v>45</v>
      </c>
      <c r="F19">
        <f>B19+D19</f>
        <v>45</v>
      </c>
      <c r="G19">
        <v>3</v>
      </c>
      <c r="H19">
        <f t="shared" si="4"/>
        <v>5.8000000000000007</v>
      </c>
      <c r="I19">
        <f t="shared" si="4"/>
        <v>8.6000000000000014</v>
      </c>
      <c r="J19">
        <f t="shared" si="2"/>
        <v>39.200000000000003</v>
      </c>
      <c r="K19">
        <f t="shared" si="3"/>
        <v>36.4</v>
      </c>
      <c r="L19">
        <f t="shared" si="5"/>
        <v>25.088000000000001</v>
      </c>
      <c r="M19">
        <f t="shared" si="5"/>
        <v>23.295999999999999</v>
      </c>
      <c r="N19">
        <f t="shared" si="1"/>
        <v>0.64</v>
      </c>
      <c r="O19">
        <f t="shared" ref="O19:O27" si="6">AVERAGE(J19:K19)</f>
        <v>37.799999999999997</v>
      </c>
      <c r="P19">
        <f t="shared" ref="P19:P27" si="7">AVERAGE(H19:I19)</f>
        <v>7.2000000000000011</v>
      </c>
      <c r="Q19">
        <v>1</v>
      </c>
      <c r="R19">
        <v>0.2</v>
      </c>
      <c r="S19">
        <f>AVERAGE(J19:K19)/Q19</f>
        <v>37.799999999999997</v>
      </c>
      <c r="T19">
        <f>AVERAGE(J19:K19)*R19</f>
        <v>7.56</v>
      </c>
      <c r="U19">
        <f>AVERAGE(H19:I19)/Q19</f>
        <v>7.2000000000000011</v>
      </c>
      <c r="V19">
        <f>AVERAGE(H19:I19)*R19</f>
        <v>1.4400000000000004</v>
      </c>
      <c r="W19" s="2" t="s">
        <v>27</v>
      </c>
      <c r="X19" s="2" t="s">
        <v>35</v>
      </c>
    </row>
    <row r="20" spans="1:24" x14ac:dyDescent="0.2">
      <c r="A20">
        <v>2013</v>
      </c>
      <c r="B20">
        <v>16</v>
      </c>
      <c r="C20">
        <f>20*Q20</f>
        <v>20</v>
      </c>
      <c r="D20">
        <f>20*Q20</f>
        <v>20</v>
      </c>
      <c r="E20">
        <f>B20+C20</f>
        <v>36</v>
      </c>
      <c r="F20">
        <f>B20+D20</f>
        <v>36</v>
      </c>
      <c r="G20">
        <v>1</v>
      </c>
      <c r="H20">
        <f t="shared" si="4"/>
        <v>3.8000000000000003</v>
      </c>
      <c r="I20">
        <f t="shared" si="4"/>
        <v>6.6000000000000005</v>
      </c>
      <c r="J20">
        <f t="shared" si="2"/>
        <v>32.200000000000003</v>
      </c>
      <c r="K20">
        <f t="shared" si="3"/>
        <v>29.4</v>
      </c>
      <c r="L20">
        <f t="shared" si="5"/>
        <v>20.608000000000001</v>
      </c>
      <c r="M20">
        <f t="shared" si="5"/>
        <v>18.815999999999999</v>
      </c>
      <c r="N20">
        <f t="shared" si="1"/>
        <v>0.64</v>
      </c>
      <c r="O20">
        <f t="shared" si="6"/>
        <v>30.8</v>
      </c>
      <c r="P20">
        <f t="shared" si="7"/>
        <v>5.2</v>
      </c>
      <c r="Q20">
        <v>1</v>
      </c>
      <c r="R20">
        <v>0.09</v>
      </c>
      <c r="S20">
        <f>AVERAGE(J20:K20)/Q20</f>
        <v>30.8</v>
      </c>
      <c r="T20">
        <f>AVERAGE(J20:K20)*R20</f>
        <v>2.7719999999999998</v>
      </c>
      <c r="U20">
        <f>AVERAGE(H20:I20)/Q20</f>
        <v>5.2</v>
      </c>
      <c r="V20">
        <f>AVERAGE(H20:I20)*R20</f>
        <v>0.46799999999999997</v>
      </c>
      <c r="W20" s="2" t="s">
        <v>34</v>
      </c>
    </row>
    <row r="21" spans="1:24" x14ac:dyDescent="0.2">
      <c r="A21">
        <v>2014</v>
      </c>
      <c r="E21">
        <v>40</v>
      </c>
      <c r="F21">
        <v>40</v>
      </c>
      <c r="G21" s="1">
        <v>6</v>
      </c>
      <c r="H21">
        <f>G21</f>
        <v>6</v>
      </c>
      <c r="I21">
        <f>H21</f>
        <v>6</v>
      </c>
      <c r="J21">
        <f t="shared" ref="J21:J27" si="8">E21-H21</f>
        <v>34</v>
      </c>
      <c r="K21">
        <f t="shared" ref="K21:K27" si="9">F21-I21</f>
        <v>34</v>
      </c>
      <c r="L21">
        <v>21</v>
      </c>
      <c r="M21">
        <v>21</v>
      </c>
      <c r="N21">
        <f>M21/K21</f>
        <v>0.61764705882352944</v>
      </c>
      <c r="O21">
        <f t="shared" si="6"/>
        <v>34</v>
      </c>
      <c r="P21">
        <f t="shared" si="7"/>
        <v>6</v>
      </c>
      <c r="Q21">
        <v>1</v>
      </c>
      <c r="R21">
        <v>0.09</v>
      </c>
      <c r="S21">
        <f>AVERAGE(J21:K21)/Q21</f>
        <v>34</v>
      </c>
      <c r="T21">
        <f>AVERAGE(J21:K21)*R21</f>
        <v>3.06</v>
      </c>
      <c r="U21">
        <f>AVERAGE(H21:I21)/Q21</f>
        <v>6</v>
      </c>
      <c r="V21">
        <f>AVERAGE(H21:I21)*R21</f>
        <v>0.54</v>
      </c>
      <c r="W21" t="s">
        <v>36</v>
      </c>
    </row>
    <row r="22" spans="1:24" x14ac:dyDescent="0.2">
      <c r="A22">
        <v>2015</v>
      </c>
      <c r="E22">
        <v>42</v>
      </c>
      <c r="F22">
        <v>42</v>
      </c>
      <c r="G22" s="1">
        <v>6</v>
      </c>
      <c r="H22">
        <f t="shared" ref="H22:I27" si="10">G22</f>
        <v>6</v>
      </c>
      <c r="I22">
        <f t="shared" si="10"/>
        <v>6</v>
      </c>
      <c r="J22">
        <f t="shared" si="8"/>
        <v>36</v>
      </c>
      <c r="K22">
        <f t="shared" si="9"/>
        <v>36</v>
      </c>
      <c r="L22">
        <v>27</v>
      </c>
      <c r="M22">
        <v>27</v>
      </c>
      <c r="N22">
        <f t="shared" si="1"/>
        <v>0.75</v>
      </c>
      <c r="O22">
        <f t="shared" si="6"/>
        <v>36</v>
      </c>
      <c r="P22">
        <f t="shared" si="7"/>
        <v>6</v>
      </c>
      <c r="Q22">
        <v>1</v>
      </c>
      <c r="R22">
        <v>0.09</v>
      </c>
      <c r="S22">
        <f t="shared" ref="S22:S27" si="11">AVERAGE(J22:K22)/Q22</f>
        <v>36</v>
      </c>
      <c r="T22">
        <f t="shared" ref="T22:T27" si="12">AVERAGE(J22:K22)*R22</f>
        <v>3.2399999999999998</v>
      </c>
      <c r="U22">
        <f t="shared" ref="U22:U27" si="13">AVERAGE(H22:I22)/Q22</f>
        <v>6</v>
      </c>
      <c r="V22">
        <f t="shared" ref="V22:V27" si="14">AVERAGE(H22:I22)*R22</f>
        <v>0.54</v>
      </c>
      <c r="W22" t="s">
        <v>36</v>
      </c>
    </row>
    <row r="23" spans="1:24" x14ac:dyDescent="0.2">
      <c r="A23">
        <v>2016</v>
      </c>
      <c r="E23">
        <v>54</v>
      </c>
      <c r="F23">
        <v>54</v>
      </c>
      <c r="G23" s="1">
        <v>9</v>
      </c>
      <c r="H23">
        <f t="shared" si="10"/>
        <v>9</v>
      </c>
      <c r="I23">
        <f t="shared" si="10"/>
        <v>9</v>
      </c>
      <c r="J23">
        <f t="shared" si="8"/>
        <v>45</v>
      </c>
      <c r="K23">
        <f t="shared" si="9"/>
        <v>45</v>
      </c>
      <c r="L23">
        <v>30</v>
      </c>
      <c r="M23">
        <v>30</v>
      </c>
      <c r="N23">
        <f t="shared" si="1"/>
        <v>0.66666666666666663</v>
      </c>
      <c r="O23">
        <f t="shared" si="6"/>
        <v>45</v>
      </c>
      <c r="P23">
        <f t="shared" si="7"/>
        <v>9</v>
      </c>
      <c r="Q23">
        <v>1</v>
      </c>
      <c r="R23">
        <v>0.09</v>
      </c>
      <c r="S23">
        <f t="shared" si="11"/>
        <v>45</v>
      </c>
      <c r="T23">
        <f t="shared" si="12"/>
        <v>4.05</v>
      </c>
      <c r="U23">
        <f t="shared" si="13"/>
        <v>9</v>
      </c>
      <c r="V23">
        <f t="shared" si="14"/>
        <v>0.80999999999999994</v>
      </c>
      <c r="W23" t="s">
        <v>36</v>
      </c>
    </row>
    <row r="24" spans="1:24" x14ac:dyDescent="0.2">
      <c r="A24">
        <v>2017</v>
      </c>
      <c r="E24">
        <v>61</v>
      </c>
      <c r="F24">
        <v>61</v>
      </c>
      <c r="G24" s="1">
        <v>12</v>
      </c>
      <c r="H24">
        <f t="shared" si="10"/>
        <v>12</v>
      </c>
      <c r="I24">
        <f t="shared" si="10"/>
        <v>12</v>
      </c>
      <c r="J24">
        <f t="shared" si="8"/>
        <v>49</v>
      </c>
      <c r="K24">
        <f t="shared" si="9"/>
        <v>49</v>
      </c>
      <c r="L24">
        <v>25</v>
      </c>
      <c r="M24">
        <v>25</v>
      </c>
      <c r="N24">
        <f t="shared" si="1"/>
        <v>0.51020408163265307</v>
      </c>
      <c r="O24">
        <f t="shared" si="6"/>
        <v>49</v>
      </c>
      <c r="P24">
        <f t="shared" si="7"/>
        <v>12</v>
      </c>
      <c r="Q24">
        <v>1</v>
      </c>
      <c r="R24">
        <v>0.09</v>
      </c>
      <c r="S24">
        <f t="shared" si="11"/>
        <v>49</v>
      </c>
      <c r="T24">
        <f t="shared" si="12"/>
        <v>4.41</v>
      </c>
      <c r="U24">
        <f t="shared" si="13"/>
        <v>12</v>
      </c>
      <c r="V24">
        <f t="shared" si="14"/>
        <v>1.08</v>
      </c>
      <c r="W24" t="s">
        <v>36</v>
      </c>
    </row>
    <row r="25" spans="1:24" x14ac:dyDescent="0.2">
      <c r="A25">
        <v>2018</v>
      </c>
      <c r="E25">
        <v>66</v>
      </c>
      <c r="F25">
        <v>66</v>
      </c>
      <c r="G25" s="1">
        <v>12</v>
      </c>
      <c r="H25">
        <f t="shared" si="10"/>
        <v>12</v>
      </c>
      <c r="I25">
        <f t="shared" si="10"/>
        <v>12</v>
      </c>
      <c r="J25">
        <f t="shared" si="8"/>
        <v>54</v>
      </c>
      <c r="K25">
        <f t="shared" si="9"/>
        <v>54</v>
      </c>
      <c r="L25">
        <v>34</v>
      </c>
      <c r="M25">
        <v>34</v>
      </c>
      <c r="N25">
        <f t="shared" si="1"/>
        <v>0.62962962962962965</v>
      </c>
      <c r="O25">
        <f t="shared" si="6"/>
        <v>54</v>
      </c>
      <c r="P25">
        <f t="shared" si="7"/>
        <v>12</v>
      </c>
      <c r="Q25">
        <v>1</v>
      </c>
      <c r="R25">
        <v>0.09</v>
      </c>
      <c r="S25">
        <f t="shared" si="11"/>
        <v>54</v>
      </c>
      <c r="T25">
        <f t="shared" si="12"/>
        <v>4.8599999999999994</v>
      </c>
      <c r="U25">
        <f t="shared" si="13"/>
        <v>12</v>
      </c>
      <c r="V25">
        <f t="shared" si="14"/>
        <v>1.08</v>
      </c>
      <c r="W25" t="s">
        <v>36</v>
      </c>
    </row>
    <row r="26" spans="1:24" x14ac:dyDescent="0.2">
      <c r="A26">
        <v>2019</v>
      </c>
      <c r="E26">
        <v>81</v>
      </c>
      <c r="F26">
        <v>81</v>
      </c>
      <c r="G26" s="1">
        <v>11</v>
      </c>
      <c r="H26">
        <f t="shared" si="10"/>
        <v>11</v>
      </c>
      <c r="I26">
        <f t="shared" si="10"/>
        <v>11</v>
      </c>
      <c r="J26">
        <f t="shared" si="8"/>
        <v>70</v>
      </c>
      <c r="K26">
        <f t="shared" si="9"/>
        <v>70</v>
      </c>
      <c r="L26">
        <v>33</v>
      </c>
      <c r="M26">
        <v>33</v>
      </c>
      <c r="N26">
        <f t="shared" si="1"/>
        <v>0.47142857142857142</v>
      </c>
      <c r="O26">
        <f t="shared" si="6"/>
        <v>70</v>
      </c>
      <c r="P26">
        <f t="shared" si="7"/>
        <v>11</v>
      </c>
      <c r="Q26">
        <v>1</v>
      </c>
      <c r="R26">
        <v>0.09</v>
      </c>
      <c r="S26">
        <f t="shared" si="11"/>
        <v>70</v>
      </c>
      <c r="T26">
        <f t="shared" si="12"/>
        <v>6.3</v>
      </c>
      <c r="U26">
        <f t="shared" si="13"/>
        <v>11</v>
      </c>
      <c r="V26">
        <f t="shared" si="14"/>
        <v>0.99</v>
      </c>
      <c r="W26" t="s">
        <v>36</v>
      </c>
    </row>
    <row r="27" spans="1:24" x14ac:dyDescent="0.2">
      <c r="A27">
        <v>2020</v>
      </c>
      <c r="E27">
        <v>85</v>
      </c>
      <c r="F27">
        <v>85</v>
      </c>
      <c r="G27" s="1">
        <v>14</v>
      </c>
      <c r="H27">
        <f t="shared" si="10"/>
        <v>14</v>
      </c>
      <c r="I27">
        <f t="shared" si="10"/>
        <v>14</v>
      </c>
      <c r="J27">
        <f t="shared" si="8"/>
        <v>71</v>
      </c>
      <c r="K27">
        <f t="shared" si="9"/>
        <v>71</v>
      </c>
      <c r="L27">
        <v>29</v>
      </c>
      <c r="M27">
        <v>29</v>
      </c>
      <c r="N27">
        <f>M27/K27</f>
        <v>0.40845070422535212</v>
      </c>
      <c r="O27">
        <f t="shared" si="6"/>
        <v>71</v>
      </c>
      <c r="P27">
        <f t="shared" si="7"/>
        <v>14</v>
      </c>
      <c r="Q27">
        <v>1</v>
      </c>
      <c r="R27">
        <v>0.09</v>
      </c>
      <c r="S27">
        <f t="shared" si="11"/>
        <v>71</v>
      </c>
      <c r="T27">
        <f t="shared" si="12"/>
        <v>6.39</v>
      </c>
      <c r="U27">
        <f t="shared" si="13"/>
        <v>14</v>
      </c>
      <c r="V27">
        <f t="shared" si="14"/>
        <v>1.26</v>
      </c>
      <c r="W2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MinCount_summary_KZ-withimm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Lamb</dc:creator>
  <cp:lastModifiedBy>Clayton Lamb</cp:lastModifiedBy>
  <dcterms:created xsi:type="dcterms:W3CDTF">2020-07-17T16:19:40Z</dcterms:created>
  <dcterms:modified xsi:type="dcterms:W3CDTF">2020-11-19T01:02:25Z</dcterms:modified>
</cp:coreProperties>
</file>