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layton.lamb/Google Drive/Documents/University/PDF/PDF Analyses/KZdemography/KZ_QT_IPM/data/KZ/"/>
    </mc:Choice>
  </mc:AlternateContent>
  <xr:revisionPtr revIDLastSave="0" documentId="13_ncr:1_{2E275EC6-F28F-714A-97BB-06C61ACD2FDB}" xr6:coauthVersionLast="46" xr6:coauthVersionMax="46" xr10:uidLastSave="{00000000-0000-0000-0000-000000000000}"/>
  <bookViews>
    <workbookView xWindow="0" yWindow="500" windowWidth="38400" windowHeight="19660" xr2:uid="{00000000-000D-0000-FFFF-FFFF00000000}"/>
  </bookViews>
  <sheets>
    <sheet name="MinCount_summary_KZ-withimm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V25" i="2" l="1"/>
  <c r="AA25" i="2"/>
  <c r="AC25" i="2" s="1"/>
  <c r="AA26" i="2"/>
  <c r="T25" i="2"/>
  <c r="T26" i="2"/>
  <c r="T28" i="2"/>
  <c r="AC22" i="2"/>
  <c r="AC23" i="2"/>
  <c r="AC24" i="2"/>
  <c r="AC26" i="2"/>
  <c r="AC27" i="2"/>
  <c r="AC28" i="2"/>
  <c r="AC16" i="2"/>
  <c r="AC12" i="2"/>
  <c r="AC3" i="2"/>
  <c r="AC2" i="2"/>
  <c r="Y3" i="2"/>
  <c r="Y2" i="2"/>
  <c r="Y12" i="2"/>
  <c r="Y16" i="2"/>
  <c r="U25" i="2"/>
  <c r="U16" i="2"/>
  <c r="U12" i="2"/>
  <c r="U3" i="2"/>
  <c r="U2" i="2"/>
  <c r="R22" i="2"/>
  <c r="M21" i="2"/>
  <c r="M22" i="2"/>
  <c r="M23" i="2"/>
  <c r="Y23" i="2" s="1"/>
  <c r="M24" i="2"/>
  <c r="T24" i="2" s="1"/>
  <c r="M25" i="2"/>
  <c r="M26" i="2"/>
  <c r="M27" i="2"/>
  <c r="M28" i="2"/>
  <c r="L21" i="2"/>
  <c r="Y21" i="2" s="1"/>
  <c r="AC21" i="2" s="1"/>
  <c r="L22" i="2"/>
  <c r="U22" i="2" s="1"/>
  <c r="L23" i="2"/>
  <c r="L24" i="2"/>
  <c r="L25" i="2"/>
  <c r="L26" i="2"/>
  <c r="Y26" i="2" s="1"/>
  <c r="L27" i="2"/>
  <c r="Y27" i="2" s="1"/>
  <c r="L28" i="2"/>
  <c r="Y28" i="2" s="1"/>
  <c r="S22" i="2"/>
  <c r="S23" i="2"/>
  <c r="S24" i="2"/>
  <c r="S25" i="2"/>
  <c r="S26" i="2"/>
  <c r="S27" i="2"/>
  <c r="S28" i="2"/>
  <c r="S21" i="2"/>
  <c r="R23" i="2"/>
  <c r="T23" i="2" s="1"/>
  <c r="R24" i="2"/>
  <c r="R25" i="2"/>
  <c r="R26" i="2"/>
  <c r="R27" i="2"/>
  <c r="R28" i="2"/>
  <c r="R21" i="2"/>
  <c r="T21" i="2" s="1"/>
  <c r="H28" i="2"/>
  <c r="T22" i="2" l="1"/>
  <c r="Y24" i="2"/>
  <c r="U23" i="2"/>
  <c r="Y22" i="2"/>
  <c r="Y25" i="2"/>
  <c r="U21" i="2"/>
  <c r="U28" i="2"/>
  <c r="U24" i="2"/>
  <c r="U27" i="2"/>
  <c r="U26" i="2"/>
  <c r="I28" i="2"/>
  <c r="AB28" i="2" s="1"/>
  <c r="D2" i="2"/>
  <c r="F2" i="2" s="1"/>
  <c r="C2" i="2"/>
  <c r="E2" i="2" s="1"/>
  <c r="V28" i="2" l="1"/>
  <c r="AA28" i="2"/>
  <c r="H2" i="2"/>
  <c r="I2" i="2"/>
  <c r="K2" i="2" s="1"/>
  <c r="O2" i="2" s="1"/>
  <c r="T2" i="2" s="1"/>
  <c r="G16" i="2"/>
  <c r="G12" i="2"/>
  <c r="D20" i="2"/>
  <c r="F20" i="2" s="1"/>
  <c r="C20" i="2"/>
  <c r="D19" i="2"/>
  <c r="F19" i="2" s="1"/>
  <c r="C19" i="2"/>
  <c r="D18" i="2"/>
  <c r="F18" i="2" s="1"/>
  <c r="C18" i="2"/>
  <c r="D16" i="2"/>
  <c r="F16" i="2" s="1"/>
  <c r="C16" i="2"/>
  <c r="E16" i="2" s="1"/>
  <c r="D12" i="2"/>
  <c r="F12" i="2" s="1"/>
  <c r="C12" i="2"/>
  <c r="E12" i="2" s="1"/>
  <c r="D3" i="2"/>
  <c r="C3" i="2"/>
  <c r="AA2" i="2" l="1"/>
  <c r="V2" i="2"/>
  <c r="J2" i="2"/>
  <c r="H18" i="2"/>
  <c r="I18" i="2" s="1"/>
  <c r="AA18" i="2" s="1"/>
  <c r="E18" i="2"/>
  <c r="E3" i="2"/>
  <c r="H3" i="2"/>
  <c r="V3" i="2" s="1"/>
  <c r="H19" i="2"/>
  <c r="E19" i="2"/>
  <c r="H20" i="2"/>
  <c r="I20" i="2" s="1"/>
  <c r="AB20" i="2" s="1"/>
  <c r="E20" i="2"/>
  <c r="F3" i="2"/>
  <c r="I3" i="2"/>
  <c r="AB2" i="2"/>
  <c r="H16" i="2"/>
  <c r="I12" i="2"/>
  <c r="K12" i="2" s="1"/>
  <c r="O12" i="2" s="1"/>
  <c r="H12" i="2"/>
  <c r="V12" i="2" l="1"/>
  <c r="I19" i="2"/>
  <c r="V19" i="2" s="1"/>
  <c r="V20" i="2"/>
  <c r="AA3" i="2"/>
  <c r="V18" i="2"/>
  <c r="AB18" i="2"/>
  <c r="J3" i="2"/>
  <c r="AB3" i="2"/>
  <c r="N2" i="2"/>
  <c r="Z2" i="2"/>
  <c r="AA20" i="2"/>
  <c r="I16" i="2"/>
  <c r="AA16" i="2" s="1"/>
  <c r="AA12" i="2"/>
  <c r="AB12" i="2"/>
  <c r="K18" i="2"/>
  <c r="K20" i="2"/>
  <c r="K3" i="2"/>
  <c r="J12" i="2"/>
  <c r="J16" i="2"/>
  <c r="J18" i="2"/>
  <c r="L18" i="2" s="1"/>
  <c r="J19" i="2"/>
  <c r="L19" i="2" s="1"/>
  <c r="J20" i="2"/>
  <c r="L20" i="2" s="1"/>
  <c r="H22" i="2"/>
  <c r="I22" i="2" s="1"/>
  <c r="H23" i="2"/>
  <c r="I23" i="2" s="1"/>
  <c r="H24" i="2"/>
  <c r="I24" i="2" s="1"/>
  <c r="H26" i="2"/>
  <c r="I26" i="2" s="1"/>
  <c r="H27" i="2"/>
  <c r="I27" i="2" s="1"/>
  <c r="H21" i="2"/>
  <c r="O18" i="2" l="1"/>
  <c r="T18" i="2" s="1"/>
  <c r="M18" i="2"/>
  <c r="U18" i="2" s="1"/>
  <c r="O20" i="2"/>
  <c r="T20" i="2" s="1"/>
  <c r="M20" i="2"/>
  <c r="Y20" i="2" s="1"/>
  <c r="AC20" i="2" s="1"/>
  <c r="V16" i="2"/>
  <c r="K19" i="2"/>
  <c r="N3" i="2"/>
  <c r="K16" i="2"/>
  <c r="O16" i="2" s="1"/>
  <c r="AA19" i="2"/>
  <c r="AB19" i="2"/>
  <c r="I21" i="2"/>
  <c r="F21" i="2" s="1"/>
  <c r="E21" i="2"/>
  <c r="N20" i="2"/>
  <c r="Z20" i="2"/>
  <c r="V26" i="2"/>
  <c r="V24" i="2"/>
  <c r="AB16" i="2"/>
  <c r="AA24" i="2"/>
  <c r="AA23" i="2"/>
  <c r="N19" i="2"/>
  <c r="N18" i="2"/>
  <c r="Z18" i="2"/>
  <c r="N16" i="2"/>
  <c r="N12" i="2"/>
  <c r="Z12" i="2"/>
  <c r="Z3" i="2"/>
  <c r="O3" i="2"/>
  <c r="T3" i="2" s="1"/>
  <c r="Y18" i="2" l="1"/>
  <c r="AC18" i="2" s="1"/>
  <c r="O19" i="2"/>
  <c r="T19" i="2" s="1"/>
  <c r="M19" i="2"/>
  <c r="U20" i="2"/>
  <c r="Z19" i="2"/>
  <c r="Z16" i="2"/>
  <c r="AB21" i="2"/>
  <c r="AB23" i="2"/>
  <c r="V21" i="2"/>
  <c r="V27" i="2"/>
  <c r="V22" i="2"/>
  <c r="AB24" i="2"/>
  <c r="V23" i="2"/>
  <c r="AA27" i="2"/>
  <c r="AB25" i="2"/>
  <c r="AA21" i="2"/>
  <c r="AB26" i="2"/>
  <c r="Z21" i="2"/>
  <c r="AA22" i="2"/>
  <c r="AB22" i="2"/>
  <c r="AB27" i="2"/>
  <c r="Y19" i="2" l="1"/>
  <c r="AC19" i="2" s="1"/>
  <c r="U19" i="2"/>
  <c r="E22" i="2"/>
  <c r="E23" i="2"/>
  <c r="E24" i="2"/>
  <c r="E25" i="2"/>
  <c r="E26" i="2"/>
  <c r="E27" i="2"/>
  <c r="E28" i="2"/>
  <c r="F23" i="2"/>
  <c r="Z23" i="2"/>
  <c r="Z24" i="2"/>
  <c r="F24" i="2"/>
  <c r="Z25" i="2"/>
  <c r="F25" i="2"/>
  <c r="Z27" i="2"/>
  <c r="F27" i="2"/>
  <c r="F26" i="2"/>
  <c r="Z26" i="2"/>
  <c r="Z22" i="2"/>
  <c r="F22" i="2"/>
  <c r="Z28" i="2"/>
  <c r="F28" i="2"/>
</calcChain>
</file>

<file path=xl/sharedStrings.xml><?xml version="1.0" encoding="utf-8"?>
<sst xmlns="http://schemas.openxmlformats.org/spreadsheetml/2006/main" count="57" uniqueCount="47">
  <si>
    <t>Year</t>
  </si>
  <si>
    <t>Moberley Count</t>
  </si>
  <si>
    <t>Scott Count Min</t>
  </si>
  <si>
    <t>Scott Count Max</t>
  </si>
  <si>
    <t>KZ total count_MIN</t>
  </si>
  <si>
    <t>KZ total count_MAX</t>
  </si>
  <si>
    <t>Calves_count</t>
  </si>
  <si>
    <t>Calves_min</t>
  </si>
  <si>
    <t>Calves_max</t>
  </si>
  <si>
    <t>Adults_min</t>
  </si>
  <si>
    <t>Adults_max</t>
  </si>
  <si>
    <t>F_min</t>
  </si>
  <si>
    <t>F_max</t>
  </si>
  <si>
    <t>Citation</t>
  </si>
  <si>
    <t>Comments</t>
  </si>
  <si>
    <t>Mean_Sightability</t>
  </si>
  <si>
    <t>SD_Sightability</t>
  </si>
  <si>
    <t>SexRatio</t>
  </si>
  <si>
    <t>Wood and Hengeveld 1998</t>
  </si>
  <si>
    <t>Sightability Comments</t>
  </si>
  <si>
    <t>A sightability of 0.7 was used, based off of other counts. SD would normally be 0.15 for 7/10 seen, but we increased SD to 0.3 to reflect our uncertainty in the sightability</t>
  </si>
  <si>
    <t>Seip and Jones 2008</t>
  </si>
  <si>
    <t>Min count means collars were used, so we bumped sightability slightly</t>
  </si>
  <si>
    <t>Estimate_ADULTMF</t>
  </si>
  <si>
    <t>SD_Estimate_ADULTMF</t>
  </si>
  <si>
    <t>Estimate_CALFMF</t>
  </si>
  <si>
    <t>SD_Estimate_CALFMF</t>
  </si>
  <si>
    <t xml:space="preserve">Seip &amp; Jones 2012 </t>
  </si>
  <si>
    <t>Seip and Jones 2013</t>
  </si>
  <si>
    <t>The highest recent minimum count was 41 in 2005 (Seip, unpublished data). On average (2003 to 2013), calves comprised 14.0% of the Moberly population</t>
  </si>
  <si>
    <t xml:space="preserve">In 2009, there were a minimum of 48 caribou in the herd </t>
  </si>
  <si>
    <t xml:space="preserve">We saw all seven radio-collared caribou without using telemetry to find them. We also saw three additional groups of non-collared caribou (Table 5). A total of 35 caribou were counted during the census (Table 4). Given the 100% sightability of the collared caribou, the population estimate is 35 animals. </t>
  </si>
  <si>
    <t>Seip and Jones 2011</t>
  </si>
  <si>
    <t xml:space="preserve">There were three radio-collared caribou in the census area at the time of the census. All three caribou were spotted within a single group of 25 caribou on Mount McAllister (Table 6). Given 100% sightability of the collared caribou, the 2012 population estimate for the Moberly herd is 25 animals. The group of 25 caribou included three calves for a calf recruitment rate of 12.0%. </t>
  </si>
  <si>
    <t>Seip &amp; Jones 2013</t>
  </si>
  <si>
    <t>During intensive search efforts to locate and collar caribou on three separate occasions in winter 2012/2013, no more than 16 caribou (6 bulls, 9 cows, 1 calf) were ever sighted within the Moberly range</t>
  </si>
  <si>
    <t>McNay Unpublished</t>
  </si>
  <si>
    <t>SurveryCount_ADULTMF</t>
  </si>
  <si>
    <t>SurveryCount_CALFMF</t>
  </si>
  <si>
    <t>Moberley count was 181 animals, found without telemetry (there were no collars out). They say 59 ADM, 105 ADF, and 17 calves. They saw 189 the winter before.  Used the 9% of population is calves from Moberly to get a calf estimate for Scott. Scott count is a minimum based on expert observations and local knowledge.</t>
  </si>
  <si>
    <t>F_min_noimm</t>
  </si>
  <si>
    <t>F_max_noimm</t>
  </si>
  <si>
    <t>Fimm</t>
  </si>
  <si>
    <t>Mfimm</t>
  </si>
  <si>
    <t>Adults_min_noimm</t>
  </si>
  <si>
    <t>Adults_max_noimm</t>
  </si>
  <si>
    <t>TotalEst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</si>
</sst>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2"/>
      <color theme="1"/>
      <name val="Times"/>
      <family val="1"/>
    </font>
    <font>
      <sz val="12"/>
      <color rgb="FF00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0" fillId="0" borderId="0" xfId="0" applyFill="1"/>
    <xf numFmtId="0" fontId="18" fillId="0" borderId="0" xfId="0" applyFont="1"/>
    <xf numFmtId="0" fontId="19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F28"/>
  <sheetViews>
    <sheetView tabSelected="1" topLeftCell="G3" workbookViewId="0">
      <selection activeCell="T28" sqref="T28"/>
    </sheetView>
  </sheetViews>
  <sheetFormatPr baseColWidth="10" defaultRowHeight="16" x14ac:dyDescent="0.2"/>
  <cols>
    <col min="3" max="3" width="14.1640625" bestFit="1" customWidth="1"/>
    <col min="4" max="4" width="14.5" bestFit="1" customWidth="1"/>
    <col min="5" max="5" width="17.1640625" bestFit="1" customWidth="1"/>
    <col min="6" max="6" width="17.5" bestFit="1" customWidth="1"/>
    <col min="7" max="7" width="18.5" customWidth="1"/>
    <col min="21" max="21" width="21.83203125" customWidth="1"/>
    <col min="22" max="22" width="19.6640625" bestFit="1" customWidth="1"/>
    <col min="23" max="23" width="16" bestFit="1" customWidth="1"/>
    <col min="25" max="25" width="17.83203125" bestFit="1" customWidth="1"/>
    <col min="28" max="28" width="19.5" bestFit="1" customWidth="1"/>
    <col min="29" max="29" width="19.5" customWidth="1"/>
  </cols>
  <sheetData>
    <row r="1" spans="1:3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44</v>
      </c>
      <c r="M1" t="s">
        <v>45</v>
      </c>
      <c r="N1" t="s">
        <v>11</v>
      </c>
      <c r="O1" t="s">
        <v>12</v>
      </c>
      <c r="P1" t="s">
        <v>42</v>
      </c>
      <c r="Q1" t="s">
        <v>43</v>
      </c>
      <c r="R1" t="s">
        <v>40</v>
      </c>
      <c r="S1" t="s">
        <v>41</v>
      </c>
      <c r="T1" t="s">
        <v>17</v>
      </c>
      <c r="U1" t="s">
        <v>37</v>
      </c>
      <c r="V1" t="s">
        <v>38</v>
      </c>
      <c r="W1" t="s">
        <v>15</v>
      </c>
      <c r="X1" t="s">
        <v>16</v>
      </c>
      <c r="Y1" t="s">
        <v>23</v>
      </c>
      <c r="Z1" t="s">
        <v>24</v>
      </c>
      <c r="AA1" t="s">
        <v>25</v>
      </c>
      <c r="AB1" t="s">
        <v>26</v>
      </c>
      <c r="AC1" t="s">
        <v>46</v>
      </c>
      <c r="AD1" t="s">
        <v>13</v>
      </c>
      <c r="AE1" t="s">
        <v>14</v>
      </c>
      <c r="AF1" t="s">
        <v>19</v>
      </c>
    </row>
    <row r="2" spans="1:32" x14ac:dyDescent="0.2">
      <c r="A2">
        <v>1995</v>
      </c>
      <c r="B2">
        <v>189</v>
      </c>
      <c r="C2">
        <f>30*W2</f>
        <v>21</v>
      </c>
      <c r="D2">
        <f>50*W2</f>
        <v>35</v>
      </c>
      <c r="E2">
        <f>B2+C2</f>
        <v>210</v>
      </c>
      <c r="F2">
        <f>B2+D2</f>
        <v>224</v>
      </c>
      <c r="H2">
        <f>E2*0.1</f>
        <v>21</v>
      </c>
      <c r="I2">
        <f>F2*0.1</f>
        <v>22.400000000000002</v>
      </c>
      <c r="J2">
        <f>E2-H2</f>
        <v>189</v>
      </c>
      <c r="K2">
        <f>F2-I2</f>
        <v>201.6</v>
      </c>
      <c r="L2">
        <v>189</v>
      </c>
      <c r="M2">
        <v>201.6</v>
      </c>
      <c r="N2">
        <f>J2*0.64</f>
        <v>120.96000000000001</v>
      </c>
      <c r="O2">
        <f>K2*0.64</f>
        <v>129.024</v>
      </c>
      <c r="P2">
        <v>0</v>
      </c>
      <c r="Q2">
        <v>0</v>
      </c>
      <c r="R2">
        <v>120.96000000000001</v>
      </c>
      <c r="S2">
        <v>129.024</v>
      </c>
      <c r="T2">
        <f>O2/K2</f>
        <v>0.64</v>
      </c>
      <c r="U2">
        <f>AVERAGE(L2:M2)</f>
        <v>195.3</v>
      </c>
      <c r="V2">
        <f>AVERAGE(H2:I2)</f>
        <v>21.700000000000003</v>
      </c>
      <c r="W2">
        <v>0.7</v>
      </c>
      <c r="X2">
        <v>0.3</v>
      </c>
      <c r="Y2">
        <f>AVERAGE(L2:M2)/W2</f>
        <v>279.00000000000006</v>
      </c>
      <c r="Z2">
        <f>AVERAGE(J2:L2)*X2</f>
        <v>57.96</v>
      </c>
      <c r="AA2">
        <f>AVERAGE(H2:I2)/W2</f>
        <v>31.000000000000007</v>
      </c>
      <c r="AB2">
        <f>AVERAGE(H2:I2)*X2</f>
        <v>6.5100000000000007</v>
      </c>
      <c r="AC2">
        <f>SUM(Y2,AA2)</f>
        <v>310.00000000000006</v>
      </c>
      <c r="AD2" t="s">
        <v>18</v>
      </c>
      <c r="AF2" t="s">
        <v>20</v>
      </c>
    </row>
    <row r="3" spans="1:32" x14ac:dyDescent="0.2">
      <c r="A3">
        <v>1996</v>
      </c>
      <c r="B3">
        <v>181</v>
      </c>
      <c r="C3">
        <f>30*W3</f>
        <v>21</v>
      </c>
      <c r="D3">
        <f>50*W3</f>
        <v>35</v>
      </c>
      <c r="E3">
        <f>B3+C3</f>
        <v>202</v>
      </c>
      <c r="F3">
        <f>B3+D3</f>
        <v>216</v>
      </c>
      <c r="G3">
        <v>17</v>
      </c>
      <c r="H3">
        <f>G3+(0.09*C3)</f>
        <v>18.89</v>
      </c>
      <c r="I3">
        <f>G3+(0.09*D3)</f>
        <v>20.149999999999999</v>
      </c>
      <c r="J3">
        <f>E3-H3</f>
        <v>183.11</v>
      </c>
      <c r="K3">
        <f>F3-I3</f>
        <v>195.85</v>
      </c>
      <c r="L3">
        <v>183.11</v>
      </c>
      <c r="M3">
        <v>195.85</v>
      </c>
      <c r="N3">
        <f>J3*0.64</f>
        <v>117.19040000000001</v>
      </c>
      <c r="O3">
        <f>K3*0.64</f>
        <v>125.34399999999999</v>
      </c>
      <c r="P3">
        <v>0</v>
      </c>
      <c r="Q3">
        <v>0</v>
      </c>
      <c r="R3">
        <v>117.19040000000001</v>
      </c>
      <c r="S3">
        <v>125.34399999999999</v>
      </c>
      <c r="T3">
        <f>O3/K3</f>
        <v>0.64</v>
      </c>
      <c r="U3">
        <f>AVERAGE(L3:M3)</f>
        <v>189.48000000000002</v>
      </c>
      <c r="V3">
        <f>AVERAGE(H3:I3)</f>
        <v>19.52</v>
      </c>
      <c r="W3">
        <v>0.7</v>
      </c>
      <c r="X3">
        <v>0.3</v>
      </c>
      <c r="Y3">
        <f>AVERAGE(L3:M3)/W3</f>
        <v>270.68571428571431</v>
      </c>
      <c r="Z3">
        <f>AVERAGE(J3:L3)*X3</f>
        <v>56.207000000000001</v>
      </c>
      <c r="AA3">
        <f>AVERAGE(H3:I3)/W3</f>
        <v>27.885714285714286</v>
      </c>
      <c r="AB3">
        <f>AVERAGE(H3:I3)*X3</f>
        <v>5.8559999999999999</v>
      </c>
      <c r="AC3">
        <f>SUM(Y3,AA3)</f>
        <v>298.57142857142861</v>
      </c>
      <c r="AD3" t="s">
        <v>18</v>
      </c>
      <c r="AE3" t="s">
        <v>39</v>
      </c>
      <c r="AF3" t="s">
        <v>20</v>
      </c>
    </row>
    <row r="4" spans="1:32" x14ac:dyDescent="0.2">
      <c r="A4">
        <v>1997</v>
      </c>
      <c r="T4">
        <v>0.64</v>
      </c>
    </row>
    <row r="5" spans="1:32" x14ac:dyDescent="0.2">
      <c r="A5">
        <v>1998</v>
      </c>
      <c r="T5">
        <v>0.64</v>
      </c>
    </row>
    <row r="6" spans="1:32" x14ac:dyDescent="0.2">
      <c r="A6">
        <v>1999</v>
      </c>
      <c r="T6">
        <v>0.64</v>
      </c>
    </row>
    <row r="7" spans="1:32" x14ac:dyDescent="0.2">
      <c r="A7">
        <v>2000</v>
      </c>
      <c r="T7">
        <v>0.64</v>
      </c>
    </row>
    <row r="8" spans="1:32" x14ac:dyDescent="0.2">
      <c r="A8">
        <v>2001</v>
      </c>
      <c r="T8">
        <v>0.64</v>
      </c>
    </row>
    <row r="9" spans="1:32" x14ac:dyDescent="0.2">
      <c r="A9">
        <v>2002</v>
      </c>
      <c r="T9">
        <v>0.64</v>
      </c>
    </row>
    <row r="10" spans="1:32" x14ac:dyDescent="0.2">
      <c r="A10">
        <v>2003</v>
      </c>
      <c r="T10">
        <v>0.64</v>
      </c>
    </row>
    <row r="11" spans="1:32" x14ac:dyDescent="0.2">
      <c r="A11">
        <v>2004</v>
      </c>
      <c r="T11">
        <v>0.64</v>
      </c>
      <c r="AE11" t="s">
        <v>29</v>
      </c>
      <c r="AF11" s="2" t="s">
        <v>22</v>
      </c>
    </row>
    <row r="12" spans="1:32" x14ac:dyDescent="0.2">
      <c r="A12">
        <v>2005</v>
      </c>
      <c r="B12">
        <v>41</v>
      </c>
      <c r="C12">
        <f>20*W12</f>
        <v>14</v>
      </c>
      <c r="D12">
        <f>20*W12</f>
        <v>14</v>
      </c>
      <c r="E12">
        <f>B12+C12</f>
        <v>55</v>
      </c>
      <c r="F12">
        <f>B12+D12</f>
        <v>55</v>
      </c>
      <c r="G12" s="1">
        <f>B12*0.14</f>
        <v>5.74</v>
      </c>
      <c r="H12">
        <f>G12+(C12*0.14)</f>
        <v>7.7</v>
      </c>
      <c r="I12">
        <f>G12+(D12*0.14)</f>
        <v>7.7</v>
      </c>
      <c r="J12">
        <f t="shared" ref="J12:J20" si="0">E12-H12</f>
        <v>47.3</v>
      </c>
      <c r="K12">
        <f>F12-I12</f>
        <v>47.3</v>
      </c>
      <c r="L12">
        <v>47.3</v>
      </c>
      <c r="M12">
        <v>47.3</v>
      </c>
      <c r="N12">
        <f>J12*0.64</f>
        <v>30.271999999999998</v>
      </c>
      <c r="O12">
        <f>K12*0.64</f>
        <v>30.271999999999998</v>
      </c>
      <c r="P12">
        <v>0</v>
      </c>
      <c r="Q12">
        <v>0</v>
      </c>
      <c r="R12">
        <v>30.271999999999998</v>
      </c>
      <c r="S12">
        <v>30.271999999999998</v>
      </c>
      <c r="T12">
        <v>0.64</v>
      </c>
      <c r="U12">
        <f>AVERAGE(L12:M12)</f>
        <v>47.3</v>
      </c>
      <c r="V12">
        <f>AVERAGE(H12:I12)</f>
        <v>7.7</v>
      </c>
      <c r="W12">
        <v>0.7</v>
      </c>
      <c r="X12">
        <v>0.25</v>
      </c>
      <c r="Y12">
        <f>AVERAGE(L12:M12)/W12</f>
        <v>67.571428571428569</v>
      </c>
      <c r="Z12">
        <f>AVERAGE(J12:L12)*X12</f>
        <v>11.824999999999998</v>
      </c>
      <c r="AA12">
        <f>AVERAGE(H12:I12)/W12</f>
        <v>11.000000000000002</v>
      </c>
      <c r="AB12">
        <f>AVERAGE(H12:I12)*X12</f>
        <v>1.925</v>
      </c>
      <c r="AC12">
        <f>SUM(Y12,AA12)</f>
        <v>78.571428571428569</v>
      </c>
      <c r="AD12" t="s">
        <v>21</v>
      </c>
    </row>
    <row r="13" spans="1:32" x14ac:dyDescent="0.2">
      <c r="A13">
        <v>2006</v>
      </c>
      <c r="T13">
        <v>0.64</v>
      </c>
    </row>
    <row r="14" spans="1:32" x14ac:dyDescent="0.2">
      <c r="A14">
        <v>2007</v>
      </c>
      <c r="T14">
        <v>0.64</v>
      </c>
    </row>
    <row r="15" spans="1:32" x14ac:dyDescent="0.2">
      <c r="A15">
        <v>2008</v>
      </c>
      <c r="T15">
        <v>0.64</v>
      </c>
      <c r="AE15" s="2" t="s">
        <v>30</v>
      </c>
      <c r="AF15" s="2" t="s">
        <v>22</v>
      </c>
    </row>
    <row r="16" spans="1:32" x14ac:dyDescent="0.2">
      <c r="A16">
        <v>2009</v>
      </c>
      <c r="B16">
        <v>48</v>
      </c>
      <c r="C16">
        <f>20*W16</f>
        <v>14</v>
      </c>
      <c r="D16">
        <f>20*W16</f>
        <v>14</v>
      </c>
      <c r="E16">
        <f>B16+C16</f>
        <v>62</v>
      </c>
      <c r="F16">
        <f>B16+D16</f>
        <v>62</v>
      </c>
      <c r="G16" s="3">
        <f>B16*0.14</f>
        <v>6.7200000000000006</v>
      </c>
      <c r="H16">
        <f>G16+(C16*0.14)</f>
        <v>8.6800000000000015</v>
      </c>
      <c r="I16">
        <f>H16+(D16*0.14)</f>
        <v>10.640000000000002</v>
      </c>
      <c r="J16">
        <f t="shared" si="0"/>
        <v>53.32</v>
      </c>
      <c r="K16">
        <f>F16-I16</f>
        <v>51.36</v>
      </c>
      <c r="L16">
        <v>53.32</v>
      </c>
      <c r="M16">
        <v>51.36</v>
      </c>
      <c r="N16">
        <f>J16*0.64</f>
        <v>34.1248</v>
      </c>
      <c r="O16">
        <f>K16*0.64</f>
        <v>32.870400000000004</v>
      </c>
      <c r="P16">
        <v>0</v>
      </c>
      <c r="Q16">
        <v>0</v>
      </c>
      <c r="R16">
        <v>34.1248</v>
      </c>
      <c r="S16">
        <v>32.870400000000004</v>
      </c>
      <c r="T16">
        <v>0.64</v>
      </c>
      <c r="U16">
        <f>AVERAGE(L16:M16)</f>
        <v>52.34</v>
      </c>
      <c r="V16">
        <f>AVERAGE(H16:I16)</f>
        <v>9.6600000000000019</v>
      </c>
      <c r="W16">
        <v>0.7</v>
      </c>
      <c r="X16">
        <v>0.25</v>
      </c>
      <c r="Y16">
        <f>AVERAGE(L16:M16)/W16</f>
        <v>74.771428571428586</v>
      </c>
      <c r="Z16">
        <f>AVERAGE(J16:L16)*X16</f>
        <v>13.166666666666666</v>
      </c>
      <c r="AA16">
        <f>AVERAGE(H16:I16)/W16</f>
        <v>13.800000000000004</v>
      </c>
      <c r="AB16">
        <f>AVERAGE(H16:I16)*X16</f>
        <v>2.4150000000000005</v>
      </c>
      <c r="AC16">
        <f>SUM(Y16,AA16)</f>
        <v>88.571428571428584</v>
      </c>
      <c r="AD16" t="s">
        <v>28</v>
      </c>
    </row>
    <row r="17" spans="1:31" x14ac:dyDescent="0.2">
      <c r="A17">
        <v>2010</v>
      </c>
      <c r="T17">
        <v>0.64</v>
      </c>
      <c r="AE17" s="2" t="s">
        <v>31</v>
      </c>
    </row>
    <row r="18" spans="1:31" x14ac:dyDescent="0.2">
      <c r="A18">
        <v>2011</v>
      </c>
      <c r="B18">
        <v>35</v>
      </c>
      <c r="C18">
        <f>20*W18</f>
        <v>20</v>
      </c>
      <c r="D18">
        <f>20*W18</f>
        <v>20</v>
      </c>
      <c r="E18">
        <f>B18+C18</f>
        <v>55</v>
      </c>
      <c r="F18">
        <f>B18+D18</f>
        <v>55</v>
      </c>
      <c r="G18">
        <v>2</v>
      </c>
      <c r="H18">
        <f t="shared" ref="H18:I20" si="1">G18+(C18*0.14)</f>
        <v>4.8000000000000007</v>
      </c>
      <c r="I18">
        <f t="shared" si="1"/>
        <v>7.6000000000000014</v>
      </c>
      <c r="J18">
        <f t="shared" si="0"/>
        <v>50.2</v>
      </c>
      <c r="K18">
        <f>F18-I18</f>
        <v>47.4</v>
      </c>
      <c r="L18">
        <f>J18-SUM(Q14:Q18)</f>
        <v>50.2</v>
      </c>
      <c r="M18">
        <f>K18-SUM(Q14:Q18)</f>
        <v>47.4</v>
      </c>
      <c r="N18">
        <f t="shared" ref="N18:O20" si="2">J18*0.64</f>
        <v>32.128</v>
      </c>
      <c r="O18">
        <f t="shared" si="2"/>
        <v>30.335999999999999</v>
      </c>
      <c r="P18">
        <v>0</v>
      </c>
      <c r="Q18">
        <v>0</v>
      </c>
      <c r="R18">
        <v>32.128</v>
      </c>
      <c r="S18">
        <v>30.335999999999999</v>
      </c>
      <c r="T18">
        <f>O18/K18</f>
        <v>0.64</v>
      </c>
      <c r="U18">
        <f>AVERAGE(L18:M18)</f>
        <v>48.8</v>
      </c>
      <c r="V18">
        <f t="shared" ref="V18:V28" si="3">AVERAGE(H18:I18)</f>
        <v>6.2000000000000011</v>
      </c>
      <c r="W18">
        <v>1</v>
      </c>
      <c r="X18">
        <v>0.12</v>
      </c>
      <c r="Y18">
        <f>AVERAGE(L18:M18)/W18</f>
        <v>48.8</v>
      </c>
      <c r="Z18">
        <f t="shared" ref="Z18:Z28" si="4">AVERAGE(J18:L18)*X18</f>
        <v>5.9120000000000008</v>
      </c>
      <c r="AA18">
        <f t="shared" ref="AA18:AA28" si="5">AVERAGE(H18:I18)/W18</f>
        <v>6.2000000000000011</v>
      </c>
      <c r="AB18">
        <f t="shared" ref="AB18:AB28" si="6">AVERAGE(H18:I18)*X18</f>
        <v>0.74400000000000011</v>
      </c>
      <c r="AC18">
        <f>SUM(Y18,AA18)</f>
        <v>55</v>
      </c>
      <c r="AD18" t="s">
        <v>32</v>
      </c>
      <c r="AE18" s="2" t="s">
        <v>33</v>
      </c>
    </row>
    <row r="19" spans="1:31" x14ac:dyDescent="0.2">
      <c r="A19">
        <v>2012</v>
      </c>
      <c r="B19">
        <v>25</v>
      </c>
      <c r="C19">
        <f>20*W19</f>
        <v>20</v>
      </c>
      <c r="D19">
        <f>20*W19</f>
        <v>20</v>
      </c>
      <c r="E19">
        <f>B19+C19</f>
        <v>45</v>
      </c>
      <c r="F19">
        <f>B19+D19</f>
        <v>45</v>
      </c>
      <c r="G19">
        <v>3</v>
      </c>
      <c r="H19">
        <f t="shared" si="1"/>
        <v>5.8000000000000007</v>
      </c>
      <c r="I19">
        <f t="shared" si="1"/>
        <v>8.6000000000000014</v>
      </c>
      <c r="J19">
        <f t="shared" si="0"/>
        <v>39.200000000000003</v>
      </c>
      <c r="K19">
        <f>F19-I19</f>
        <v>36.4</v>
      </c>
      <c r="L19">
        <f t="shared" ref="L19:L28" si="7">J19-SUM(Q15:Q19)</f>
        <v>39.200000000000003</v>
      </c>
      <c r="M19">
        <f t="shared" ref="M19:M28" si="8">K19-SUM(Q15:Q19)</f>
        <v>36.4</v>
      </c>
      <c r="N19">
        <f t="shared" si="2"/>
        <v>25.088000000000001</v>
      </c>
      <c r="O19">
        <f t="shared" si="2"/>
        <v>23.295999999999999</v>
      </c>
      <c r="P19">
        <v>0</v>
      </c>
      <c r="Q19">
        <v>0</v>
      </c>
      <c r="R19">
        <v>25.088000000000001</v>
      </c>
      <c r="S19">
        <v>23.295999999999999</v>
      </c>
      <c r="T19">
        <f>O19/K19</f>
        <v>0.64</v>
      </c>
      <c r="U19">
        <f t="shared" ref="U19:U28" si="9">AVERAGE(L19:M19)</f>
        <v>37.799999999999997</v>
      </c>
      <c r="V19">
        <f t="shared" si="3"/>
        <v>7.2000000000000011</v>
      </c>
      <c r="W19">
        <v>1</v>
      </c>
      <c r="X19">
        <v>0.2</v>
      </c>
      <c r="Y19">
        <f t="shared" ref="Y19:Y28" si="10">AVERAGE(L19:M19)/W19</f>
        <v>37.799999999999997</v>
      </c>
      <c r="Z19">
        <f t="shared" si="4"/>
        <v>7.6533333333333333</v>
      </c>
      <c r="AA19">
        <f t="shared" si="5"/>
        <v>7.2000000000000011</v>
      </c>
      <c r="AB19">
        <f t="shared" si="6"/>
        <v>1.4400000000000004</v>
      </c>
      <c r="AC19">
        <f t="shared" ref="AC19:AC28" si="11">SUM(Y19,AA19)</f>
        <v>45</v>
      </c>
      <c r="AD19" s="2" t="s">
        <v>27</v>
      </c>
      <c r="AE19" s="2" t="s">
        <v>35</v>
      </c>
    </row>
    <row r="20" spans="1:31" x14ac:dyDescent="0.2">
      <c r="A20">
        <v>2013</v>
      </c>
      <c r="B20">
        <v>16</v>
      </c>
      <c r="C20">
        <f>20*W20</f>
        <v>20</v>
      </c>
      <c r="D20">
        <f>20*W20</f>
        <v>20</v>
      </c>
      <c r="E20">
        <f>B20+C20</f>
        <v>36</v>
      </c>
      <c r="F20">
        <f>B20+D20</f>
        <v>36</v>
      </c>
      <c r="G20">
        <v>1</v>
      </c>
      <c r="H20">
        <f t="shared" si="1"/>
        <v>3.8000000000000003</v>
      </c>
      <c r="I20">
        <f t="shared" si="1"/>
        <v>6.6000000000000005</v>
      </c>
      <c r="J20">
        <f t="shared" si="0"/>
        <v>32.200000000000003</v>
      </c>
      <c r="K20">
        <f>F20-I20</f>
        <v>29.4</v>
      </c>
      <c r="L20">
        <f t="shared" si="7"/>
        <v>32.200000000000003</v>
      </c>
      <c r="M20">
        <f t="shared" si="8"/>
        <v>29.4</v>
      </c>
      <c r="N20">
        <f t="shared" si="2"/>
        <v>20.608000000000001</v>
      </c>
      <c r="O20">
        <f t="shared" si="2"/>
        <v>18.815999999999999</v>
      </c>
      <c r="P20">
        <v>0</v>
      </c>
      <c r="Q20">
        <v>0</v>
      </c>
      <c r="R20">
        <v>20.608000000000001</v>
      </c>
      <c r="S20">
        <v>18.815999999999999</v>
      </c>
      <c r="T20">
        <f>O20/K20</f>
        <v>0.64</v>
      </c>
      <c r="U20">
        <f t="shared" si="9"/>
        <v>30.8</v>
      </c>
      <c r="V20">
        <f t="shared" si="3"/>
        <v>5.2</v>
      </c>
      <c r="W20">
        <v>1</v>
      </c>
      <c r="X20">
        <v>0.09</v>
      </c>
      <c r="Y20">
        <f t="shared" si="10"/>
        <v>30.8</v>
      </c>
      <c r="Z20">
        <f t="shared" si="4"/>
        <v>2.8140000000000001</v>
      </c>
      <c r="AA20">
        <f t="shared" si="5"/>
        <v>5.2</v>
      </c>
      <c r="AB20">
        <f t="shared" si="6"/>
        <v>0.46799999999999997</v>
      </c>
      <c r="AC20">
        <f t="shared" si="11"/>
        <v>36</v>
      </c>
      <c r="AD20" s="2" t="s">
        <v>34</v>
      </c>
    </row>
    <row r="21" spans="1:31" x14ac:dyDescent="0.2">
      <c r="A21">
        <v>2014</v>
      </c>
      <c r="E21">
        <f>J21+H21</f>
        <v>38</v>
      </c>
      <c r="F21">
        <f>K21+I21</f>
        <v>38</v>
      </c>
      <c r="G21" s="1">
        <v>6</v>
      </c>
      <c r="H21">
        <f>G21</f>
        <v>6</v>
      </c>
      <c r="I21">
        <f>H21</f>
        <v>6</v>
      </c>
      <c r="J21">
        <v>32</v>
      </c>
      <c r="K21">
        <v>32</v>
      </c>
      <c r="L21">
        <f t="shared" si="7"/>
        <v>32</v>
      </c>
      <c r="M21">
        <f t="shared" si="8"/>
        <v>32</v>
      </c>
      <c r="N21">
        <v>22</v>
      </c>
      <c r="O21">
        <v>22</v>
      </c>
      <c r="P21">
        <v>0</v>
      </c>
      <c r="Q21">
        <v>0</v>
      </c>
      <c r="R21">
        <f t="shared" ref="R21:R28" si="12">N21-(SUM(P16:P21))</f>
        <v>22</v>
      </c>
      <c r="S21">
        <f t="shared" ref="S21:S28" si="13">O21-(SUM(P16:P21))</f>
        <v>22</v>
      </c>
      <c r="T21">
        <f>AVERAGE(R21:S21)/AVERAGE(L21:M21)</f>
        <v>0.6875</v>
      </c>
      <c r="U21">
        <f t="shared" si="9"/>
        <v>32</v>
      </c>
      <c r="V21">
        <f t="shared" si="3"/>
        <v>6</v>
      </c>
      <c r="W21">
        <v>1</v>
      </c>
      <c r="X21">
        <v>0.09</v>
      </c>
      <c r="Y21">
        <f t="shared" si="10"/>
        <v>32</v>
      </c>
      <c r="Z21">
        <f t="shared" si="4"/>
        <v>2.88</v>
      </c>
      <c r="AA21">
        <f t="shared" si="5"/>
        <v>6</v>
      </c>
      <c r="AB21">
        <f t="shared" si="6"/>
        <v>0.54</v>
      </c>
      <c r="AC21">
        <f t="shared" si="11"/>
        <v>38</v>
      </c>
      <c r="AD21" t="s">
        <v>36</v>
      </c>
    </row>
    <row r="22" spans="1:31" x14ac:dyDescent="0.2">
      <c r="A22">
        <v>2015</v>
      </c>
      <c r="E22">
        <f t="shared" ref="E22:E28" si="14">J22+H22</f>
        <v>41</v>
      </c>
      <c r="F22">
        <f t="shared" ref="F22:F28" si="15">K22+I22</f>
        <v>41</v>
      </c>
      <c r="G22" s="1">
        <v>6</v>
      </c>
      <c r="H22">
        <f t="shared" ref="H22:I28" si="16">G22</f>
        <v>6</v>
      </c>
      <c r="I22">
        <f t="shared" si="16"/>
        <v>6</v>
      </c>
      <c r="J22">
        <v>35</v>
      </c>
      <c r="K22">
        <v>35</v>
      </c>
      <c r="L22">
        <f t="shared" si="7"/>
        <v>32</v>
      </c>
      <c r="M22">
        <f t="shared" si="8"/>
        <v>32</v>
      </c>
      <c r="N22">
        <v>25</v>
      </c>
      <c r="O22">
        <v>27</v>
      </c>
      <c r="P22">
        <v>3</v>
      </c>
      <c r="Q22">
        <v>3</v>
      </c>
      <c r="R22">
        <f t="shared" si="12"/>
        <v>22</v>
      </c>
      <c r="S22">
        <f t="shared" si="13"/>
        <v>24</v>
      </c>
      <c r="T22">
        <f t="shared" ref="T22:T28" si="17">AVERAGE(R22:S22)/AVERAGE(L22:M22)</f>
        <v>0.71875</v>
      </c>
      <c r="U22">
        <f t="shared" si="9"/>
        <v>32</v>
      </c>
      <c r="V22">
        <f t="shared" si="3"/>
        <v>6</v>
      </c>
      <c r="W22">
        <v>1</v>
      </c>
      <c r="X22">
        <v>0.09</v>
      </c>
      <c r="Y22">
        <f t="shared" si="10"/>
        <v>32</v>
      </c>
      <c r="Z22">
        <f t="shared" si="4"/>
        <v>3.06</v>
      </c>
      <c r="AA22">
        <f t="shared" si="5"/>
        <v>6</v>
      </c>
      <c r="AB22">
        <f t="shared" si="6"/>
        <v>0.54</v>
      </c>
      <c r="AC22">
        <f t="shared" si="11"/>
        <v>38</v>
      </c>
      <c r="AD22" t="s">
        <v>36</v>
      </c>
    </row>
    <row r="23" spans="1:31" x14ac:dyDescent="0.2">
      <c r="A23">
        <v>2016</v>
      </c>
      <c r="E23">
        <f t="shared" si="14"/>
        <v>54</v>
      </c>
      <c r="F23">
        <f t="shared" si="15"/>
        <v>54</v>
      </c>
      <c r="G23" s="1">
        <v>9</v>
      </c>
      <c r="H23">
        <f t="shared" si="16"/>
        <v>9</v>
      </c>
      <c r="I23">
        <f t="shared" si="16"/>
        <v>9</v>
      </c>
      <c r="J23">
        <v>45</v>
      </c>
      <c r="K23">
        <v>45</v>
      </c>
      <c r="L23">
        <f t="shared" si="7"/>
        <v>39</v>
      </c>
      <c r="M23">
        <f t="shared" si="8"/>
        <v>39</v>
      </c>
      <c r="N23">
        <v>29</v>
      </c>
      <c r="O23">
        <v>30</v>
      </c>
      <c r="P23">
        <v>3</v>
      </c>
      <c r="Q23">
        <v>3</v>
      </c>
      <c r="R23">
        <f t="shared" si="12"/>
        <v>23</v>
      </c>
      <c r="S23">
        <f t="shared" si="13"/>
        <v>24</v>
      </c>
      <c r="T23">
        <f t="shared" si="17"/>
        <v>0.60256410256410253</v>
      </c>
      <c r="U23">
        <f t="shared" si="9"/>
        <v>39</v>
      </c>
      <c r="V23">
        <f t="shared" si="3"/>
        <v>9</v>
      </c>
      <c r="W23">
        <v>1</v>
      </c>
      <c r="X23">
        <v>0.09</v>
      </c>
      <c r="Y23">
        <f t="shared" si="10"/>
        <v>39</v>
      </c>
      <c r="Z23">
        <f t="shared" si="4"/>
        <v>3.8699999999999997</v>
      </c>
      <c r="AA23">
        <f t="shared" si="5"/>
        <v>9</v>
      </c>
      <c r="AB23">
        <f t="shared" si="6"/>
        <v>0.80999999999999994</v>
      </c>
      <c r="AC23">
        <f t="shared" si="11"/>
        <v>48</v>
      </c>
      <c r="AD23" t="s">
        <v>36</v>
      </c>
    </row>
    <row r="24" spans="1:31" x14ac:dyDescent="0.2">
      <c r="A24">
        <v>2017</v>
      </c>
      <c r="E24">
        <f t="shared" si="14"/>
        <v>60</v>
      </c>
      <c r="F24">
        <f t="shared" si="15"/>
        <v>60</v>
      </c>
      <c r="G24" s="1">
        <v>12</v>
      </c>
      <c r="H24">
        <f t="shared" si="16"/>
        <v>12</v>
      </c>
      <c r="I24">
        <f t="shared" si="16"/>
        <v>12</v>
      </c>
      <c r="J24">
        <v>48</v>
      </c>
      <c r="K24">
        <v>48</v>
      </c>
      <c r="L24">
        <f t="shared" si="7"/>
        <v>42</v>
      </c>
      <c r="M24">
        <f t="shared" si="8"/>
        <v>42</v>
      </c>
      <c r="N24">
        <v>31</v>
      </c>
      <c r="O24">
        <v>25</v>
      </c>
      <c r="P24">
        <v>0</v>
      </c>
      <c r="Q24">
        <v>0</v>
      </c>
      <c r="R24">
        <f t="shared" si="12"/>
        <v>25</v>
      </c>
      <c r="S24">
        <f t="shared" si="13"/>
        <v>19</v>
      </c>
      <c r="T24">
        <f t="shared" si="17"/>
        <v>0.52380952380952384</v>
      </c>
      <c r="U24">
        <f t="shared" si="9"/>
        <v>42</v>
      </c>
      <c r="V24">
        <f t="shared" si="3"/>
        <v>12</v>
      </c>
      <c r="W24">
        <v>1</v>
      </c>
      <c r="X24">
        <v>0.09</v>
      </c>
      <c r="Y24">
        <f t="shared" si="10"/>
        <v>42</v>
      </c>
      <c r="Z24">
        <f t="shared" si="4"/>
        <v>4.1399999999999997</v>
      </c>
      <c r="AA24">
        <f t="shared" si="5"/>
        <v>12</v>
      </c>
      <c r="AB24">
        <f t="shared" si="6"/>
        <v>1.08</v>
      </c>
      <c r="AC24">
        <f t="shared" si="11"/>
        <v>54</v>
      </c>
      <c r="AD24" t="s">
        <v>36</v>
      </c>
    </row>
    <row r="25" spans="1:31" x14ac:dyDescent="0.2">
      <c r="A25">
        <v>2018</v>
      </c>
      <c r="E25">
        <f t="shared" si="14"/>
        <v>66</v>
      </c>
      <c r="F25">
        <f t="shared" si="15"/>
        <v>66</v>
      </c>
      <c r="G25" s="1">
        <v>12</v>
      </c>
      <c r="H25">
        <v>13</v>
      </c>
      <c r="I25">
        <v>13</v>
      </c>
      <c r="J25">
        <v>53</v>
      </c>
      <c r="K25">
        <v>53</v>
      </c>
      <c r="L25">
        <f t="shared" si="7"/>
        <v>47</v>
      </c>
      <c r="M25">
        <f t="shared" si="8"/>
        <v>47</v>
      </c>
      <c r="N25">
        <v>27</v>
      </c>
      <c r="O25">
        <v>34</v>
      </c>
      <c r="P25">
        <v>0</v>
      </c>
      <c r="Q25">
        <v>0</v>
      </c>
      <c r="R25">
        <f t="shared" si="12"/>
        <v>21</v>
      </c>
      <c r="S25">
        <f t="shared" si="13"/>
        <v>28</v>
      </c>
      <c r="T25">
        <f t="shared" si="17"/>
        <v>0.52127659574468088</v>
      </c>
      <c r="U25">
        <f t="shared" si="9"/>
        <v>47</v>
      </c>
      <c r="V25">
        <f>AVERAGE(H25:I25)</f>
        <v>13</v>
      </c>
      <c r="W25">
        <v>1</v>
      </c>
      <c r="X25">
        <v>0.09</v>
      </c>
      <c r="Y25">
        <f t="shared" si="10"/>
        <v>47</v>
      </c>
      <c r="Z25">
        <f t="shared" si="4"/>
        <v>4.59</v>
      </c>
      <c r="AA25">
        <f>AVERAGE(H25:I25)/W25</f>
        <v>13</v>
      </c>
      <c r="AB25">
        <f t="shared" si="6"/>
        <v>1.17</v>
      </c>
      <c r="AC25">
        <f t="shared" si="11"/>
        <v>60</v>
      </c>
      <c r="AD25" t="s">
        <v>36</v>
      </c>
    </row>
    <row r="26" spans="1:31" x14ac:dyDescent="0.2">
      <c r="A26">
        <v>2019</v>
      </c>
      <c r="E26">
        <f t="shared" si="14"/>
        <v>81</v>
      </c>
      <c r="F26">
        <f t="shared" si="15"/>
        <v>81</v>
      </c>
      <c r="G26" s="1">
        <v>11</v>
      </c>
      <c r="H26">
        <f t="shared" si="16"/>
        <v>11</v>
      </c>
      <c r="I26">
        <f t="shared" si="16"/>
        <v>11</v>
      </c>
      <c r="J26">
        <v>70</v>
      </c>
      <c r="K26">
        <v>70</v>
      </c>
      <c r="L26">
        <f t="shared" si="7"/>
        <v>56</v>
      </c>
      <c r="M26">
        <f t="shared" si="8"/>
        <v>56</v>
      </c>
      <c r="N26">
        <v>39</v>
      </c>
      <c r="O26">
        <v>33</v>
      </c>
      <c r="P26">
        <v>1</v>
      </c>
      <c r="Q26">
        <v>8</v>
      </c>
      <c r="R26">
        <f t="shared" si="12"/>
        <v>32</v>
      </c>
      <c r="S26">
        <f t="shared" si="13"/>
        <v>26</v>
      </c>
      <c r="T26">
        <f t="shared" si="17"/>
        <v>0.5178571428571429</v>
      </c>
      <c r="U26">
        <f t="shared" si="9"/>
        <v>56</v>
      </c>
      <c r="V26">
        <f t="shared" si="3"/>
        <v>11</v>
      </c>
      <c r="W26">
        <v>1</v>
      </c>
      <c r="X26">
        <v>0.09</v>
      </c>
      <c r="Y26">
        <f t="shared" si="10"/>
        <v>56</v>
      </c>
      <c r="Z26">
        <f t="shared" si="4"/>
        <v>5.879999999999999</v>
      </c>
      <c r="AA26">
        <f>AVERAGE(H26:I26)/W26</f>
        <v>11</v>
      </c>
      <c r="AB26">
        <f t="shared" si="6"/>
        <v>0.99</v>
      </c>
      <c r="AC26">
        <f t="shared" si="11"/>
        <v>67</v>
      </c>
      <c r="AD26" t="s">
        <v>36</v>
      </c>
    </row>
    <row r="27" spans="1:31" x14ac:dyDescent="0.2">
      <c r="A27">
        <v>2020</v>
      </c>
      <c r="E27">
        <f t="shared" si="14"/>
        <v>84</v>
      </c>
      <c r="F27">
        <f t="shared" si="15"/>
        <v>84</v>
      </c>
      <c r="G27" s="1">
        <v>14</v>
      </c>
      <c r="H27">
        <f t="shared" si="16"/>
        <v>14</v>
      </c>
      <c r="I27">
        <f t="shared" si="16"/>
        <v>14</v>
      </c>
      <c r="J27">
        <v>70</v>
      </c>
      <c r="K27">
        <v>70</v>
      </c>
      <c r="L27">
        <f t="shared" si="7"/>
        <v>59</v>
      </c>
      <c r="M27">
        <f t="shared" si="8"/>
        <v>59</v>
      </c>
      <c r="N27">
        <v>30</v>
      </c>
      <c r="O27">
        <v>29</v>
      </c>
      <c r="P27">
        <v>0</v>
      </c>
      <c r="Q27">
        <v>0</v>
      </c>
      <c r="R27">
        <f t="shared" si="12"/>
        <v>23</v>
      </c>
      <c r="S27">
        <f t="shared" si="13"/>
        <v>22</v>
      </c>
      <c r="T27">
        <v>0.46</v>
      </c>
      <c r="U27">
        <f t="shared" si="9"/>
        <v>59</v>
      </c>
      <c r="V27">
        <f t="shared" si="3"/>
        <v>14</v>
      </c>
      <c r="W27">
        <v>1</v>
      </c>
      <c r="X27">
        <v>0.09</v>
      </c>
      <c r="Y27">
        <f t="shared" si="10"/>
        <v>59</v>
      </c>
      <c r="Z27">
        <f t="shared" si="4"/>
        <v>5.97</v>
      </c>
      <c r="AA27">
        <f t="shared" si="5"/>
        <v>14</v>
      </c>
      <c r="AB27">
        <f t="shared" si="6"/>
        <v>1.26</v>
      </c>
      <c r="AC27">
        <f t="shared" si="11"/>
        <v>73</v>
      </c>
      <c r="AD27" t="s">
        <v>36</v>
      </c>
    </row>
    <row r="28" spans="1:31" x14ac:dyDescent="0.2">
      <c r="A28">
        <v>2021</v>
      </c>
      <c r="E28">
        <f t="shared" si="14"/>
        <v>101</v>
      </c>
      <c r="F28">
        <f t="shared" si="15"/>
        <v>101</v>
      </c>
      <c r="G28" s="1">
        <v>14</v>
      </c>
      <c r="H28">
        <f t="shared" si="16"/>
        <v>14</v>
      </c>
      <c r="I28">
        <f t="shared" si="16"/>
        <v>14</v>
      </c>
      <c r="J28">
        <v>87</v>
      </c>
      <c r="K28">
        <v>87</v>
      </c>
      <c r="L28">
        <f t="shared" si="7"/>
        <v>73</v>
      </c>
      <c r="M28">
        <f t="shared" si="8"/>
        <v>73</v>
      </c>
      <c r="N28">
        <v>38</v>
      </c>
      <c r="O28">
        <v>37</v>
      </c>
      <c r="P28">
        <v>0</v>
      </c>
      <c r="Q28">
        <v>6</v>
      </c>
      <c r="R28">
        <f t="shared" si="12"/>
        <v>34</v>
      </c>
      <c r="S28">
        <f t="shared" si="13"/>
        <v>33</v>
      </c>
      <c r="T28">
        <f t="shared" si="17"/>
        <v>0.4589041095890411</v>
      </c>
      <c r="U28">
        <f t="shared" si="9"/>
        <v>73</v>
      </c>
      <c r="V28">
        <f t="shared" si="3"/>
        <v>14</v>
      </c>
      <c r="W28">
        <v>1</v>
      </c>
      <c r="X28">
        <v>0.09</v>
      </c>
      <c r="Y28">
        <f t="shared" si="10"/>
        <v>73</v>
      </c>
      <c r="Z28">
        <f t="shared" si="4"/>
        <v>7.4099999999999993</v>
      </c>
      <c r="AA28">
        <f t="shared" si="5"/>
        <v>14</v>
      </c>
      <c r="AB28">
        <f t="shared" si="6"/>
        <v>1.26</v>
      </c>
      <c r="AC28">
        <f t="shared" si="11"/>
        <v>87</v>
      </c>
      <c r="AD28" t="s">
        <v>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MinCount_summary_KZ-withimm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Clayton Lamb</dc:creator>
  <cp:lastModifiedBy>Clayton Lamb</cp:lastModifiedBy>
  <dcterms:created xsi:type="dcterms:W3CDTF">2020-07-17T16:19:40Z</dcterms:created>
  <dcterms:modified xsi:type="dcterms:W3CDTF">2021-05-14T15:35:11Z</dcterms:modified>
</cp:coreProperties>
</file>