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T:\PERSONAL\Justin B\CANADIAN PORTFOLIO MANAGER BLOG\CALCULATORS\FOREIGN WITHHOLDING TAX CALCULATOR\2020 UPDATE\"/>
    </mc:Choice>
  </mc:AlternateContent>
  <xr:revisionPtr revIDLastSave="0" documentId="13_ncr:1_{615A8BF2-7787-46CE-8FFD-A0B1240BDBE4}" xr6:coauthVersionLast="45" xr6:coauthVersionMax="45" xr10:uidLastSave="{00000000-0000-0000-0000-000000000000}"/>
  <bookViews>
    <workbookView xWindow="-110" yWindow="-110" windowWidth="19420" windowHeight="11620" xr2:uid="{00000000-000D-0000-FFFF-FFFF00000000}"/>
  </bookViews>
  <sheets>
    <sheet name="Sheet1" sheetId="1" r:id="rId1"/>
    <sheet name="Sheet2" sheetId="2" r:id="rId2"/>
  </sheets>
  <definedNames>
    <definedName name="_xlnm.Print_Area" localSheetId="0">Sheet1!$A$1:$O$209</definedName>
    <definedName name="_xlnm.Print_Titles" localSheetId="0">Sheet1!$1:$6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4" i="1" l="1"/>
  <c r="L154" i="1"/>
  <c r="J26" i="1" l="1"/>
  <c r="H34" i="1"/>
  <c r="H40" i="1"/>
  <c r="H41" i="1"/>
  <c r="H52" i="1"/>
  <c r="H30" i="1"/>
  <c r="H150" i="1"/>
  <c r="O150" i="1" s="1"/>
  <c r="O142" i="1" s="1"/>
  <c r="H149" i="1"/>
  <c r="M149" i="1" s="1"/>
  <c r="N148" i="1"/>
  <c r="M148" i="1"/>
  <c r="H148" i="1"/>
  <c r="J147" i="1"/>
  <c r="N147" i="1" s="1"/>
  <c r="O146" i="1"/>
  <c r="N146" i="1"/>
  <c r="M146" i="1"/>
  <c r="N145" i="1"/>
  <c r="M145" i="1"/>
  <c r="N143" i="1"/>
  <c r="M143" i="1"/>
  <c r="F142" i="1"/>
  <c r="H110" i="1"/>
  <c r="O110" i="1" s="1"/>
  <c r="O102" i="1" s="1"/>
  <c r="H109" i="1"/>
  <c r="N109" i="1" s="1"/>
  <c r="N108" i="1"/>
  <c r="M108" i="1"/>
  <c r="H108" i="1"/>
  <c r="J107" i="1"/>
  <c r="N107" i="1" s="1"/>
  <c r="O106" i="1"/>
  <c r="N106" i="1"/>
  <c r="M106" i="1"/>
  <c r="N105" i="1"/>
  <c r="M105" i="1"/>
  <c r="N103" i="1"/>
  <c r="M103" i="1"/>
  <c r="F102" i="1"/>
  <c r="H120" i="1"/>
  <c r="M120" i="1" s="1"/>
  <c r="H119" i="1"/>
  <c r="M119" i="1" s="1"/>
  <c r="N118" i="1"/>
  <c r="M118" i="1"/>
  <c r="H118" i="1"/>
  <c r="J117" i="1"/>
  <c r="N117" i="1" s="1"/>
  <c r="O116" i="1"/>
  <c r="N116" i="1"/>
  <c r="M116" i="1"/>
  <c r="N115" i="1"/>
  <c r="M115" i="1"/>
  <c r="N113" i="1"/>
  <c r="M113" i="1"/>
  <c r="F112" i="1"/>
  <c r="D17" i="2"/>
  <c r="D18" i="2"/>
  <c r="D16" i="2"/>
  <c r="B18" i="2"/>
  <c r="D12" i="2"/>
  <c r="N120" i="1" l="1"/>
  <c r="O120" i="1"/>
  <c r="O112" i="1" s="1"/>
  <c r="M147" i="1"/>
  <c r="M142" i="1" s="1"/>
  <c r="M150" i="1"/>
  <c r="N149" i="1"/>
  <c r="N142" i="1" s="1"/>
  <c r="N150" i="1"/>
  <c r="M109" i="1"/>
  <c r="M107" i="1"/>
  <c r="M110" i="1"/>
  <c r="N110" i="1"/>
  <c r="N102" i="1" s="1"/>
  <c r="N119" i="1"/>
  <c r="N112" i="1" s="1"/>
  <c r="M117" i="1"/>
  <c r="M112" i="1" s="1"/>
  <c r="J97" i="1"/>
  <c r="H97" i="1"/>
  <c r="J88" i="1"/>
  <c r="H88" i="1"/>
  <c r="J79" i="1"/>
  <c r="H79" i="1"/>
  <c r="J70" i="1"/>
  <c r="H70" i="1"/>
  <c r="J61" i="1"/>
  <c r="H61" i="1"/>
  <c r="H96" i="1"/>
  <c r="H87" i="1"/>
  <c r="H78" i="1"/>
  <c r="H69" i="1"/>
  <c r="H60" i="1"/>
  <c r="J95" i="1"/>
  <c r="J86" i="1"/>
  <c r="J77" i="1"/>
  <c r="J68" i="1"/>
  <c r="J59" i="1"/>
  <c r="J94" i="1"/>
  <c r="J85" i="1"/>
  <c r="J76" i="1"/>
  <c r="J67" i="1"/>
  <c r="J58" i="1"/>
  <c r="J100" i="1"/>
  <c r="H100" i="1"/>
  <c r="J99" i="1"/>
  <c r="J98" i="1"/>
  <c r="J91" i="1"/>
  <c r="H91" i="1"/>
  <c r="J90" i="1"/>
  <c r="J89" i="1"/>
  <c r="J82" i="1"/>
  <c r="H82" i="1"/>
  <c r="J81" i="1"/>
  <c r="J80" i="1"/>
  <c r="J73" i="1"/>
  <c r="H73" i="1"/>
  <c r="J72" i="1"/>
  <c r="J71" i="1"/>
  <c r="J64" i="1"/>
  <c r="H64" i="1"/>
  <c r="J63" i="1"/>
  <c r="J62" i="1"/>
  <c r="J137" i="1"/>
  <c r="H130" i="1"/>
  <c r="H140" i="1"/>
  <c r="H129" i="1"/>
  <c r="H139" i="1"/>
  <c r="H138" i="1"/>
  <c r="H128" i="1"/>
  <c r="J127" i="1"/>
  <c r="B13" i="2"/>
  <c r="D13" i="2" s="1"/>
  <c r="M34" i="1"/>
  <c r="H47" i="1"/>
  <c r="H46" i="1"/>
  <c r="H45" i="1"/>
  <c r="H23" i="1"/>
  <c r="J39" i="1"/>
  <c r="H31" i="1"/>
  <c r="J18" i="1"/>
  <c r="J24" i="1"/>
  <c r="M102" i="1" l="1"/>
  <c r="E12" i="2"/>
  <c r="N34" i="1"/>
  <c r="O34" i="1"/>
  <c r="H37" i="1"/>
  <c r="J22" i="1" l="1"/>
  <c r="N22" i="1" s="1"/>
  <c r="N29" i="1"/>
  <c r="H54" i="1"/>
  <c r="J14" i="1"/>
  <c r="J13" i="1"/>
  <c r="J12" i="1"/>
  <c r="J19" i="1"/>
  <c r="H33" i="1"/>
  <c r="H32" i="1"/>
  <c r="N32" i="1" s="1"/>
  <c r="O32" i="1" l="1"/>
  <c r="M22" i="1"/>
  <c r="M29" i="1"/>
  <c r="M37" i="1"/>
  <c r="N37" i="1"/>
  <c r="H39" i="1"/>
  <c r="H38" i="1"/>
  <c r="M38" i="1" s="1"/>
  <c r="J41" i="1" l="1"/>
  <c r="J32" i="1"/>
  <c r="M32" i="1" s="1"/>
  <c r="O100" i="1" l="1"/>
  <c r="N99" i="1"/>
  <c r="F93" i="1"/>
  <c r="O97" i="1"/>
  <c r="M96" i="1"/>
  <c r="N95" i="1"/>
  <c r="N94" i="1"/>
  <c r="L93" i="1"/>
  <c r="O64" i="1"/>
  <c r="M63" i="1"/>
  <c r="F57" i="1"/>
  <c r="O61" i="1"/>
  <c r="N60" i="1"/>
  <c r="N59" i="1"/>
  <c r="N58" i="1"/>
  <c r="L57" i="1"/>
  <c r="N63" i="1" l="1"/>
  <c r="N96" i="1"/>
  <c r="M95" i="1"/>
  <c r="M60" i="1"/>
  <c r="M59" i="1"/>
  <c r="M94" i="1"/>
  <c r="M100" i="1"/>
  <c r="M58" i="1"/>
  <c r="M64" i="1"/>
  <c r="M97" i="1"/>
  <c r="M99" i="1"/>
  <c r="M61" i="1"/>
  <c r="O93" i="1"/>
  <c r="N97" i="1"/>
  <c r="N100" i="1"/>
  <c r="O57" i="1"/>
  <c r="N61" i="1"/>
  <c r="N64" i="1"/>
  <c r="F122" i="1"/>
  <c r="M57" i="1" l="1"/>
  <c r="N57" i="1"/>
  <c r="M93" i="1"/>
  <c r="N93" i="1"/>
  <c r="N128" i="1"/>
  <c r="M128" i="1"/>
  <c r="N138" i="1" l="1"/>
  <c r="M138" i="1"/>
  <c r="M137" i="1"/>
  <c r="N137" i="1" l="1"/>
  <c r="N127" i="1"/>
  <c r="M127" i="1"/>
  <c r="N139" i="1" l="1"/>
  <c r="M139" i="1"/>
  <c r="M130" i="1"/>
  <c r="O130" i="1"/>
  <c r="N130" i="1"/>
  <c r="O140" i="1"/>
  <c r="N140" i="1"/>
  <c r="M140" i="1"/>
  <c r="N129" i="1"/>
  <c r="M129" i="1"/>
  <c r="N136" i="1"/>
  <c r="N135" i="1"/>
  <c r="N133" i="1"/>
  <c r="N126" i="1"/>
  <c r="M126" i="1"/>
  <c r="O126" i="1"/>
  <c r="N125" i="1"/>
  <c r="M125" i="1"/>
  <c r="N123" i="1"/>
  <c r="M123" i="1"/>
  <c r="M86" i="1"/>
  <c r="F91" i="1"/>
  <c r="F90" i="1"/>
  <c r="F89" i="1"/>
  <c r="F82" i="1"/>
  <c r="F81" i="1"/>
  <c r="F80" i="1"/>
  <c r="F73" i="1"/>
  <c r="F72" i="1"/>
  <c r="F71" i="1"/>
  <c r="F88" i="1"/>
  <c r="F87" i="1"/>
  <c r="F86" i="1"/>
  <c r="F79" i="1"/>
  <c r="F78" i="1"/>
  <c r="F77" i="1"/>
  <c r="F69" i="1"/>
  <c r="F70" i="1"/>
  <c r="F68" i="1"/>
  <c r="N122" i="1" l="1"/>
  <c r="M122" i="1"/>
  <c r="O122" i="1"/>
  <c r="O136" i="1"/>
  <c r="M133" i="1"/>
  <c r="M135" i="1"/>
  <c r="N132" i="1"/>
  <c r="N154" i="1" s="1"/>
  <c r="M136" i="1"/>
  <c r="F132" i="1"/>
  <c r="F66" i="1"/>
  <c r="J17" i="1"/>
  <c r="O132" i="1" l="1"/>
  <c r="O154" i="1" s="1"/>
  <c r="M132" i="1"/>
  <c r="M154" i="1" s="1"/>
  <c r="H14" i="1"/>
  <c r="O14" i="1" s="1"/>
  <c r="M13" i="1"/>
  <c r="M14" i="1" l="1"/>
  <c r="N13" i="1"/>
  <c r="N14" i="1"/>
  <c r="F84" i="1"/>
  <c r="L84" i="1"/>
  <c r="O91" i="1"/>
  <c r="N90" i="1"/>
  <c r="N88" i="1"/>
  <c r="M87" i="1"/>
  <c r="N86" i="1"/>
  <c r="N85" i="1"/>
  <c r="L75" i="1"/>
  <c r="F75" i="1"/>
  <c r="M82" i="1"/>
  <c r="N81" i="1"/>
  <c r="N79" i="1"/>
  <c r="N78" i="1"/>
  <c r="N77" i="1"/>
  <c r="M77" i="1"/>
  <c r="N76" i="1"/>
  <c r="L66" i="1"/>
  <c r="O79" i="1" l="1"/>
  <c r="M79" i="1"/>
  <c r="M81" i="1"/>
  <c r="O82" i="1"/>
  <c r="O88" i="1"/>
  <c r="O84" i="1" s="1"/>
  <c r="M76" i="1"/>
  <c r="N87" i="1"/>
  <c r="N82" i="1"/>
  <c r="N75" i="1" s="1"/>
  <c r="M91" i="1"/>
  <c r="M85" i="1"/>
  <c r="M88" i="1"/>
  <c r="M90" i="1"/>
  <c r="N91" i="1"/>
  <c r="M78" i="1"/>
  <c r="M70" i="1"/>
  <c r="N69" i="1"/>
  <c r="N68" i="1"/>
  <c r="M68" i="1"/>
  <c r="N67" i="1"/>
  <c r="N45" i="1"/>
  <c r="M45" i="1"/>
  <c r="O47" i="1"/>
  <c r="M46" i="1"/>
  <c r="F46" i="1"/>
  <c r="E49" i="1"/>
  <c r="F52" i="1" s="1"/>
  <c r="M84" i="1" l="1"/>
  <c r="O75" i="1"/>
  <c r="N84" i="1"/>
  <c r="M75" i="1"/>
  <c r="N70" i="1"/>
  <c r="O70" i="1"/>
  <c r="M69" i="1"/>
  <c r="M67" i="1"/>
  <c r="M47" i="1"/>
  <c r="F47" i="1"/>
  <c r="F45" i="1"/>
  <c r="N46" i="1"/>
  <c r="F50" i="1"/>
  <c r="N47" i="1"/>
  <c r="F51" i="1"/>
  <c r="O52" i="1"/>
  <c r="N50" i="1"/>
  <c r="M50" i="1"/>
  <c r="N17" i="1"/>
  <c r="M17" i="1"/>
  <c r="M23" i="1"/>
  <c r="M25" i="1"/>
  <c r="O44" i="1" l="1"/>
  <c r="F44" i="1"/>
  <c r="N44" i="1"/>
  <c r="M44" i="1"/>
  <c r="N52" i="1"/>
  <c r="F49" i="1"/>
  <c r="M52" i="1"/>
  <c r="N38" i="1"/>
  <c r="M41" i="1" l="1"/>
  <c r="O41" i="1"/>
  <c r="N72" i="1"/>
  <c r="M72" i="1"/>
  <c r="N73" i="1"/>
  <c r="M73" i="1"/>
  <c r="O73" i="1"/>
  <c r="O66" i="1" s="1"/>
  <c r="N54" i="1"/>
  <c r="M54" i="1"/>
  <c r="O54" i="1"/>
  <c r="M51" i="1"/>
  <c r="M49" i="1" s="1"/>
  <c r="N51" i="1"/>
  <c r="M33" i="1"/>
  <c r="N33" i="1"/>
  <c r="N19" i="1"/>
  <c r="M19" i="1"/>
  <c r="M40" i="1"/>
  <c r="O40" i="1"/>
  <c r="N40" i="1"/>
  <c r="N31" i="1"/>
  <c r="M31" i="1"/>
  <c r="M26" i="1"/>
  <c r="N26" i="1"/>
  <c r="N30" i="1"/>
  <c r="O30" i="1"/>
  <c r="M30" i="1"/>
  <c r="O38" i="1"/>
  <c r="N24" i="1"/>
  <c r="M24" i="1"/>
  <c r="O39" i="1"/>
  <c r="N39" i="1"/>
  <c r="M39" i="1"/>
  <c r="N41" i="1"/>
  <c r="N18" i="1"/>
  <c r="M18" i="1"/>
  <c r="N49" i="1" l="1"/>
  <c r="M66" i="1"/>
  <c r="N66" i="1"/>
  <c r="O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Bender,  Justin</author>
  </authors>
  <commentList>
    <comment ref="G33" authorId="0" shapeId="0" xr:uid="{CC0FEEF0-F072-46D2-953A-70A37367F721}">
      <text>
        <r>
          <rPr>
            <b/>
            <sz val="9"/>
            <color indexed="81"/>
            <rFont val="Tahoma"/>
            <family val="2"/>
          </rPr>
          <t>Bender,  Justin:</t>
        </r>
        <r>
          <rPr>
            <sz val="9"/>
            <color indexed="81"/>
            <rFont val="Tahoma"/>
            <family val="2"/>
          </rPr>
          <t xml:space="preserve">
Estimated
</t>
        </r>
      </text>
    </comment>
    <comment ref="G49" authorId="0" shapeId="0" xr:uid="{5BE80E01-7CBD-4420-95BE-1AA1613F2DF6}">
      <text>
        <r>
          <rPr>
            <b/>
            <sz val="9"/>
            <color indexed="81"/>
            <rFont val="Tahoma"/>
            <charset val="1"/>
          </rPr>
          <t>Bender,  Justin:</t>
        </r>
        <r>
          <rPr>
            <sz val="9"/>
            <color indexed="81"/>
            <rFont val="Tahoma"/>
            <charset val="1"/>
          </rPr>
          <t xml:space="preserve">
Estimated
</t>
        </r>
      </text>
    </comment>
    <comment ref="G51" authorId="0" shapeId="0" xr:uid="{19CE7AF1-0C92-482F-A16F-D7FEFA366C7D}">
      <text>
        <r>
          <rPr>
            <b/>
            <sz val="9"/>
            <color indexed="81"/>
            <rFont val="Tahoma"/>
            <charset val="1"/>
          </rPr>
          <t>Bender,  Justin:</t>
        </r>
        <r>
          <rPr>
            <sz val="9"/>
            <color indexed="81"/>
            <rFont val="Tahoma"/>
            <charset val="1"/>
          </rPr>
          <t xml:space="preserve">
Estimated
</t>
        </r>
      </text>
    </comment>
  </commentList>
</comments>
</file>

<file path=xl/sharedStrings.xml><?xml version="1.0" encoding="utf-8"?>
<sst xmlns="http://schemas.openxmlformats.org/spreadsheetml/2006/main" count="550" uniqueCount="170">
  <si>
    <t>Vanguard Total Stock Market ETF</t>
  </si>
  <si>
    <t>VTI</t>
  </si>
  <si>
    <t>Vanguard U.S. Total Market Index ETF</t>
  </si>
  <si>
    <t>VUN</t>
  </si>
  <si>
    <t>iShares Core S&amp;P Total U.S. Stock Market ETF</t>
  </si>
  <si>
    <t>ITOT</t>
  </si>
  <si>
    <t>iShares Core S&amp;P U.S. Total Market Index ETF</t>
  </si>
  <si>
    <t>XUU</t>
  </si>
  <si>
    <t>iShares Core MSCI EAFE ETF</t>
  </si>
  <si>
    <t>IEFA</t>
  </si>
  <si>
    <t>iShares Core MSCI EAFE IMI Index ETF</t>
  </si>
  <si>
    <t>XEF</t>
  </si>
  <si>
    <t>Vanguard FTSE Emerging Markets ETF</t>
  </si>
  <si>
    <t>VWO</t>
  </si>
  <si>
    <t>Vanguard FTSE Emerging Markets Index ETF</t>
  </si>
  <si>
    <t>VEE</t>
  </si>
  <si>
    <t>iShares Core MSCI Emerging Markets ETF</t>
  </si>
  <si>
    <t>IEMG</t>
  </si>
  <si>
    <t>XEC</t>
  </si>
  <si>
    <t>VIU</t>
  </si>
  <si>
    <t>Market</t>
  </si>
  <si>
    <t>US</t>
  </si>
  <si>
    <t>CDN</t>
  </si>
  <si>
    <t>VXC</t>
  </si>
  <si>
    <t>XAW</t>
  </si>
  <si>
    <t>VT</t>
  </si>
  <si>
    <t>Ticker</t>
  </si>
  <si>
    <t>Level I</t>
  </si>
  <si>
    <t>Expense Ratio</t>
  </si>
  <si>
    <t>Level II</t>
  </si>
  <si>
    <t>Source</t>
  </si>
  <si>
    <t>VCNS</t>
  </si>
  <si>
    <t>VBAL</t>
  </si>
  <si>
    <t>VGRO</t>
  </si>
  <si>
    <t>VBU</t>
  </si>
  <si>
    <t>VBG</t>
  </si>
  <si>
    <t>Vanguard FTSE Canada All Cap Index ETF</t>
  </si>
  <si>
    <t>VCN</t>
  </si>
  <si>
    <t>iShares Core S&amp;P/TSX Capped Composite Index ETF</t>
  </si>
  <si>
    <t>XIC</t>
  </si>
  <si>
    <t>BMO S&amp;P/TSX Capped Composite Index ETF</t>
  </si>
  <si>
    <t>ZCN</t>
  </si>
  <si>
    <t>Vanguard Canadian Aggregate Bond Index ETF</t>
  </si>
  <si>
    <t>VAB</t>
  </si>
  <si>
    <t>U.S. Source</t>
  </si>
  <si>
    <t>Canadian Source</t>
  </si>
  <si>
    <t>-</t>
  </si>
  <si>
    <t>Vanguard FTSE Global All Cap ex Canada Index ETF</t>
  </si>
  <si>
    <t>FTSE Global All Cap ex Canada China A Inclusion Index</t>
  </si>
  <si>
    <t>FTSE Global All Cap Index</t>
  </si>
  <si>
    <t>Vanguard Total World Stock ETF</t>
  </si>
  <si>
    <t>Yield</t>
  </si>
  <si>
    <t>Taxable</t>
  </si>
  <si>
    <t xml:space="preserve">     Vanguard FTSE Emerging Markets Index ETF</t>
  </si>
  <si>
    <t xml:space="preserve">     Vanguard FTSE Emerging Markets ETF</t>
  </si>
  <si>
    <t>MSCI USA IMI Index</t>
  </si>
  <si>
    <t>MSCI EAFE IMI Index</t>
  </si>
  <si>
    <t>MSCI Emerging Markets IMI Index</t>
  </si>
  <si>
    <t xml:space="preserve">     iShares Core MSCI Emerging Markets ETF</t>
  </si>
  <si>
    <t xml:space="preserve">     iShares Core MSCI EAFE IMI Index ETF</t>
  </si>
  <si>
    <t>MSCI ACWI ex Canada IMI Index</t>
  </si>
  <si>
    <t>FTSE Canada All Cap Index</t>
  </si>
  <si>
    <t xml:space="preserve">     iShares Core S&amp;P Total U.S. Stock Market ETF</t>
  </si>
  <si>
    <t>Underlying Index</t>
  </si>
  <si>
    <t>S&amp;P/TSX Capped Composite Index</t>
  </si>
  <si>
    <t>BMO Aggregate Bond Index ETF</t>
  </si>
  <si>
    <t>ZAG</t>
  </si>
  <si>
    <t>BMO Discount Bond Index ETF</t>
  </si>
  <si>
    <t>ZDB</t>
  </si>
  <si>
    <t>iShares Core Canadian Universe Bond Index ETF</t>
  </si>
  <si>
    <t>XBB</t>
  </si>
  <si>
    <t>Vanguard Conservative ETF Portfolio</t>
  </si>
  <si>
    <t>CRSP US Total Market Index</t>
  </si>
  <si>
    <t>FTSE Developed All Cap ex North America Index</t>
  </si>
  <si>
    <t>FTSE Emerging Markets All Cap China A Inclusion Index</t>
  </si>
  <si>
    <t>S&amp;P Total Market Index</t>
  </si>
  <si>
    <t>Vanguard Balanced ETF Portfolio</t>
  </si>
  <si>
    <t>Vanguard Growth ETF Portfolio</t>
  </si>
  <si>
    <t xml:space="preserve">     Vanguard FTSE Canada All Cap Index ETF</t>
  </si>
  <si>
    <t xml:space="preserve">     Vanguard U.S. Total Market Index ETF</t>
  </si>
  <si>
    <t xml:space="preserve">     Vangaurd FTSE Developed All Cap ex North America Index ETF</t>
  </si>
  <si>
    <t xml:space="preserve">     Vanguard Canadian Aggregate Bond Index ETF</t>
  </si>
  <si>
    <t xml:space="preserve">     Vanguard U.S. Aggregate Bond Index ETF (CAD-hedged)</t>
  </si>
  <si>
    <t xml:space="preserve">     Vanguard Global ex-U.S. Aggregate Bond Index ETF (CAD-hedged)</t>
  </si>
  <si>
    <t>Allocation</t>
  </si>
  <si>
    <t>iShares Core MSCI Emerging Markets IMI Index ETF</t>
  </si>
  <si>
    <t>Fixed Income</t>
  </si>
  <si>
    <t>Canadian Equity</t>
  </si>
  <si>
    <t>U.S. Equity</t>
  </si>
  <si>
    <t>International Equity</t>
  </si>
  <si>
    <t xml:space="preserve">Emerging Markets Equity </t>
  </si>
  <si>
    <t>Global Equity</t>
  </si>
  <si>
    <t>Vangaurd FTSE Developed AC ex NA Index ETF</t>
  </si>
  <si>
    <t>iShares Core MSCI AC World ex Canada Index ETF</t>
  </si>
  <si>
    <t>Asset Allocation ETFs</t>
  </si>
  <si>
    <t>2018 Annual Report - Statement of Operations</t>
  </si>
  <si>
    <t>Vanguard U.S. Aggregate Bond Index ETF (CAD-hedged)</t>
  </si>
  <si>
    <t>Vanguard Global ex-U.S. Aggregate Bond Index ETF (CAD-hedged)</t>
  </si>
  <si>
    <t>Bloomberg Barclays Global Aggregate Canadian Float Adjusted Bond Index</t>
  </si>
  <si>
    <t>Bloomberg Barclays U.S. Aggregate Float Adjusted Bond Index</t>
  </si>
  <si>
    <t>Bloomberg Barclays Global Aggregate ex-USD Float Adjusted RIC Capped Index</t>
  </si>
  <si>
    <t xml:space="preserve">     Vanguard FTSE Developed All Cap ex North America Index ETF</t>
  </si>
  <si>
    <t>XBAL</t>
  </si>
  <si>
    <t>XGRO</t>
  </si>
  <si>
    <t>iShares Core Growth ETF Portfolio</t>
  </si>
  <si>
    <t>iShares Core Balanced ETF Portfolio</t>
  </si>
  <si>
    <t xml:space="preserve">          iShares Core Canadian ST Corp + Maple Bond Index ETF</t>
  </si>
  <si>
    <t xml:space="preserve">          iShares Core Canadian Universe Bond Index ETF</t>
  </si>
  <si>
    <t xml:space="preserve">          iShares U.S. Treasury Bond ETF (CAD-hedged)</t>
  </si>
  <si>
    <t xml:space="preserve">          iShares Broad USD IG Corporate Bond ETF (CAD-hedged)</t>
  </si>
  <si>
    <t xml:space="preserve">          iShares Core S&amp;P/TSX Capped Composite Index ETF</t>
  </si>
  <si>
    <t xml:space="preserve">          iShares Core S&amp;P Total U.S. Stock Market ETF</t>
  </si>
  <si>
    <t xml:space="preserve">          iShares Core MSCI EAFE IMI Index ETF</t>
  </si>
  <si>
    <t xml:space="preserve">          iShares Core MSCI Emerging Markets ETF</t>
  </si>
  <si>
    <t>XSH</t>
  </si>
  <si>
    <t>GOVT</t>
  </si>
  <si>
    <t>USIG</t>
  </si>
  <si>
    <t>TFSA</t>
  </si>
  <si>
    <t>RRSP</t>
  </si>
  <si>
    <t>FTSE Canada Universe Discount Bond Index</t>
  </si>
  <si>
    <t>FTSE Canada UniverseXM Bond Index</t>
  </si>
  <si>
    <t>FTSE Canada Universe Bond Index</t>
  </si>
  <si>
    <t>ICE U.S. Treasury Core Bond Index</t>
  </si>
  <si>
    <t>ICE BofAML US IG Corporate Index</t>
  </si>
  <si>
    <t>FTSE Canada Universe + Maple Short Term Corporate Bond Index</t>
  </si>
  <si>
    <t>Total</t>
  </si>
  <si>
    <t>Vanguard All-Equity ETF Portfolio</t>
  </si>
  <si>
    <t>VEQT</t>
  </si>
  <si>
    <t>VCIP</t>
  </si>
  <si>
    <t>Vanguard Conservative Income ETF Portfolio</t>
  </si>
  <si>
    <t>2018 Annual Report - Statement of Comprehensive Income</t>
  </si>
  <si>
    <t>VEA</t>
  </si>
  <si>
    <t>BMO MSCI Emerging Markets Index ETF</t>
  </si>
  <si>
    <t>ZEM</t>
  </si>
  <si>
    <t>Consolidated Statements of Operations - YE August 31, 2018</t>
  </si>
  <si>
    <t>2018 Annual Report - Statements of Comprehensive Income</t>
  </si>
  <si>
    <t>MER</t>
  </si>
  <si>
    <t>BMO Statement of Comprehensive Income - YE December 31, 2018</t>
  </si>
  <si>
    <t>Vanguard FTSE Developed Markets ETF</t>
  </si>
  <si>
    <t>BMO MSCI EAFE Index ETF</t>
  </si>
  <si>
    <t>ZEA</t>
  </si>
  <si>
    <t>ZSP</t>
  </si>
  <si>
    <t>BMO S&amp;P 500 Index ETF</t>
  </si>
  <si>
    <t>2018 Annual Report - Statements of Operations</t>
  </si>
  <si>
    <t>March 31, 2019 Annual Report - Statements of Operations</t>
  </si>
  <si>
    <t>VXUS</t>
  </si>
  <si>
    <t>Vanguard Total International Stock ETF</t>
  </si>
  <si>
    <t>October 31, 2018 Annual Report</t>
  </si>
  <si>
    <t>FTSE USA All Cap Index</t>
  </si>
  <si>
    <t>FTSE Global All Cap ex US Index</t>
  </si>
  <si>
    <t>MSCI EAFE Index</t>
  </si>
  <si>
    <t>S&amp;P 500 Index</t>
  </si>
  <si>
    <t>FTSE Developed All Cap ex US Index</t>
  </si>
  <si>
    <t>VV/VB</t>
  </si>
  <si>
    <t xml:space="preserve">     Vanguard Large + Small-Cap ETFs</t>
  </si>
  <si>
    <t xml:space="preserve">                Index fact sheets as of December 31, 2019 from FTSE Russell, MSCI, S&amp;P Dow Jones, CRSP</t>
  </si>
  <si>
    <t>This report is published by Justin Bender for your information only. Information on which this table is based is available on request. Particular investments or trading strategies should be evaluated relative to each individual’s objectives in consultation with the Investment Advisor. Opinions of Justin Bender constitute his judgment as of December 31, 2019, and are subject to change without notice. They are provided in good faith but without responsibility for any errors or omissions contained herein. This table is furnished on the basis and understanding that neither Justin Bender nor his employees, agents or information suppliers is to be under any responsibility of liability whatsoever in respect thereof.</t>
  </si>
  <si>
    <t>FTSE North America All Cap Index</t>
  </si>
  <si>
    <t>FTSE Developed All Cap Index</t>
  </si>
  <si>
    <t>FTSE Developed ex North America All Cap Index</t>
  </si>
  <si>
    <t>XINC</t>
  </si>
  <si>
    <t>XCNS</t>
  </si>
  <si>
    <t>iShares Core Income Balanced ETF Portfolio</t>
  </si>
  <si>
    <t>iShares Core Conservative Balanced ETF Portfolio</t>
  </si>
  <si>
    <t>iShares Core Equity ETF Portfolio</t>
  </si>
  <si>
    <t>XEQT</t>
  </si>
  <si>
    <t>Foreign Withholding Tax Ratio (FWTR) Calculator</t>
  </si>
  <si>
    <t>Foreign Withholding Tax Ratio (FWTR)</t>
  </si>
  <si>
    <t>2018 Annual Financial Statements - Statement of Comprehensive Income</t>
  </si>
  <si>
    <t>Sources:  2018 Annual reports from BlackRock, BlackRock Canada, BMO Global Asset Management, Vanguard Canada, The Vanguard Group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</si>
</sst>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8"/>
      <color theme="1"/>
      <name val="AvenirNext LT Pro Regular"/>
      <family val="2"/>
    </font>
    <font>
      <sz val="8"/>
      <color theme="1"/>
      <name val="AvenirNext LT Pro Regular"/>
      <family val="2"/>
    </font>
    <font>
      <sz val="11"/>
      <color theme="1"/>
      <name val="AvenirNext LT Pro Regular"/>
      <family val="2"/>
    </font>
    <font>
      <sz val="9"/>
      <color theme="1"/>
      <name val="AvenirNext LT Pro Regular"/>
      <family val="2"/>
    </font>
    <font>
      <b/>
      <sz val="13"/>
      <color rgb="FF2D71BB"/>
      <name val="AvenirNext LT Pro Regular"/>
      <family val="2"/>
    </font>
    <font>
      <b/>
      <sz val="13"/>
      <color rgb="FF2D71BB"/>
      <name val="Calibri"/>
      <family val="2"/>
      <scheme val="minor"/>
    </font>
    <font>
      <sz val="11"/>
      <color theme="1"/>
      <name val="Arial"/>
      <family val="2"/>
    </font>
    <font>
      <sz val="9"/>
      <color theme="1"/>
      <name val="Arial"/>
      <family val="2"/>
    </font>
    <font>
      <b/>
      <sz val="8"/>
      <color theme="1"/>
      <name val="Arial"/>
      <family val="2"/>
    </font>
    <font>
      <sz val="8"/>
      <color theme="1"/>
      <name val="Arial"/>
      <family val="2"/>
    </font>
    <font>
      <b/>
      <sz val="8"/>
      <color rgb="FF2D71BB"/>
      <name val="Arial"/>
      <family val="2"/>
    </font>
    <font>
      <sz val="8"/>
      <color rgb="FF2D71BB"/>
      <name val="Arial"/>
      <family val="2"/>
    </font>
    <font>
      <sz val="8"/>
      <color rgb="FF404040"/>
      <name val="Arial"/>
      <family val="2"/>
    </font>
    <font>
      <b/>
      <sz val="8"/>
      <color rgb="FF404040"/>
      <name val="Arial"/>
      <family val="2"/>
    </font>
    <font>
      <i/>
      <sz val="8"/>
      <color theme="1"/>
      <name val="Arial"/>
      <family val="2"/>
    </font>
    <font>
      <sz val="9"/>
      <color indexed="81"/>
      <name val="Tahoma"/>
      <charset val="1"/>
    </font>
    <font>
      <b/>
      <sz val="9"/>
      <color indexed="81"/>
      <name val="Tahoma"/>
      <charset val="1"/>
    </font>
    <font>
      <sz val="9"/>
      <color indexed="81"/>
      <name val="Tahoma"/>
      <family val="2"/>
    </font>
    <font>
      <b/>
      <sz val="9"/>
      <color indexed="81"/>
      <name val="Tahoma"/>
      <family val="2"/>
    </font>
    <font>
      <i/>
      <sz val="6"/>
      <color rgb="FF2D71BB"/>
      <name val="Arial"/>
      <family val="2"/>
    </font>
    <font>
      <i/>
      <sz val="6"/>
      <color rgb="FF2D71BB"/>
      <name val="Calibri"/>
      <family val="2"/>
      <scheme val="minor"/>
    </font>
    <font>
      <b/>
      <sz val="12"/>
      <color theme="0"/>
      <name val="Arial"/>
      <family val="2"/>
    </font>
    <font>
      <sz val="12"/>
      <color theme="0"/>
      <name val="Arial"/>
      <family val="2"/>
    </font>
  </fonts>
  <fills count="8">
    <fill>
      <patternFill patternType="none"/>
    </fill>
    <fill>
      <patternFill patternType="gray125"/>
    </fill>
    <fill>
      <patternFill patternType="solid">
        <fgColor theme="0"/>
        <bgColor indexed="64"/>
      </patternFill>
    </fill>
    <fill>
      <patternFill patternType="solid">
        <fgColor rgb="FFE4E5E7"/>
        <bgColor indexed="64"/>
      </patternFill>
    </fill>
    <fill>
      <patternFill patternType="solid">
        <fgColor rgb="FF2D71BB"/>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2">
    <border>
      <left/>
      <right/>
      <top/>
      <bottom/>
      <diagonal/>
    </border>
    <border>
      <left/>
      <right/>
      <top/>
      <bottom style="thin">
        <color rgb="FF404040"/>
      </bottom>
      <diagonal/>
    </border>
  </borders>
  <cellStyleXfs count="1">
    <xf numFmtId="0" fontId="0" fillId="0" borderId="0"/>
  </cellStyleXfs>
  <cellXfs count="92">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center"/>
    </xf>
    <xf numFmtId="0" fontId="2" fillId="0" borderId="0" xfId="0" applyFont="1" applyAlignment="1">
      <alignment horizontal="right"/>
    </xf>
    <xf numFmtId="0" fontId="2" fillId="0" borderId="0" xfId="0" applyFont="1" applyAlignment="1">
      <alignment horizontal="right" vertical="center"/>
    </xf>
    <xf numFmtId="10" fontId="2" fillId="0" borderId="0" xfId="0" applyNumberFormat="1" applyFont="1" applyAlignment="1">
      <alignment horizontal="center"/>
    </xf>
    <xf numFmtId="10" fontId="2" fillId="0" borderId="0" xfId="0" applyNumberFormat="1" applyFont="1" applyAlignment="1">
      <alignment horizontal="center" vertical="center"/>
    </xf>
    <xf numFmtId="0" fontId="4" fillId="0" borderId="0" xfId="0" applyFont="1"/>
    <xf numFmtId="0" fontId="3" fillId="0" borderId="0" xfId="0" applyFont="1"/>
    <xf numFmtId="0" fontId="4" fillId="0" borderId="0" xfId="0" applyFont="1" applyAlignment="1">
      <alignment vertical="center"/>
    </xf>
    <xf numFmtId="0" fontId="3" fillId="0" borderId="0" xfId="0" applyFont="1" applyAlignment="1">
      <alignment vertical="center"/>
    </xf>
    <xf numFmtId="0" fontId="1" fillId="0" borderId="0" xfId="0" applyFont="1" applyAlignment="1">
      <alignment vertical="center"/>
    </xf>
    <xf numFmtId="0" fontId="2" fillId="0" borderId="0" xfId="0" applyFont="1" applyAlignment="1">
      <alignment horizontal="center" vertical="center"/>
    </xf>
    <xf numFmtId="0" fontId="5" fillId="2" borderId="0" xfId="0" applyFont="1" applyFill="1" applyAlignment="1" applyProtection="1">
      <alignment horizontal="right" vertical="center"/>
    </xf>
    <xf numFmtId="0" fontId="6" fillId="2" borderId="0" xfId="0" applyFont="1" applyFill="1" applyAlignment="1" applyProtection="1">
      <alignment horizontal="right" vertical="center"/>
    </xf>
    <xf numFmtId="0" fontId="2" fillId="5" borderId="0" xfId="0" applyFont="1" applyFill="1" applyAlignment="1">
      <alignment vertical="center"/>
    </xf>
    <xf numFmtId="0" fontId="2" fillId="0" borderId="0" xfId="0" applyFont="1" applyFill="1" applyAlignment="1">
      <alignment vertical="center"/>
    </xf>
    <xf numFmtId="0" fontId="7" fillId="2" borderId="0" xfId="0" applyFont="1" applyFill="1" applyBorder="1" applyAlignment="1" applyProtection="1">
      <alignment vertical="center"/>
    </xf>
    <xf numFmtId="0" fontId="7" fillId="2" borderId="0" xfId="0" applyFont="1" applyFill="1" applyBorder="1" applyAlignment="1" applyProtection="1">
      <alignment horizontal="center" vertical="center"/>
    </xf>
    <xf numFmtId="2" fontId="7" fillId="2" borderId="0" xfId="0" applyNumberFormat="1" applyFont="1" applyFill="1" applyAlignment="1" applyProtection="1">
      <alignment horizontal="center" vertical="center"/>
    </xf>
    <xf numFmtId="0" fontId="7" fillId="2" borderId="0" xfId="0" applyFont="1" applyFill="1" applyAlignment="1" applyProtection="1">
      <alignment horizontal="center" vertical="center"/>
    </xf>
    <xf numFmtId="0" fontId="8" fillId="2" borderId="0" xfId="0" applyFont="1" applyFill="1" applyAlignment="1" applyProtection="1">
      <alignment vertical="center"/>
    </xf>
    <xf numFmtId="0" fontId="9" fillId="2" borderId="0" xfId="0" applyFont="1" applyFill="1" applyAlignment="1" applyProtection="1">
      <alignment vertical="center"/>
    </xf>
    <xf numFmtId="0" fontId="10" fillId="2" borderId="0" xfId="0" applyFont="1" applyFill="1" applyAlignment="1">
      <alignment vertical="center"/>
    </xf>
    <xf numFmtId="0" fontId="11" fillId="2" borderId="1" xfId="0" applyFont="1" applyFill="1" applyBorder="1" applyAlignment="1" applyProtection="1">
      <alignment vertical="center"/>
    </xf>
    <xf numFmtId="0" fontId="11" fillId="2" borderId="1" xfId="0" applyFont="1" applyFill="1" applyBorder="1" applyAlignment="1" applyProtection="1">
      <alignment horizontal="center" vertical="center"/>
    </xf>
    <xf numFmtId="0" fontId="11" fillId="2" borderId="1" xfId="0" applyFont="1" applyFill="1" applyBorder="1" applyAlignment="1" applyProtection="1">
      <alignment vertical="center" wrapText="1"/>
    </xf>
    <xf numFmtId="0" fontId="11" fillId="2" borderId="1" xfId="0" applyFont="1" applyFill="1" applyBorder="1" applyAlignment="1" applyProtection="1">
      <alignment horizontal="right" vertical="center"/>
    </xf>
    <xf numFmtId="10" fontId="11" fillId="2" borderId="1" xfId="0" applyNumberFormat="1" applyFont="1" applyFill="1" applyBorder="1" applyAlignment="1" applyProtection="1">
      <alignment horizontal="center" vertical="center"/>
    </xf>
    <xf numFmtId="0" fontId="10" fillId="3" borderId="0" xfId="0" applyFont="1" applyFill="1" applyBorder="1" applyAlignment="1" applyProtection="1">
      <alignment vertical="center"/>
    </xf>
    <xf numFmtId="0" fontId="12" fillId="3" borderId="0" xfId="0" applyFont="1" applyFill="1" applyBorder="1" applyAlignment="1" applyProtection="1">
      <alignment horizontal="center" vertical="center"/>
    </xf>
    <xf numFmtId="0" fontId="10" fillId="3" borderId="0" xfId="0" applyFont="1" applyFill="1" applyBorder="1" applyAlignment="1" applyProtection="1">
      <alignment horizontal="center" vertical="center"/>
    </xf>
    <xf numFmtId="10" fontId="10" fillId="3" borderId="0" xfId="0" applyNumberFormat="1" applyFont="1" applyFill="1" applyBorder="1" applyAlignment="1" applyProtection="1">
      <alignment vertical="center"/>
    </xf>
    <xf numFmtId="10" fontId="10" fillId="3" borderId="0" xfId="0" applyNumberFormat="1" applyFont="1" applyFill="1" applyBorder="1" applyAlignment="1" applyProtection="1">
      <alignment horizontal="right" vertical="center"/>
    </xf>
    <xf numFmtId="164" fontId="10" fillId="3" borderId="0" xfId="0" applyNumberFormat="1" applyFont="1" applyFill="1" applyBorder="1" applyAlignment="1" applyProtection="1">
      <alignment horizontal="right" vertical="center"/>
    </xf>
    <xf numFmtId="10" fontId="10" fillId="3" borderId="0" xfId="0" applyNumberFormat="1" applyFont="1" applyFill="1" applyBorder="1" applyAlignment="1" applyProtection="1">
      <alignment horizontal="center" vertical="center"/>
    </xf>
    <xf numFmtId="0" fontId="10" fillId="2" borderId="0" xfId="0" applyFont="1" applyFill="1" applyBorder="1" applyAlignment="1" applyProtection="1">
      <alignment vertical="center"/>
    </xf>
    <xf numFmtId="0" fontId="12" fillId="2" borderId="0" xfId="0" applyFont="1" applyFill="1" applyBorder="1" applyAlignment="1" applyProtection="1">
      <alignment horizontal="center" vertical="center"/>
    </xf>
    <xf numFmtId="0" fontId="10" fillId="2" borderId="0" xfId="0" applyFont="1" applyFill="1" applyBorder="1" applyAlignment="1" applyProtection="1">
      <alignment horizontal="center" vertical="center"/>
    </xf>
    <xf numFmtId="10" fontId="10" fillId="2" borderId="0" xfId="0" applyNumberFormat="1" applyFont="1" applyFill="1" applyBorder="1" applyAlignment="1" applyProtection="1">
      <alignment vertical="center"/>
    </xf>
    <xf numFmtId="10" fontId="10" fillId="2" borderId="0" xfId="0" applyNumberFormat="1" applyFont="1" applyFill="1" applyBorder="1" applyAlignment="1" applyProtection="1">
      <alignment horizontal="right" vertical="center"/>
    </xf>
    <xf numFmtId="164" fontId="10" fillId="2" borderId="0" xfId="0" applyNumberFormat="1" applyFont="1" applyFill="1" applyBorder="1" applyAlignment="1" applyProtection="1">
      <alignment horizontal="right" vertical="center"/>
    </xf>
    <xf numFmtId="10" fontId="10" fillId="2" borderId="0" xfId="0" applyNumberFormat="1" applyFont="1" applyFill="1" applyBorder="1" applyAlignment="1" applyProtection="1">
      <alignment horizontal="center" vertical="center"/>
    </xf>
    <xf numFmtId="164" fontId="10" fillId="3" borderId="0" xfId="0" applyNumberFormat="1" applyFont="1" applyFill="1" applyBorder="1" applyAlignment="1" applyProtection="1">
      <alignment vertical="center"/>
    </xf>
    <xf numFmtId="164" fontId="10" fillId="2" borderId="0" xfId="0" applyNumberFormat="1" applyFont="1" applyFill="1" applyBorder="1" applyAlignment="1" applyProtection="1">
      <alignment vertical="center"/>
    </xf>
    <xf numFmtId="164" fontId="11" fillId="2" borderId="0" xfId="0" applyNumberFormat="1"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0" fontId="9" fillId="2" borderId="1" xfId="0" applyFont="1" applyFill="1" applyBorder="1" applyAlignment="1" applyProtection="1">
      <alignment vertical="center"/>
    </xf>
    <xf numFmtId="0" fontId="9" fillId="2" borderId="1" xfId="0" applyFont="1" applyFill="1" applyBorder="1" applyAlignment="1" applyProtection="1">
      <alignment vertical="center" wrapText="1"/>
    </xf>
    <xf numFmtId="0" fontId="9" fillId="2" borderId="1" xfId="0" applyFont="1" applyFill="1" applyBorder="1" applyAlignment="1" applyProtection="1">
      <alignment horizontal="right" vertical="center"/>
    </xf>
    <xf numFmtId="164" fontId="9" fillId="2" borderId="1" xfId="0" applyNumberFormat="1" applyFont="1" applyFill="1" applyBorder="1" applyAlignment="1" applyProtection="1">
      <alignment horizontal="right" vertical="center"/>
    </xf>
    <xf numFmtId="164" fontId="11" fillId="2" borderId="1" xfId="0" applyNumberFormat="1" applyFont="1" applyFill="1" applyBorder="1" applyAlignment="1" applyProtection="1">
      <alignment horizontal="center" vertical="center"/>
    </xf>
    <xf numFmtId="4" fontId="10" fillId="2" borderId="0" xfId="0" applyNumberFormat="1" applyFont="1" applyFill="1" applyBorder="1" applyAlignment="1" applyProtection="1">
      <alignment vertical="center"/>
    </xf>
    <xf numFmtId="3" fontId="10" fillId="2" borderId="0" xfId="0" applyNumberFormat="1" applyFont="1" applyFill="1" applyBorder="1" applyAlignment="1" applyProtection="1">
      <alignment vertical="center"/>
    </xf>
    <xf numFmtId="164" fontId="10" fillId="2" borderId="0" xfId="0" applyNumberFormat="1"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10" fillId="2" borderId="1" xfId="0" applyFont="1" applyFill="1" applyBorder="1" applyAlignment="1" applyProtection="1">
      <alignment vertical="center"/>
    </xf>
    <xf numFmtId="10" fontId="10" fillId="2" borderId="1" xfId="0" applyNumberFormat="1" applyFont="1" applyFill="1" applyBorder="1" applyAlignment="1" applyProtection="1">
      <alignment horizontal="right" vertical="center"/>
    </xf>
    <xf numFmtId="164" fontId="10" fillId="2" borderId="1" xfId="0" applyNumberFormat="1" applyFont="1" applyFill="1" applyBorder="1" applyAlignment="1" applyProtection="1">
      <alignment horizontal="right" vertical="center"/>
    </xf>
    <xf numFmtId="0" fontId="14" fillId="3" borderId="0" xfId="0" applyFont="1" applyFill="1" applyBorder="1" applyAlignment="1" applyProtection="1">
      <alignment vertical="center"/>
    </xf>
    <xf numFmtId="0" fontId="13" fillId="3" borderId="0" xfId="0" applyFont="1" applyFill="1" applyBorder="1" applyAlignment="1" applyProtection="1">
      <alignment horizontal="center" vertical="center"/>
    </xf>
    <xf numFmtId="0" fontId="13" fillId="3" borderId="0" xfId="0" applyFont="1" applyFill="1" applyBorder="1" applyAlignment="1" applyProtection="1">
      <alignment vertical="center"/>
    </xf>
    <xf numFmtId="10" fontId="13" fillId="3" borderId="0" xfId="0" applyNumberFormat="1" applyFont="1" applyFill="1" applyBorder="1" applyAlignment="1" applyProtection="1">
      <alignment horizontal="right" vertical="center"/>
    </xf>
    <xf numFmtId="164" fontId="13" fillId="3" borderId="0" xfId="0" applyNumberFormat="1" applyFont="1" applyFill="1" applyBorder="1" applyAlignment="1" applyProtection="1">
      <alignment horizontal="right" vertical="center"/>
    </xf>
    <xf numFmtId="164" fontId="14" fillId="3" borderId="0" xfId="0" applyNumberFormat="1" applyFont="1" applyFill="1" applyBorder="1" applyAlignment="1" applyProtection="1">
      <alignment horizontal="center" vertical="center"/>
    </xf>
    <xf numFmtId="10" fontId="14" fillId="3" borderId="0" xfId="0" applyNumberFormat="1" applyFont="1" applyFill="1" applyBorder="1" applyAlignment="1" applyProtection="1">
      <alignment horizontal="center" vertical="center"/>
    </xf>
    <xf numFmtId="0" fontId="10" fillId="2" borderId="0" xfId="0" applyFont="1" applyFill="1" applyAlignment="1" applyProtection="1">
      <alignment vertical="center"/>
    </xf>
    <xf numFmtId="0" fontId="10" fillId="2" borderId="0" xfId="0" applyFont="1" applyFill="1" applyAlignment="1" applyProtection="1">
      <alignment horizontal="center" vertical="center"/>
    </xf>
    <xf numFmtId="10" fontId="10" fillId="2" borderId="0" xfId="0" applyNumberFormat="1" applyFont="1" applyFill="1" applyAlignment="1" applyProtection="1">
      <alignment horizontal="right" vertical="center"/>
    </xf>
    <xf numFmtId="10" fontId="10" fillId="2" borderId="0" xfId="0" applyNumberFormat="1" applyFont="1" applyFill="1" applyAlignment="1" applyProtection="1">
      <alignment horizontal="center" vertical="center"/>
    </xf>
    <xf numFmtId="0" fontId="15" fillId="2" borderId="0" xfId="0" applyFont="1" applyFill="1" applyAlignment="1" applyProtection="1">
      <alignment vertical="center"/>
    </xf>
    <xf numFmtId="0" fontId="10" fillId="2" borderId="0" xfId="0" applyFont="1" applyFill="1" applyAlignment="1" applyProtection="1">
      <alignment horizontal="right" vertical="center"/>
    </xf>
    <xf numFmtId="0" fontId="2" fillId="2" borderId="0" xfId="0" applyFont="1" applyFill="1" applyAlignment="1">
      <alignment vertical="center"/>
    </xf>
    <xf numFmtId="164" fontId="11" fillId="2" borderId="0" xfId="0" applyNumberFormat="1" applyFont="1" applyFill="1" applyBorder="1" applyAlignment="1" applyProtection="1">
      <alignment horizontal="center" vertical="center"/>
      <protection locked="0"/>
    </xf>
    <xf numFmtId="3" fontId="0" fillId="0" borderId="0" xfId="0" applyNumberFormat="1"/>
    <xf numFmtId="10" fontId="0" fillId="0" borderId="0" xfId="0" applyNumberFormat="1"/>
    <xf numFmtId="10" fontId="10" fillId="7" borderId="0" xfId="0" applyNumberFormat="1" applyFont="1" applyFill="1" applyBorder="1" applyAlignment="1" applyProtection="1">
      <alignment vertical="center"/>
    </xf>
    <xf numFmtId="3" fontId="10" fillId="7" borderId="0" xfId="0" applyNumberFormat="1" applyFont="1" applyFill="1" applyBorder="1" applyAlignment="1" applyProtection="1">
      <alignment vertical="center"/>
    </xf>
    <xf numFmtId="3" fontId="10" fillId="3" borderId="0" xfId="0" applyNumberFormat="1" applyFont="1" applyFill="1" applyBorder="1" applyAlignment="1" applyProtection="1">
      <alignment vertical="center"/>
    </xf>
    <xf numFmtId="4" fontId="10" fillId="7" borderId="0" xfId="0" applyNumberFormat="1" applyFont="1" applyFill="1" applyBorder="1" applyAlignment="1" applyProtection="1">
      <alignment vertical="center"/>
    </xf>
    <xf numFmtId="10" fontId="0" fillId="7" borderId="0" xfId="0" applyNumberFormat="1" applyFill="1"/>
    <xf numFmtId="10" fontId="10" fillId="2" borderId="0" xfId="0" applyNumberFormat="1" applyFont="1" applyFill="1" applyBorder="1" applyAlignment="1">
      <alignment horizontal="right" vertical="center"/>
    </xf>
    <xf numFmtId="164" fontId="12" fillId="5" borderId="0" xfId="0" applyNumberFormat="1" applyFont="1" applyFill="1" applyBorder="1" applyAlignment="1" applyProtection="1">
      <alignment horizontal="center" vertical="center"/>
      <protection locked="0"/>
    </xf>
    <xf numFmtId="0" fontId="22" fillId="4" borderId="0" xfId="0" applyFont="1" applyFill="1" applyAlignment="1" applyProtection="1">
      <alignment horizontal="right" vertical="center" indent="1"/>
    </xf>
    <xf numFmtId="0" fontId="23" fillId="4" borderId="0" xfId="0" applyFont="1" applyFill="1" applyAlignment="1">
      <alignment horizontal="right" vertical="center" indent="1"/>
    </xf>
    <xf numFmtId="0" fontId="20" fillId="2" borderId="0" xfId="0" applyFont="1" applyFill="1" applyBorder="1" applyAlignment="1">
      <alignment horizontal="center" vertical="center" wrapText="1"/>
    </xf>
    <xf numFmtId="0" fontId="21" fillId="0" borderId="0" xfId="0" applyFont="1" applyBorder="1" applyAlignment="1">
      <alignment horizontal="center" vertical="center" wrapText="1"/>
    </xf>
    <xf numFmtId="0" fontId="10" fillId="2" borderId="0" xfId="0" applyFont="1" applyFill="1" applyAlignment="1" applyProtection="1">
      <alignment horizontal="left" wrapText="1" indent="1"/>
    </xf>
    <xf numFmtId="10" fontId="11" fillId="6" borderId="0" xfId="0" applyNumberFormat="1" applyFont="1" applyFill="1" applyBorder="1" applyAlignment="1" applyProtection="1">
      <alignment horizontal="center" vertical="center"/>
      <protection locked="0"/>
    </xf>
    <xf numFmtId="10" fontId="11" fillId="5" borderId="0" xfId="0" applyNumberFormat="1" applyFont="1" applyFill="1" applyBorder="1" applyAlignment="1" applyProtection="1">
      <alignment horizontal="center" vertical="center"/>
      <protection locked="0"/>
    </xf>
    <xf numFmtId="10" fontId="10" fillId="5" borderId="0" xfId="0" applyNumberFormat="1"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colors>
    <mruColors>
      <color rgb="FF2D71BB"/>
      <color rgb="FFE4E5E7"/>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185744</xdr:rowOff>
    </xdr:from>
    <xdr:to>
      <xdr:col>0</xdr:col>
      <xdr:colOff>2100875</xdr:colOff>
      <xdr:row>3</xdr:row>
      <xdr:rowOff>204947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85744"/>
          <a:ext cx="2100875" cy="6415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1"/>
  <sheetViews>
    <sheetView tabSelected="1" zoomScale="120" zoomScaleNormal="120" workbookViewId="0">
      <selection activeCell="K9" sqref="K9"/>
    </sheetView>
  </sheetViews>
  <sheetFormatPr defaultColWidth="9.1796875" defaultRowHeight="10"/>
  <cols>
    <col min="1" max="1" width="43.54296875" style="1" customWidth="1"/>
    <col min="2" max="3" width="5.54296875" style="3" customWidth="1"/>
    <col min="4" max="7" width="9.54296875" style="1" hidden="1" customWidth="1"/>
    <col min="8" max="10" width="9.54296875" style="4" hidden="1" customWidth="1"/>
    <col min="11" max="11" width="8.453125" style="6" customWidth="1"/>
    <col min="12" max="15" width="9.54296875" style="3" customWidth="1"/>
    <col min="16" max="16" width="44.26953125" style="1" hidden="1" customWidth="1"/>
    <col min="17" max="17" width="52.54296875" style="1" hidden="1" customWidth="1"/>
    <col min="18" max="18" width="9.1796875" style="1" customWidth="1"/>
    <col min="19" max="16384" width="9.1796875" style="1"/>
  </cols>
  <sheetData>
    <row r="1" spans="1:20" s="9" customFormat="1" ht="15" customHeight="1">
      <c r="A1" s="14"/>
      <c r="B1" s="15"/>
      <c r="C1" s="15"/>
      <c r="D1" s="15"/>
      <c r="E1" s="15"/>
      <c r="F1" s="15"/>
      <c r="G1" s="15"/>
      <c r="H1" s="15"/>
      <c r="I1" s="15"/>
      <c r="J1" s="15"/>
      <c r="K1" s="15"/>
      <c r="L1" s="15"/>
      <c r="M1" s="15"/>
      <c r="N1" s="15"/>
      <c r="O1" s="15"/>
      <c r="P1" s="8"/>
      <c r="Q1" s="8"/>
      <c r="R1" s="8"/>
      <c r="S1" s="8"/>
      <c r="T1" s="8"/>
    </row>
    <row r="2" spans="1:20" s="9" customFormat="1" ht="17.25" customHeight="1">
      <c r="A2" s="15"/>
      <c r="B2" s="84" t="s">
        <v>166</v>
      </c>
      <c r="C2" s="85"/>
      <c r="D2" s="85"/>
      <c r="E2" s="85"/>
      <c r="F2" s="85"/>
      <c r="G2" s="85"/>
      <c r="H2" s="85"/>
      <c r="I2" s="85"/>
      <c r="J2" s="85"/>
      <c r="K2" s="85"/>
      <c r="L2" s="85"/>
      <c r="M2" s="85"/>
      <c r="N2" s="85"/>
      <c r="O2" s="85"/>
      <c r="P2" s="8"/>
      <c r="Q2" s="8"/>
      <c r="R2" s="8"/>
      <c r="S2" s="8"/>
      <c r="T2" s="8"/>
    </row>
    <row r="3" spans="1:20" s="9" customFormat="1" ht="17.25" customHeight="1">
      <c r="A3" s="15"/>
      <c r="B3" s="85"/>
      <c r="C3" s="85"/>
      <c r="D3" s="85"/>
      <c r="E3" s="85"/>
      <c r="F3" s="85"/>
      <c r="G3" s="85"/>
      <c r="H3" s="85"/>
      <c r="I3" s="85"/>
      <c r="J3" s="85"/>
      <c r="K3" s="85"/>
      <c r="L3" s="85"/>
      <c r="M3" s="85"/>
      <c r="N3" s="85"/>
      <c r="O3" s="85"/>
      <c r="P3" s="8"/>
      <c r="Q3" s="8"/>
      <c r="R3" s="8"/>
      <c r="S3" s="8"/>
      <c r="T3" s="8"/>
    </row>
    <row r="4" spans="1:20" s="9" customFormat="1" ht="17.25" customHeight="1">
      <c r="A4" s="15"/>
      <c r="B4" s="85"/>
      <c r="C4" s="85"/>
      <c r="D4" s="85"/>
      <c r="E4" s="85"/>
      <c r="F4" s="85"/>
      <c r="G4" s="85"/>
      <c r="H4" s="85"/>
      <c r="I4" s="85"/>
      <c r="J4" s="85"/>
      <c r="K4" s="85"/>
      <c r="L4" s="85"/>
      <c r="M4" s="85"/>
      <c r="N4" s="85"/>
      <c r="O4" s="85"/>
      <c r="P4" s="8"/>
      <c r="Q4" s="8"/>
      <c r="R4" s="8"/>
      <c r="S4" s="8"/>
      <c r="T4" s="8"/>
    </row>
    <row r="5" spans="1:20" s="11" customFormat="1" ht="17.25" customHeight="1">
      <c r="A5" s="18"/>
      <c r="B5" s="18"/>
      <c r="C5" s="19"/>
      <c r="D5" s="20"/>
      <c r="E5" s="21"/>
      <c r="F5" s="21"/>
      <c r="G5" s="21"/>
      <c r="H5" s="21"/>
      <c r="I5" s="21"/>
      <c r="J5" s="21"/>
      <c r="K5" s="22"/>
      <c r="L5" s="22"/>
      <c r="M5" s="22"/>
      <c r="N5" s="22"/>
      <c r="O5" s="22"/>
      <c r="P5" s="10"/>
      <c r="Q5" s="10"/>
      <c r="R5" s="10"/>
      <c r="S5" s="10"/>
      <c r="T5" s="10"/>
    </row>
    <row r="6" spans="1:20" s="11" customFormat="1" ht="17.25" customHeight="1">
      <c r="A6" s="18"/>
      <c r="B6" s="18"/>
      <c r="C6" s="19"/>
      <c r="D6" s="20"/>
      <c r="E6" s="21"/>
      <c r="F6" s="21"/>
      <c r="G6" s="21"/>
      <c r="H6" s="21"/>
      <c r="I6" s="21"/>
      <c r="J6" s="21"/>
      <c r="K6" s="22"/>
      <c r="L6" s="22"/>
      <c r="M6" s="22"/>
      <c r="N6" s="22"/>
      <c r="O6" s="22"/>
      <c r="P6" s="10"/>
      <c r="Q6" s="10"/>
      <c r="R6" s="10"/>
      <c r="S6" s="10"/>
      <c r="T6" s="10"/>
    </row>
    <row r="7" spans="1:20" s="2" customFormat="1" ht="12" customHeight="1">
      <c r="A7" s="23"/>
      <c r="B7" s="24"/>
      <c r="C7" s="24"/>
      <c r="D7" s="24"/>
      <c r="E7" s="24"/>
      <c r="F7" s="24"/>
      <c r="G7" s="24"/>
      <c r="H7" s="24"/>
      <c r="I7" s="24"/>
      <c r="J7" s="24"/>
      <c r="K7" s="24"/>
      <c r="L7" s="24"/>
      <c r="M7" s="86" t="s">
        <v>167</v>
      </c>
      <c r="N7" s="87"/>
      <c r="O7" s="87"/>
    </row>
    <row r="8" spans="1:20" s="2" customFormat="1" ht="12" customHeight="1">
      <c r="A8" s="25" t="s">
        <v>86</v>
      </c>
      <c r="B8" s="26" t="s">
        <v>26</v>
      </c>
      <c r="C8" s="26" t="s">
        <v>20</v>
      </c>
      <c r="D8" s="25" t="s">
        <v>63</v>
      </c>
      <c r="E8" s="25"/>
      <c r="F8" s="25"/>
      <c r="G8" s="27" t="s">
        <v>51</v>
      </c>
      <c r="H8" s="28" t="s">
        <v>27</v>
      </c>
      <c r="I8" s="28" t="s">
        <v>28</v>
      </c>
      <c r="J8" s="28" t="s">
        <v>29</v>
      </c>
      <c r="K8" s="29" t="s">
        <v>84</v>
      </c>
      <c r="L8" s="26" t="s">
        <v>136</v>
      </c>
      <c r="M8" s="26" t="s">
        <v>117</v>
      </c>
      <c r="N8" s="26" t="s">
        <v>118</v>
      </c>
      <c r="O8" s="26" t="s">
        <v>52</v>
      </c>
      <c r="P8" s="12" t="s">
        <v>44</v>
      </c>
      <c r="Q8" s="12" t="s">
        <v>45</v>
      </c>
    </row>
    <row r="9" spans="1:20" s="2" customFormat="1" ht="12" customHeight="1">
      <c r="A9" s="30" t="s">
        <v>65</v>
      </c>
      <c r="B9" s="31" t="s">
        <v>66</v>
      </c>
      <c r="C9" s="32" t="s">
        <v>22</v>
      </c>
      <c r="D9" s="30" t="s">
        <v>120</v>
      </c>
      <c r="E9" s="30"/>
      <c r="F9" s="30"/>
      <c r="G9" s="77">
        <v>3.2000000000000001E-2</v>
      </c>
      <c r="H9" s="34">
        <v>0</v>
      </c>
      <c r="I9" s="34">
        <v>0</v>
      </c>
      <c r="J9" s="35">
        <v>0</v>
      </c>
      <c r="K9" s="89"/>
      <c r="L9" s="36">
        <v>8.9999999999999998E-4</v>
      </c>
      <c r="M9" s="36">
        <v>0</v>
      </c>
      <c r="N9" s="36">
        <v>0</v>
      </c>
      <c r="O9" s="36">
        <v>0</v>
      </c>
      <c r="P9" s="2" t="s">
        <v>46</v>
      </c>
    </row>
    <row r="10" spans="1:20" s="2" customFormat="1" ht="12" customHeight="1">
      <c r="A10" s="37" t="s">
        <v>67</v>
      </c>
      <c r="B10" s="38" t="s">
        <v>68</v>
      </c>
      <c r="C10" s="39" t="s">
        <v>22</v>
      </c>
      <c r="D10" s="37" t="s">
        <v>119</v>
      </c>
      <c r="E10" s="37"/>
      <c r="F10" s="37"/>
      <c r="G10" s="77">
        <v>2.1999999999999999E-2</v>
      </c>
      <c r="H10" s="41">
        <v>0</v>
      </c>
      <c r="I10" s="41">
        <v>0</v>
      </c>
      <c r="J10" s="42">
        <v>0</v>
      </c>
      <c r="K10" s="90"/>
      <c r="L10" s="43">
        <v>1E-3</v>
      </c>
      <c r="M10" s="43">
        <v>0</v>
      </c>
      <c r="N10" s="43">
        <v>0</v>
      </c>
      <c r="O10" s="43">
        <v>0</v>
      </c>
      <c r="P10" s="2" t="s">
        <v>46</v>
      </c>
    </row>
    <row r="11" spans="1:20" s="2" customFormat="1" ht="12" customHeight="1">
      <c r="A11" s="30" t="s">
        <v>69</v>
      </c>
      <c r="B11" s="31" t="s">
        <v>70</v>
      </c>
      <c r="C11" s="32" t="s">
        <v>22</v>
      </c>
      <c r="D11" s="30" t="s">
        <v>121</v>
      </c>
      <c r="E11" s="30"/>
      <c r="F11" s="30"/>
      <c r="G11" s="77">
        <v>3.1E-2</v>
      </c>
      <c r="H11" s="34">
        <v>0</v>
      </c>
      <c r="I11" s="34">
        <v>0</v>
      </c>
      <c r="J11" s="35">
        <v>0</v>
      </c>
      <c r="K11" s="89"/>
      <c r="L11" s="36">
        <v>1E-3</v>
      </c>
      <c r="M11" s="36">
        <v>0</v>
      </c>
      <c r="N11" s="36">
        <v>0</v>
      </c>
      <c r="O11" s="36">
        <v>0</v>
      </c>
      <c r="P11" s="2" t="s">
        <v>46</v>
      </c>
    </row>
    <row r="12" spans="1:20" s="2" customFormat="1" ht="12" customHeight="1">
      <c r="A12" s="37" t="s">
        <v>42</v>
      </c>
      <c r="B12" s="38" t="s">
        <v>43</v>
      </c>
      <c r="C12" s="39" t="s">
        <v>22</v>
      </c>
      <c r="D12" s="37" t="s">
        <v>98</v>
      </c>
      <c r="E12" s="37"/>
      <c r="F12" s="37"/>
      <c r="G12" s="77">
        <v>3.0980000000000001E-2</v>
      </c>
      <c r="H12" s="41">
        <v>0</v>
      </c>
      <c r="I12" s="41">
        <v>0</v>
      </c>
      <c r="J12" s="42">
        <f>301/46814086</f>
        <v>6.4296887052328651E-6</v>
      </c>
      <c r="K12" s="90"/>
      <c r="L12" s="43">
        <v>8.9999999999999998E-4</v>
      </c>
      <c r="M12" s="43">
        <v>0</v>
      </c>
      <c r="N12" s="43">
        <v>0</v>
      </c>
      <c r="O12" s="43">
        <v>0</v>
      </c>
      <c r="P12" s="2" t="s">
        <v>46</v>
      </c>
      <c r="Q12" s="16" t="s">
        <v>130</v>
      </c>
    </row>
    <row r="13" spans="1:20" s="2" customFormat="1" ht="12" customHeight="1">
      <c r="A13" s="30" t="s">
        <v>96</v>
      </c>
      <c r="B13" s="31" t="s">
        <v>34</v>
      </c>
      <c r="C13" s="32" t="s">
        <v>22</v>
      </c>
      <c r="D13" s="30" t="s">
        <v>99</v>
      </c>
      <c r="E13" s="30"/>
      <c r="F13" s="44"/>
      <c r="G13" s="77">
        <v>3.1480000000000001E-2</v>
      </c>
      <c r="H13" s="34">
        <v>0</v>
      </c>
      <c r="I13" s="34">
        <v>3.5E-4</v>
      </c>
      <c r="J13" s="35">
        <f>202415/5828447</f>
        <v>3.4728805117383757E-2</v>
      </c>
      <c r="K13" s="89"/>
      <c r="L13" s="36">
        <v>2.2000000000000001E-3</v>
      </c>
      <c r="M13" s="36">
        <f>(G13-I13)*J13</f>
        <v>1.0811077033041564E-3</v>
      </c>
      <c r="N13" s="36">
        <f>(G13-I13)*J13</f>
        <v>1.0811077033041564E-3</v>
      </c>
      <c r="O13" s="36">
        <v>0</v>
      </c>
      <c r="P13" s="16" t="s">
        <v>95</v>
      </c>
      <c r="Q13" s="16" t="s">
        <v>130</v>
      </c>
    </row>
    <row r="14" spans="1:20" s="2" customFormat="1" ht="12" customHeight="1">
      <c r="A14" s="37" t="s">
        <v>97</v>
      </c>
      <c r="B14" s="38" t="s">
        <v>35</v>
      </c>
      <c r="C14" s="39" t="s">
        <v>22</v>
      </c>
      <c r="D14" s="37" t="s">
        <v>100</v>
      </c>
      <c r="E14" s="37"/>
      <c r="F14" s="45"/>
      <c r="G14" s="77">
        <v>2.239E-2</v>
      </c>
      <c r="H14" s="41">
        <f>9408000/(1233622000+9408000)</f>
        <v>7.5686025276944244E-3</v>
      </c>
      <c r="I14" s="41">
        <v>8.9999999999999998E-4</v>
      </c>
      <c r="J14" s="42">
        <f>831119/5559600</f>
        <v>0.14949258939492049</v>
      </c>
      <c r="K14" s="90"/>
      <c r="L14" s="43">
        <v>3.8E-3</v>
      </c>
      <c r="M14" s="43">
        <f>G14*H14+J14*(G14-G14*H14-I14)</f>
        <v>3.3567235914165809E-3</v>
      </c>
      <c r="N14" s="43">
        <f>G14*H14+J14*(G14-G14*H14-I14)</f>
        <v>3.3567235914165809E-3</v>
      </c>
      <c r="O14" s="43">
        <f>G14*H14</f>
        <v>1.6946101059507816E-4</v>
      </c>
      <c r="P14" s="16" t="s">
        <v>95</v>
      </c>
      <c r="Q14" s="16" t="s">
        <v>130</v>
      </c>
    </row>
    <row r="15" spans="1:20" s="2" customFormat="1" ht="12" customHeight="1">
      <c r="A15" s="37"/>
      <c r="B15" s="39"/>
      <c r="C15" s="39"/>
      <c r="D15" s="37"/>
      <c r="E15" s="37"/>
      <c r="F15" s="45"/>
      <c r="G15" s="40"/>
      <c r="H15" s="41"/>
      <c r="I15" s="41"/>
      <c r="J15" s="42"/>
      <c r="K15" s="46"/>
      <c r="L15" s="43"/>
      <c r="M15" s="43"/>
      <c r="N15" s="43"/>
      <c r="O15" s="43"/>
    </row>
    <row r="16" spans="1:20" s="2" customFormat="1" ht="12" customHeight="1">
      <c r="A16" s="25" t="s">
        <v>87</v>
      </c>
      <c r="B16" s="47"/>
      <c r="C16" s="47"/>
      <c r="D16" s="48"/>
      <c r="E16" s="48"/>
      <c r="F16" s="48"/>
      <c r="G16" s="49"/>
      <c r="H16" s="50"/>
      <c r="I16" s="50"/>
      <c r="J16" s="51"/>
      <c r="K16" s="52"/>
      <c r="L16" s="47"/>
      <c r="M16" s="47"/>
      <c r="N16" s="47"/>
      <c r="O16" s="47"/>
      <c r="P16" s="12" t="s">
        <v>44</v>
      </c>
      <c r="Q16" s="12" t="s">
        <v>45</v>
      </c>
    </row>
    <row r="17" spans="1:17" s="2" customFormat="1" ht="12" customHeight="1">
      <c r="A17" s="30" t="s">
        <v>40</v>
      </c>
      <c r="B17" s="31" t="s">
        <v>41</v>
      </c>
      <c r="C17" s="32" t="s">
        <v>22</v>
      </c>
      <c r="D17" s="30" t="s">
        <v>64</v>
      </c>
      <c r="E17" s="30"/>
      <c r="F17" s="30"/>
      <c r="G17" s="77">
        <v>3.0099999999999998E-2</v>
      </c>
      <c r="H17" s="34">
        <v>0</v>
      </c>
      <c r="I17" s="34">
        <v>0</v>
      </c>
      <c r="J17" s="35">
        <f>85/66807</f>
        <v>1.2723217626895386E-3</v>
      </c>
      <c r="K17" s="89"/>
      <c r="L17" s="36">
        <v>5.9999999999999995E-4</v>
      </c>
      <c r="M17" s="36">
        <f>G17*J17</f>
        <v>3.8296885056955107E-5</v>
      </c>
      <c r="N17" s="36">
        <f>G17*J17</f>
        <v>3.8296885056955107E-5</v>
      </c>
      <c r="O17" s="36">
        <v>0</v>
      </c>
    </row>
    <row r="18" spans="1:17" s="2" customFormat="1" ht="12" customHeight="1">
      <c r="A18" s="37" t="s">
        <v>38</v>
      </c>
      <c r="B18" s="38" t="s">
        <v>39</v>
      </c>
      <c r="C18" s="39" t="s">
        <v>22</v>
      </c>
      <c r="D18" s="37" t="s">
        <v>64</v>
      </c>
      <c r="E18" s="37"/>
      <c r="F18" s="37"/>
      <c r="G18" s="77">
        <v>3.0099999999999998E-2</v>
      </c>
      <c r="H18" s="41">
        <v>0</v>
      </c>
      <c r="I18" s="41">
        <v>0</v>
      </c>
      <c r="J18" s="42">
        <f>414/125798780</f>
        <v>3.2909699124268136E-6</v>
      </c>
      <c r="K18" s="90"/>
      <c r="L18" s="43">
        <v>5.9999999999999995E-4</v>
      </c>
      <c r="M18" s="43">
        <f>G18*J18</f>
        <v>9.9058194364047086E-8</v>
      </c>
      <c r="N18" s="43">
        <f>G18*J18</f>
        <v>9.9058194364047086E-8</v>
      </c>
      <c r="O18" s="43">
        <v>0</v>
      </c>
      <c r="Q18" s="16" t="s">
        <v>135</v>
      </c>
    </row>
    <row r="19" spans="1:17" s="2" customFormat="1" ht="12" customHeight="1">
      <c r="A19" s="30" t="s">
        <v>36</v>
      </c>
      <c r="B19" s="31" t="s">
        <v>37</v>
      </c>
      <c r="C19" s="32" t="s">
        <v>22</v>
      </c>
      <c r="D19" s="30" t="s">
        <v>61</v>
      </c>
      <c r="E19" s="30"/>
      <c r="F19" s="30"/>
      <c r="G19" s="77">
        <v>2.9600000000000001E-2</v>
      </c>
      <c r="H19" s="34">
        <v>0</v>
      </c>
      <c r="I19" s="34">
        <v>0</v>
      </c>
      <c r="J19" s="35">
        <f>3073/41862846</f>
        <v>7.3406380445323758E-5</v>
      </c>
      <c r="K19" s="89"/>
      <c r="L19" s="36">
        <v>5.9999999999999995E-4</v>
      </c>
      <c r="M19" s="36">
        <f>G19*J19</f>
        <v>2.1728288611815833E-6</v>
      </c>
      <c r="N19" s="36">
        <f>G19*J19</f>
        <v>2.1728288611815833E-6</v>
      </c>
      <c r="O19" s="36">
        <v>0</v>
      </c>
      <c r="Q19" s="16" t="s">
        <v>130</v>
      </c>
    </row>
    <row r="20" spans="1:17" s="2" customFormat="1" ht="12" customHeight="1">
      <c r="A20" s="37"/>
      <c r="B20" s="39"/>
      <c r="C20" s="39"/>
      <c r="D20" s="37"/>
      <c r="E20" s="37"/>
      <c r="F20" s="37"/>
      <c r="G20" s="40"/>
      <c r="H20" s="41"/>
      <c r="I20" s="41"/>
      <c r="J20" s="42"/>
      <c r="K20" s="46"/>
      <c r="L20" s="43"/>
      <c r="M20" s="43"/>
      <c r="N20" s="43"/>
      <c r="O20" s="43"/>
    </row>
    <row r="21" spans="1:17" s="2" customFormat="1" ht="12" customHeight="1">
      <c r="A21" s="25" t="s">
        <v>88</v>
      </c>
      <c r="B21" s="47"/>
      <c r="C21" s="47"/>
      <c r="D21" s="48"/>
      <c r="E21" s="48"/>
      <c r="F21" s="48"/>
      <c r="G21" s="48"/>
      <c r="H21" s="50"/>
      <c r="I21" s="50"/>
      <c r="J21" s="51"/>
      <c r="K21" s="52"/>
      <c r="L21" s="47"/>
      <c r="M21" s="47"/>
      <c r="N21" s="47"/>
      <c r="O21" s="47"/>
      <c r="P21" s="12" t="s">
        <v>44</v>
      </c>
      <c r="Q21" s="12" t="s">
        <v>45</v>
      </c>
    </row>
    <row r="22" spans="1:17" s="2" customFormat="1" ht="12" hidden="1" customHeight="1">
      <c r="A22" s="37" t="s">
        <v>142</v>
      </c>
      <c r="B22" s="38" t="s">
        <v>141</v>
      </c>
      <c r="C22" s="39" t="s">
        <v>22</v>
      </c>
      <c r="D22" s="37" t="s">
        <v>151</v>
      </c>
      <c r="E22" s="37"/>
      <c r="F22" s="37"/>
      <c r="G22" s="77">
        <v>1.8599999999999998E-2</v>
      </c>
      <c r="H22" s="41">
        <v>0</v>
      </c>
      <c r="I22" s="41">
        <v>0</v>
      </c>
      <c r="J22" s="42">
        <f>3880926/25861320</f>
        <v>0.15006681793504739</v>
      </c>
      <c r="K22" s="74"/>
      <c r="L22" s="43"/>
      <c r="M22" s="43">
        <f>(G22-I22)*J22</f>
        <v>2.7912428135918811E-3</v>
      </c>
      <c r="N22" s="43">
        <f>(G22-I22)*J22</f>
        <v>2.7912428135918811E-3</v>
      </c>
      <c r="O22" s="43">
        <v>0</v>
      </c>
      <c r="Q22" s="17"/>
    </row>
    <row r="23" spans="1:17" s="2" customFormat="1" ht="12" customHeight="1">
      <c r="A23" s="30" t="s">
        <v>4</v>
      </c>
      <c r="B23" s="31" t="s">
        <v>5</v>
      </c>
      <c r="C23" s="32" t="s">
        <v>21</v>
      </c>
      <c r="D23" s="30" t="s">
        <v>75</v>
      </c>
      <c r="E23" s="30"/>
      <c r="F23" s="30"/>
      <c r="G23" s="77">
        <v>1.7899999999999999E-2</v>
      </c>
      <c r="H23" s="34">
        <f>18755/(291256727+2524809+28016)</f>
        <v>6.3833867457107051E-5</v>
      </c>
      <c r="I23" s="34">
        <v>2.9999999999999997E-4</v>
      </c>
      <c r="J23" s="35">
        <v>0.15</v>
      </c>
      <c r="K23" s="89"/>
      <c r="L23" s="36">
        <v>2.9999999999999997E-4</v>
      </c>
      <c r="M23" s="36">
        <f>(G23-I23)*J23</f>
        <v>2.6399999999999996E-3</v>
      </c>
      <c r="N23" s="36">
        <v>0</v>
      </c>
      <c r="O23" s="36">
        <v>0</v>
      </c>
      <c r="P23" s="16" t="s">
        <v>144</v>
      </c>
    </row>
    <row r="24" spans="1:17" s="2" customFormat="1" ht="12" customHeight="1">
      <c r="A24" s="37" t="s">
        <v>6</v>
      </c>
      <c r="B24" s="38" t="s">
        <v>7</v>
      </c>
      <c r="C24" s="39" t="s">
        <v>22</v>
      </c>
      <c r="D24" s="37" t="s">
        <v>75</v>
      </c>
      <c r="E24" s="37"/>
      <c r="F24" s="37"/>
      <c r="G24" s="77">
        <v>1.7899999999999999E-2</v>
      </c>
      <c r="H24" s="41">
        <v>0</v>
      </c>
      <c r="I24" s="41">
        <v>2.9999999999999997E-4</v>
      </c>
      <c r="J24" s="42">
        <f>3760616/25070770</f>
        <v>0.15000001994354381</v>
      </c>
      <c r="K24" s="90"/>
      <c r="L24" s="43">
        <v>6.9999999999999999E-4</v>
      </c>
      <c r="M24" s="43">
        <f>(G24-I24)*J24</f>
        <v>2.6400003510063707E-3</v>
      </c>
      <c r="N24" s="43">
        <f>(G24-I24)*J24</f>
        <v>2.6400003510063707E-3</v>
      </c>
      <c r="O24" s="43">
        <v>0</v>
      </c>
      <c r="Q24" s="16" t="s">
        <v>135</v>
      </c>
    </row>
    <row r="25" spans="1:17" s="2" customFormat="1" ht="12" customHeight="1">
      <c r="A25" s="30" t="s">
        <v>0</v>
      </c>
      <c r="B25" s="31" t="s">
        <v>1</v>
      </c>
      <c r="C25" s="32" t="s">
        <v>21</v>
      </c>
      <c r="D25" s="30" t="s">
        <v>72</v>
      </c>
      <c r="E25" s="30"/>
      <c r="F25" s="30"/>
      <c r="G25" s="77">
        <v>1.7299999999999999E-2</v>
      </c>
      <c r="H25" s="34">
        <v>0</v>
      </c>
      <c r="I25" s="34">
        <v>2.9999999999999997E-4</v>
      </c>
      <c r="J25" s="35">
        <v>0.15</v>
      </c>
      <c r="K25" s="89"/>
      <c r="L25" s="36">
        <v>2.9999999999999997E-4</v>
      </c>
      <c r="M25" s="36">
        <f>(G25-I25)*J25</f>
        <v>2.5499999999999997E-3</v>
      </c>
      <c r="N25" s="36">
        <v>0</v>
      </c>
      <c r="O25" s="36">
        <v>0</v>
      </c>
      <c r="P25" s="16" t="s">
        <v>95</v>
      </c>
    </row>
    <row r="26" spans="1:17" s="2" customFormat="1" ht="12" customHeight="1">
      <c r="A26" s="37" t="s">
        <v>2</v>
      </c>
      <c r="B26" s="38" t="s">
        <v>3</v>
      </c>
      <c r="C26" s="39" t="s">
        <v>22</v>
      </c>
      <c r="D26" s="37" t="s">
        <v>72</v>
      </c>
      <c r="E26" s="37"/>
      <c r="F26" s="37"/>
      <c r="G26" s="77">
        <v>1.7299999999999999E-2</v>
      </c>
      <c r="H26" s="41">
        <v>0</v>
      </c>
      <c r="I26" s="41">
        <v>2.9999999999999997E-4</v>
      </c>
      <c r="J26" s="42">
        <f>3880926/25861320</f>
        <v>0.15006681793504739</v>
      </c>
      <c r="K26" s="90"/>
      <c r="L26" s="43">
        <v>1.6000000000000001E-3</v>
      </c>
      <c r="M26" s="43">
        <f>(G26-I26)*J26</f>
        <v>2.5511359048958054E-3</v>
      </c>
      <c r="N26" s="43">
        <f>(G26-I26)*J26</f>
        <v>2.5511359048958054E-3</v>
      </c>
      <c r="O26" s="43">
        <v>0</v>
      </c>
      <c r="Q26" s="16" t="s">
        <v>168</v>
      </c>
    </row>
    <row r="27" spans="1:17" s="2" customFormat="1" ht="12" customHeight="1">
      <c r="A27" s="37"/>
      <c r="B27" s="39"/>
      <c r="C27" s="39"/>
      <c r="D27" s="37"/>
      <c r="E27" s="37"/>
      <c r="F27" s="37"/>
      <c r="G27" s="40"/>
      <c r="H27" s="41"/>
      <c r="I27" s="41"/>
      <c r="J27" s="42"/>
      <c r="K27" s="46"/>
      <c r="L27" s="43"/>
      <c r="M27" s="43"/>
      <c r="N27" s="43"/>
      <c r="O27" s="43"/>
    </row>
    <row r="28" spans="1:17" s="2" customFormat="1" ht="12" customHeight="1">
      <c r="A28" s="25" t="s">
        <v>89</v>
      </c>
      <c r="B28" s="47"/>
      <c r="C28" s="47"/>
      <c r="D28" s="48"/>
      <c r="E28" s="48"/>
      <c r="F28" s="48"/>
      <c r="G28" s="49"/>
      <c r="H28" s="50"/>
      <c r="I28" s="50"/>
      <c r="J28" s="51"/>
      <c r="K28" s="52"/>
      <c r="L28" s="47"/>
      <c r="M28" s="47"/>
      <c r="N28" s="47"/>
      <c r="O28" s="47"/>
      <c r="P28" s="12" t="s">
        <v>44</v>
      </c>
      <c r="Q28" s="12" t="s">
        <v>45</v>
      </c>
    </row>
    <row r="29" spans="1:17" s="2" customFormat="1" ht="12" hidden="1" customHeight="1">
      <c r="A29" s="37" t="s">
        <v>139</v>
      </c>
      <c r="B29" s="38" t="s">
        <v>140</v>
      </c>
      <c r="C29" s="39" t="s">
        <v>22</v>
      </c>
      <c r="D29" s="37" t="s">
        <v>150</v>
      </c>
      <c r="E29" s="37"/>
      <c r="F29" s="37"/>
      <c r="G29" s="77">
        <v>3.1899999999999998E-2</v>
      </c>
      <c r="H29" s="41"/>
      <c r="I29" s="41">
        <v>0</v>
      </c>
      <c r="J29" s="42">
        <v>0</v>
      </c>
      <c r="K29" s="74"/>
      <c r="L29" s="43"/>
      <c r="M29" s="43">
        <f>G29*H29</f>
        <v>0</v>
      </c>
      <c r="N29" s="43">
        <f t="shared" ref="N29" si="0">G29*H29</f>
        <v>0</v>
      </c>
      <c r="O29" s="43">
        <v>0</v>
      </c>
      <c r="P29" s="2" t="s">
        <v>46</v>
      </c>
      <c r="Q29" s="17"/>
    </row>
    <row r="30" spans="1:17" s="2" customFormat="1" ht="12" customHeight="1">
      <c r="A30" s="30" t="s">
        <v>8</v>
      </c>
      <c r="B30" s="31" t="s">
        <v>9</v>
      </c>
      <c r="C30" s="32" t="s">
        <v>21</v>
      </c>
      <c r="D30" s="30" t="s">
        <v>56</v>
      </c>
      <c r="E30" s="30"/>
      <c r="F30" s="30"/>
      <c r="G30" s="77">
        <v>3.1E-2</v>
      </c>
      <c r="H30" s="34">
        <f>(134248471+2064)/(1644259411+1478474)</f>
        <v>8.1574676152028916E-2</v>
      </c>
      <c r="I30" s="34">
        <v>6.9999999999999999E-4</v>
      </c>
      <c r="J30" s="35">
        <v>0.15</v>
      </c>
      <c r="K30" s="89"/>
      <c r="L30" s="36">
        <v>6.9999999999999999E-4</v>
      </c>
      <c r="M30" s="36">
        <f>G30*H30+J30*(G30-G30*H30-I30)</f>
        <v>6.6944927166059619E-3</v>
      </c>
      <c r="N30" s="36">
        <f t="shared" ref="N30:N33" si="1">G30*H30</f>
        <v>2.5288149607128963E-3</v>
      </c>
      <c r="O30" s="36">
        <f>G30*H30</f>
        <v>2.5288149607128963E-3</v>
      </c>
      <c r="P30" s="16" t="s">
        <v>143</v>
      </c>
      <c r="Q30" s="2" t="s">
        <v>46</v>
      </c>
    </row>
    <row r="31" spans="1:17" s="2" customFormat="1" ht="12" customHeight="1">
      <c r="A31" s="37" t="s">
        <v>10</v>
      </c>
      <c r="B31" s="38" t="s">
        <v>11</v>
      </c>
      <c r="C31" s="39" t="s">
        <v>22</v>
      </c>
      <c r="D31" s="37" t="s">
        <v>56</v>
      </c>
      <c r="E31" s="37"/>
      <c r="F31" s="37"/>
      <c r="G31" s="77">
        <v>3.1E-2</v>
      </c>
      <c r="H31" s="41">
        <f>5586497/63754246</f>
        <v>8.7625489288980063E-2</v>
      </c>
      <c r="I31" s="41">
        <v>0</v>
      </c>
      <c r="J31" s="42">
        <v>0</v>
      </c>
      <c r="K31" s="90"/>
      <c r="L31" s="43">
        <v>2.2000000000000001E-3</v>
      </c>
      <c r="M31" s="43">
        <f>G31*H31</f>
        <v>2.716390167958382E-3</v>
      </c>
      <c r="N31" s="43">
        <f t="shared" si="1"/>
        <v>2.716390167958382E-3</v>
      </c>
      <c r="O31" s="43">
        <v>0</v>
      </c>
      <c r="P31" s="2" t="s">
        <v>46</v>
      </c>
      <c r="Q31" s="16" t="s">
        <v>135</v>
      </c>
    </row>
    <row r="32" spans="1:17" s="2" customFormat="1" ht="12" customHeight="1">
      <c r="A32" s="30" t="s">
        <v>138</v>
      </c>
      <c r="B32" s="31" t="s">
        <v>131</v>
      </c>
      <c r="C32" s="32" t="s">
        <v>21</v>
      </c>
      <c r="D32" s="30" t="s">
        <v>152</v>
      </c>
      <c r="E32" s="30"/>
      <c r="F32" s="30"/>
      <c r="G32" s="77">
        <v>3.0700000000000002E-2</v>
      </c>
      <c r="H32" s="33">
        <f>235808000/3443169000</f>
        <v>6.8485746706014136E-2</v>
      </c>
      <c r="I32" s="34">
        <v>5.0000000000000001E-4</v>
      </c>
      <c r="J32" s="35">
        <f>1729700/11554303</f>
        <v>0.14970180373493755</v>
      </c>
      <c r="K32" s="89"/>
      <c r="L32" s="36">
        <v>5.0000000000000001E-4</v>
      </c>
      <c r="M32" s="36">
        <f>G32*H32+J32*(G32-G32*H32-I32)</f>
        <v>6.3087569944405997E-3</v>
      </c>
      <c r="N32" s="36">
        <f t="shared" ref="N32" si="2">G32*H32</f>
        <v>2.1025124238746341E-3</v>
      </c>
      <c r="O32" s="36">
        <f>G32*H32</f>
        <v>2.1025124238746341E-3</v>
      </c>
      <c r="P32" s="16" t="s">
        <v>95</v>
      </c>
      <c r="Q32" s="17"/>
    </row>
    <row r="33" spans="1:17" s="2" customFormat="1" ht="12" customHeight="1">
      <c r="A33" s="37" t="s">
        <v>92</v>
      </c>
      <c r="B33" s="38" t="s">
        <v>19</v>
      </c>
      <c r="C33" s="39" t="s">
        <v>22</v>
      </c>
      <c r="D33" s="37" t="s">
        <v>73</v>
      </c>
      <c r="E33" s="37"/>
      <c r="F33" s="37"/>
      <c r="G33" s="77">
        <v>3.1099999999999999E-2</v>
      </c>
      <c r="H33" s="41">
        <f>1879852/20389774</f>
        <v>9.2195823259247509E-2</v>
      </c>
      <c r="I33" s="41">
        <v>0</v>
      </c>
      <c r="J33" s="42">
        <v>0</v>
      </c>
      <c r="K33" s="90"/>
      <c r="L33" s="43">
        <v>2.3E-3</v>
      </c>
      <c r="M33" s="43">
        <f>G33*H33</f>
        <v>2.8672901033625973E-3</v>
      </c>
      <c r="N33" s="43">
        <f t="shared" si="1"/>
        <v>2.8672901033625973E-3</v>
      </c>
      <c r="O33" s="43">
        <v>0</v>
      </c>
      <c r="P33" s="2" t="s">
        <v>46</v>
      </c>
      <c r="Q33" s="16" t="s">
        <v>130</v>
      </c>
    </row>
    <row r="34" spans="1:17" s="2" customFormat="1" ht="12" customHeight="1">
      <c r="A34" s="30" t="s">
        <v>146</v>
      </c>
      <c r="B34" s="31" t="s">
        <v>145</v>
      </c>
      <c r="C34" s="32" t="s">
        <v>21</v>
      </c>
      <c r="D34" s="30" t="s">
        <v>149</v>
      </c>
      <c r="E34" s="79"/>
      <c r="F34" s="79"/>
      <c r="G34" s="77">
        <v>3.04E-2</v>
      </c>
      <c r="H34" s="41">
        <f>785158000/(785158000+9878587000+17176000+3895000+57866000)</f>
        <v>7.3087707520338024E-2</v>
      </c>
      <c r="I34" s="41">
        <v>8.9999999999999998E-4</v>
      </c>
      <c r="J34" s="42">
        <v>0.15</v>
      </c>
      <c r="K34" s="89"/>
      <c r="L34" s="36">
        <v>8.9999999999999998E-4</v>
      </c>
      <c r="M34" s="36">
        <f>G34*H34+J34*(G34-G34*H34-I34)</f>
        <v>6.3135863623255337E-3</v>
      </c>
      <c r="N34" s="36">
        <f>G34*H34</f>
        <v>2.2218663086182758E-3</v>
      </c>
      <c r="O34" s="36">
        <f>G34*H34</f>
        <v>2.2218663086182758E-3</v>
      </c>
      <c r="P34" s="16" t="s">
        <v>147</v>
      </c>
    </row>
    <row r="35" spans="1:17" s="2" customFormat="1" ht="12" customHeight="1">
      <c r="A35" s="37"/>
      <c r="B35" s="39"/>
      <c r="C35" s="39"/>
      <c r="D35" s="37"/>
      <c r="E35" s="37"/>
      <c r="F35" s="37"/>
      <c r="G35" s="40"/>
      <c r="H35" s="41"/>
      <c r="I35" s="41"/>
      <c r="J35" s="42"/>
      <c r="K35" s="46"/>
      <c r="L35" s="43"/>
      <c r="M35" s="43"/>
      <c r="N35" s="43"/>
      <c r="O35" s="43"/>
    </row>
    <row r="36" spans="1:17" s="2" customFormat="1" ht="12" customHeight="1">
      <c r="A36" s="25" t="s">
        <v>90</v>
      </c>
      <c r="B36" s="47"/>
      <c r="C36" s="47"/>
      <c r="D36" s="48"/>
      <c r="E36" s="48"/>
      <c r="F36" s="48"/>
      <c r="G36" s="49"/>
      <c r="H36" s="50"/>
      <c r="I36" s="50"/>
      <c r="J36" s="51"/>
      <c r="K36" s="52"/>
      <c r="L36" s="47"/>
      <c r="M36" s="47"/>
      <c r="N36" s="47"/>
      <c r="O36" s="47"/>
      <c r="P36" s="12" t="s">
        <v>44</v>
      </c>
      <c r="Q36" s="12" t="s">
        <v>45</v>
      </c>
    </row>
    <row r="37" spans="1:17" s="2" customFormat="1" ht="12" hidden="1" customHeight="1">
      <c r="A37" s="37" t="s">
        <v>132</v>
      </c>
      <c r="B37" s="38" t="s">
        <v>133</v>
      </c>
      <c r="C37" s="39" t="s">
        <v>21</v>
      </c>
      <c r="D37" s="37" t="s">
        <v>57</v>
      </c>
      <c r="E37" s="37"/>
      <c r="F37" s="37"/>
      <c r="G37" s="77">
        <v>2.64E-2</v>
      </c>
      <c r="H37" s="41">
        <f>(1752)/(454+12364+924)</f>
        <v>0.12749235919080193</v>
      </c>
      <c r="I37" s="41">
        <v>0</v>
      </c>
      <c r="J37" s="42">
        <v>0</v>
      </c>
      <c r="K37" s="74"/>
      <c r="L37" s="43">
        <v>2.7000000000000001E-3</v>
      </c>
      <c r="M37" s="43">
        <f>G37*H37+J37*(G37-G37*H37-I37)</f>
        <v>3.3657982826371708E-3</v>
      </c>
      <c r="N37" s="43">
        <f>G37*H37</f>
        <v>3.3657982826371708E-3</v>
      </c>
      <c r="O37" s="43">
        <v>0</v>
      </c>
      <c r="P37" s="17"/>
      <c r="Q37" s="73" t="s">
        <v>137</v>
      </c>
    </row>
    <row r="38" spans="1:17" s="2" customFormat="1" ht="12" customHeight="1">
      <c r="A38" s="30" t="s">
        <v>16</v>
      </c>
      <c r="B38" s="31" t="s">
        <v>17</v>
      </c>
      <c r="C38" s="32" t="s">
        <v>21</v>
      </c>
      <c r="D38" s="30" t="s">
        <v>57</v>
      </c>
      <c r="E38" s="30"/>
      <c r="F38" s="30"/>
      <c r="G38" s="77">
        <v>2.6499999999999999E-2</v>
      </c>
      <c r="H38" s="34">
        <f>(136301399+2417343+1630758)/(1279761682+1328581+57975)</f>
        <v>0.10954977405198602</v>
      </c>
      <c r="I38" s="34">
        <v>1.4E-3</v>
      </c>
      <c r="J38" s="35">
        <v>0.15</v>
      </c>
      <c r="K38" s="89"/>
      <c r="L38" s="36">
        <v>1.4E-3</v>
      </c>
      <c r="M38" s="36">
        <f t="shared" ref="M38:M41" si="3">G38*H38+J38*(G38-G38*H38-I38)</f>
        <v>6.2326086605209849E-3</v>
      </c>
      <c r="N38" s="36">
        <f>G38*H38</f>
        <v>2.9030690123776292E-3</v>
      </c>
      <c r="O38" s="36">
        <f t="shared" ref="O38:O41" si="4">G38*H38</f>
        <v>2.9030690123776292E-3</v>
      </c>
      <c r="P38" s="16" t="s">
        <v>134</v>
      </c>
    </row>
    <row r="39" spans="1:17" s="2" customFormat="1" ht="12" customHeight="1">
      <c r="A39" s="37" t="s">
        <v>85</v>
      </c>
      <c r="B39" s="38" t="s">
        <v>18</v>
      </c>
      <c r="C39" s="39" t="s">
        <v>22</v>
      </c>
      <c r="D39" s="37" t="s">
        <v>57</v>
      </c>
      <c r="E39" s="37"/>
      <c r="F39" s="37"/>
      <c r="G39" s="77">
        <v>2.6499999999999999E-2</v>
      </c>
      <c r="H39" s="41">
        <f>(136301399+2417343+1630758)/(1279761682+1328581+57975)</f>
        <v>0.10954977405198602</v>
      </c>
      <c r="I39" s="41">
        <v>1.4E-3</v>
      </c>
      <c r="J39" s="42">
        <f>2288445/(15256302+2704)</f>
        <v>0.14997339931578768</v>
      </c>
      <c r="K39" s="90"/>
      <c r="L39" s="43">
        <v>2.5999999999999999E-3</v>
      </c>
      <c r="M39" s="43">
        <f t="shared" si="3"/>
        <v>6.2320182069693008E-3</v>
      </c>
      <c r="N39" s="43">
        <f>G39*H39+J39*(G39-G39*H39-I39)</f>
        <v>6.2320182069693008E-3</v>
      </c>
      <c r="O39" s="43">
        <f t="shared" si="4"/>
        <v>2.9030690123776292E-3</v>
      </c>
      <c r="P39" s="16" t="s">
        <v>134</v>
      </c>
      <c r="Q39" s="16" t="s">
        <v>135</v>
      </c>
    </row>
    <row r="40" spans="1:17" s="2" customFormat="1" ht="12" customHeight="1">
      <c r="A40" s="30" t="s">
        <v>12</v>
      </c>
      <c r="B40" s="31" t="s">
        <v>13</v>
      </c>
      <c r="C40" s="32" t="s">
        <v>21</v>
      </c>
      <c r="D40" s="30" t="s">
        <v>74</v>
      </c>
      <c r="E40" s="30"/>
      <c r="F40" s="30"/>
      <c r="G40" s="77">
        <v>2.9000000000000001E-2</v>
      </c>
      <c r="H40" s="34">
        <f>246058000/2531211000</f>
        <v>9.720959651328949E-2</v>
      </c>
      <c r="I40" s="34">
        <v>1.1999999999999999E-3</v>
      </c>
      <c r="J40" s="35">
        <v>0.15</v>
      </c>
      <c r="K40" s="89"/>
      <c r="L40" s="36">
        <v>1.1999999999999999E-3</v>
      </c>
      <c r="M40" s="36">
        <f t="shared" si="3"/>
        <v>6.5662165540525865E-3</v>
      </c>
      <c r="N40" s="36">
        <f>G40*H40</f>
        <v>2.8190782988853952E-3</v>
      </c>
      <c r="O40" s="36">
        <f t="shared" si="4"/>
        <v>2.8190782988853952E-3</v>
      </c>
      <c r="P40" s="16" t="s">
        <v>95</v>
      </c>
    </row>
    <row r="41" spans="1:17" s="2" customFormat="1" ht="12" customHeight="1">
      <c r="A41" s="37" t="s">
        <v>14</v>
      </c>
      <c r="B41" s="38" t="s">
        <v>15</v>
      </c>
      <c r="C41" s="39" t="s">
        <v>22</v>
      </c>
      <c r="D41" s="37" t="s">
        <v>74</v>
      </c>
      <c r="E41" s="37"/>
      <c r="F41" s="37"/>
      <c r="G41" s="77">
        <v>2.9000000000000001E-2</v>
      </c>
      <c r="H41" s="41">
        <f>246058000/2531211000</f>
        <v>9.720959651328949E-2</v>
      </c>
      <c r="I41" s="41">
        <v>1.1999999999999999E-3</v>
      </c>
      <c r="J41" s="42">
        <f>3390234/22801829</f>
        <v>0.14868254647467097</v>
      </c>
      <c r="K41" s="90"/>
      <c r="L41" s="43">
        <v>2.3999999999999998E-3</v>
      </c>
      <c r="M41" s="43">
        <f t="shared" si="3"/>
        <v>6.5333053506914842E-3</v>
      </c>
      <c r="N41" s="43">
        <f>G41*H41+J41*(G41-G41*H41-I41)</f>
        <v>6.5333053506914842E-3</v>
      </c>
      <c r="O41" s="43">
        <f t="shared" si="4"/>
        <v>2.8190782988853952E-3</v>
      </c>
      <c r="P41" s="16" t="s">
        <v>95</v>
      </c>
      <c r="Q41" s="16" t="s">
        <v>130</v>
      </c>
    </row>
    <row r="42" spans="1:17" s="2" customFormat="1" ht="12" customHeight="1">
      <c r="A42" s="37"/>
      <c r="B42" s="39"/>
      <c r="C42" s="39"/>
      <c r="D42" s="37"/>
      <c r="E42" s="37"/>
      <c r="F42" s="37"/>
      <c r="G42" s="40"/>
      <c r="H42" s="41"/>
      <c r="I42" s="41"/>
      <c r="J42" s="42"/>
      <c r="K42" s="46"/>
      <c r="L42" s="43"/>
      <c r="M42" s="43"/>
      <c r="N42" s="43"/>
      <c r="O42" s="43"/>
    </row>
    <row r="43" spans="1:17" s="2" customFormat="1" ht="12" customHeight="1">
      <c r="A43" s="25" t="s">
        <v>91</v>
      </c>
      <c r="B43" s="47"/>
      <c r="C43" s="47"/>
      <c r="D43" s="48"/>
      <c r="E43" s="48"/>
      <c r="F43" s="48"/>
      <c r="G43" s="49"/>
      <c r="H43" s="50"/>
      <c r="I43" s="50"/>
      <c r="J43" s="51"/>
      <c r="K43" s="52"/>
      <c r="L43" s="47"/>
      <c r="M43" s="47"/>
      <c r="N43" s="47"/>
      <c r="O43" s="47"/>
      <c r="P43" s="12" t="s">
        <v>30</v>
      </c>
    </row>
    <row r="44" spans="1:17" s="2" customFormat="1" ht="12" customHeight="1">
      <c r="A44" s="30" t="s">
        <v>93</v>
      </c>
      <c r="B44" s="31" t="s">
        <v>24</v>
      </c>
      <c r="C44" s="32" t="s">
        <v>22</v>
      </c>
      <c r="D44" s="30" t="s">
        <v>60</v>
      </c>
      <c r="E44" s="80">
        <v>56188594.090000004</v>
      </c>
      <c r="F44" s="77">
        <f>SUM(F45:F47)</f>
        <v>1</v>
      </c>
      <c r="G44" s="77">
        <v>2.3099999999999999E-2</v>
      </c>
      <c r="H44" s="34"/>
      <c r="I44" s="34"/>
      <c r="J44" s="35"/>
      <c r="K44" s="89"/>
      <c r="L44" s="36">
        <v>2.2000000000000001E-3</v>
      </c>
      <c r="M44" s="36">
        <f>SUMPRODUCT(F45:F47,M45:M47)</f>
        <v>3.1248287732545785E-3</v>
      </c>
      <c r="N44" s="36">
        <f>SUMPRODUCT(F45:F47,N45:N47)</f>
        <v>3.1248287732545785E-3</v>
      </c>
      <c r="O44" s="36">
        <f>SUMPRODUCT(F45:F47,O45:O47)</f>
        <v>3.5891094347433012E-4</v>
      </c>
    </row>
    <row r="45" spans="1:17" s="2" customFormat="1" ht="12" hidden="1" customHeight="1">
      <c r="A45" s="37" t="s">
        <v>62</v>
      </c>
      <c r="B45" s="39" t="s">
        <v>5</v>
      </c>
      <c r="C45" s="39" t="s">
        <v>21</v>
      </c>
      <c r="D45" s="37" t="s">
        <v>55</v>
      </c>
      <c r="E45" s="80">
        <v>31827124.030000001</v>
      </c>
      <c r="F45" s="77">
        <f>E45/$E$44</f>
        <v>0.56643389188597515</v>
      </c>
      <c r="G45" s="77">
        <v>1.8100000000000002E-2</v>
      </c>
      <c r="H45" s="41">
        <f>18755/(291256727+2524809+28016)</f>
        <v>6.3833867457107051E-5</v>
      </c>
      <c r="I45" s="41">
        <v>2.9999999999999997E-4</v>
      </c>
      <c r="J45" s="42">
        <v>0.15</v>
      </c>
      <c r="K45" s="90"/>
      <c r="L45" s="43"/>
      <c r="M45" s="43">
        <f>(G45-I45)*J45</f>
        <v>2.6700000000000001E-3</v>
      </c>
      <c r="N45" s="43">
        <f>(G45-I45)*J45</f>
        <v>2.6700000000000001E-3</v>
      </c>
      <c r="O45" s="43">
        <v>0</v>
      </c>
    </row>
    <row r="46" spans="1:17" s="2" customFormat="1" ht="12" hidden="1" customHeight="1">
      <c r="A46" s="37" t="s">
        <v>59</v>
      </c>
      <c r="B46" s="39" t="s">
        <v>11</v>
      </c>
      <c r="C46" s="39" t="s">
        <v>22</v>
      </c>
      <c r="D46" s="37" t="s">
        <v>56</v>
      </c>
      <c r="E46" s="80">
        <v>17414786.66</v>
      </c>
      <c r="F46" s="77">
        <f>E46/$E$44</f>
        <v>0.30993455063328135</v>
      </c>
      <c r="G46" s="77">
        <v>3.1E-2</v>
      </c>
      <c r="H46" s="41">
        <f>5586497/63754246</f>
        <v>8.7625489288980063E-2</v>
      </c>
      <c r="I46" s="41">
        <v>0</v>
      </c>
      <c r="J46" s="42">
        <v>0</v>
      </c>
      <c r="K46" s="90"/>
      <c r="L46" s="43"/>
      <c r="M46" s="43">
        <f>G46*H46</f>
        <v>2.716390167958382E-3</v>
      </c>
      <c r="N46" s="43">
        <f>G46*H46</f>
        <v>2.716390167958382E-3</v>
      </c>
      <c r="O46" s="43">
        <v>0</v>
      </c>
    </row>
    <row r="47" spans="1:17" s="2" customFormat="1" ht="12" hidden="1" customHeight="1">
      <c r="A47" s="37" t="s">
        <v>58</v>
      </c>
      <c r="B47" s="39" t="s">
        <v>17</v>
      </c>
      <c r="C47" s="39" t="s">
        <v>21</v>
      </c>
      <c r="D47" s="37" t="s">
        <v>57</v>
      </c>
      <c r="E47" s="80">
        <v>6946683.4000000004</v>
      </c>
      <c r="F47" s="77">
        <f>E47/$E$44</f>
        <v>0.1236315574807435</v>
      </c>
      <c r="G47" s="77">
        <v>2.6499999999999999E-2</v>
      </c>
      <c r="H47" s="41">
        <f>(136301399+2417343+1630758)/(1279761682+1328581+57975)</f>
        <v>0.10954977405198602</v>
      </c>
      <c r="I47" s="41">
        <v>1.4E-3</v>
      </c>
      <c r="J47" s="42">
        <v>0.15</v>
      </c>
      <c r="K47" s="90"/>
      <c r="L47" s="43"/>
      <c r="M47" s="43">
        <f t="shared" ref="M47" si="5">G47*H47+J47*(G47-G47*H47-I47)</f>
        <v>6.2326086605209849E-3</v>
      </c>
      <c r="N47" s="43">
        <f t="shared" ref="N47" si="6">G47*H47+J47*(G47-G47*H47-I47)</f>
        <v>6.2326086605209849E-3</v>
      </c>
      <c r="O47" s="43">
        <f>G47*H47</f>
        <v>2.9030690123776292E-3</v>
      </c>
    </row>
    <row r="48" spans="1:17" s="2" customFormat="1" ht="12" hidden="1" customHeight="1">
      <c r="A48" s="37"/>
      <c r="B48" s="38"/>
      <c r="C48" s="39"/>
      <c r="D48" s="37"/>
      <c r="E48" s="37"/>
      <c r="F48" s="37"/>
      <c r="G48" s="40"/>
      <c r="H48" s="41"/>
      <c r="I48" s="41"/>
      <c r="J48" s="42"/>
      <c r="K48" s="90"/>
      <c r="L48" s="43"/>
      <c r="M48" s="43"/>
      <c r="N48" s="43"/>
      <c r="O48" s="43"/>
    </row>
    <row r="49" spans="1:17" s="2" customFormat="1" ht="12" customHeight="1">
      <c r="A49" s="37" t="s">
        <v>47</v>
      </c>
      <c r="B49" s="38" t="s">
        <v>23</v>
      </c>
      <c r="C49" s="39" t="s">
        <v>22</v>
      </c>
      <c r="D49" s="37" t="s">
        <v>48</v>
      </c>
      <c r="E49" s="78">
        <f>SUM(E50:E52)</f>
        <v>55508018</v>
      </c>
      <c r="F49" s="77">
        <f>SUM(F50:F52)</f>
        <v>1</v>
      </c>
      <c r="G49" s="77">
        <v>2.29E-2</v>
      </c>
      <c r="H49" s="41"/>
      <c r="I49" s="41"/>
      <c r="J49" s="42"/>
      <c r="K49" s="90"/>
      <c r="L49" s="43">
        <v>2.3E-3</v>
      </c>
      <c r="M49" s="43">
        <f>SUMPRODUCT(F50:F52,M50:M52)</f>
        <v>3.1313213640693032E-3</v>
      </c>
      <c r="N49" s="43">
        <f>SUMPRODUCT(F50:F52,N50:N52)</f>
        <v>3.1313213640693032E-3</v>
      </c>
      <c r="O49" s="43">
        <f>SUMPRODUCT(F50:F52,O50:O52)</f>
        <v>3.1153825552544665E-4</v>
      </c>
    </row>
    <row r="50" spans="1:17" s="2" customFormat="1" ht="12" hidden="1" customHeight="1">
      <c r="A50" s="37" t="s">
        <v>154</v>
      </c>
      <c r="B50" s="39" t="s">
        <v>153</v>
      </c>
      <c r="C50" s="39" t="s">
        <v>21</v>
      </c>
      <c r="D50" s="37" t="s">
        <v>148</v>
      </c>
      <c r="E50" s="78">
        <v>31370699</v>
      </c>
      <c r="F50" s="77">
        <f t="shared" ref="F50:F52" si="7">E50/$E$49</f>
        <v>0.56515617257312267</v>
      </c>
      <c r="G50" s="77">
        <v>1.7899999999999999E-2</v>
      </c>
      <c r="H50" s="41">
        <v>0</v>
      </c>
      <c r="I50" s="41">
        <v>5.0000000000000001E-4</v>
      </c>
      <c r="J50" s="42">
        <v>0.15</v>
      </c>
      <c r="K50" s="90"/>
      <c r="L50" s="43"/>
      <c r="M50" s="43">
        <f>(G50-I50)*J50</f>
        <v>2.6099999999999999E-3</v>
      </c>
      <c r="N50" s="43">
        <f>(G50-I50)*J50</f>
        <v>2.6099999999999999E-3</v>
      </c>
      <c r="O50" s="43">
        <v>0</v>
      </c>
      <c r="Q50" s="2" t="s">
        <v>46</v>
      </c>
    </row>
    <row r="51" spans="1:17" s="2" customFormat="1" ht="12" hidden="1" customHeight="1">
      <c r="A51" s="37" t="s">
        <v>80</v>
      </c>
      <c r="B51" s="39" t="s">
        <v>19</v>
      </c>
      <c r="C51" s="39" t="s">
        <v>21</v>
      </c>
      <c r="D51" s="37" t="s">
        <v>73</v>
      </c>
      <c r="E51" s="78">
        <v>17974564</v>
      </c>
      <c r="F51" s="77">
        <f t="shared" si="7"/>
        <v>0.32381923634888204</v>
      </c>
      <c r="G51" s="77">
        <v>3.1099999999999999E-2</v>
      </c>
      <c r="H51" s="41">
        <v>9.2195823259247509E-2</v>
      </c>
      <c r="I51" s="41">
        <v>0</v>
      </c>
      <c r="J51" s="42">
        <v>0</v>
      </c>
      <c r="K51" s="90"/>
      <c r="L51" s="43"/>
      <c r="M51" s="43">
        <f>G51*H51+J51*(G51-G51*H51-I51)</f>
        <v>2.8672901033625973E-3</v>
      </c>
      <c r="N51" s="43">
        <f>G51*H51+J51*(G51-G51*H51-I51)</f>
        <v>2.8672901033625973E-3</v>
      </c>
      <c r="O51" s="43">
        <v>0</v>
      </c>
      <c r="P51" s="16" t="s">
        <v>147</v>
      </c>
      <c r="Q51" s="2" t="s">
        <v>46</v>
      </c>
    </row>
    <row r="52" spans="1:17" s="2" customFormat="1" ht="12" hidden="1" customHeight="1">
      <c r="A52" s="37" t="s">
        <v>54</v>
      </c>
      <c r="B52" s="39" t="s">
        <v>13</v>
      </c>
      <c r="C52" s="39" t="s">
        <v>21</v>
      </c>
      <c r="D52" s="37" t="s">
        <v>74</v>
      </c>
      <c r="E52" s="78">
        <v>6162755</v>
      </c>
      <c r="F52" s="77">
        <f t="shared" si="7"/>
        <v>0.11102459107799525</v>
      </c>
      <c r="G52" s="77">
        <v>2.9000000000000001E-2</v>
      </c>
      <c r="H52" s="41">
        <f>246058000/(246058000+2285153000+11771000)</f>
        <v>9.6759631015870345E-2</v>
      </c>
      <c r="I52" s="41">
        <v>1.1999999999999999E-3</v>
      </c>
      <c r="J52" s="42">
        <v>0.15</v>
      </c>
      <c r="K52" s="90"/>
      <c r="L52" s="43"/>
      <c r="M52" s="43">
        <f t="shared" ref="M52" si="8">G52*H52+J52*(G52-G52*H52-I52)</f>
        <v>6.5551249045412048E-3</v>
      </c>
      <c r="N52" s="43">
        <f t="shared" ref="N52" si="9">G52*H52+J52*(G52-G52*H52-I52)</f>
        <v>6.5551249045412048E-3</v>
      </c>
      <c r="O52" s="43">
        <f>G52*H52</f>
        <v>2.8060292994602403E-3</v>
      </c>
      <c r="P52" s="16" t="s">
        <v>147</v>
      </c>
    </row>
    <row r="53" spans="1:17" s="2" customFormat="1" ht="12" hidden="1" customHeight="1">
      <c r="A53" s="37"/>
      <c r="B53" s="38"/>
      <c r="C53" s="39"/>
      <c r="D53" s="37"/>
      <c r="E53" s="54"/>
      <c r="F53" s="54"/>
      <c r="G53" s="37"/>
      <c r="H53" s="41"/>
      <c r="I53" s="41"/>
      <c r="J53" s="42"/>
      <c r="K53" s="90"/>
      <c r="L53" s="43"/>
      <c r="M53" s="43"/>
      <c r="N53" s="43"/>
      <c r="O53" s="43"/>
    </row>
    <row r="54" spans="1:17" s="2" customFormat="1" ht="12" customHeight="1">
      <c r="A54" s="30" t="s">
        <v>50</v>
      </c>
      <c r="B54" s="31" t="s">
        <v>25</v>
      </c>
      <c r="C54" s="32" t="s">
        <v>21</v>
      </c>
      <c r="D54" s="30" t="s">
        <v>49</v>
      </c>
      <c r="E54" s="30"/>
      <c r="F54" s="30"/>
      <c r="G54" s="77">
        <v>2.35E-2</v>
      </c>
      <c r="H54" s="34">
        <f>22221000/(379901000+22221000)</f>
        <v>5.5259349152744691E-2</v>
      </c>
      <c r="I54" s="34">
        <v>8.9999999999999998E-4</v>
      </c>
      <c r="J54" s="35">
        <v>0.15</v>
      </c>
      <c r="K54" s="89"/>
      <c r="L54" s="36">
        <v>8.9999999999999998E-4</v>
      </c>
      <c r="M54" s="36">
        <f>G54*H54+J54*(G54-G54*H54-I54)</f>
        <v>4.4938054993260744E-3</v>
      </c>
      <c r="N54" s="36">
        <f>G54*H54</f>
        <v>1.2985947050895002E-3</v>
      </c>
      <c r="O54" s="36">
        <f>G54*H54</f>
        <v>1.2985947050895002E-3</v>
      </c>
      <c r="P54" s="16" t="s">
        <v>95</v>
      </c>
    </row>
    <row r="55" spans="1:17" s="2" customFormat="1" ht="12" customHeight="1">
      <c r="A55" s="37"/>
      <c r="B55" s="39"/>
      <c r="C55" s="39"/>
      <c r="D55" s="37"/>
      <c r="E55" s="37"/>
      <c r="F55" s="37"/>
      <c r="G55" s="40"/>
      <c r="H55" s="41"/>
      <c r="I55" s="41"/>
      <c r="J55" s="42"/>
      <c r="K55" s="46"/>
      <c r="L55" s="43"/>
      <c r="M55" s="43"/>
      <c r="N55" s="43"/>
      <c r="O55" s="43"/>
    </row>
    <row r="56" spans="1:17" s="2" customFormat="1" ht="12" customHeight="1">
      <c r="A56" s="25" t="s">
        <v>94</v>
      </c>
      <c r="B56" s="47"/>
      <c r="C56" s="47"/>
      <c r="D56" s="48"/>
      <c r="E56" s="48"/>
      <c r="F56" s="48"/>
      <c r="G56" s="49"/>
      <c r="H56" s="50"/>
      <c r="I56" s="50"/>
      <c r="J56" s="51"/>
      <c r="K56" s="52"/>
      <c r="L56" s="47"/>
      <c r="M56" s="47"/>
      <c r="N56" s="47"/>
      <c r="O56" s="47"/>
      <c r="P56" s="12"/>
      <c r="Q56" s="12"/>
    </row>
    <row r="57" spans="1:17" s="2" customFormat="1" ht="12" customHeight="1">
      <c r="A57" s="30" t="s">
        <v>129</v>
      </c>
      <c r="B57" s="31" t="s">
        <v>128</v>
      </c>
      <c r="C57" s="32" t="s">
        <v>22</v>
      </c>
      <c r="D57" s="30"/>
      <c r="E57" s="30"/>
      <c r="F57" s="44">
        <f>SUM(F58:F64)</f>
        <v>1</v>
      </c>
      <c r="G57" s="30"/>
      <c r="H57" s="34"/>
      <c r="I57" s="34"/>
      <c r="J57" s="35"/>
      <c r="K57" s="89"/>
      <c r="L57" s="36">
        <f>0.22%*1.13</f>
        <v>2.4859999999999999E-3</v>
      </c>
      <c r="M57" s="36">
        <f>SUMPRODUCT(F58:F64,M58:M64)</f>
        <v>1.1997310269416897E-3</v>
      </c>
      <c r="N57" s="36">
        <f>SUMPRODUCT(F58:F64,N58:N64)</f>
        <v>1.1997310269416897E-3</v>
      </c>
      <c r="O57" s="36">
        <f>SUMPRODUCT(F58:F64,O58:O64)</f>
        <v>7.2885465613061823E-5</v>
      </c>
    </row>
    <row r="58" spans="1:17" s="2" customFormat="1" ht="12" hidden="1" customHeight="1">
      <c r="A58" s="37" t="s">
        <v>78</v>
      </c>
      <c r="B58" s="39" t="s">
        <v>37</v>
      </c>
      <c r="C58" s="39" t="s">
        <v>22</v>
      </c>
      <c r="D58" s="37" t="s">
        <v>61</v>
      </c>
      <c r="E58" s="37"/>
      <c r="F58" s="45">
        <v>0.06</v>
      </c>
      <c r="G58" s="77">
        <v>2.9600000000000001E-2</v>
      </c>
      <c r="H58" s="41">
        <v>0</v>
      </c>
      <c r="I58" s="41">
        <v>0</v>
      </c>
      <c r="J58" s="42">
        <f>3073/41862846</f>
        <v>7.3406380445323758E-5</v>
      </c>
      <c r="K58" s="90"/>
      <c r="L58" s="43"/>
      <c r="M58" s="43">
        <f>G58*J58</f>
        <v>2.1728288611815833E-6</v>
      </c>
      <c r="N58" s="43">
        <f>G58*J58</f>
        <v>2.1728288611815833E-6</v>
      </c>
      <c r="O58" s="43">
        <v>0</v>
      </c>
    </row>
    <row r="59" spans="1:17" s="2" customFormat="1" ht="12" hidden="1" customHeight="1">
      <c r="A59" s="37" t="s">
        <v>79</v>
      </c>
      <c r="B59" s="39" t="s">
        <v>3</v>
      </c>
      <c r="C59" s="39" t="s">
        <v>22</v>
      </c>
      <c r="D59" s="37" t="s">
        <v>72</v>
      </c>
      <c r="E59" s="54">
        <v>31370699</v>
      </c>
      <c r="F59" s="45">
        <v>7.7814921273530874E-2</v>
      </c>
      <c r="G59" s="77">
        <v>1.7299999999999999E-2</v>
      </c>
      <c r="H59" s="41">
        <v>0</v>
      </c>
      <c r="I59" s="41">
        <v>2.9999999999999997E-4</v>
      </c>
      <c r="J59" s="42">
        <f>3880926/25861320</f>
        <v>0.15006681793504739</v>
      </c>
      <c r="K59" s="90"/>
      <c r="L59" s="43"/>
      <c r="M59" s="43">
        <f t="shared" ref="M59" si="10">(G59-I59)*J59</f>
        <v>2.5511359048958054E-3</v>
      </c>
      <c r="N59" s="43">
        <f>(G59-I59)*J59</f>
        <v>2.5511359048958054E-3</v>
      </c>
      <c r="O59" s="43">
        <v>0</v>
      </c>
    </row>
    <row r="60" spans="1:17" s="2" customFormat="1" ht="12" hidden="1" customHeight="1">
      <c r="A60" s="37" t="s">
        <v>80</v>
      </c>
      <c r="B60" s="39" t="s">
        <v>19</v>
      </c>
      <c r="C60" s="39" t="s">
        <v>22</v>
      </c>
      <c r="D60" s="37" t="s">
        <v>73</v>
      </c>
      <c r="E60" s="78">
        <v>17974564</v>
      </c>
      <c r="F60" s="45">
        <v>4.7203814093513659E-2</v>
      </c>
      <c r="G60" s="77">
        <v>3.1099999999999999E-2</v>
      </c>
      <c r="H60" s="41">
        <f>1879852/20389774</f>
        <v>9.2195823259247509E-2</v>
      </c>
      <c r="I60" s="41">
        <v>0</v>
      </c>
      <c r="J60" s="42">
        <v>0</v>
      </c>
      <c r="K60" s="90"/>
      <c r="L60" s="43"/>
      <c r="M60" s="43">
        <f>G60*H60</f>
        <v>2.8672901033625973E-3</v>
      </c>
      <c r="N60" s="43">
        <f>G60*H60</f>
        <v>2.8672901033625973E-3</v>
      </c>
      <c r="O60" s="43">
        <v>0</v>
      </c>
    </row>
    <row r="61" spans="1:17" s="2" customFormat="1" ht="12" hidden="1" customHeight="1">
      <c r="A61" s="37" t="s">
        <v>53</v>
      </c>
      <c r="B61" s="39" t="s">
        <v>15</v>
      </c>
      <c r="C61" s="39" t="s">
        <v>22</v>
      </c>
      <c r="D61" s="37" t="s">
        <v>74</v>
      </c>
      <c r="E61" s="78">
        <v>6162755</v>
      </c>
      <c r="F61" s="45">
        <v>1.4981264632955488E-2</v>
      </c>
      <c r="G61" s="77">
        <v>2.9000000000000001E-2</v>
      </c>
      <c r="H61" s="41">
        <f>246058000/2531211000</f>
        <v>9.720959651328949E-2</v>
      </c>
      <c r="I61" s="41">
        <v>1.1999999999999999E-3</v>
      </c>
      <c r="J61" s="42">
        <f>3390234/22801829</f>
        <v>0.14868254647467097</v>
      </c>
      <c r="K61" s="90"/>
      <c r="L61" s="43"/>
      <c r="M61" s="43">
        <f>G61*H61+J61*(G61-G61*H61-I61)</f>
        <v>6.5333053506914842E-3</v>
      </c>
      <c r="N61" s="43">
        <f>G61*H61+J61*(G61-G61*H61-I61)</f>
        <v>6.5333053506914842E-3</v>
      </c>
      <c r="O61" s="43">
        <f t="shared" ref="O61" si="11">G61*H61</f>
        <v>2.8190782988853952E-3</v>
      </c>
    </row>
    <row r="62" spans="1:17" s="2" customFormat="1" ht="12" hidden="1" customHeight="1">
      <c r="A62" s="37" t="s">
        <v>81</v>
      </c>
      <c r="B62" s="39" t="s">
        <v>43</v>
      </c>
      <c r="C62" s="39" t="s">
        <v>22</v>
      </c>
      <c r="D62" s="37" t="s">
        <v>98</v>
      </c>
      <c r="E62" s="82">
        <v>0.58809999999999996</v>
      </c>
      <c r="F62" s="45">
        <v>0.47048000000000001</v>
      </c>
      <c r="G62" s="77">
        <v>3.0980000000000001E-2</v>
      </c>
      <c r="H62" s="41">
        <v>0</v>
      </c>
      <c r="I62" s="41">
        <v>0</v>
      </c>
      <c r="J62" s="42">
        <f>301/46814086</f>
        <v>6.4296887052328651E-6</v>
      </c>
      <c r="K62" s="90"/>
      <c r="L62" s="43"/>
      <c r="M62" s="43">
        <v>0</v>
      </c>
      <c r="N62" s="43">
        <v>0</v>
      </c>
      <c r="O62" s="43">
        <v>0</v>
      </c>
    </row>
    <row r="63" spans="1:17" s="2" customFormat="1" ht="12" hidden="1" customHeight="1">
      <c r="A63" s="37" t="s">
        <v>82</v>
      </c>
      <c r="B63" s="39" t="s">
        <v>34</v>
      </c>
      <c r="C63" s="39" t="s">
        <v>22</v>
      </c>
      <c r="D63" s="37" t="s">
        <v>99</v>
      </c>
      <c r="E63" s="82">
        <v>0.18579999999999999</v>
      </c>
      <c r="F63" s="45">
        <v>0.14863999999999999</v>
      </c>
      <c r="G63" s="77">
        <v>3.1480000000000001E-2</v>
      </c>
      <c r="H63" s="41">
        <v>0</v>
      </c>
      <c r="I63" s="41">
        <v>3.5E-4</v>
      </c>
      <c r="J63" s="42">
        <f>202415/5828447</f>
        <v>3.4728805117383757E-2</v>
      </c>
      <c r="K63" s="90"/>
      <c r="L63" s="43"/>
      <c r="M63" s="43">
        <f>(G63-I63)*J63</f>
        <v>1.0811077033041564E-3</v>
      </c>
      <c r="N63" s="43">
        <f>(G63-I63)*J63</f>
        <v>1.0811077033041564E-3</v>
      </c>
      <c r="O63" s="43">
        <v>0</v>
      </c>
    </row>
    <row r="64" spans="1:17" s="2" customFormat="1" ht="12" hidden="1" customHeight="1">
      <c r="A64" s="37" t="s">
        <v>83</v>
      </c>
      <c r="B64" s="39" t="s">
        <v>35</v>
      </c>
      <c r="C64" s="39" t="s">
        <v>22</v>
      </c>
      <c r="D64" s="37" t="s">
        <v>100</v>
      </c>
      <c r="E64" s="82">
        <v>0.2261</v>
      </c>
      <c r="F64" s="45">
        <v>0.18088000000000001</v>
      </c>
      <c r="G64" s="77">
        <v>2.239E-2</v>
      </c>
      <c r="H64" s="41">
        <f>9408000/(1233622000+9408000)</f>
        <v>7.5686025276944244E-3</v>
      </c>
      <c r="I64" s="41">
        <v>8.9999999999999998E-4</v>
      </c>
      <c r="J64" s="42">
        <f>831119/5559600</f>
        <v>0.14949258939492049</v>
      </c>
      <c r="K64" s="90"/>
      <c r="L64" s="43"/>
      <c r="M64" s="43">
        <f>G64*H64+J64*(G64-G64*H64-I64)</f>
        <v>3.3567235914165809E-3</v>
      </c>
      <c r="N64" s="43">
        <f>G64*H64+J64*(G64-G64*H64-I64)</f>
        <v>3.3567235914165809E-3</v>
      </c>
      <c r="O64" s="43">
        <f>G64*H64</f>
        <v>1.6946101059507816E-4</v>
      </c>
    </row>
    <row r="65" spans="1:15" s="2" customFormat="1" ht="12" hidden="1" customHeight="1">
      <c r="A65" s="37"/>
      <c r="B65" s="38"/>
      <c r="C65" s="39"/>
      <c r="D65" s="37"/>
      <c r="E65" s="37"/>
      <c r="F65" s="37"/>
      <c r="G65" s="37"/>
      <c r="H65" s="41"/>
      <c r="I65" s="41"/>
      <c r="J65" s="42"/>
      <c r="K65" s="90"/>
      <c r="L65" s="43"/>
      <c r="M65" s="43"/>
      <c r="N65" s="43"/>
      <c r="O65" s="43"/>
    </row>
    <row r="66" spans="1:15" s="2" customFormat="1" ht="12" customHeight="1">
      <c r="A66" s="37" t="s">
        <v>71</v>
      </c>
      <c r="B66" s="38" t="s">
        <v>31</v>
      </c>
      <c r="C66" s="39" t="s">
        <v>22</v>
      </c>
      <c r="D66" s="37"/>
      <c r="E66" s="37"/>
      <c r="F66" s="45">
        <f>SUM(F67:F73)</f>
        <v>1</v>
      </c>
      <c r="G66" s="37"/>
      <c r="H66" s="41"/>
      <c r="I66" s="41"/>
      <c r="J66" s="42"/>
      <c r="K66" s="90"/>
      <c r="L66" s="43">
        <f>0.22%*1.13</f>
        <v>2.4859999999999999E-3</v>
      </c>
      <c r="M66" s="43">
        <f>SUMPRODUCT(F67:F73,M67:M73)</f>
        <v>1.4429325547329415E-3</v>
      </c>
      <c r="N66" s="43">
        <f>SUMPRODUCT(F67:F73,N67:N73)</f>
        <v>1.4429325547329415E-3</v>
      </c>
      <c r="O66" s="43">
        <f>SUMPRODUCT(F67:F73,O67:O73)</f>
        <v>1.1062544499549673E-4</v>
      </c>
    </row>
    <row r="67" spans="1:15" s="2" customFormat="1" ht="12" hidden="1" customHeight="1">
      <c r="A67" s="37" t="s">
        <v>78</v>
      </c>
      <c r="B67" s="39" t="s">
        <v>37</v>
      </c>
      <c r="C67" s="39" t="s">
        <v>22</v>
      </c>
      <c r="D67" s="37" t="s">
        <v>61</v>
      </c>
      <c r="E67" s="37"/>
      <c r="F67" s="45">
        <v>0.12</v>
      </c>
      <c r="G67" s="77">
        <v>2.9600000000000001E-2</v>
      </c>
      <c r="H67" s="41">
        <v>0</v>
      </c>
      <c r="I67" s="41">
        <v>0</v>
      </c>
      <c r="J67" s="42">
        <f>3073/41862846</f>
        <v>7.3406380445323758E-5</v>
      </c>
      <c r="K67" s="90"/>
      <c r="L67" s="43"/>
      <c r="M67" s="43">
        <f>G67*J67</f>
        <v>2.1728288611815833E-6</v>
      </c>
      <c r="N67" s="43">
        <f>G67*J67</f>
        <v>2.1728288611815833E-6</v>
      </c>
      <c r="O67" s="43">
        <v>0</v>
      </c>
    </row>
    <row r="68" spans="1:15" s="2" customFormat="1" ht="12" hidden="1" customHeight="1">
      <c r="A68" s="37" t="s">
        <v>79</v>
      </c>
      <c r="B68" s="39" t="s">
        <v>3</v>
      </c>
      <c r="C68" s="39" t="s">
        <v>22</v>
      </c>
      <c r="D68" s="37" t="s">
        <v>72</v>
      </c>
      <c r="E68" s="54">
        <v>31370699</v>
      </c>
      <c r="F68" s="45">
        <f>(40%-$F$67)*E68/SUM($E$68:$E$70)</f>
        <v>0.15824372832047437</v>
      </c>
      <c r="G68" s="77">
        <v>1.7299999999999999E-2</v>
      </c>
      <c r="H68" s="41">
        <v>0</v>
      </c>
      <c r="I68" s="41">
        <v>2.9999999999999997E-4</v>
      </c>
      <c r="J68" s="42">
        <f>3880926/25861320</f>
        <v>0.15006681793504739</v>
      </c>
      <c r="K68" s="90"/>
      <c r="L68" s="43"/>
      <c r="M68" s="43">
        <f t="shared" ref="M68" si="12">(G68-I68)*J68</f>
        <v>2.5511359048958054E-3</v>
      </c>
      <c r="N68" s="43">
        <f>(G68-I68)*J68</f>
        <v>2.5511359048958054E-3</v>
      </c>
      <c r="O68" s="43">
        <v>0</v>
      </c>
    </row>
    <row r="69" spans="1:15" s="2" customFormat="1" ht="12" hidden="1" customHeight="1">
      <c r="A69" s="37" t="s">
        <v>80</v>
      </c>
      <c r="B69" s="39" t="s">
        <v>19</v>
      </c>
      <c r="C69" s="39" t="s">
        <v>22</v>
      </c>
      <c r="D69" s="37" t="s">
        <v>73</v>
      </c>
      <c r="E69" s="78">
        <v>17974564</v>
      </c>
      <c r="F69" s="45">
        <f>(40%-$F$67)*E69/SUM($E$68:$E$70)</f>
        <v>9.0669386177686995E-2</v>
      </c>
      <c r="G69" s="77">
        <v>3.1099999999999999E-2</v>
      </c>
      <c r="H69" s="41">
        <f>1879852/20389774</f>
        <v>9.2195823259247509E-2</v>
      </c>
      <c r="I69" s="41">
        <v>0</v>
      </c>
      <c r="J69" s="42">
        <v>0</v>
      </c>
      <c r="K69" s="90"/>
      <c r="L69" s="43"/>
      <c r="M69" s="43">
        <f>G69*H69</f>
        <v>2.8672901033625973E-3</v>
      </c>
      <c r="N69" s="43">
        <f>G69*H69</f>
        <v>2.8672901033625973E-3</v>
      </c>
      <c r="O69" s="43">
        <v>0</v>
      </c>
    </row>
    <row r="70" spans="1:15" s="2" customFormat="1" ht="12" hidden="1" customHeight="1">
      <c r="A70" s="37" t="s">
        <v>53</v>
      </c>
      <c r="B70" s="39" t="s">
        <v>15</v>
      </c>
      <c r="C70" s="39" t="s">
        <v>22</v>
      </c>
      <c r="D70" s="37" t="s">
        <v>74</v>
      </c>
      <c r="E70" s="78">
        <v>6162755</v>
      </c>
      <c r="F70" s="45">
        <f t="shared" ref="F70" si="13">(40%-$F$67)*E70/SUM($E$68:$E$70)</f>
        <v>3.1086885501838673E-2</v>
      </c>
      <c r="G70" s="77">
        <v>2.9000000000000001E-2</v>
      </c>
      <c r="H70" s="41">
        <f>246058000/2531211000</f>
        <v>9.720959651328949E-2</v>
      </c>
      <c r="I70" s="41">
        <v>1.1999999999999999E-3</v>
      </c>
      <c r="J70" s="42">
        <f>3390234/22801829</f>
        <v>0.14868254647467097</v>
      </c>
      <c r="K70" s="90"/>
      <c r="L70" s="43"/>
      <c r="M70" s="43">
        <f>G70*H70+J70*(G70-G70*H70-I70)</f>
        <v>6.5333053506914842E-3</v>
      </c>
      <c r="N70" s="43">
        <f>G70*H70+J70*(G70-G70*H70-I70)</f>
        <v>6.5333053506914842E-3</v>
      </c>
      <c r="O70" s="43">
        <f t="shared" ref="O70" si="14">G70*H70</f>
        <v>2.8190782988853952E-3</v>
      </c>
    </row>
    <row r="71" spans="1:15" s="2" customFormat="1" ht="12" hidden="1" customHeight="1">
      <c r="A71" s="37" t="s">
        <v>81</v>
      </c>
      <c r="B71" s="39" t="s">
        <v>43</v>
      </c>
      <c r="C71" s="39" t="s">
        <v>22</v>
      </c>
      <c r="D71" s="37" t="s">
        <v>98</v>
      </c>
      <c r="E71" s="82">
        <v>0.58809999999999996</v>
      </c>
      <c r="F71" s="45">
        <f>60%*E71</f>
        <v>0.35285999999999995</v>
      </c>
      <c r="G71" s="77">
        <v>3.0980000000000001E-2</v>
      </c>
      <c r="H71" s="41">
        <v>0</v>
      </c>
      <c r="I71" s="41">
        <v>0</v>
      </c>
      <c r="J71" s="42">
        <f>301/46814086</f>
        <v>6.4296887052328651E-6</v>
      </c>
      <c r="K71" s="90"/>
      <c r="L71" s="43"/>
      <c r="M71" s="43">
        <v>0</v>
      </c>
      <c r="N71" s="43">
        <v>0</v>
      </c>
      <c r="O71" s="43">
        <v>0</v>
      </c>
    </row>
    <row r="72" spans="1:15" s="2" customFormat="1" ht="12" hidden="1" customHeight="1">
      <c r="A72" s="37" t="s">
        <v>82</v>
      </c>
      <c r="B72" s="39" t="s">
        <v>34</v>
      </c>
      <c r="C72" s="39" t="s">
        <v>22</v>
      </c>
      <c r="D72" s="37" t="s">
        <v>99</v>
      </c>
      <c r="E72" s="82">
        <v>0.18579999999999999</v>
      </c>
      <c r="F72" s="45">
        <f t="shared" ref="F72:F73" si="15">60%*E72</f>
        <v>0.11148</v>
      </c>
      <c r="G72" s="77">
        <v>3.1480000000000001E-2</v>
      </c>
      <c r="H72" s="41">
        <v>0</v>
      </c>
      <c r="I72" s="41">
        <v>3.5E-4</v>
      </c>
      <c r="J72" s="42">
        <f>202415/5828447</f>
        <v>3.4728805117383757E-2</v>
      </c>
      <c r="K72" s="90"/>
      <c r="L72" s="43"/>
      <c r="M72" s="43">
        <f>(G72-I72)*J72</f>
        <v>1.0811077033041564E-3</v>
      </c>
      <c r="N72" s="43">
        <f>(G72-I72)*J72</f>
        <v>1.0811077033041564E-3</v>
      </c>
      <c r="O72" s="43">
        <v>0</v>
      </c>
    </row>
    <row r="73" spans="1:15" s="2" customFormat="1" ht="12" hidden="1" customHeight="1">
      <c r="A73" s="37" t="s">
        <v>83</v>
      </c>
      <c r="B73" s="39" t="s">
        <v>35</v>
      </c>
      <c r="C73" s="39" t="s">
        <v>22</v>
      </c>
      <c r="D73" s="37" t="s">
        <v>100</v>
      </c>
      <c r="E73" s="82">
        <v>0.2261</v>
      </c>
      <c r="F73" s="45">
        <f t="shared" si="15"/>
        <v>0.13566</v>
      </c>
      <c r="G73" s="77">
        <v>2.239E-2</v>
      </c>
      <c r="H73" s="41">
        <f>9408000/(1233622000+9408000)</f>
        <v>7.5686025276944244E-3</v>
      </c>
      <c r="I73" s="41">
        <v>8.9999999999999998E-4</v>
      </c>
      <c r="J73" s="42">
        <f>831119/5559600</f>
        <v>0.14949258939492049</v>
      </c>
      <c r="K73" s="90"/>
      <c r="L73" s="43"/>
      <c r="M73" s="43">
        <f>G73*H73+J73*(G73-G73*H73-I73)</f>
        <v>3.3567235914165809E-3</v>
      </c>
      <c r="N73" s="43">
        <f>G73*H73+J73*(G73-G73*H73-I73)</f>
        <v>3.3567235914165809E-3</v>
      </c>
      <c r="O73" s="43">
        <f>G73*H73</f>
        <v>1.6946101059507816E-4</v>
      </c>
    </row>
    <row r="74" spans="1:15" s="2" customFormat="1" ht="12" hidden="1" customHeight="1">
      <c r="A74" s="37"/>
      <c r="B74" s="38"/>
      <c r="C74" s="39"/>
      <c r="D74" s="37"/>
      <c r="E74" s="37"/>
      <c r="F74" s="37"/>
      <c r="G74" s="37"/>
      <c r="H74" s="41"/>
      <c r="I74" s="41"/>
      <c r="J74" s="42"/>
      <c r="K74" s="90"/>
      <c r="L74" s="43"/>
      <c r="M74" s="43"/>
      <c r="N74" s="43"/>
      <c r="O74" s="43"/>
    </row>
    <row r="75" spans="1:15" s="2" customFormat="1" ht="12" customHeight="1">
      <c r="A75" s="30" t="s">
        <v>76</v>
      </c>
      <c r="B75" s="31" t="s">
        <v>32</v>
      </c>
      <c r="C75" s="32" t="s">
        <v>22</v>
      </c>
      <c r="D75" s="30"/>
      <c r="E75" s="30"/>
      <c r="F75" s="44">
        <f>SUM(F76:F82)</f>
        <v>1.0000000000000002</v>
      </c>
      <c r="G75" s="30"/>
      <c r="H75" s="34"/>
      <c r="I75" s="34"/>
      <c r="J75" s="35"/>
      <c r="K75" s="89"/>
      <c r="L75" s="36">
        <f>0.22%*1.13</f>
        <v>2.4859999999999999E-3</v>
      </c>
      <c r="M75" s="36">
        <f>SUMPRODUCT(F76:F82,M76:M82)</f>
        <v>1.6844863244528112E-3</v>
      </c>
      <c r="N75" s="36">
        <f>SUMPRODUCT(F76:F82,N76:N82)</f>
        <v>1.6844863244528112E-3</v>
      </c>
      <c r="O75" s="36">
        <f>SUMPRODUCT(F76:F82,O76:O82)</f>
        <v>1.4678060024547149E-4</v>
      </c>
    </row>
    <row r="76" spans="1:15" s="2" customFormat="1" ht="12" hidden="1" customHeight="1">
      <c r="A76" s="37" t="s">
        <v>78</v>
      </c>
      <c r="B76" s="39" t="s">
        <v>37</v>
      </c>
      <c r="C76" s="39" t="s">
        <v>22</v>
      </c>
      <c r="D76" s="37" t="s">
        <v>61</v>
      </c>
      <c r="E76" s="37"/>
      <c r="F76" s="45">
        <v>0.18</v>
      </c>
      <c r="G76" s="77">
        <v>2.9600000000000001E-2</v>
      </c>
      <c r="H76" s="41">
        <v>0</v>
      </c>
      <c r="I76" s="41">
        <v>0</v>
      </c>
      <c r="J76" s="42">
        <f>3073/41862846</f>
        <v>7.3406380445323758E-5</v>
      </c>
      <c r="K76" s="90"/>
      <c r="L76" s="43"/>
      <c r="M76" s="43">
        <f>G76*J76</f>
        <v>2.1728288611815833E-6</v>
      </c>
      <c r="N76" s="43">
        <f>G76*J76</f>
        <v>2.1728288611815833E-6</v>
      </c>
      <c r="O76" s="43">
        <v>0</v>
      </c>
    </row>
    <row r="77" spans="1:15" s="2" customFormat="1" ht="12" hidden="1" customHeight="1">
      <c r="A77" s="37" t="s">
        <v>79</v>
      </c>
      <c r="B77" s="39" t="s">
        <v>3</v>
      </c>
      <c r="C77" s="39" t="s">
        <v>22</v>
      </c>
      <c r="D77" s="37" t="s">
        <v>72</v>
      </c>
      <c r="E77" s="54">
        <v>31370699</v>
      </c>
      <c r="F77" s="45">
        <f>(60%-$F$76)*E77/SUM($E$77:$E$79)</f>
        <v>0.23736559248071154</v>
      </c>
      <c r="G77" s="77">
        <v>1.7299999999999999E-2</v>
      </c>
      <c r="H77" s="41">
        <v>0</v>
      </c>
      <c r="I77" s="41">
        <v>2.9999999999999997E-4</v>
      </c>
      <c r="J77" s="42">
        <f>3880926/25861320</f>
        <v>0.15006681793504739</v>
      </c>
      <c r="K77" s="90"/>
      <c r="L77" s="43"/>
      <c r="M77" s="43">
        <f t="shared" ref="M77" si="16">(G77-I77)*J77</f>
        <v>2.5511359048958054E-3</v>
      </c>
      <c r="N77" s="43">
        <f>(G77-I77)*J77</f>
        <v>2.5511359048958054E-3</v>
      </c>
      <c r="O77" s="43">
        <v>0</v>
      </c>
    </row>
    <row r="78" spans="1:15" s="2" customFormat="1" ht="12" hidden="1" customHeight="1">
      <c r="A78" s="37" t="s">
        <v>101</v>
      </c>
      <c r="B78" s="39" t="s">
        <v>19</v>
      </c>
      <c r="C78" s="39" t="s">
        <v>22</v>
      </c>
      <c r="D78" s="37" t="s">
        <v>73</v>
      </c>
      <c r="E78" s="78">
        <v>17974564</v>
      </c>
      <c r="F78" s="45">
        <f t="shared" ref="F78:F79" si="17">(60%-$F$76)*E78/SUM($E$77:$E$79)</f>
        <v>0.13600407926653046</v>
      </c>
      <c r="G78" s="77">
        <v>3.1099999999999999E-2</v>
      </c>
      <c r="H78" s="41">
        <f>1879852/20389774</f>
        <v>9.2195823259247509E-2</v>
      </c>
      <c r="I78" s="41">
        <v>0</v>
      </c>
      <c r="J78" s="42">
        <v>0</v>
      </c>
      <c r="K78" s="90"/>
      <c r="L78" s="43"/>
      <c r="M78" s="43">
        <f>G78*H78</f>
        <v>2.8672901033625973E-3</v>
      </c>
      <c r="N78" s="43">
        <f>G78*H78</f>
        <v>2.8672901033625973E-3</v>
      </c>
      <c r="O78" s="43">
        <v>0</v>
      </c>
    </row>
    <row r="79" spans="1:15" s="2" customFormat="1" ht="12" hidden="1" customHeight="1">
      <c r="A79" s="37" t="s">
        <v>53</v>
      </c>
      <c r="B79" s="39" t="s">
        <v>15</v>
      </c>
      <c r="C79" s="39" t="s">
        <v>22</v>
      </c>
      <c r="D79" s="37" t="s">
        <v>74</v>
      </c>
      <c r="E79" s="78">
        <v>6162755</v>
      </c>
      <c r="F79" s="45">
        <f t="shared" si="17"/>
        <v>4.6630328252758008E-2</v>
      </c>
      <c r="G79" s="77">
        <v>2.9000000000000001E-2</v>
      </c>
      <c r="H79" s="41">
        <f>246058000/2531211000</f>
        <v>9.720959651328949E-2</v>
      </c>
      <c r="I79" s="41">
        <v>1.1999999999999999E-3</v>
      </c>
      <c r="J79" s="42">
        <f>3390234/22801829</f>
        <v>0.14868254647467097</v>
      </c>
      <c r="K79" s="90"/>
      <c r="L79" s="43"/>
      <c r="M79" s="43">
        <f>G79*H79+J79*(G79-G79*H79-I79)</f>
        <v>6.5333053506914842E-3</v>
      </c>
      <c r="N79" s="43">
        <f>G79*H79+J79*(G79-G79*H79-I79)</f>
        <v>6.5333053506914842E-3</v>
      </c>
      <c r="O79" s="43">
        <f t="shared" ref="O79" si="18">G79*H79</f>
        <v>2.8190782988853952E-3</v>
      </c>
    </row>
    <row r="80" spans="1:15" s="2" customFormat="1" ht="12" hidden="1" customHeight="1">
      <c r="A80" s="37" t="s">
        <v>81</v>
      </c>
      <c r="B80" s="39" t="s">
        <v>43</v>
      </c>
      <c r="C80" s="39" t="s">
        <v>22</v>
      </c>
      <c r="D80" s="37" t="s">
        <v>98</v>
      </c>
      <c r="E80" s="82">
        <v>0.58809999999999996</v>
      </c>
      <c r="F80" s="45">
        <f>40%*E80</f>
        <v>0.23524</v>
      </c>
      <c r="G80" s="77">
        <v>3.0980000000000001E-2</v>
      </c>
      <c r="H80" s="41">
        <v>0</v>
      </c>
      <c r="I80" s="41">
        <v>0</v>
      </c>
      <c r="J80" s="42">
        <f>301/46814086</f>
        <v>6.4296887052328651E-6</v>
      </c>
      <c r="K80" s="90"/>
      <c r="L80" s="43"/>
      <c r="M80" s="43">
        <v>0</v>
      </c>
      <c r="N80" s="43">
        <v>0</v>
      </c>
      <c r="O80" s="43">
        <v>0</v>
      </c>
    </row>
    <row r="81" spans="1:15" s="2" customFormat="1" ht="12" hidden="1" customHeight="1">
      <c r="A81" s="37" t="s">
        <v>82</v>
      </c>
      <c r="B81" s="39" t="s">
        <v>34</v>
      </c>
      <c r="C81" s="39" t="s">
        <v>22</v>
      </c>
      <c r="D81" s="37" t="s">
        <v>99</v>
      </c>
      <c r="E81" s="82">
        <v>0.18579999999999999</v>
      </c>
      <c r="F81" s="45">
        <f t="shared" ref="F81:F82" si="19">40%*E81</f>
        <v>7.4319999999999997E-2</v>
      </c>
      <c r="G81" s="77">
        <v>3.1480000000000001E-2</v>
      </c>
      <c r="H81" s="41">
        <v>0</v>
      </c>
      <c r="I81" s="41">
        <v>3.5E-4</v>
      </c>
      <c r="J81" s="42">
        <f>202415/5828447</f>
        <v>3.4728805117383757E-2</v>
      </c>
      <c r="K81" s="90"/>
      <c r="L81" s="43"/>
      <c r="M81" s="43">
        <f>(G81-I81)*J81</f>
        <v>1.0811077033041564E-3</v>
      </c>
      <c r="N81" s="43">
        <f>(G81-I81)*J81</f>
        <v>1.0811077033041564E-3</v>
      </c>
      <c r="O81" s="43">
        <v>0</v>
      </c>
    </row>
    <row r="82" spans="1:15" s="2" customFormat="1" ht="12" hidden="1" customHeight="1">
      <c r="A82" s="37" t="s">
        <v>83</v>
      </c>
      <c r="B82" s="39" t="s">
        <v>35</v>
      </c>
      <c r="C82" s="39" t="s">
        <v>22</v>
      </c>
      <c r="D82" s="37" t="s">
        <v>100</v>
      </c>
      <c r="E82" s="82">
        <v>0.2261</v>
      </c>
      <c r="F82" s="45">
        <f t="shared" si="19"/>
        <v>9.0440000000000006E-2</v>
      </c>
      <c r="G82" s="77">
        <v>2.239E-2</v>
      </c>
      <c r="H82" s="41">
        <f>9408000/(1233622000+9408000)</f>
        <v>7.5686025276944244E-3</v>
      </c>
      <c r="I82" s="41">
        <v>8.9999999999999998E-4</v>
      </c>
      <c r="J82" s="42">
        <f>831119/5559600</f>
        <v>0.14949258939492049</v>
      </c>
      <c r="K82" s="90"/>
      <c r="L82" s="43"/>
      <c r="M82" s="43">
        <f>G82*H82+J82*(G82-G82*H82-I82)</f>
        <v>3.3567235914165809E-3</v>
      </c>
      <c r="N82" s="43">
        <f>G82*H82+J82*(G82-G82*H82-I82)</f>
        <v>3.3567235914165809E-3</v>
      </c>
      <c r="O82" s="43">
        <f>G82*H82</f>
        <v>1.6946101059507816E-4</v>
      </c>
    </row>
    <row r="83" spans="1:15" s="2" customFormat="1" ht="12" hidden="1" customHeight="1">
      <c r="A83" s="37"/>
      <c r="B83" s="38"/>
      <c r="C83" s="39"/>
      <c r="D83" s="37"/>
      <c r="E83" s="37"/>
      <c r="F83" s="37"/>
      <c r="G83" s="37"/>
      <c r="H83" s="41"/>
      <c r="I83" s="41"/>
      <c r="J83" s="42"/>
      <c r="K83" s="90"/>
      <c r="L83" s="43"/>
      <c r="M83" s="43"/>
      <c r="N83" s="43"/>
      <c r="O83" s="43"/>
    </row>
    <row r="84" spans="1:15" s="2" customFormat="1" ht="12" customHeight="1">
      <c r="A84" s="37" t="s">
        <v>77</v>
      </c>
      <c r="B84" s="38" t="s">
        <v>33</v>
      </c>
      <c r="C84" s="39" t="s">
        <v>22</v>
      </c>
      <c r="D84" s="37"/>
      <c r="E84" s="37"/>
      <c r="F84" s="45">
        <f>SUM(F85:F91)</f>
        <v>1</v>
      </c>
      <c r="G84" s="37"/>
      <c r="H84" s="41"/>
      <c r="I84" s="41"/>
      <c r="J84" s="42"/>
      <c r="K84" s="90"/>
      <c r="L84" s="43">
        <f>0.22%*1.13</f>
        <v>2.4859999999999999E-3</v>
      </c>
      <c r="M84" s="43">
        <f>SUMPRODUCT(F85:F91,M85:M91)</f>
        <v>1.9260400941726818E-3</v>
      </c>
      <c r="N84" s="43">
        <f>SUMPRODUCT(F85:F91,N85:N91)</f>
        <v>1.9260400941726818E-3</v>
      </c>
      <c r="O84" s="43">
        <f>SUMPRODUCT(F85:F91,O85:O91)</f>
        <v>1.829357554954463E-4</v>
      </c>
    </row>
    <row r="85" spans="1:15" s="2" customFormat="1" ht="12" hidden="1" customHeight="1">
      <c r="A85" s="37" t="s">
        <v>78</v>
      </c>
      <c r="B85" s="39" t="s">
        <v>37</v>
      </c>
      <c r="C85" s="39" t="s">
        <v>22</v>
      </c>
      <c r="D85" s="37" t="s">
        <v>61</v>
      </c>
      <c r="E85" s="37"/>
      <c r="F85" s="45">
        <v>0.24</v>
      </c>
      <c r="G85" s="77">
        <v>2.9600000000000001E-2</v>
      </c>
      <c r="H85" s="41">
        <v>0</v>
      </c>
      <c r="I85" s="41">
        <v>0</v>
      </c>
      <c r="J85" s="42">
        <f>3073/41862846</f>
        <v>7.3406380445323758E-5</v>
      </c>
      <c r="K85" s="90"/>
      <c r="L85" s="43"/>
      <c r="M85" s="43">
        <f>G85*J85</f>
        <v>2.1728288611815833E-6</v>
      </c>
      <c r="N85" s="43">
        <f>G85*J85</f>
        <v>2.1728288611815833E-6</v>
      </c>
      <c r="O85" s="43">
        <v>0</v>
      </c>
    </row>
    <row r="86" spans="1:15" s="2" customFormat="1" ht="12" hidden="1" customHeight="1">
      <c r="A86" s="37" t="s">
        <v>79</v>
      </c>
      <c r="B86" s="39" t="s">
        <v>3</v>
      </c>
      <c r="C86" s="39" t="s">
        <v>22</v>
      </c>
      <c r="D86" s="37" t="s">
        <v>72</v>
      </c>
      <c r="E86" s="54">
        <v>31370699</v>
      </c>
      <c r="F86" s="45">
        <f>(80%-$F$85)*E86/SUM($E$86:$E$88)</f>
        <v>0.31648745664094874</v>
      </c>
      <c r="G86" s="77">
        <v>1.7299999999999999E-2</v>
      </c>
      <c r="H86" s="41">
        <v>0</v>
      </c>
      <c r="I86" s="41">
        <v>2.9999999999999997E-4</v>
      </c>
      <c r="J86" s="42">
        <f>3880926/25861320</f>
        <v>0.15006681793504739</v>
      </c>
      <c r="K86" s="90"/>
      <c r="L86" s="43"/>
      <c r="M86" s="43">
        <f>(G86-I86)*J86</f>
        <v>2.5511359048958054E-3</v>
      </c>
      <c r="N86" s="43">
        <f>(G86-I86)*J86</f>
        <v>2.5511359048958054E-3</v>
      </c>
      <c r="O86" s="43">
        <v>0</v>
      </c>
    </row>
    <row r="87" spans="1:15" s="2" customFormat="1" ht="12" hidden="1" customHeight="1">
      <c r="A87" s="37" t="s">
        <v>80</v>
      </c>
      <c r="B87" s="39" t="s">
        <v>19</v>
      </c>
      <c r="C87" s="39" t="s">
        <v>22</v>
      </c>
      <c r="D87" s="37" t="s">
        <v>73</v>
      </c>
      <c r="E87" s="78">
        <v>17974564</v>
      </c>
      <c r="F87" s="45">
        <f t="shared" ref="F87:F88" si="20">(80%-$F$85)*E87/SUM($E$86:$E$88)</f>
        <v>0.18133877235537399</v>
      </c>
      <c r="G87" s="77">
        <v>3.1099999999999999E-2</v>
      </c>
      <c r="H87" s="41">
        <f>1879852/20389774</f>
        <v>9.2195823259247509E-2</v>
      </c>
      <c r="I87" s="41">
        <v>0</v>
      </c>
      <c r="J87" s="42">
        <v>0</v>
      </c>
      <c r="K87" s="90"/>
      <c r="L87" s="43"/>
      <c r="M87" s="43">
        <f>G87*H87</f>
        <v>2.8672901033625973E-3</v>
      </c>
      <c r="N87" s="43">
        <f>G87*H87</f>
        <v>2.8672901033625973E-3</v>
      </c>
      <c r="O87" s="43">
        <v>0</v>
      </c>
    </row>
    <row r="88" spans="1:15" s="2" customFormat="1" ht="12" hidden="1" customHeight="1">
      <c r="A88" s="37" t="s">
        <v>53</v>
      </c>
      <c r="B88" s="39" t="s">
        <v>15</v>
      </c>
      <c r="C88" s="39" t="s">
        <v>22</v>
      </c>
      <c r="D88" s="37" t="s">
        <v>74</v>
      </c>
      <c r="E88" s="78">
        <v>6162755</v>
      </c>
      <c r="F88" s="45">
        <f t="shared" si="20"/>
        <v>6.2173771003677346E-2</v>
      </c>
      <c r="G88" s="77">
        <v>2.9000000000000001E-2</v>
      </c>
      <c r="H88" s="41">
        <f>246058000/2531211000</f>
        <v>9.720959651328949E-2</v>
      </c>
      <c r="I88" s="41">
        <v>1.1999999999999999E-3</v>
      </c>
      <c r="J88" s="42">
        <f>3390234/22801829</f>
        <v>0.14868254647467097</v>
      </c>
      <c r="K88" s="90"/>
      <c r="L88" s="43"/>
      <c r="M88" s="43">
        <f>G88*H88+J88*(G88-G88*H88-I88)</f>
        <v>6.5333053506914842E-3</v>
      </c>
      <c r="N88" s="43">
        <f>G88*H88+J88*(G88-G88*H88-I88)</f>
        <v>6.5333053506914842E-3</v>
      </c>
      <c r="O88" s="43">
        <f t="shared" ref="O88" si="21">G88*H88</f>
        <v>2.8190782988853952E-3</v>
      </c>
    </row>
    <row r="89" spans="1:15" s="2" customFormat="1" ht="12" hidden="1" customHeight="1">
      <c r="A89" s="37" t="s">
        <v>81</v>
      </c>
      <c r="B89" s="39" t="s">
        <v>43</v>
      </c>
      <c r="C89" s="39" t="s">
        <v>22</v>
      </c>
      <c r="D89" s="37" t="s">
        <v>98</v>
      </c>
      <c r="E89" s="82">
        <v>0.58809999999999996</v>
      </c>
      <c r="F89" s="45">
        <f>20%*E89</f>
        <v>0.11762</v>
      </c>
      <c r="G89" s="77">
        <v>3.0980000000000001E-2</v>
      </c>
      <c r="H89" s="41">
        <v>0</v>
      </c>
      <c r="I89" s="41">
        <v>0</v>
      </c>
      <c r="J89" s="42">
        <f>301/46814086</f>
        <v>6.4296887052328651E-6</v>
      </c>
      <c r="K89" s="90"/>
      <c r="L89" s="43"/>
      <c r="M89" s="43">
        <v>0</v>
      </c>
      <c r="N89" s="43">
        <v>0</v>
      </c>
      <c r="O89" s="43">
        <v>0</v>
      </c>
    </row>
    <row r="90" spans="1:15" s="2" customFormat="1" ht="12" hidden="1" customHeight="1">
      <c r="A90" s="37" t="s">
        <v>82</v>
      </c>
      <c r="B90" s="39" t="s">
        <v>34</v>
      </c>
      <c r="C90" s="39" t="s">
        <v>22</v>
      </c>
      <c r="D90" s="37" t="s">
        <v>99</v>
      </c>
      <c r="E90" s="82">
        <v>0.18579999999999999</v>
      </c>
      <c r="F90" s="45">
        <f t="shared" ref="F90:F91" si="22">20%*E90</f>
        <v>3.7159999999999999E-2</v>
      </c>
      <c r="G90" s="77">
        <v>3.1480000000000001E-2</v>
      </c>
      <c r="H90" s="41">
        <v>0</v>
      </c>
      <c r="I90" s="41">
        <v>3.5E-4</v>
      </c>
      <c r="J90" s="42">
        <f>202415/5828447</f>
        <v>3.4728805117383757E-2</v>
      </c>
      <c r="K90" s="90"/>
      <c r="L90" s="43"/>
      <c r="M90" s="43">
        <f>(G90-I90)*J90</f>
        <v>1.0811077033041564E-3</v>
      </c>
      <c r="N90" s="43">
        <f>(G90-I90)*J90</f>
        <v>1.0811077033041564E-3</v>
      </c>
      <c r="O90" s="43">
        <v>0</v>
      </c>
    </row>
    <row r="91" spans="1:15" s="2" customFormat="1" ht="12" hidden="1" customHeight="1">
      <c r="A91" s="37" t="s">
        <v>83</v>
      </c>
      <c r="B91" s="39" t="s">
        <v>35</v>
      </c>
      <c r="C91" s="39" t="s">
        <v>22</v>
      </c>
      <c r="D91" s="37" t="s">
        <v>100</v>
      </c>
      <c r="E91" s="82">
        <v>0.2261</v>
      </c>
      <c r="F91" s="45">
        <f t="shared" si="22"/>
        <v>4.5220000000000003E-2</v>
      </c>
      <c r="G91" s="77">
        <v>2.239E-2</v>
      </c>
      <c r="H91" s="41">
        <f>9408000/(1233622000+9408000)</f>
        <v>7.5686025276944244E-3</v>
      </c>
      <c r="I91" s="41">
        <v>8.9999999999999998E-4</v>
      </c>
      <c r="J91" s="42">
        <f>831119/5559600</f>
        <v>0.14949258939492049</v>
      </c>
      <c r="K91" s="90"/>
      <c r="L91" s="43"/>
      <c r="M91" s="43">
        <f>G91*H91+J91*(G91-G91*H91-I91)</f>
        <v>3.3567235914165809E-3</v>
      </c>
      <c r="N91" s="43">
        <f>G91*H91+J91*(G91-G91*H91-I91)</f>
        <v>3.3567235914165809E-3</v>
      </c>
      <c r="O91" s="43">
        <f>G91*H91</f>
        <v>1.6946101059507816E-4</v>
      </c>
    </row>
    <row r="92" spans="1:15" s="2" customFormat="1" ht="12" hidden="1" customHeight="1">
      <c r="A92" s="37"/>
      <c r="B92" s="38"/>
      <c r="C92" s="39"/>
      <c r="D92" s="37"/>
      <c r="E92" s="37"/>
      <c r="F92" s="37"/>
      <c r="G92" s="37"/>
      <c r="H92" s="41"/>
      <c r="I92" s="41"/>
      <c r="J92" s="42"/>
      <c r="K92" s="90"/>
      <c r="L92" s="43"/>
      <c r="M92" s="43"/>
      <c r="N92" s="43"/>
      <c r="O92" s="43"/>
    </row>
    <row r="93" spans="1:15" s="2" customFormat="1" ht="12" customHeight="1">
      <c r="A93" s="30" t="s">
        <v>126</v>
      </c>
      <c r="B93" s="31" t="s">
        <v>127</v>
      </c>
      <c r="C93" s="32" t="s">
        <v>22</v>
      </c>
      <c r="D93" s="30"/>
      <c r="E93" s="30"/>
      <c r="F93" s="44">
        <f>SUM(F94:F100)</f>
        <v>0.99999999999999989</v>
      </c>
      <c r="G93" s="30"/>
      <c r="H93" s="34"/>
      <c r="I93" s="34"/>
      <c r="J93" s="35"/>
      <c r="K93" s="89"/>
      <c r="L93" s="36">
        <f>0.22%*1.13</f>
        <v>2.4859999999999999E-3</v>
      </c>
      <c r="M93" s="36">
        <f>SUMPRODUCT(F94:F100,M94:M100)</f>
        <v>2.1593550735356432E-3</v>
      </c>
      <c r="N93" s="36">
        <f>SUMPRODUCT(F94:F100,N94:N100)</f>
        <v>2.1593550735356432E-3</v>
      </c>
      <c r="O93" s="36">
        <f>SUMPRODUCT(F94:F100,O94:O100)</f>
        <v>2.1116679008312042E-4</v>
      </c>
    </row>
    <row r="94" spans="1:15" s="2" customFormat="1" ht="12" hidden="1" customHeight="1">
      <c r="A94" s="37" t="s">
        <v>78</v>
      </c>
      <c r="B94" s="39" t="s">
        <v>37</v>
      </c>
      <c r="C94" s="39" t="s">
        <v>22</v>
      </c>
      <c r="D94" s="37" t="s">
        <v>61</v>
      </c>
      <c r="E94" s="37"/>
      <c r="F94" s="45">
        <v>0.3</v>
      </c>
      <c r="G94" s="77">
        <v>2.9600000000000001E-2</v>
      </c>
      <c r="H94" s="41">
        <v>0</v>
      </c>
      <c r="I94" s="41">
        <v>0</v>
      </c>
      <c r="J94" s="42">
        <f>3073/41862846</f>
        <v>7.3406380445323758E-5</v>
      </c>
      <c r="K94" s="90"/>
      <c r="L94" s="43"/>
      <c r="M94" s="43">
        <f>G94*J94</f>
        <v>2.1728288611815833E-6</v>
      </c>
      <c r="N94" s="43">
        <f>G94*J94</f>
        <v>2.1728288611815833E-6</v>
      </c>
      <c r="O94" s="43">
        <v>0</v>
      </c>
    </row>
    <row r="95" spans="1:15" s="2" customFormat="1" ht="12" hidden="1" customHeight="1">
      <c r="A95" s="37" t="s">
        <v>79</v>
      </c>
      <c r="B95" s="39" t="s">
        <v>3</v>
      </c>
      <c r="C95" s="39" t="s">
        <v>22</v>
      </c>
      <c r="D95" s="37" t="s">
        <v>72</v>
      </c>
      <c r="E95" s="54">
        <v>31370699</v>
      </c>
      <c r="F95" s="45">
        <v>0.38907460636765434</v>
      </c>
      <c r="G95" s="77">
        <v>1.7299999999999999E-2</v>
      </c>
      <c r="H95" s="41">
        <v>0</v>
      </c>
      <c r="I95" s="41">
        <v>2.9999999999999997E-4</v>
      </c>
      <c r="J95" s="42">
        <f>3880926/25861320</f>
        <v>0.15006681793504739</v>
      </c>
      <c r="K95" s="90"/>
      <c r="L95" s="43"/>
      <c r="M95" s="43">
        <f>(G95-I95)*J95</f>
        <v>2.5511359048958054E-3</v>
      </c>
      <c r="N95" s="43">
        <f>(G95-I95)*J95</f>
        <v>2.5511359048958054E-3</v>
      </c>
      <c r="O95" s="43">
        <v>0</v>
      </c>
    </row>
    <row r="96" spans="1:15" s="2" customFormat="1" ht="12" hidden="1" customHeight="1">
      <c r="A96" s="37" t="s">
        <v>80</v>
      </c>
      <c r="B96" s="39" t="s">
        <v>19</v>
      </c>
      <c r="C96" s="39" t="s">
        <v>22</v>
      </c>
      <c r="D96" s="37" t="s">
        <v>73</v>
      </c>
      <c r="E96" s="78">
        <v>17974564</v>
      </c>
      <c r="F96" s="45">
        <v>0.23601907046756826</v>
      </c>
      <c r="G96" s="77">
        <v>3.1099999999999999E-2</v>
      </c>
      <c r="H96" s="41">
        <f>1879852/20389774</f>
        <v>9.2195823259247509E-2</v>
      </c>
      <c r="I96" s="41">
        <v>0</v>
      </c>
      <c r="J96" s="42">
        <v>0</v>
      </c>
      <c r="K96" s="90"/>
      <c r="L96" s="43"/>
      <c r="M96" s="43">
        <f>G96*H96</f>
        <v>2.8672901033625973E-3</v>
      </c>
      <c r="N96" s="43">
        <f>G96*H96</f>
        <v>2.8672901033625973E-3</v>
      </c>
      <c r="O96" s="43">
        <v>0</v>
      </c>
    </row>
    <row r="97" spans="1:15" s="2" customFormat="1" ht="12" hidden="1" customHeight="1">
      <c r="A97" s="37" t="s">
        <v>53</v>
      </c>
      <c r="B97" s="39" t="s">
        <v>15</v>
      </c>
      <c r="C97" s="39" t="s">
        <v>22</v>
      </c>
      <c r="D97" s="37" t="s">
        <v>74</v>
      </c>
      <c r="E97" s="78">
        <v>6162755</v>
      </c>
      <c r="F97" s="45">
        <v>7.4906323164777425E-2</v>
      </c>
      <c r="G97" s="77">
        <v>2.9000000000000001E-2</v>
      </c>
      <c r="H97" s="41">
        <f>246058000/2531211000</f>
        <v>9.720959651328949E-2</v>
      </c>
      <c r="I97" s="41">
        <v>1.1999999999999999E-3</v>
      </c>
      <c r="J97" s="42">
        <f>3390234/22801829</f>
        <v>0.14868254647467097</v>
      </c>
      <c r="K97" s="90"/>
      <c r="L97" s="43"/>
      <c r="M97" s="43">
        <f>G97*H97+J97*(G97-G97*H97-I97)</f>
        <v>6.5333053506914842E-3</v>
      </c>
      <c r="N97" s="43">
        <f>G97*H97+J97*(G97-G97*H97-I97)</f>
        <v>6.5333053506914842E-3</v>
      </c>
      <c r="O97" s="43">
        <f t="shared" ref="O97" si="23">G97*H97</f>
        <v>2.8190782988853952E-3</v>
      </c>
    </row>
    <row r="98" spans="1:15" s="2" customFormat="1" ht="12" hidden="1" customHeight="1">
      <c r="A98" s="37" t="s">
        <v>81</v>
      </c>
      <c r="B98" s="39" t="s">
        <v>43</v>
      </c>
      <c r="C98" s="39" t="s">
        <v>22</v>
      </c>
      <c r="D98" s="37" t="s">
        <v>98</v>
      </c>
      <c r="E98" s="82">
        <v>0.58809999999999996</v>
      </c>
      <c r="F98" s="45">
        <v>0</v>
      </c>
      <c r="G98" s="77">
        <v>3.0980000000000001E-2</v>
      </c>
      <c r="H98" s="41">
        <v>0</v>
      </c>
      <c r="I98" s="41">
        <v>0</v>
      </c>
      <c r="J98" s="42">
        <f>301/46814086</f>
        <v>6.4296887052328651E-6</v>
      </c>
      <c r="K98" s="90"/>
      <c r="L98" s="43"/>
      <c r="M98" s="43">
        <v>0</v>
      </c>
      <c r="N98" s="43">
        <v>0</v>
      </c>
      <c r="O98" s="43">
        <v>0</v>
      </c>
    </row>
    <row r="99" spans="1:15" s="2" customFormat="1" ht="12" hidden="1" customHeight="1">
      <c r="A99" s="37" t="s">
        <v>82</v>
      </c>
      <c r="B99" s="39" t="s">
        <v>34</v>
      </c>
      <c r="C99" s="39" t="s">
        <v>22</v>
      </c>
      <c r="D99" s="37" t="s">
        <v>99</v>
      </c>
      <c r="E99" s="82">
        <v>0.18579999999999999</v>
      </c>
      <c r="F99" s="45">
        <v>0</v>
      </c>
      <c r="G99" s="77">
        <v>3.1480000000000001E-2</v>
      </c>
      <c r="H99" s="41">
        <v>0</v>
      </c>
      <c r="I99" s="41">
        <v>3.5E-4</v>
      </c>
      <c r="J99" s="42">
        <f>202415/5828447</f>
        <v>3.4728805117383757E-2</v>
      </c>
      <c r="K99" s="90"/>
      <c r="L99" s="43"/>
      <c r="M99" s="43">
        <f>(G99-I99)*J99</f>
        <v>1.0811077033041564E-3</v>
      </c>
      <c r="N99" s="43">
        <f>(G99-I99)*J99</f>
        <v>1.0811077033041564E-3</v>
      </c>
      <c r="O99" s="43">
        <v>0</v>
      </c>
    </row>
    <row r="100" spans="1:15" s="2" customFormat="1" ht="12" hidden="1" customHeight="1">
      <c r="A100" s="37" t="s">
        <v>83</v>
      </c>
      <c r="B100" s="39" t="s">
        <v>35</v>
      </c>
      <c r="C100" s="39" t="s">
        <v>22</v>
      </c>
      <c r="D100" s="37" t="s">
        <v>100</v>
      </c>
      <c r="E100" s="82">
        <v>0.2261</v>
      </c>
      <c r="F100" s="45">
        <v>0</v>
      </c>
      <c r="G100" s="77">
        <v>2.239E-2</v>
      </c>
      <c r="H100" s="41">
        <f>9408000/(1233622000+9408000)</f>
        <v>7.5686025276944244E-3</v>
      </c>
      <c r="I100" s="41">
        <v>8.9999999999999998E-4</v>
      </c>
      <c r="J100" s="42">
        <f>831119/5559600</f>
        <v>0.14949258939492049</v>
      </c>
      <c r="K100" s="90"/>
      <c r="L100" s="43"/>
      <c r="M100" s="43">
        <f>G100*H100+J100*(G100-G100*H100-I100)</f>
        <v>3.3567235914165809E-3</v>
      </c>
      <c r="N100" s="43">
        <f>G100*H100+J100*(G100-G100*H100-I100)</f>
        <v>3.3567235914165809E-3</v>
      </c>
      <c r="O100" s="43">
        <f>G100*H100</f>
        <v>1.6946101059507816E-4</v>
      </c>
    </row>
    <row r="101" spans="1:15" s="2" customFormat="1" ht="12" hidden="1" customHeight="1">
      <c r="A101" s="37"/>
      <c r="B101" s="38"/>
      <c r="C101" s="39"/>
      <c r="D101" s="37"/>
      <c r="E101" s="37"/>
      <c r="F101" s="37"/>
      <c r="G101" s="37"/>
      <c r="H101" s="41"/>
      <c r="I101" s="41"/>
      <c r="J101" s="42"/>
      <c r="K101" s="90"/>
      <c r="L101" s="43"/>
      <c r="M101" s="43"/>
      <c r="N101" s="43"/>
      <c r="O101" s="43"/>
    </row>
    <row r="102" spans="1:15" s="2" customFormat="1" ht="12" customHeight="1">
      <c r="A102" s="37" t="s">
        <v>162</v>
      </c>
      <c r="B102" s="38" t="s">
        <v>160</v>
      </c>
      <c r="C102" s="39" t="s">
        <v>22</v>
      </c>
      <c r="D102" s="37"/>
      <c r="E102" s="37"/>
      <c r="F102" s="45">
        <f>SUM(F103:F110)</f>
        <v>1</v>
      </c>
      <c r="G102" s="40"/>
      <c r="H102" s="41"/>
      <c r="I102" s="41"/>
      <c r="J102" s="42"/>
      <c r="K102" s="90"/>
      <c r="L102" s="43">
        <v>2.0999999999999999E-3</v>
      </c>
      <c r="M102" s="43">
        <f>SUMPRODUCT(F103:F110,M103:M110)</f>
        <v>4.3575054791284714E-4</v>
      </c>
      <c r="N102" s="43">
        <f>SUMPRODUCT(F103:F110,N103:N110)</f>
        <v>4.3575054791284714E-4</v>
      </c>
      <c r="O102" s="43">
        <f>SUMPRODUCT(F103:F110,O103:O110)</f>
        <v>2.9030690123776293E-5</v>
      </c>
    </row>
    <row r="103" spans="1:15" s="2" customFormat="1" ht="12" hidden="1" customHeight="1">
      <c r="A103" s="37" t="s">
        <v>106</v>
      </c>
      <c r="B103" s="39" t="s">
        <v>114</v>
      </c>
      <c r="C103" s="39" t="s">
        <v>22</v>
      </c>
      <c r="D103" s="37" t="s">
        <v>124</v>
      </c>
      <c r="E103" s="37"/>
      <c r="F103" s="45">
        <v>0.12</v>
      </c>
      <c r="G103" s="40">
        <v>2.92E-2</v>
      </c>
      <c r="H103" s="41">
        <v>0</v>
      </c>
      <c r="I103" s="41">
        <v>0</v>
      </c>
      <c r="J103" s="42">
        <v>0</v>
      </c>
      <c r="K103" s="90"/>
      <c r="L103" s="43"/>
      <c r="M103" s="43">
        <f>G103*J103</f>
        <v>0</v>
      </c>
      <c r="N103" s="43">
        <f>G103*J103</f>
        <v>0</v>
      </c>
      <c r="O103" s="43">
        <v>0</v>
      </c>
    </row>
    <row r="104" spans="1:15" s="2" customFormat="1" ht="12" hidden="1" customHeight="1">
      <c r="A104" s="37" t="s">
        <v>107</v>
      </c>
      <c r="B104" s="39" t="s">
        <v>70</v>
      </c>
      <c r="C104" s="39" t="s">
        <v>22</v>
      </c>
      <c r="D104" s="37" t="s">
        <v>121</v>
      </c>
      <c r="E104" s="53"/>
      <c r="F104" s="45">
        <v>0.52</v>
      </c>
      <c r="G104" s="40">
        <v>3.1E-2</v>
      </c>
      <c r="H104" s="41">
        <v>0</v>
      </c>
      <c r="I104" s="41">
        <v>0</v>
      </c>
      <c r="J104" s="42">
        <v>0</v>
      </c>
      <c r="K104" s="90"/>
      <c r="L104" s="43"/>
      <c r="M104" s="43">
        <v>0</v>
      </c>
      <c r="N104" s="43">
        <v>0</v>
      </c>
      <c r="O104" s="43">
        <v>0</v>
      </c>
    </row>
    <row r="105" spans="1:15" s="2" customFormat="1" ht="12" hidden="1" customHeight="1">
      <c r="A105" s="37" t="s">
        <v>108</v>
      </c>
      <c r="B105" s="39" t="s">
        <v>115</v>
      </c>
      <c r="C105" s="39" t="s">
        <v>21</v>
      </c>
      <c r="D105" s="37" t="s">
        <v>122</v>
      </c>
      <c r="E105" s="53"/>
      <c r="F105" s="45">
        <v>0.08</v>
      </c>
      <c r="G105" s="40"/>
      <c r="H105" s="41">
        <v>0</v>
      </c>
      <c r="I105" s="41">
        <v>1.5E-3</v>
      </c>
      <c r="J105" s="42">
        <v>0</v>
      </c>
      <c r="K105" s="90"/>
      <c r="L105" s="43"/>
      <c r="M105" s="43">
        <f>G105*H105</f>
        <v>0</v>
      </c>
      <c r="N105" s="43">
        <f>G105*H105</f>
        <v>0</v>
      </c>
      <c r="O105" s="43">
        <v>0</v>
      </c>
    </row>
    <row r="106" spans="1:15" s="2" customFormat="1" ht="12" hidden="1" customHeight="1">
      <c r="A106" s="37" t="s">
        <v>109</v>
      </c>
      <c r="B106" s="39" t="s">
        <v>116</v>
      </c>
      <c r="C106" s="39" t="s">
        <v>21</v>
      </c>
      <c r="D106" s="37" t="s">
        <v>123</v>
      </c>
      <c r="E106" s="53"/>
      <c r="F106" s="45">
        <v>0.08</v>
      </c>
      <c r="G106" s="40"/>
      <c r="H106" s="41">
        <v>0</v>
      </c>
      <c r="I106" s="41">
        <v>5.9999999999999995E-4</v>
      </c>
      <c r="J106" s="42">
        <v>0</v>
      </c>
      <c r="K106" s="90"/>
      <c r="L106" s="43"/>
      <c r="M106" s="43">
        <f>G106*H106+J106*(G106-G106*H106-I106)</f>
        <v>0</v>
      </c>
      <c r="N106" s="43">
        <f>G106*H106+J106*(G106-G106*H106-I106)</f>
        <v>0</v>
      </c>
      <c r="O106" s="43">
        <f t="shared" ref="O106" si="24">G106*H106</f>
        <v>0</v>
      </c>
    </row>
    <row r="107" spans="1:15" s="2" customFormat="1" ht="12" hidden="1" customHeight="1">
      <c r="A107" s="37" t="s">
        <v>110</v>
      </c>
      <c r="B107" s="39" t="s">
        <v>39</v>
      </c>
      <c r="C107" s="39" t="s">
        <v>22</v>
      </c>
      <c r="D107" s="37" t="s">
        <v>64</v>
      </c>
      <c r="E107" s="37"/>
      <c r="F107" s="45">
        <v>0.05</v>
      </c>
      <c r="G107" s="77">
        <v>3.0099999999999998E-2</v>
      </c>
      <c r="H107" s="41">
        <v>0</v>
      </c>
      <c r="I107" s="41">
        <v>0</v>
      </c>
      <c r="J107" s="42">
        <f>414/125798780</f>
        <v>3.2909699124268136E-6</v>
      </c>
      <c r="K107" s="90"/>
      <c r="L107" s="43"/>
      <c r="M107" s="43">
        <f>G107*J107</f>
        <v>9.9058194364047086E-8</v>
      </c>
      <c r="N107" s="43">
        <f>G107*J107</f>
        <v>9.9058194364047086E-8</v>
      </c>
      <c r="O107" s="43">
        <v>0</v>
      </c>
    </row>
    <row r="108" spans="1:15" s="2" customFormat="1" ht="12" hidden="1" customHeight="1">
      <c r="A108" s="37" t="s">
        <v>111</v>
      </c>
      <c r="B108" s="39" t="s">
        <v>5</v>
      </c>
      <c r="C108" s="39" t="s">
        <v>21</v>
      </c>
      <c r="D108" s="37" t="s">
        <v>75</v>
      </c>
      <c r="E108" s="37"/>
      <c r="F108" s="45">
        <v>0.09</v>
      </c>
      <c r="G108" s="77">
        <v>1.7899999999999999E-2</v>
      </c>
      <c r="H108" s="41">
        <f>18755/(291256727+2524809+28016)</f>
        <v>6.3833867457107051E-5</v>
      </c>
      <c r="I108" s="41">
        <v>2.9999999999999997E-4</v>
      </c>
      <c r="J108" s="42">
        <v>0.15</v>
      </c>
      <c r="K108" s="90"/>
      <c r="L108" s="43"/>
      <c r="M108" s="43">
        <f>(G108-I108)*J108</f>
        <v>2.6399999999999996E-3</v>
      </c>
      <c r="N108" s="43">
        <f>(G108-I108)*J108</f>
        <v>2.6399999999999996E-3</v>
      </c>
      <c r="O108" s="43">
        <v>0</v>
      </c>
    </row>
    <row r="109" spans="1:15" s="2" customFormat="1" ht="12" hidden="1" customHeight="1">
      <c r="A109" s="37" t="s">
        <v>112</v>
      </c>
      <c r="B109" s="39" t="s">
        <v>11</v>
      </c>
      <c r="C109" s="39" t="s">
        <v>22</v>
      </c>
      <c r="D109" s="37" t="s">
        <v>56</v>
      </c>
      <c r="E109" s="37"/>
      <c r="F109" s="45">
        <v>0.05</v>
      </c>
      <c r="G109" s="77">
        <v>3.1E-2</v>
      </c>
      <c r="H109" s="41">
        <f>5586497/63754246</f>
        <v>8.7625489288980063E-2</v>
      </c>
      <c r="I109" s="41">
        <v>0</v>
      </c>
      <c r="J109" s="42">
        <v>0</v>
      </c>
      <c r="K109" s="90"/>
      <c r="L109" s="43"/>
      <c r="M109" s="43">
        <f>G109*H109</f>
        <v>2.716390167958382E-3</v>
      </c>
      <c r="N109" s="43">
        <f t="shared" ref="N109" si="25">G109*H109</f>
        <v>2.716390167958382E-3</v>
      </c>
      <c r="O109" s="43">
        <v>0</v>
      </c>
    </row>
    <row r="110" spans="1:15" s="2" customFormat="1" ht="12" hidden="1" customHeight="1">
      <c r="A110" s="37" t="s">
        <v>113</v>
      </c>
      <c r="B110" s="39" t="s">
        <v>17</v>
      </c>
      <c r="C110" s="39" t="s">
        <v>21</v>
      </c>
      <c r="D110" s="37" t="s">
        <v>57</v>
      </c>
      <c r="E110" s="37"/>
      <c r="F110" s="45">
        <v>0.01</v>
      </c>
      <c r="G110" s="77">
        <v>2.6499999999999999E-2</v>
      </c>
      <c r="H110" s="41">
        <f>(136301399+2417343+1630758)/(1279761682+1328581+57975)</f>
        <v>0.10954977405198602</v>
      </c>
      <c r="I110" s="41">
        <v>1.4E-3</v>
      </c>
      <c r="J110" s="42">
        <v>0.15</v>
      </c>
      <c r="K110" s="90"/>
      <c r="L110" s="43"/>
      <c r="M110" s="43">
        <f>G110*H110+J110*(G110-G110*H110-I110)</f>
        <v>6.2326086605209849E-3</v>
      </c>
      <c r="N110" s="43">
        <f>G110*H110+J110*(G110-G110*H110-I110)</f>
        <v>6.2326086605209849E-3</v>
      </c>
      <c r="O110" s="43">
        <f>G110*H110</f>
        <v>2.9030690123776292E-3</v>
      </c>
    </row>
    <row r="111" spans="1:15" s="2" customFormat="1" ht="12" hidden="1" customHeight="1">
      <c r="A111" s="37"/>
      <c r="B111" s="38"/>
      <c r="C111" s="39"/>
      <c r="D111" s="37"/>
      <c r="E111" s="37"/>
      <c r="F111" s="37"/>
      <c r="G111" s="37"/>
      <c r="H111" s="41"/>
      <c r="I111" s="41"/>
      <c r="J111" s="42"/>
      <c r="K111" s="90"/>
      <c r="L111" s="43"/>
      <c r="M111" s="43"/>
      <c r="N111" s="43"/>
      <c r="O111" s="43"/>
    </row>
    <row r="112" spans="1:15" s="2" customFormat="1" ht="12" customHeight="1">
      <c r="A112" s="30" t="s">
        <v>163</v>
      </c>
      <c r="B112" s="31" t="s">
        <v>161</v>
      </c>
      <c r="C112" s="32" t="s">
        <v>22</v>
      </c>
      <c r="D112" s="30"/>
      <c r="E112" s="30"/>
      <c r="F112" s="44">
        <f>SUM(F113:F120)</f>
        <v>1</v>
      </c>
      <c r="G112" s="33"/>
      <c r="H112" s="34"/>
      <c r="I112" s="34"/>
      <c r="J112" s="35"/>
      <c r="K112" s="89"/>
      <c r="L112" s="36">
        <v>2.0999999999999999E-3</v>
      </c>
      <c r="M112" s="36">
        <f>SUMPRODUCT(F113:F120,M113:M120)</f>
        <v>8.7150109582569428E-4</v>
      </c>
      <c r="N112" s="36">
        <f>SUMPRODUCT(F113:F120,N113:N120)</f>
        <v>8.7150109582569428E-4</v>
      </c>
      <c r="O112" s="36">
        <f>SUMPRODUCT(F113:F120,O113:O120)</f>
        <v>5.8061380247552587E-5</v>
      </c>
    </row>
    <row r="113" spans="1:15" s="2" customFormat="1" ht="12" hidden="1" customHeight="1">
      <c r="A113" s="37" t="s">
        <v>106</v>
      </c>
      <c r="B113" s="39" t="s">
        <v>114</v>
      </c>
      <c r="C113" s="39" t="s">
        <v>22</v>
      </c>
      <c r="D113" s="37" t="s">
        <v>124</v>
      </c>
      <c r="E113" s="37"/>
      <c r="F113" s="45">
        <v>0.09</v>
      </c>
      <c r="G113" s="40">
        <v>2.92E-2</v>
      </c>
      <c r="H113" s="41">
        <v>0</v>
      </c>
      <c r="I113" s="41">
        <v>0</v>
      </c>
      <c r="J113" s="42">
        <v>0</v>
      </c>
      <c r="K113" s="90"/>
      <c r="L113" s="43"/>
      <c r="M113" s="43">
        <f>G113*J113</f>
        <v>0</v>
      </c>
      <c r="N113" s="43">
        <f>G113*J113</f>
        <v>0</v>
      </c>
      <c r="O113" s="43">
        <v>0</v>
      </c>
    </row>
    <row r="114" spans="1:15" s="2" customFormat="1" ht="12" hidden="1" customHeight="1">
      <c r="A114" s="37" t="s">
        <v>107</v>
      </c>
      <c r="B114" s="39" t="s">
        <v>70</v>
      </c>
      <c r="C114" s="39" t="s">
        <v>22</v>
      </c>
      <c r="D114" s="37" t="s">
        <v>121</v>
      </c>
      <c r="E114" s="53"/>
      <c r="F114" s="45">
        <v>0.39</v>
      </c>
      <c r="G114" s="40">
        <v>3.1E-2</v>
      </c>
      <c r="H114" s="41">
        <v>0</v>
      </c>
      <c r="I114" s="41">
        <v>0</v>
      </c>
      <c r="J114" s="42">
        <v>0</v>
      </c>
      <c r="K114" s="90"/>
      <c r="L114" s="43"/>
      <c r="M114" s="43">
        <v>0</v>
      </c>
      <c r="N114" s="43">
        <v>0</v>
      </c>
      <c r="O114" s="43">
        <v>0</v>
      </c>
    </row>
    <row r="115" spans="1:15" s="2" customFormat="1" ht="12" hidden="1" customHeight="1">
      <c r="A115" s="37" t="s">
        <v>108</v>
      </c>
      <c r="B115" s="39" t="s">
        <v>115</v>
      </c>
      <c r="C115" s="39" t="s">
        <v>21</v>
      </c>
      <c r="D115" s="37" t="s">
        <v>122</v>
      </c>
      <c r="E115" s="53"/>
      <c r="F115" s="45">
        <v>0.06</v>
      </c>
      <c r="G115" s="40"/>
      <c r="H115" s="41">
        <v>0</v>
      </c>
      <c r="I115" s="41">
        <v>1.5E-3</v>
      </c>
      <c r="J115" s="42">
        <v>0</v>
      </c>
      <c r="K115" s="90"/>
      <c r="L115" s="43"/>
      <c r="M115" s="43">
        <f>G115*H115</f>
        <v>0</v>
      </c>
      <c r="N115" s="43">
        <f>G115*H115</f>
        <v>0</v>
      </c>
      <c r="O115" s="43">
        <v>0</v>
      </c>
    </row>
    <row r="116" spans="1:15" s="2" customFormat="1" ht="12" hidden="1" customHeight="1">
      <c r="A116" s="37" t="s">
        <v>109</v>
      </c>
      <c r="B116" s="39" t="s">
        <v>116</v>
      </c>
      <c r="C116" s="39" t="s">
        <v>21</v>
      </c>
      <c r="D116" s="37" t="s">
        <v>123</v>
      </c>
      <c r="E116" s="53"/>
      <c r="F116" s="45">
        <v>0.06</v>
      </c>
      <c r="G116" s="40"/>
      <c r="H116" s="41">
        <v>0</v>
      </c>
      <c r="I116" s="41">
        <v>5.9999999999999995E-4</v>
      </c>
      <c r="J116" s="42">
        <v>0</v>
      </c>
      <c r="K116" s="90"/>
      <c r="L116" s="43"/>
      <c r="M116" s="43">
        <f>G116*H116+J116*(G116-G116*H116-I116)</f>
        <v>0</v>
      </c>
      <c r="N116" s="43">
        <f>G116*H116+J116*(G116-G116*H116-I116)</f>
        <v>0</v>
      </c>
      <c r="O116" s="43">
        <f t="shared" ref="O116" si="26">G116*H116</f>
        <v>0</v>
      </c>
    </row>
    <row r="117" spans="1:15" s="2" customFormat="1" ht="12" hidden="1" customHeight="1">
      <c r="A117" s="37" t="s">
        <v>110</v>
      </c>
      <c r="B117" s="39" t="s">
        <v>39</v>
      </c>
      <c r="C117" s="39" t="s">
        <v>22</v>
      </c>
      <c r="D117" s="37" t="s">
        <v>64</v>
      </c>
      <c r="E117" s="37"/>
      <c r="F117" s="45">
        <v>0.1</v>
      </c>
      <c r="G117" s="77">
        <v>3.0099999999999998E-2</v>
      </c>
      <c r="H117" s="41">
        <v>0</v>
      </c>
      <c r="I117" s="41">
        <v>0</v>
      </c>
      <c r="J117" s="42">
        <f>414/125798780</f>
        <v>3.2909699124268136E-6</v>
      </c>
      <c r="K117" s="90"/>
      <c r="L117" s="43"/>
      <c r="M117" s="43">
        <f>G117*J117</f>
        <v>9.9058194364047086E-8</v>
      </c>
      <c r="N117" s="43">
        <f>G117*J117</f>
        <v>9.9058194364047086E-8</v>
      </c>
      <c r="O117" s="43">
        <v>0</v>
      </c>
    </row>
    <row r="118" spans="1:15" s="2" customFormat="1" ht="12" hidden="1" customHeight="1">
      <c r="A118" s="37" t="s">
        <v>111</v>
      </c>
      <c r="B118" s="39" t="s">
        <v>5</v>
      </c>
      <c r="C118" s="39" t="s">
        <v>21</v>
      </c>
      <c r="D118" s="37" t="s">
        <v>75</v>
      </c>
      <c r="E118" s="37"/>
      <c r="F118" s="45">
        <v>0.18</v>
      </c>
      <c r="G118" s="77">
        <v>1.7899999999999999E-2</v>
      </c>
      <c r="H118" s="41">
        <f>18755/(291256727+2524809+28016)</f>
        <v>6.3833867457107051E-5</v>
      </c>
      <c r="I118" s="41">
        <v>2.9999999999999997E-4</v>
      </c>
      <c r="J118" s="42">
        <v>0.15</v>
      </c>
      <c r="K118" s="90"/>
      <c r="L118" s="43"/>
      <c r="M118" s="43">
        <f>(G118-I118)*J118</f>
        <v>2.6399999999999996E-3</v>
      </c>
      <c r="N118" s="43">
        <f>(G118-I118)*J118</f>
        <v>2.6399999999999996E-3</v>
      </c>
      <c r="O118" s="43">
        <v>0</v>
      </c>
    </row>
    <row r="119" spans="1:15" s="2" customFormat="1" ht="12" hidden="1" customHeight="1">
      <c r="A119" s="37" t="s">
        <v>112</v>
      </c>
      <c r="B119" s="39" t="s">
        <v>11</v>
      </c>
      <c r="C119" s="39" t="s">
        <v>22</v>
      </c>
      <c r="D119" s="37" t="s">
        <v>56</v>
      </c>
      <c r="E119" s="37"/>
      <c r="F119" s="45">
        <v>0.1</v>
      </c>
      <c r="G119" s="77">
        <v>3.1E-2</v>
      </c>
      <c r="H119" s="41">
        <f>5586497/63754246</f>
        <v>8.7625489288980063E-2</v>
      </c>
      <c r="I119" s="41">
        <v>0</v>
      </c>
      <c r="J119" s="42">
        <v>0</v>
      </c>
      <c r="K119" s="90"/>
      <c r="L119" s="43"/>
      <c r="M119" s="43">
        <f>G119*H119</f>
        <v>2.716390167958382E-3</v>
      </c>
      <c r="N119" s="43">
        <f t="shared" ref="N119" si="27">G119*H119</f>
        <v>2.716390167958382E-3</v>
      </c>
      <c r="O119" s="43">
        <v>0</v>
      </c>
    </row>
    <row r="120" spans="1:15" s="2" customFormat="1" ht="12" hidden="1" customHeight="1">
      <c r="A120" s="37" t="s">
        <v>113</v>
      </c>
      <c r="B120" s="39" t="s">
        <v>17</v>
      </c>
      <c r="C120" s="39" t="s">
        <v>21</v>
      </c>
      <c r="D120" s="37" t="s">
        <v>57</v>
      </c>
      <c r="E120" s="37"/>
      <c r="F120" s="45">
        <v>0.02</v>
      </c>
      <c r="G120" s="77">
        <v>2.6499999999999999E-2</v>
      </c>
      <c r="H120" s="41">
        <f>(136301399+2417343+1630758)/(1279761682+1328581+57975)</f>
        <v>0.10954977405198602</v>
      </c>
      <c r="I120" s="41">
        <v>1.4E-3</v>
      </c>
      <c r="J120" s="42">
        <v>0.15</v>
      </c>
      <c r="K120" s="90"/>
      <c r="L120" s="43"/>
      <c r="M120" s="43">
        <f>G120*H120+J120*(G120-G120*H120-I120)</f>
        <v>6.2326086605209849E-3</v>
      </c>
      <c r="N120" s="43">
        <f>G120*H120+J120*(G120-G120*H120-I120)</f>
        <v>6.2326086605209849E-3</v>
      </c>
      <c r="O120" s="43">
        <f>G120*H120</f>
        <v>2.9030690123776292E-3</v>
      </c>
    </row>
    <row r="121" spans="1:15" s="2" customFormat="1" ht="12" hidden="1" customHeight="1">
      <c r="A121" s="37"/>
      <c r="B121" s="38"/>
      <c r="C121" s="39"/>
      <c r="D121" s="37"/>
      <c r="E121" s="37"/>
      <c r="F121" s="37"/>
      <c r="G121" s="37"/>
      <c r="H121" s="41"/>
      <c r="I121" s="41"/>
      <c r="J121" s="42"/>
      <c r="K121" s="90"/>
      <c r="L121" s="43"/>
      <c r="M121" s="43"/>
      <c r="N121" s="43"/>
      <c r="O121" s="43"/>
    </row>
    <row r="122" spans="1:15" s="2" customFormat="1" ht="12" customHeight="1">
      <c r="A122" s="37" t="s">
        <v>105</v>
      </c>
      <c r="B122" s="38" t="s">
        <v>102</v>
      </c>
      <c r="C122" s="39" t="s">
        <v>22</v>
      </c>
      <c r="D122" s="37"/>
      <c r="E122" s="37"/>
      <c r="F122" s="45">
        <f>SUM(F123:F130)</f>
        <v>1</v>
      </c>
      <c r="G122" s="40"/>
      <c r="H122" s="41"/>
      <c r="I122" s="41"/>
      <c r="J122" s="42"/>
      <c r="K122" s="90"/>
      <c r="L122" s="43">
        <v>2.0999999999999999E-3</v>
      </c>
      <c r="M122" s="43">
        <f>SUMPRODUCT(F123:F130,M123:M130)</f>
        <v>1.3072516437385414E-3</v>
      </c>
      <c r="N122" s="43">
        <f>SUMPRODUCT(F123:F130,N123:N130)</f>
        <v>1.3072516437385414E-3</v>
      </c>
      <c r="O122" s="43">
        <f>SUMPRODUCT(F123:F130,O123:O130)</f>
        <v>8.7092070371328867E-5</v>
      </c>
    </row>
    <row r="123" spans="1:15" s="2" customFormat="1" ht="12" hidden="1" customHeight="1">
      <c r="A123" s="37" t="s">
        <v>106</v>
      </c>
      <c r="B123" s="39" t="s">
        <v>114</v>
      </c>
      <c r="C123" s="39" t="s">
        <v>22</v>
      </c>
      <c r="D123" s="37" t="s">
        <v>124</v>
      </c>
      <c r="E123" s="37"/>
      <c r="F123" s="45">
        <v>0.06</v>
      </c>
      <c r="G123" s="40">
        <v>2.92E-2</v>
      </c>
      <c r="H123" s="41">
        <v>0</v>
      </c>
      <c r="I123" s="41">
        <v>0</v>
      </c>
      <c r="J123" s="42">
        <v>0</v>
      </c>
      <c r="K123" s="90"/>
      <c r="L123" s="43"/>
      <c r="M123" s="43">
        <f>G123*J123</f>
        <v>0</v>
      </c>
      <c r="N123" s="43">
        <f>G123*J123</f>
        <v>0</v>
      </c>
      <c r="O123" s="43">
        <v>0</v>
      </c>
    </row>
    <row r="124" spans="1:15" s="2" customFormat="1" ht="12" hidden="1" customHeight="1">
      <c r="A124" s="37" t="s">
        <v>107</v>
      </c>
      <c r="B124" s="39" t="s">
        <v>70</v>
      </c>
      <c r="C124" s="39" t="s">
        <v>22</v>
      </c>
      <c r="D124" s="37" t="s">
        <v>121</v>
      </c>
      <c r="E124" s="53"/>
      <c r="F124" s="45">
        <v>0.26</v>
      </c>
      <c r="G124" s="40">
        <v>3.1E-2</v>
      </c>
      <c r="H124" s="41">
        <v>0</v>
      </c>
      <c r="I124" s="41">
        <v>0</v>
      </c>
      <c r="J124" s="42">
        <v>0</v>
      </c>
      <c r="K124" s="90"/>
      <c r="L124" s="43"/>
      <c r="M124" s="43">
        <v>0</v>
      </c>
      <c r="N124" s="43">
        <v>0</v>
      </c>
      <c r="O124" s="43">
        <v>0</v>
      </c>
    </row>
    <row r="125" spans="1:15" s="2" customFormat="1" ht="12" hidden="1" customHeight="1">
      <c r="A125" s="37" t="s">
        <v>108</v>
      </c>
      <c r="B125" s="39" t="s">
        <v>115</v>
      </c>
      <c r="C125" s="39" t="s">
        <v>21</v>
      </c>
      <c r="D125" s="37" t="s">
        <v>122</v>
      </c>
      <c r="E125" s="53"/>
      <c r="F125" s="45">
        <v>0.04</v>
      </c>
      <c r="G125" s="40"/>
      <c r="H125" s="41">
        <v>0</v>
      </c>
      <c r="I125" s="41">
        <v>1.5E-3</v>
      </c>
      <c r="J125" s="42">
        <v>0</v>
      </c>
      <c r="K125" s="90"/>
      <c r="L125" s="43"/>
      <c r="M125" s="43">
        <f>G125*H125</f>
        <v>0</v>
      </c>
      <c r="N125" s="43">
        <f>G125*H125</f>
        <v>0</v>
      </c>
      <c r="O125" s="43">
        <v>0</v>
      </c>
    </row>
    <row r="126" spans="1:15" s="2" customFormat="1" ht="12" hidden="1" customHeight="1">
      <c r="A126" s="37" t="s">
        <v>109</v>
      </c>
      <c r="B126" s="39" t="s">
        <v>116</v>
      </c>
      <c r="C126" s="39" t="s">
        <v>21</v>
      </c>
      <c r="D126" s="37" t="s">
        <v>123</v>
      </c>
      <c r="E126" s="53"/>
      <c r="F126" s="45">
        <v>0.04</v>
      </c>
      <c r="G126" s="40"/>
      <c r="H126" s="41">
        <v>0</v>
      </c>
      <c r="I126" s="41">
        <v>5.9999999999999995E-4</v>
      </c>
      <c r="J126" s="42">
        <v>0</v>
      </c>
      <c r="K126" s="90"/>
      <c r="L126" s="43"/>
      <c r="M126" s="43">
        <f>G126*H126+J126*(G126-G126*H126-I126)</f>
        <v>0</v>
      </c>
      <c r="N126" s="43">
        <f>G126*H126+J126*(G126-G126*H126-I126)</f>
        <v>0</v>
      </c>
      <c r="O126" s="43">
        <f t="shared" ref="O126" si="28">G126*H126</f>
        <v>0</v>
      </c>
    </row>
    <row r="127" spans="1:15" s="2" customFormat="1" ht="12" hidden="1" customHeight="1">
      <c r="A127" s="37" t="s">
        <v>110</v>
      </c>
      <c r="B127" s="39" t="s">
        <v>39</v>
      </c>
      <c r="C127" s="39" t="s">
        <v>22</v>
      </c>
      <c r="D127" s="37" t="s">
        <v>64</v>
      </c>
      <c r="E127" s="37"/>
      <c r="F127" s="45">
        <v>0.15</v>
      </c>
      <c r="G127" s="77">
        <v>3.0099999999999998E-2</v>
      </c>
      <c r="H127" s="41">
        <v>0</v>
      </c>
      <c r="I127" s="41">
        <v>0</v>
      </c>
      <c r="J127" s="42">
        <f>414/125798780</f>
        <v>3.2909699124268136E-6</v>
      </c>
      <c r="K127" s="90"/>
      <c r="L127" s="43"/>
      <c r="M127" s="43">
        <f>G127*J127</f>
        <v>9.9058194364047086E-8</v>
      </c>
      <c r="N127" s="43">
        <f>G127*J127</f>
        <v>9.9058194364047086E-8</v>
      </c>
      <c r="O127" s="43">
        <v>0</v>
      </c>
    </row>
    <row r="128" spans="1:15" s="2" customFormat="1" ht="12" hidden="1" customHeight="1">
      <c r="A128" s="37" t="s">
        <v>111</v>
      </c>
      <c r="B128" s="39" t="s">
        <v>5</v>
      </c>
      <c r="C128" s="39" t="s">
        <v>21</v>
      </c>
      <c r="D128" s="37" t="s">
        <v>75</v>
      </c>
      <c r="E128" s="37"/>
      <c r="F128" s="45">
        <v>0.27</v>
      </c>
      <c r="G128" s="77">
        <v>1.7899999999999999E-2</v>
      </c>
      <c r="H128" s="41">
        <f>18755/(291256727+2524809+28016)</f>
        <v>6.3833867457107051E-5</v>
      </c>
      <c r="I128" s="41">
        <v>2.9999999999999997E-4</v>
      </c>
      <c r="J128" s="42">
        <v>0.15</v>
      </c>
      <c r="K128" s="90"/>
      <c r="L128" s="43"/>
      <c r="M128" s="43">
        <f>(G128-I128)*J128</f>
        <v>2.6399999999999996E-3</v>
      </c>
      <c r="N128" s="43">
        <f>(G128-I128)*J128</f>
        <v>2.6399999999999996E-3</v>
      </c>
      <c r="O128" s="43">
        <v>0</v>
      </c>
    </row>
    <row r="129" spans="1:15" s="2" customFormat="1" ht="12" hidden="1" customHeight="1">
      <c r="A129" s="37" t="s">
        <v>112</v>
      </c>
      <c r="B129" s="39" t="s">
        <v>11</v>
      </c>
      <c r="C129" s="39" t="s">
        <v>22</v>
      </c>
      <c r="D129" s="37" t="s">
        <v>56</v>
      </c>
      <c r="E129" s="37"/>
      <c r="F129" s="45">
        <v>0.15</v>
      </c>
      <c r="G129" s="77">
        <v>3.1E-2</v>
      </c>
      <c r="H129" s="41">
        <f>5586497/63754246</f>
        <v>8.7625489288980063E-2</v>
      </c>
      <c r="I129" s="41">
        <v>0</v>
      </c>
      <c r="J129" s="42">
        <v>0</v>
      </c>
      <c r="K129" s="90"/>
      <c r="L129" s="43"/>
      <c r="M129" s="43">
        <f>G129*H129</f>
        <v>2.716390167958382E-3</v>
      </c>
      <c r="N129" s="43">
        <f t="shared" ref="N129" si="29">G129*H129</f>
        <v>2.716390167958382E-3</v>
      </c>
      <c r="O129" s="43">
        <v>0</v>
      </c>
    </row>
    <row r="130" spans="1:15" s="2" customFormat="1" ht="12" hidden="1" customHeight="1">
      <c r="A130" s="37" t="s">
        <v>113</v>
      </c>
      <c r="B130" s="39" t="s">
        <v>17</v>
      </c>
      <c r="C130" s="39" t="s">
        <v>21</v>
      </c>
      <c r="D130" s="37" t="s">
        <v>57</v>
      </c>
      <c r="E130" s="37"/>
      <c r="F130" s="45">
        <v>0.03</v>
      </c>
      <c r="G130" s="77">
        <v>2.6499999999999999E-2</v>
      </c>
      <c r="H130" s="41">
        <f>(136301399+2417343+1630758)/(1279761682+1328581+57975)</f>
        <v>0.10954977405198602</v>
      </c>
      <c r="I130" s="41">
        <v>1.4E-3</v>
      </c>
      <c r="J130" s="42">
        <v>0.15</v>
      </c>
      <c r="K130" s="90"/>
      <c r="L130" s="43"/>
      <c r="M130" s="43">
        <f>G130*H130+J130*(G130-G130*H130-I130)</f>
        <v>6.2326086605209849E-3</v>
      </c>
      <c r="N130" s="43">
        <f>G130*H130+J130*(G130-G130*H130-I130)</f>
        <v>6.2326086605209849E-3</v>
      </c>
      <c r="O130" s="43">
        <f>G130*H130</f>
        <v>2.9030690123776292E-3</v>
      </c>
    </row>
    <row r="131" spans="1:15" s="2" customFormat="1" ht="12" hidden="1" customHeight="1">
      <c r="A131" s="37"/>
      <c r="B131" s="38"/>
      <c r="C131" s="39"/>
      <c r="D131" s="37"/>
      <c r="E131" s="37"/>
      <c r="F131" s="45"/>
      <c r="G131" s="37"/>
      <c r="H131" s="41"/>
      <c r="I131" s="41"/>
      <c r="J131" s="42"/>
      <c r="K131" s="90"/>
      <c r="L131" s="43"/>
      <c r="M131" s="43"/>
      <c r="N131" s="43"/>
      <c r="O131" s="43"/>
    </row>
    <row r="132" spans="1:15" s="2" customFormat="1" ht="12" customHeight="1">
      <c r="A132" s="30" t="s">
        <v>104</v>
      </c>
      <c r="B132" s="31" t="s">
        <v>103</v>
      </c>
      <c r="C132" s="32" t="s">
        <v>22</v>
      </c>
      <c r="D132" s="30"/>
      <c r="E132" s="30"/>
      <c r="F132" s="44">
        <f>SUM(F133:F140)</f>
        <v>1</v>
      </c>
      <c r="G132" s="30"/>
      <c r="H132" s="34"/>
      <c r="I132" s="34"/>
      <c r="J132" s="35"/>
      <c r="K132" s="89"/>
      <c r="L132" s="36">
        <v>2.0999999999999999E-3</v>
      </c>
      <c r="M132" s="36">
        <f>SUMPRODUCT(F133:F140,M133:M140)</f>
        <v>1.7430021916513886E-3</v>
      </c>
      <c r="N132" s="36">
        <f>SUMPRODUCT(F133:F140,N133:N140)</f>
        <v>1.7430021916513886E-3</v>
      </c>
      <c r="O132" s="36">
        <f>SUMPRODUCT(F133:F140,O133:O140)</f>
        <v>1.1612276049510517E-4</v>
      </c>
    </row>
    <row r="133" spans="1:15" s="2" customFormat="1" ht="12" hidden="1" customHeight="1">
      <c r="A133" s="37" t="s">
        <v>106</v>
      </c>
      <c r="B133" s="39" t="s">
        <v>114</v>
      </c>
      <c r="C133" s="39" t="s">
        <v>22</v>
      </c>
      <c r="D133" s="37" t="s">
        <v>124</v>
      </c>
      <c r="E133" s="37"/>
      <c r="F133" s="45">
        <v>0.03</v>
      </c>
      <c r="G133" s="40">
        <v>2.92E-2</v>
      </c>
      <c r="H133" s="41">
        <v>0</v>
      </c>
      <c r="I133" s="41">
        <v>0</v>
      </c>
      <c r="J133" s="42">
        <v>0</v>
      </c>
      <c r="K133" s="91"/>
      <c r="L133" s="43"/>
      <c r="M133" s="43">
        <f>G133*J133</f>
        <v>0</v>
      </c>
      <c r="N133" s="43">
        <f>G133*J133</f>
        <v>0</v>
      </c>
      <c r="O133" s="43">
        <v>0</v>
      </c>
    </row>
    <row r="134" spans="1:15" s="2" customFormat="1" ht="12" hidden="1" customHeight="1">
      <c r="A134" s="37" t="s">
        <v>107</v>
      </c>
      <c r="B134" s="39" t="s">
        <v>70</v>
      </c>
      <c r="C134" s="39" t="s">
        <v>22</v>
      </c>
      <c r="D134" s="37" t="s">
        <v>121</v>
      </c>
      <c r="E134" s="53"/>
      <c r="F134" s="45">
        <v>0.13</v>
      </c>
      <c r="G134" s="40">
        <v>3.1E-2</v>
      </c>
      <c r="H134" s="41">
        <v>0</v>
      </c>
      <c r="I134" s="41">
        <v>0</v>
      </c>
      <c r="J134" s="42">
        <v>0</v>
      </c>
      <c r="K134" s="91"/>
      <c r="L134" s="43"/>
      <c r="M134" s="43">
        <v>0</v>
      </c>
      <c r="N134" s="43">
        <v>0</v>
      </c>
      <c r="O134" s="43">
        <v>0</v>
      </c>
    </row>
    <row r="135" spans="1:15" s="2" customFormat="1" ht="12" hidden="1" customHeight="1">
      <c r="A135" s="37" t="s">
        <v>108</v>
      </c>
      <c r="B135" s="39" t="s">
        <v>115</v>
      </c>
      <c r="C135" s="39" t="s">
        <v>21</v>
      </c>
      <c r="D135" s="37" t="s">
        <v>122</v>
      </c>
      <c r="E135" s="53"/>
      <c r="F135" s="45">
        <v>0.02</v>
      </c>
      <c r="G135" s="40"/>
      <c r="H135" s="41">
        <v>0</v>
      </c>
      <c r="I135" s="41">
        <v>1.5E-3</v>
      </c>
      <c r="J135" s="42">
        <v>0</v>
      </c>
      <c r="K135" s="91"/>
      <c r="L135" s="43"/>
      <c r="M135" s="43">
        <f>G135*H135</f>
        <v>0</v>
      </c>
      <c r="N135" s="43">
        <f>G135*H135</f>
        <v>0</v>
      </c>
      <c r="O135" s="43">
        <v>0</v>
      </c>
    </row>
    <row r="136" spans="1:15" s="2" customFormat="1" ht="12" hidden="1" customHeight="1">
      <c r="A136" s="37" t="s">
        <v>109</v>
      </c>
      <c r="B136" s="39" t="s">
        <v>116</v>
      </c>
      <c r="C136" s="39" t="s">
        <v>21</v>
      </c>
      <c r="D136" s="37" t="s">
        <v>123</v>
      </c>
      <c r="E136" s="53"/>
      <c r="F136" s="45">
        <v>0.02</v>
      </c>
      <c r="G136" s="40"/>
      <c r="H136" s="41">
        <v>0</v>
      </c>
      <c r="I136" s="41">
        <v>5.9999999999999995E-4</v>
      </c>
      <c r="J136" s="42">
        <v>0</v>
      </c>
      <c r="K136" s="91"/>
      <c r="L136" s="43"/>
      <c r="M136" s="43">
        <f>G136*H136+J136*(G136-G136*H136-I136)</f>
        <v>0</v>
      </c>
      <c r="N136" s="43">
        <f>G136*H136+J136*(G136-G136*H136-I136)</f>
        <v>0</v>
      </c>
      <c r="O136" s="43">
        <f t="shared" ref="O136" si="30">G136*H136</f>
        <v>0</v>
      </c>
    </row>
    <row r="137" spans="1:15" s="2" customFormat="1" ht="12" hidden="1" customHeight="1">
      <c r="A137" s="37" t="s">
        <v>110</v>
      </c>
      <c r="B137" s="39" t="s">
        <v>39</v>
      </c>
      <c r="C137" s="39" t="s">
        <v>22</v>
      </c>
      <c r="D137" s="37" t="s">
        <v>64</v>
      </c>
      <c r="E137" s="37"/>
      <c r="F137" s="45">
        <v>0.2</v>
      </c>
      <c r="G137" s="77">
        <v>3.0099999999999998E-2</v>
      </c>
      <c r="H137" s="41">
        <v>0</v>
      </c>
      <c r="I137" s="41">
        <v>0</v>
      </c>
      <c r="J137" s="42">
        <f>414/125798780</f>
        <v>3.2909699124268136E-6</v>
      </c>
      <c r="K137" s="91"/>
      <c r="L137" s="43"/>
      <c r="M137" s="43">
        <f>G137*J137</f>
        <v>9.9058194364047086E-8</v>
      </c>
      <c r="N137" s="43">
        <f>G137*J137</f>
        <v>9.9058194364047086E-8</v>
      </c>
      <c r="O137" s="43">
        <v>0</v>
      </c>
    </row>
    <row r="138" spans="1:15" s="2" customFormat="1" ht="12" hidden="1" customHeight="1">
      <c r="A138" s="37" t="s">
        <v>111</v>
      </c>
      <c r="B138" s="39" t="s">
        <v>5</v>
      </c>
      <c r="C138" s="39" t="s">
        <v>21</v>
      </c>
      <c r="D138" s="37" t="s">
        <v>75</v>
      </c>
      <c r="E138" s="37"/>
      <c r="F138" s="45">
        <v>0.36</v>
      </c>
      <c r="G138" s="77">
        <v>1.7899999999999999E-2</v>
      </c>
      <c r="H138" s="41">
        <f>18755/(291256727+2524809+28016)</f>
        <v>6.3833867457107051E-5</v>
      </c>
      <c r="I138" s="41">
        <v>2.9999999999999997E-4</v>
      </c>
      <c r="J138" s="42">
        <v>0.15</v>
      </c>
      <c r="K138" s="91"/>
      <c r="L138" s="43"/>
      <c r="M138" s="43">
        <f>(G138-I138)*J138</f>
        <v>2.6399999999999996E-3</v>
      </c>
      <c r="N138" s="43">
        <f>(G138-I138)*J138</f>
        <v>2.6399999999999996E-3</v>
      </c>
      <c r="O138" s="43">
        <v>0</v>
      </c>
    </row>
    <row r="139" spans="1:15" s="2" customFormat="1" ht="12" hidden="1" customHeight="1">
      <c r="A139" s="37" t="s">
        <v>112</v>
      </c>
      <c r="B139" s="39" t="s">
        <v>11</v>
      </c>
      <c r="C139" s="39" t="s">
        <v>22</v>
      </c>
      <c r="D139" s="37" t="s">
        <v>56</v>
      </c>
      <c r="E139" s="37"/>
      <c r="F139" s="45">
        <v>0.2</v>
      </c>
      <c r="G139" s="77">
        <v>3.1E-2</v>
      </c>
      <c r="H139" s="41">
        <f>5586497/63754246</f>
        <v>8.7625489288980063E-2</v>
      </c>
      <c r="I139" s="41">
        <v>0</v>
      </c>
      <c r="J139" s="42">
        <v>0</v>
      </c>
      <c r="K139" s="91"/>
      <c r="L139" s="43"/>
      <c r="M139" s="43">
        <f>G139*H139</f>
        <v>2.716390167958382E-3</v>
      </c>
      <c r="N139" s="43">
        <f t="shared" ref="N139" si="31">G139*H139</f>
        <v>2.716390167958382E-3</v>
      </c>
      <c r="O139" s="43">
        <v>0</v>
      </c>
    </row>
    <row r="140" spans="1:15" s="2" customFormat="1" ht="12" hidden="1" customHeight="1">
      <c r="A140" s="37" t="s">
        <v>113</v>
      </c>
      <c r="B140" s="39" t="s">
        <v>17</v>
      </c>
      <c r="C140" s="39" t="s">
        <v>21</v>
      </c>
      <c r="D140" s="37" t="s">
        <v>57</v>
      </c>
      <c r="E140" s="37"/>
      <c r="F140" s="45">
        <v>0.04</v>
      </c>
      <c r="G140" s="77">
        <v>2.6499999999999999E-2</v>
      </c>
      <c r="H140" s="41">
        <f>(136301399+2417343+1630758)/(1279761682+1328581+57975)</f>
        <v>0.10954977405198602</v>
      </c>
      <c r="I140" s="41">
        <v>1.4E-3</v>
      </c>
      <c r="J140" s="42">
        <v>0.15</v>
      </c>
      <c r="K140" s="91"/>
      <c r="L140" s="43"/>
      <c r="M140" s="43">
        <f>G140*H140+J140*(G140-G140*H140-I140)</f>
        <v>6.2326086605209849E-3</v>
      </c>
      <c r="N140" s="43">
        <f>G140*H140+J140*(G140-G140*H140-I140)</f>
        <v>6.2326086605209849E-3</v>
      </c>
      <c r="O140" s="43">
        <f>G140*H140</f>
        <v>2.9030690123776292E-3</v>
      </c>
    </row>
    <row r="141" spans="1:15" s="2" customFormat="1" ht="12" hidden="1" customHeight="1">
      <c r="A141" s="37"/>
      <c r="B141" s="38"/>
      <c r="C141" s="39"/>
      <c r="D141" s="37"/>
      <c r="E141" s="37"/>
      <c r="F141" s="45"/>
      <c r="G141" s="37"/>
      <c r="H141" s="41"/>
      <c r="I141" s="41"/>
      <c r="J141" s="42"/>
      <c r="K141" s="90"/>
      <c r="L141" s="43"/>
      <c r="M141" s="43"/>
      <c r="N141" s="43"/>
      <c r="O141" s="43"/>
    </row>
    <row r="142" spans="1:15" s="2" customFormat="1" ht="12" customHeight="1">
      <c r="A142" s="37" t="s">
        <v>164</v>
      </c>
      <c r="B142" s="38" t="s">
        <v>165</v>
      </c>
      <c r="C142" s="39" t="s">
        <v>22</v>
      </c>
      <c r="D142" s="37"/>
      <c r="E142" s="37"/>
      <c r="F142" s="45">
        <f>SUM(F143:F150)</f>
        <v>1</v>
      </c>
      <c r="G142" s="37"/>
      <c r="H142" s="41"/>
      <c r="I142" s="41"/>
      <c r="J142" s="42"/>
      <c r="K142" s="90"/>
      <c r="L142" s="43">
        <v>2.0999999999999999E-3</v>
      </c>
      <c r="M142" s="43">
        <f>SUMPRODUCT(F143:F150,M143:M150)</f>
        <v>2.1787527395642358E-3</v>
      </c>
      <c r="N142" s="43">
        <f>SUMPRODUCT(F143:F150,N143:N150)</f>
        <v>2.1787527395642358E-3</v>
      </c>
      <c r="O142" s="43">
        <f>SUMPRODUCT(F143:F150,O143:O150)</f>
        <v>1.4515345061888145E-4</v>
      </c>
    </row>
    <row r="143" spans="1:15" s="2" customFormat="1" ht="12" hidden="1" customHeight="1">
      <c r="A143" s="37" t="s">
        <v>106</v>
      </c>
      <c r="B143" s="39" t="s">
        <v>114</v>
      </c>
      <c r="C143" s="39" t="s">
        <v>22</v>
      </c>
      <c r="D143" s="37" t="s">
        <v>124</v>
      </c>
      <c r="E143" s="37"/>
      <c r="F143" s="45">
        <v>0</v>
      </c>
      <c r="G143" s="40">
        <v>2.92E-2</v>
      </c>
      <c r="H143" s="41">
        <v>0</v>
      </c>
      <c r="I143" s="41">
        <v>0</v>
      </c>
      <c r="J143" s="42">
        <v>0</v>
      </c>
      <c r="K143" s="83"/>
      <c r="L143" s="43"/>
      <c r="M143" s="43">
        <f>G143*J143</f>
        <v>0</v>
      </c>
      <c r="N143" s="43">
        <f>G143*J143</f>
        <v>0</v>
      </c>
      <c r="O143" s="43">
        <v>0</v>
      </c>
    </row>
    <row r="144" spans="1:15" s="2" customFormat="1" ht="12" hidden="1" customHeight="1">
      <c r="A144" s="37" t="s">
        <v>107</v>
      </c>
      <c r="B144" s="39" t="s">
        <v>70</v>
      </c>
      <c r="C144" s="39" t="s">
        <v>22</v>
      </c>
      <c r="D144" s="37" t="s">
        <v>121</v>
      </c>
      <c r="E144" s="53"/>
      <c r="F144" s="45">
        <v>0</v>
      </c>
      <c r="G144" s="40">
        <v>3.1E-2</v>
      </c>
      <c r="H144" s="41">
        <v>0</v>
      </c>
      <c r="I144" s="41">
        <v>0</v>
      </c>
      <c r="J144" s="42">
        <v>0</v>
      </c>
      <c r="K144" s="83"/>
      <c r="L144" s="43"/>
      <c r="M144" s="43">
        <v>0</v>
      </c>
      <c r="N144" s="43">
        <v>0</v>
      </c>
      <c r="O144" s="43">
        <v>0</v>
      </c>
    </row>
    <row r="145" spans="1:15" s="2" customFormat="1" ht="12" hidden="1" customHeight="1">
      <c r="A145" s="37" t="s">
        <v>108</v>
      </c>
      <c r="B145" s="39" t="s">
        <v>115</v>
      </c>
      <c r="C145" s="39" t="s">
        <v>21</v>
      </c>
      <c r="D145" s="37" t="s">
        <v>122</v>
      </c>
      <c r="E145" s="53"/>
      <c r="F145" s="45">
        <v>0</v>
      </c>
      <c r="G145" s="40"/>
      <c r="H145" s="41">
        <v>0</v>
      </c>
      <c r="I145" s="41">
        <v>1.5E-3</v>
      </c>
      <c r="J145" s="42">
        <v>0</v>
      </c>
      <c r="K145" s="83"/>
      <c r="L145" s="43"/>
      <c r="M145" s="43">
        <f>G145*H145</f>
        <v>0</v>
      </c>
      <c r="N145" s="43">
        <f>G145*H145</f>
        <v>0</v>
      </c>
      <c r="O145" s="43">
        <v>0</v>
      </c>
    </row>
    <row r="146" spans="1:15" s="2" customFormat="1" ht="12" hidden="1" customHeight="1">
      <c r="A146" s="37" t="s">
        <v>109</v>
      </c>
      <c r="B146" s="39" t="s">
        <v>116</v>
      </c>
      <c r="C146" s="39" t="s">
        <v>21</v>
      </c>
      <c r="D146" s="37" t="s">
        <v>123</v>
      </c>
      <c r="E146" s="53"/>
      <c r="F146" s="45">
        <v>0</v>
      </c>
      <c r="G146" s="40"/>
      <c r="H146" s="41">
        <v>0</v>
      </c>
      <c r="I146" s="41">
        <v>5.9999999999999995E-4</v>
      </c>
      <c r="J146" s="42">
        <v>0</v>
      </c>
      <c r="K146" s="83"/>
      <c r="L146" s="43"/>
      <c r="M146" s="43">
        <f>G146*H146+J146*(G146-G146*H146-I146)</f>
        <v>0</v>
      </c>
      <c r="N146" s="43">
        <f>G146*H146+J146*(G146-G146*H146-I146)</f>
        <v>0</v>
      </c>
      <c r="O146" s="43">
        <f t="shared" ref="O146" si="32">G146*H146</f>
        <v>0</v>
      </c>
    </row>
    <row r="147" spans="1:15" s="2" customFormat="1" ht="12" hidden="1" customHeight="1">
      <c r="A147" s="37" t="s">
        <v>110</v>
      </c>
      <c r="B147" s="39" t="s">
        <v>39</v>
      </c>
      <c r="C147" s="39" t="s">
        <v>22</v>
      </c>
      <c r="D147" s="37" t="s">
        <v>64</v>
      </c>
      <c r="E147" s="37"/>
      <c r="F147" s="45">
        <v>0.25</v>
      </c>
      <c r="G147" s="77">
        <v>3.0099999999999998E-2</v>
      </c>
      <c r="H147" s="41">
        <v>0</v>
      </c>
      <c r="I147" s="41">
        <v>0</v>
      </c>
      <c r="J147" s="42">
        <f>414/125798780</f>
        <v>3.2909699124268136E-6</v>
      </c>
      <c r="K147" s="83"/>
      <c r="L147" s="43"/>
      <c r="M147" s="43">
        <f>G147*J147</f>
        <v>9.9058194364047086E-8</v>
      </c>
      <c r="N147" s="43">
        <f>G147*J147</f>
        <v>9.9058194364047086E-8</v>
      </c>
      <c r="O147" s="43">
        <v>0</v>
      </c>
    </row>
    <row r="148" spans="1:15" s="2" customFormat="1" ht="12" hidden="1" customHeight="1">
      <c r="A148" s="37" t="s">
        <v>111</v>
      </c>
      <c r="B148" s="39" t="s">
        <v>5</v>
      </c>
      <c r="C148" s="39" t="s">
        <v>21</v>
      </c>
      <c r="D148" s="37" t="s">
        <v>75</v>
      </c>
      <c r="E148" s="37"/>
      <c r="F148" s="45">
        <v>0.45</v>
      </c>
      <c r="G148" s="77">
        <v>1.7899999999999999E-2</v>
      </c>
      <c r="H148" s="41">
        <f>18755/(291256727+2524809+28016)</f>
        <v>6.3833867457107051E-5</v>
      </c>
      <c r="I148" s="41">
        <v>2.9999999999999997E-4</v>
      </c>
      <c r="J148" s="42">
        <v>0.15</v>
      </c>
      <c r="K148" s="83"/>
      <c r="L148" s="43"/>
      <c r="M148" s="43">
        <f>(G148-I148)*J148</f>
        <v>2.6399999999999996E-3</v>
      </c>
      <c r="N148" s="43">
        <f>(G148-I148)*J148</f>
        <v>2.6399999999999996E-3</v>
      </c>
      <c r="O148" s="43">
        <v>0</v>
      </c>
    </row>
    <row r="149" spans="1:15" s="2" customFormat="1" ht="12" hidden="1" customHeight="1">
      <c r="A149" s="37" t="s">
        <v>112</v>
      </c>
      <c r="B149" s="39" t="s">
        <v>11</v>
      </c>
      <c r="C149" s="39" t="s">
        <v>22</v>
      </c>
      <c r="D149" s="37" t="s">
        <v>56</v>
      </c>
      <c r="E149" s="37"/>
      <c r="F149" s="45">
        <v>0.25</v>
      </c>
      <c r="G149" s="77">
        <v>3.1E-2</v>
      </c>
      <c r="H149" s="41">
        <f>5586497/63754246</f>
        <v>8.7625489288980063E-2</v>
      </c>
      <c r="I149" s="41">
        <v>0</v>
      </c>
      <c r="J149" s="42">
        <v>0</v>
      </c>
      <c r="K149" s="83"/>
      <c r="L149" s="43"/>
      <c r="M149" s="43">
        <f>G149*H149</f>
        <v>2.716390167958382E-3</v>
      </c>
      <c r="N149" s="43">
        <f t="shared" ref="N149" si="33">G149*H149</f>
        <v>2.716390167958382E-3</v>
      </c>
      <c r="O149" s="43">
        <v>0</v>
      </c>
    </row>
    <row r="150" spans="1:15" s="2" customFormat="1" ht="12" hidden="1" customHeight="1">
      <c r="A150" s="37" t="s">
        <v>113</v>
      </c>
      <c r="B150" s="39" t="s">
        <v>17</v>
      </c>
      <c r="C150" s="39" t="s">
        <v>21</v>
      </c>
      <c r="D150" s="37" t="s">
        <v>57</v>
      </c>
      <c r="E150" s="37"/>
      <c r="F150" s="45">
        <v>0.05</v>
      </c>
      <c r="G150" s="77">
        <v>2.6499999999999999E-2</v>
      </c>
      <c r="H150" s="41">
        <f>(136301399+2417343+1630758)/(1279761682+1328581+57975)</f>
        <v>0.10954977405198602</v>
      </c>
      <c r="I150" s="41">
        <v>1.4E-3</v>
      </c>
      <c r="J150" s="42">
        <v>0.15</v>
      </c>
      <c r="K150" s="83"/>
      <c r="L150" s="43"/>
      <c r="M150" s="43">
        <f>G150*H150+J150*(G150-G150*H150-I150)</f>
        <v>6.2326086605209849E-3</v>
      </c>
      <c r="N150" s="43">
        <f>G150*H150+J150*(G150-G150*H150-I150)</f>
        <v>6.2326086605209849E-3</v>
      </c>
      <c r="O150" s="43">
        <f>G150*H150</f>
        <v>2.9030690123776292E-3</v>
      </c>
    </row>
    <row r="151" spans="1:15" s="2" customFormat="1" ht="12" customHeight="1">
      <c r="A151" s="37"/>
      <c r="B151" s="39"/>
      <c r="C151" s="39"/>
      <c r="D151" s="37"/>
      <c r="E151" s="37"/>
      <c r="F151" s="37"/>
      <c r="G151" s="37"/>
      <c r="H151" s="41"/>
      <c r="I151" s="41"/>
      <c r="J151" s="42"/>
      <c r="K151" s="55"/>
      <c r="L151" s="43"/>
      <c r="M151" s="43"/>
      <c r="N151" s="43"/>
      <c r="O151" s="43"/>
    </row>
    <row r="152" spans="1:15" s="2" customFormat="1" ht="12" customHeight="1">
      <c r="A152" s="37"/>
      <c r="B152" s="39"/>
      <c r="C152" s="39"/>
      <c r="D152" s="37"/>
      <c r="E152" s="37"/>
      <c r="F152" s="37"/>
      <c r="G152" s="37"/>
      <c r="H152" s="41"/>
      <c r="I152" s="41"/>
      <c r="J152" s="42"/>
      <c r="K152" s="55"/>
      <c r="L152" s="43"/>
      <c r="M152" s="86" t="s">
        <v>167</v>
      </c>
      <c r="N152" s="87"/>
      <c r="O152" s="87"/>
    </row>
    <row r="153" spans="1:15" s="2" customFormat="1" ht="12" customHeight="1">
      <c r="A153" s="25"/>
      <c r="B153" s="56"/>
      <c r="C153" s="56"/>
      <c r="D153" s="57"/>
      <c r="E153" s="57"/>
      <c r="F153" s="57"/>
      <c r="G153" s="57"/>
      <c r="H153" s="58"/>
      <c r="I153" s="58"/>
      <c r="J153" s="59"/>
      <c r="K153" s="29" t="s">
        <v>84</v>
      </c>
      <c r="L153" s="26" t="s">
        <v>136</v>
      </c>
      <c r="M153" s="26" t="s">
        <v>117</v>
      </c>
      <c r="N153" s="26" t="s">
        <v>118</v>
      </c>
      <c r="O153" s="26" t="s">
        <v>52</v>
      </c>
    </row>
    <row r="154" spans="1:15" s="2" customFormat="1" ht="12" customHeight="1">
      <c r="A154" s="60" t="s">
        <v>125</v>
      </c>
      <c r="B154" s="61"/>
      <c r="C154" s="61"/>
      <c r="D154" s="62"/>
      <c r="E154" s="62"/>
      <c r="F154" s="62"/>
      <c r="G154" s="62"/>
      <c r="H154" s="63"/>
      <c r="I154" s="63"/>
      <c r="J154" s="64"/>
      <c r="K154" s="65">
        <f>SUM(K9:K150)</f>
        <v>0</v>
      </c>
      <c r="L154" s="66">
        <f>SUMPRODUCT($K$9:$K$150,L9:L150)</f>
        <v>0</v>
      </c>
      <c r="M154" s="66">
        <f>SUMPRODUCT($K$9:$K$150,M9:M150)</f>
        <v>0</v>
      </c>
      <c r="N154" s="66">
        <f>SUMPRODUCT($K$9:$K$150,N9:N150)</f>
        <v>0</v>
      </c>
      <c r="O154" s="66">
        <f>SUMPRODUCT($K$9:$K$150,O9:O150)</f>
        <v>0</v>
      </c>
    </row>
    <row r="155" spans="1:15" s="2" customFormat="1" ht="12" customHeight="1">
      <c r="A155" s="67"/>
      <c r="B155" s="68"/>
      <c r="C155" s="68"/>
      <c r="D155" s="67"/>
      <c r="E155" s="67"/>
      <c r="F155" s="67"/>
      <c r="G155" s="67"/>
      <c r="H155" s="69"/>
      <c r="I155" s="69"/>
      <c r="J155" s="69"/>
      <c r="K155" s="70"/>
      <c r="L155" s="70"/>
      <c r="M155" s="70"/>
      <c r="N155" s="70"/>
      <c r="O155" s="70"/>
    </row>
    <row r="156" spans="1:15" s="2" customFormat="1" ht="12" customHeight="1">
      <c r="A156" s="67"/>
      <c r="B156" s="68"/>
      <c r="C156" s="68"/>
      <c r="D156" s="67"/>
      <c r="E156" s="67"/>
      <c r="F156" s="67"/>
      <c r="G156" s="67"/>
      <c r="H156" s="69"/>
      <c r="I156" s="69"/>
      <c r="J156" s="69"/>
      <c r="K156" s="70"/>
      <c r="L156" s="70"/>
      <c r="M156" s="70"/>
      <c r="N156" s="70"/>
      <c r="O156" s="70"/>
    </row>
    <row r="157" spans="1:15" s="2" customFormat="1" ht="12" customHeight="1">
      <c r="A157" s="67"/>
      <c r="B157" s="68"/>
      <c r="C157" s="68"/>
      <c r="D157" s="67"/>
      <c r="E157" s="67"/>
      <c r="F157" s="67"/>
      <c r="G157" s="67"/>
      <c r="H157" s="69"/>
      <c r="I157" s="69"/>
      <c r="J157" s="69"/>
      <c r="K157" s="70"/>
      <c r="L157" s="70"/>
      <c r="M157" s="70"/>
      <c r="N157" s="70"/>
      <c r="O157" s="70"/>
    </row>
    <row r="158" spans="1:15" s="2" customFormat="1" ht="12" customHeight="1">
      <c r="A158" s="67"/>
      <c r="B158" s="68"/>
      <c r="C158" s="68"/>
      <c r="D158" s="67"/>
      <c r="E158" s="67"/>
      <c r="F158" s="67"/>
      <c r="G158" s="67"/>
      <c r="H158" s="69"/>
      <c r="I158" s="69"/>
      <c r="J158" s="69"/>
      <c r="K158" s="70"/>
      <c r="L158" s="70"/>
      <c r="M158" s="70"/>
      <c r="N158" s="70"/>
      <c r="O158" s="70"/>
    </row>
    <row r="159" spans="1:15" s="2" customFormat="1" ht="12" customHeight="1">
      <c r="A159" s="67"/>
      <c r="B159" s="68"/>
      <c r="C159" s="68"/>
      <c r="D159" s="67"/>
      <c r="E159" s="67"/>
      <c r="F159" s="67"/>
      <c r="G159" s="67"/>
      <c r="H159" s="69"/>
      <c r="I159" s="69"/>
      <c r="J159" s="69"/>
      <c r="K159" s="70"/>
      <c r="L159" s="70"/>
      <c r="M159" s="70"/>
      <c r="N159" s="70"/>
      <c r="O159" s="70"/>
    </row>
    <row r="160" spans="1:15" s="2" customFormat="1" ht="12" customHeight="1">
      <c r="A160" s="67"/>
      <c r="B160" s="68"/>
      <c r="C160" s="68"/>
      <c r="D160" s="67"/>
      <c r="E160" s="67"/>
      <c r="F160" s="67"/>
      <c r="G160" s="67"/>
      <c r="H160" s="69"/>
      <c r="I160" s="69"/>
      <c r="J160" s="69"/>
      <c r="K160" s="70"/>
      <c r="L160" s="70"/>
      <c r="M160" s="70"/>
      <c r="N160" s="70"/>
      <c r="O160" s="70"/>
    </row>
    <row r="161" spans="1:15" s="2" customFormat="1" ht="12" customHeight="1">
      <c r="A161" s="67"/>
      <c r="B161" s="68"/>
      <c r="C161" s="68"/>
      <c r="D161" s="67"/>
      <c r="E161" s="67"/>
      <c r="F161" s="67"/>
      <c r="G161" s="67"/>
      <c r="H161" s="69"/>
      <c r="I161" s="69"/>
      <c r="J161" s="69"/>
      <c r="K161" s="70"/>
      <c r="L161" s="70"/>
      <c r="M161" s="70"/>
      <c r="N161" s="70"/>
      <c r="O161" s="70"/>
    </row>
    <row r="162" spans="1:15" s="2" customFormat="1" ht="12" customHeight="1">
      <c r="A162" s="67"/>
      <c r="B162" s="68"/>
      <c r="C162" s="68"/>
      <c r="D162" s="67"/>
      <c r="E162" s="67"/>
      <c r="F162" s="67"/>
      <c r="G162" s="67"/>
      <c r="H162" s="69"/>
      <c r="I162" s="69"/>
      <c r="J162" s="69"/>
      <c r="K162" s="70"/>
      <c r="L162" s="70"/>
      <c r="M162" s="70"/>
      <c r="N162" s="70"/>
      <c r="O162" s="70"/>
    </row>
    <row r="163" spans="1:15" s="2" customFormat="1" ht="12" customHeight="1">
      <c r="A163" s="67"/>
      <c r="B163" s="68"/>
      <c r="C163" s="68"/>
      <c r="D163" s="67"/>
      <c r="E163" s="67"/>
      <c r="F163" s="67"/>
      <c r="G163" s="67"/>
      <c r="H163" s="69"/>
      <c r="I163" s="69"/>
      <c r="J163" s="69"/>
      <c r="K163" s="70"/>
      <c r="L163" s="70"/>
      <c r="M163" s="70"/>
      <c r="N163" s="70"/>
      <c r="O163" s="70"/>
    </row>
    <row r="164" spans="1:15" s="2" customFormat="1" ht="12" customHeight="1">
      <c r="A164" s="67"/>
      <c r="B164" s="68"/>
      <c r="C164" s="68"/>
      <c r="D164" s="67"/>
      <c r="E164" s="67"/>
      <c r="F164" s="67"/>
      <c r="G164" s="67"/>
      <c r="H164" s="69"/>
      <c r="I164" s="69"/>
      <c r="J164" s="69"/>
      <c r="K164" s="70"/>
      <c r="L164" s="70"/>
      <c r="M164" s="70"/>
      <c r="N164" s="70"/>
      <c r="O164" s="70"/>
    </row>
    <row r="165" spans="1:15" s="2" customFormat="1" ht="12" customHeight="1">
      <c r="A165" s="67"/>
      <c r="B165" s="68"/>
      <c r="C165" s="68"/>
      <c r="D165" s="67"/>
      <c r="E165" s="67"/>
      <c r="F165" s="67"/>
      <c r="G165" s="67"/>
      <c r="H165" s="69"/>
      <c r="I165" s="69"/>
      <c r="J165" s="69"/>
      <c r="K165" s="70"/>
      <c r="L165" s="70"/>
      <c r="M165" s="70"/>
      <c r="N165" s="70"/>
      <c r="O165" s="70"/>
    </row>
    <row r="166" spans="1:15" s="2" customFormat="1" ht="12" customHeight="1">
      <c r="A166" s="67"/>
      <c r="B166" s="68"/>
      <c r="C166" s="68"/>
      <c r="D166" s="67"/>
      <c r="E166" s="67"/>
      <c r="F166" s="67"/>
      <c r="G166" s="67"/>
      <c r="H166" s="69"/>
      <c r="I166" s="69"/>
      <c r="J166" s="69"/>
      <c r="K166" s="70"/>
      <c r="L166" s="70"/>
      <c r="M166" s="70"/>
      <c r="N166" s="70"/>
      <c r="O166" s="70"/>
    </row>
    <row r="167" spans="1:15" s="2" customFormat="1" ht="12" customHeight="1">
      <c r="A167" s="67"/>
      <c r="B167" s="68"/>
      <c r="C167" s="68"/>
      <c r="D167" s="67"/>
      <c r="E167" s="67"/>
      <c r="F167" s="67"/>
      <c r="G167" s="67"/>
      <c r="H167" s="69"/>
      <c r="I167" s="69"/>
      <c r="J167" s="69"/>
      <c r="K167" s="70"/>
      <c r="L167" s="70"/>
      <c r="M167" s="70"/>
      <c r="N167" s="70"/>
      <c r="O167" s="70"/>
    </row>
    <row r="168" spans="1:15" s="2" customFormat="1" ht="12" customHeight="1">
      <c r="A168" s="67"/>
      <c r="B168" s="68"/>
      <c r="C168" s="68"/>
      <c r="D168" s="67"/>
      <c r="E168" s="67"/>
      <c r="F168" s="67"/>
      <c r="G168" s="67"/>
      <c r="H168" s="69"/>
      <c r="I168" s="69"/>
      <c r="J168" s="69"/>
      <c r="K168" s="70"/>
      <c r="L168" s="70"/>
      <c r="M168" s="70"/>
      <c r="N168" s="70"/>
      <c r="O168" s="70"/>
    </row>
    <row r="169" spans="1:15" s="2" customFormat="1" ht="12" customHeight="1">
      <c r="A169" s="67"/>
      <c r="B169" s="68"/>
      <c r="C169" s="68"/>
      <c r="D169" s="67"/>
      <c r="E169" s="67"/>
      <c r="F169" s="67"/>
      <c r="G169" s="67"/>
      <c r="H169" s="69"/>
      <c r="I169" s="69"/>
      <c r="J169" s="69"/>
      <c r="K169" s="70"/>
      <c r="L169" s="70"/>
      <c r="M169" s="70"/>
      <c r="N169" s="70"/>
      <c r="O169" s="70"/>
    </row>
    <row r="170" spans="1:15" s="2" customFormat="1" ht="12" customHeight="1">
      <c r="A170" s="67"/>
      <c r="B170" s="68"/>
      <c r="C170" s="68"/>
      <c r="D170" s="67"/>
      <c r="E170" s="67"/>
      <c r="F170" s="67"/>
      <c r="G170" s="67"/>
      <c r="H170" s="69"/>
      <c r="I170" s="69"/>
      <c r="J170" s="69"/>
      <c r="K170" s="70"/>
      <c r="L170" s="70"/>
      <c r="M170" s="70"/>
      <c r="N170" s="70"/>
      <c r="O170" s="70"/>
    </row>
    <row r="171" spans="1:15" s="2" customFormat="1" ht="12" customHeight="1">
      <c r="A171" s="67"/>
      <c r="B171" s="68"/>
      <c r="C171" s="68"/>
      <c r="D171" s="67"/>
      <c r="E171" s="67"/>
      <c r="F171" s="67"/>
      <c r="G171" s="67"/>
      <c r="H171" s="69"/>
      <c r="I171" s="69"/>
      <c r="J171" s="69"/>
      <c r="K171" s="70"/>
      <c r="L171" s="70"/>
      <c r="M171" s="70"/>
      <c r="N171" s="70"/>
      <c r="O171" s="70"/>
    </row>
    <row r="172" spans="1:15" s="2" customFormat="1" ht="12" customHeight="1">
      <c r="A172" s="67"/>
      <c r="B172" s="68"/>
      <c r="C172" s="68"/>
      <c r="D172" s="67"/>
      <c r="E172" s="67"/>
      <c r="F172" s="67"/>
      <c r="G172" s="67"/>
      <c r="H172" s="69"/>
      <c r="I172" s="69"/>
      <c r="J172" s="69"/>
      <c r="K172" s="70"/>
      <c r="L172" s="70"/>
      <c r="M172" s="70"/>
      <c r="N172" s="70"/>
      <c r="O172" s="70"/>
    </row>
    <row r="173" spans="1:15" s="2" customFormat="1" ht="12" customHeight="1">
      <c r="A173" s="67"/>
      <c r="B173" s="68"/>
      <c r="C173" s="68"/>
      <c r="D173" s="67"/>
      <c r="E173" s="67"/>
      <c r="F173" s="67"/>
      <c r="G173" s="67"/>
      <c r="H173" s="69"/>
      <c r="I173" s="69"/>
      <c r="J173" s="69"/>
      <c r="K173" s="70"/>
      <c r="L173" s="70"/>
      <c r="M173" s="70"/>
      <c r="N173" s="70"/>
      <c r="O173" s="70"/>
    </row>
    <row r="174" spans="1:15" s="2" customFormat="1" ht="12" customHeight="1">
      <c r="A174" s="67"/>
      <c r="B174" s="68"/>
      <c r="C174" s="68"/>
      <c r="D174" s="67"/>
      <c r="E174" s="67"/>
      <c r="F174" s="67"/>
      <c r="G174" s="67"/>
      <c r="H174" s="69"/>
      <c r="I174" s="69"/>
      <c r="J174" s="69"/>
      <c r="K174" s="70"/>
      <c r="L174" s="70"/>
      <c r="M174" s="70"/>
      <c r="N174" s="70"/>
      <c r="O174" s="70"/>
    </row>
    <row r="175" spans="1:15" s="2" customFormat="1" ht="12" customHeight="1">
      <c r="A175" s="67"/>
      <c r="B175" s="68"/>
      <c r="C175" s="68"/>
      <c r="D175" s="67"/>
      <c r="E175" s="67"/>
      <c r="F175" s="67"/>
      <c r="G175" s="67"/>
      <c r="H175" s="69"/>
      <c r="I175" s="69"/>
      <c r="J175" s="69"/>
      <c r="K175" s="70"/>
      <c r="L175" s="70"/>
      <c r="M175" s="70"/>
      <c r="N175" s="70"/>
      <c r="O175" s="70"/>
    </row>
    <row r="176" spans="1:15" s="2" customFormat="1" ht="12" customHeight="1">
      <c r="A176" s="67"/>
      <c r="B176" s="68"/>
      <c r="C176" s="68"/>
      <c r="D176" s="67"/>
      <c r="E176" s="67"/>
      <c r="F176" s="67"/>
      <c r="G176" s="67"/>
      <c r="H176" s="69"/>
      <c r="I176" s="69"/>
      <c r="J176" s="69"/>
      <c r="K176" s="70"/>
      <c r="L176" s="70"/>
      <c r="M176" s="70"/>
      <c r="N176" s="70"/>
      <c r="O176" s="70"/>
    </row>
    <row r="177" spans="1:15" s="2" customFormat="1" ht="12" customHeight="1">
      <c r="A177" s="67"/>
      <c r="B177" s="68"/>
      <c r="C177" s="68"/>
      <c r="D177" s="67"/>
      <c r="E177" s="67"/>
      <c r="F177" s="67"/>
      <c r="G177" s="67"/>
      <c r="H177" s="69"/>
      <c r="I177" s="69"/>
      <c r="J177" s="69"/>
      <c r="K177" s="70"/>
      <c r="L177" s="70"/>
      <c r="M177" s="70"/>
      <c r="N177" s="70"/>
      <c r="O177" s="70"/>
    </row>
    <row r="178" spans="1:15" s="2" customFormat="1" ht="12" customHeight="1">
      <c r="A178" s="67"/>
      <c r="B178" s="68"/>
      <c r="C178" s="68"/>
      <c r="D178" s="67"/>
      <c r="E178" s="67"/>
      <c r="F178" s="67"/>
      <c r="G178" s="67"/>
      <c r="H178" s="69"/>
      <c r="I178" s="69"/>
      <c r="J178" s="69"/>
      <c r="K178" s="70"/>
      <c r="L178" s="70"/>
      <c r="M178" s="70"/>
      <c r="N178" s="70"/>
      <c r="O178" s="70"/>
    </row>
    <row r="179" spans="1:15" s="2" customFormat="1" ht="12" customHeight="1">
      <c r="A179" s="67"/>
      <c r="B179" s="68"/>
      <c r="C179" s="68"/>
      <c r="D179" s="67"/>
      <c r="E179" s="67"/>
      <c r="F179" s="67"/>
      <c r="G179" s="67"/>
      <c r="H179" s="69"/>
      <c r="I179" s="69"/>
      <c r="J179" s="69"/>
      <c r="K179" s="70"/>
      <c r="L179" s="70"/>
      <c r="M179" s="70"/>
      <c r="N179" s="70"/>
      <c r="O179" s="70"/>
    </row>
    <row r="180" spans="1:15" s="2" customFormat="1" ht="12" customHeight="1">
      <c r="A180" s="67"/>
      <c r="B180" s="68"/>
      <c r="C180" s="68"/>
      <c r="D180" s="67"/>
      <c r="E180" s="67"/>
      <c r="F180" s="67"/>
      <c r="G180" s="67"/>
      <c r="H180" s="69"/>
      <c r="I180" s="69"/>
      <c r="J180" s="69"/>
      <c r="K180" s="70"/>
      <c r="L180" s="70"/>
      <c r="M180" s="70"/>
      <c r="N180" s="70"/>
      <c r="O180" s="70"/>
    </row>
    <row r="181" spans="1:15" s="2" customFormat="1" ht="12" customHeight="1">
      <c r="A181" s="67"/>
      <c r="B181" s="68"/>
      <c r="C181" s="68"/>
      <c r="D181" s="67"/>
      <c r="E181" s="67"/>
      <c r="F181" s="67"/>
      <c r="G181" s="67"/>
      <c r="H181" s="69"/>
      <c r="I181" s="69"/>
      <c r="J181" s="69"/>
      <c r="K181" s="70"/>
      <c r="L181" s="70"/>
      <c r="M181" s="70"/>
      <c r="N181" s="70"/>
      <c r="O181" s="70"/>
    </row>
    <row r="182" spans="1:15" s="2" customFormat="1" ht="12" customHeight="1">
      <c r="A182" s="67"/>
      <c r="B182" s="68"/>
      <c r="C182" s="68"/>
      <c r="D182" s="67"/>
      <c r="E182" s="67"/>
      <c r="F182" s="67"/>
      <c r="G182" s="67"/>
      <c r="H182" s="69"/>
      <c r="I182" s="69"/>
      <c r="J182" s="69"/>
      <c r="K182" s="70"/>
      <c r="L182" s="70"/>
      <c r="M182" s="70"/>
      <c r="N182" s="70"/>
      <c r="O182" s="70"/>
    </row>
    <row r="183" spans="1:15" s="2" customFormat="1" ht="12" customHeight="1">
      <c r="A183" s="67"/>
      <c r="B183" s="68"/>
      <c r="C183" s="68"/>
      <c r="D183" s="67"/>
      <c r="E183" s="67"/>
      <c r="F183" s="67"/>
      <c r="G183" s="67"/>
      <c r="H183" s="69"/>
      <c r="I183" s="69"/>
      <c r="J183" s="69"/>
      <c r="K183" s="70"/>
      <c r="L183" s="70"/>
      <c r="M183" s="70"/>
      <c r="N183" s="70"/>
      <c r="O183" s="70"/>
    </row>
    <row r="184" spans="1:15" s="2" customFormat="1" ht="12" customHeight="1">
      <c r="A184" s="67"/>
      <c r="B184" s="68"/>
      <c r="C184" s="68"/>
      <c r="D184" s="67"/>
      <c r="E184" s="67"/>
      <c r="F184" s="67"/>
      <c r="G184" s="67"/>
      <c r="H184" s="69"/>
      <c r="I184" s="69"/>
      <c r="J184" s="69"/>
      <c r="K184" s="70"/>
      <c r="L184" s="70"/>
      <c r="M184" s="70"/>
      <c r="N184" s="70"/>
      <c r="O184" s="70"/>
    </row>
    <row r="185" spans="1:15" s="2" customFormat="1" ht="12" customHeight="1">
      <c r="A185" s="67"/>
      <c r="B185" s="68"/>
      <c r="C185" s="68"/>
      <c r="D185" s="67"/>
      <c r="E185" s="67"/>
      <c r="F185" s="67"/>
      <c r="G185" s="67"/>
      <c r="H185" s="69"/>
      <c r="I185" s="69"/>
      <c r="J185" s="69"/>
      <c r="K185" s="70"/>
      <c r="L185" s="70"/>
      <c r="M185" s="70"/>
      <c r="N185" s="70"/>
      <c r="O185" s="70"/>
    </row>
    <row r="186" spans="1:15" s="2" customFormat="1" ht="12" customHeight="1">
      <c r="A186" s="67"/>
      <c r="B186" s="68"/>
      <c r="C186" s="68"/>
      <c r="D186" s="67"/>
      <c r="E186" s="67"/>
      <c r="F186" s="67"/>
      <c r="G186" s="67"/>
      <c r="H186" s="69"/>
      <c r="I186" s="69"/>
      <c r="J186" s="69"/>
      <c r="K186" s="70"/>
      <c r="L186" s="70"/>
      <c r="M186" s="70"/>
      <c r="N186" s="70"/>
      <c r="O186" s="70"/>
    </row>
    <row r="187" spans="1:15" s="2" customFormat="1" ht="12" customHeight="1">
      <c r="A187" s="67"/>
      <c r="B187" s="68"/>
      <c r="C187" s="68"/>
      <c r="D187" s="67"/>
      <c r="E187" s="67"/>
      <c r="F187" s="67"/>
      <c r="G187" s="67"/>
      <c r="H187" s="69"/>
      <c r="I187" s="69"/>
      <c r="J187" s="69"/>
      <c r="K187" s="70"/>
      <c r="L187" s="70"/>
      <c r="M187" s="70"/>
      <c r="N187" s="70"/>
      <c r="O187" s="70"/>
    </row>
    <row r="188" spans="1:15" s="2" customFormat="1" ht="12" customHeight="1">
      <c r="A188" s="67"/>
      <c r="B188" s="68"/>
      <c r="C188" s="68"/>
      <c r="D188" s="67"/>
      <c r="E188" s="67"/>
      <c r="F188" s="67"/>
      <c r="G188" s="67"/>
      <c r="H188" s="69"/>
      <c r="I188" s="69"/>
      <c r="J188" s="69"/>
      <c r="K188" s="70"/>
      <c r="L188" s="70"/>
      <c r="M188" s="70"/>
      <c r="N188" s="70"/>
      <c r="O188" s="70"/>
    </row>
    <row r="189" spans="1:15" s="2" customFormat="1" ht="12" customHeight="1">
      <c r="A189" s="67"/>
      <c r="B189" s="68"/>
      <c r="C189" s="68"/>
      <c r="D189" s="67"/>
      <c r="E189" s="67"/>
      <c r="F189" s="67"/>
      <c r="G189" s="67"/>
      <c r="H189" s="69"/>
      <c r="I189" s="69"/>
      <c r="J189" s="69"/>
      <c r="K189" s="70"/>
      <c r="L189" s="70"/>
      <c r="M189" s="70"/>
      <c r="N189" s="70"/>
      <c r="O189" s="70"/>
    </row>
    <row r="190" spans="1:15" s="2" customFormat="1" ht="12" customHeight="1">
      <c r="A190" s="67"/>
      <c r="B190" s="68"/>
      <c r="C190" s="68"/>
      <c r="D190" s="67"/>
      <c r="E190" s="67"/>
      <c r="F190" s="67"/>
      <c r="G190" s="67"/>
      <c r="H190" s="69"/>
      <c r="I190" s="69"/>
      <c r="J190" s="69"/>
      <c r="K190" s="70"/>
      <c r="L190" s="70"/>
      <c r="M190" s="70"/>
      <c r="N190" s="70"/>
      <c r="O190" s="70"/>
    </row>
    <row r="191" spans="1:15" s="2" customFormat="1" ht="12" customHeight="1">
      <c r="A191" s="67"/>
      <c r="B191" s="68"/>
      <c r="C191" s="68"/>
      <c r="D191" s="67"/>
      <c r="E191" s="67"/>
      <c r="F191" s="67"/>
      <c r="G191" s="67"/>
      <c r="H191" s="69"/>
      <c r="I191" s="69"/>
      <c r="J191" s="69"/>
      <c r="K191" s="70"/>
      <c r="L191" s="70"/>
      <c r="M191" s="70"/>
      <c r="N191" s="70"/>
      <c r="O191" s="70"/>
    </row>
    <row r="192" spans="1:15" s="2" customFormat="1" ht="12" customHeight="1">
      <c r="A192" s="67"/>
      <c r="B192" s="68"/>
      <c r="C192" s="68"/>
      <c r="D192" s="67"/>
      <c r="E192" s="67"/>
      <c r="F192" s="67"/>
      <c r="G192" s="67"/>
      <c r="H192" s="69"/>
      <c r="I192" s="69"/>
      <c r="J192" s="69"/>
      <c r="K192" s="70"/>
      <c r="L192" s="70"/>
      <c r="M192" s="70"/>
      <c r="N192" s="70"/>
      <c r="O192" s="70"/>
    </row>
    <row r="193" spans="1:15" s="2" customFormat="1" ht="12" customHeight="1">
      <c r="A193" s="67"/>
      <c r="B193" s="68"/>
      <c r="C193" s="68"/>
      <c r="D193" s="67"/>
      <c r="E193" s="67"/>
      <c r="F193" s="67"/>
      <c r="G193" s="67"/>
      <c r="H193" s="69"/>
      <c r="I193" s="69"/>
      <c r="J193" s="69"/>
      <c r="K193" s="70"/>
      <c r="L193" s="70"/>
      <c r="M193" s="70"/>
      <c r="N193" s="70"/>
      <c r="O193" s="70"/>
    </row>
    <row r="194" spans="1:15" s="2" customFormat="1" ht="12" customHeight="1">
      <c r="A194" s="67"/>
      <c r="B194" s="68"/>
      <c r="C194" s="68"/>
      <c r="D194" s="67"/>
      <c r="E194" s="67"/>
      <c r="F194" s="67"/>
      <c r="G194" s="67"/>
      <c r="H194" s="69"/>
      <c r="I194" s="69"/>
      <c r="J194" s="69"/>
      <c r="K194" s="70"/>
      <c r="L194" s="70"/>
      <c r="M194" s="70"/>
      <c r="N194" s="70"/>
      <c r="O194" s="70"/>
    </row>
    <row r="195" spans="1:15" s="2" customFormat="1" ht="12" customHeight="1">
      <c r="A195" s="67"/>
      <c r="B195" s="68"/>
      <c r="C195" s="68"/>
      <c r="D195" s="67"/>
      <c r="E195" s="67"/>
      <c r="F195" s="67"/>
      <c r="G195" s="67"/>
      <c r="H195" s="69"/>
      <c r="I195" s="69"/>
      <c r="J195" s="69"/>
      <c r="K195" s="70"/>
      <c r="L195" s="70"/>
      <c r="M195" s="70"/>
      <c r="N195" s="70"/>
      <c r="O195" s="70"/>
    </row>
    <row r="196" spans="1:15" s="2" customFormat="1" ht="12" customHeight="1">
      <c r="A196" s="67"/>
      <c r="B196" s="68"/>
      <c r="C196" s="68"/>
      <c r="D196" s="67"/>
      <c r="E196" s="67"/>
      <c r="F196" s="67"/>
      <c r="G196" s="67"/>
      <c r="H196" s="69"/>
      <c r="I196" s="69"/>
      <c r="J196" s="69"/>
      <c r="K196" s="70"/>
      <c r="L196" s="70"/>
      <c r="M196" s="70"/>
      <c r="N196" s="70"/>
      <c r="O196" s="70"/>
    </row>
    <row r="197" spans="1:15" s="2" customFormat="1" ht="12" customHeight="1">
      <c r="A197" s="67"/>
      <c r="B197" s="68"/>
      <c r="C197" s="68"/>
      <c r="D197" s="67"/>
      <c r="E197" s="67"/>
      <c r="F197" s="67"/>
      <c r="G197" s="67"/>
      <c r="H197" s="69"/>
      <c r="I197" s="69"/>
      <c r="J197" s="69"/>
      <c r="K197" s="70"/>
      <c r="L197" s="70"/>
      <c r="M197" s="70"/>
      <c r="N197" s="70"/>
      <c r="O197" s="70"/>
    </row>
    <row r="198" spans="1:15" s="2" customFormat="1" ht="12" customHeight="1">
      <c r="A198" s="67"/>
      <c r="B198" s="68"/>
      <c r="C198" s="68"/>
      <c r="D198" s="67"/>
      <c r="E198" s="67"/>
      <c r="F198" s="67"/>
      <c r="G198" s="67"/>
      <c r="H198" s="69"/>
      <c r="I198" s="69"/>
      <c r="J198" s="69"/>
      <c r="K198" s="70"/>
      <c r="L198" s="70"/>
      <c r="M198" s="70"/>
      <c r="N198" s="70"/>
      <c r="O198" s="70"/>
    </row>
    <row r="199" spans="1:15" s="2" customFormat="1" ht="12" customHeight="1">
      <c r="A199" s="67"/>
      <c r="B199" s="68"/>
      <c r="C199" s="68"/>
      <c r="D199" s="67"/>
      <c r="E199" s="67"/>
      <c r="F199" s="67"/>
      <c r="G199" s="67"/>
      <c r="H199" s="69"/>
      <c r="I199" s="69"/>
      <c r="J199" s="69"/>
      <c r="K199" s="70"/>
      <c r="L199" s="70"/>
      <c r="M199" s="70"/>
      <c r="N199" s="70"/>
      <c r="O199" s="70"/>
    </row>
    <row r="200" spans="1:15" s="2" customFormat="1" ht="12" customHeight="1">
      <c r="A200" s="67"/>
      <c r="B200" s="68"/>
      <c r="C200" s="68"/>
      <c r="D200" s="67"/>
      <c r="E200" s="67"/>
      <c r="F200" s="67"/>
      <c r="G200" s="67"/>
      <c r="H200" s="69"/>
      <c r="I200" s="69"/>
      <c r="J200" s="69"/>
      <c r="K200" s="70"/>
      <c r="L200" s="70"/>
      <c r="M200" s="70"/>
      <c r="N200" s="70"/>
      <c r="O200" s="70"/>
    </row>
    <row r="201" spans="1:15" s="2" customFormat="1" ht="12" customHeight="1">
      <c r="A201" s="67"/>
      <c r="B201" s="68"/>
      <c r="C201" s="68"/>
      <c r="D201" s="67"/>
      <c r="E201" s="67"/>
      <c r="F201" s="67"/>
      <c r="G201" s="67"/>
      <c r="H201" s="69"/>
      <c r="I201" s="69"/>
      <c r="J201" s="69"/>
      <c r="K201" s="70"/>
      <c r="L201" s="70"/>
      <c r="M201" s="70"/>
      <c r="N201" s="70"/>
      <c r="O201" s="70"/>
    </row>
    <row r="202" spans="1:15" s="2" customFormat="1" ht="12" customHeight="1">
      <c r="A202" s="71" t="s">
        <v>169</v>
      </c>
      <c r="B202" s="68"/>
      <c r="C202" s="68"/>
      <c r="D202" s="67"/>
      <c r="E202" s="67"/>
      <c r="F202" s="67"/>
      <c r="G202" s="67"/>
      <c r="H202" s="72"/>
      <c r="I202" s="72"/>
      <c r="J202" s="72"/>
      <c r="K202" s="70"/>
      <c r="L202" s="68"/>
      <c r="M202" s="70"/>
      <c r="N202" s="70"/>
      <c r="O202" s="70"/>
    </row>
    <row r="203" spans="1:15" s="2" customFormat="1" ht="12" customHeight="1">
      <c r="A203" s="71" t="s">
        <v>155</v>
      </c>
      <c r="B203" s="68"/>
      <c r="C203" s="68"/>
      <c r="D203" s="67"/>
      <c r="E203" s="67"/>
      <c r="F203" s="67"/>
      <c r="G203" s="67"/>
      <c r="H203" s="72"/>
      <c r="I203" s="72"/>
      <c r="J203" s="72"/>
      <c r="K203" s="70"/>
      <c r="L203" s="68"/>
      <c r="M203" s="70"/>
      <c r="N203" s="70"/>
      <c r="O203" s="70"/>
    </row>
    <row r="204" spans="1:15" s="2" customFormat="1" ht="0.75" customHeight="1">
      <c r="A204" s="88" t="s">
        <v>156</v>
      </c>
      <c r="B204" s="88"/>
      <c r="C204" s="88"/>
      <c r="D204" s="88"/>
      <c r="E204" s="88"/>
      <c r="F204" s="88"/>
      <c r="G204" s="88"/>
      <c r="H204" s="88"/>
      <c r="I204" s="88"/>
      <c r="J204" s="88"/>
      <c r="K204" s="88"/>
      <c r="L204" s="88"/>
      <c r="M204" s="88"/>
      <c r="N204" s="88"/>
      <c r="O204" s="88"/>
    </row>
    <row r="205" spans="1:15" s="2" customFormat="1" ht="12" customHeight="1">
      <c r="A205" s="88"/>
      <c r="B205" s="88"/>
      <c r="C205" s="88"/>
      <c r="D205" s="88"/>
      <c r="E205" s="88"/>
      <c r="F205" s="88"/>
      <c r="G205" s="88"/>
      <c r="H205" s="88"/>
      <c r="I205" s="88"/>
      <c r="J205" s="88"/>
      <c r="K205" s="88"/>
      <c r="L205" s="88"/>
      <c r="M205" s="88"/>
      <c r="N205" s="88"/>
      <c r="O205" s="88"/>
    </row>
    <row r="206" spans="1:15" s="2" customFormat="1" ht="12" customHeight="1">
      <c r="A206" s="88"/>
      <c r="B206" s="88"/>
      <c r="C206" s="88"/>
      <c r="D206" s="88"/>
      <c r="E206" s="88"/>
      <c r="F206" s="88"/>
      <c r="G206" s="88"/>
      <c r="H206" s="88"/>
      <c r="I206" s="88"/>
      <c r="J206" s="88"/>
      <c r="K206" s="88"/>
      <c r="L206" s="88"/>
      <c r="M206" s="88"/>
      <c r="N206" s="88"/>
      <c r="O206" s="88"/>
    </row>
    <row r="207" spans="1:15" s="2" customFormat="1" ht="12" customHeight="1">
      <c r="A207" s="88"/>
      <c r="B207" s="88"/>
      <c r="C207" s="88"/>
      <c r="D207" s="88"/>
      <c r="E207" s="88"/>
      <c r="F207" s="88"/>
      <c r="G207" s="88"/>
      <c r="H207" s="88"/>
      <c r="I207" s="88"/>
      <c r="J207" s="88"/>
      <c r="K207" s="88"/>
      <c r="L207" s="88"/>
      <c r="M207" s="88"/>
      <c r="N207" s="88"/>
      <c r="O207" s="88"/>
    </row>
    <row r="208" spans="1:15" s="2" customFormat="1" ht="12" customHeight="1">
      <c r="A208" s="88"/>
      <c r="B208" s="88"/>
      <c r="C208" s="88"/>
      <c r="D208" s="88"/>
      <c r="E208" s="88"/>
      <c r="F208" s="88"/>
      <c r="G208" s="88"/>
      <c r="H208" s="88"/>
      <c r="I208" s="88"/>
      <c r="J208" s="88"/>
      <c r="K208" s="88"/>
      <c r="L208" s="88"/>
      <c r="M208" s="88"/>
      <c r="N208" s="88"/>
      <c r="O208" s="88"/>
    </row>
    <row r="209" spans="1:15" s="2" customFormat="1" ht="12" customHeight="1">
      <c r="A209" s="88"/>
      <c r="B209" s="88"/>
      <c r="C209" s="88"/>
      <c r="D209" s="88"/>
      <c r="E209" s="88"/>
      <c r="F209" s="88"/>
      <c r="G209" s="88"/>
      <c r="H209" s="88"/>
      <c r="I209" s="88"/>
      <c r="J209" s="88"/>
      <c r="K209" s="88"/>
      <c r="L209" s="88"/>
      <c r="M209" s="88"/>
      <c r="N209" s="88"/>
      <c r="O209" s="88"/>
    </row>
    <row r="210" spans="1:15" s="2" customFormat="1" ht="12" customHeight="1">
      <c r="B210" s="13"/>
      <c r="C210" s="13"/>
      <c r="H210" s="5"/>
      <c r="I210" s="5"/>
      <c r="J210" s="5"/>
      <c r="K210" s="7"/>
      <c r="L210" s="13"/>
      <c r="M210" s="13"/>
      <c r="N210" s="13"/>
      <c r="O210" s="13"/>
    </row>
    <row r="211" spans="1:15" ht="12" customHeight="1"/>
  </sheetData>
  <sheetProtection algorithmName="SHA-512" hashValue="zzuUWBZijC7xdGV+be6tn1AWtSeswMXtuRMuDMMqQEckUGdp4TP8x4U1go+wfP9Izl3dn++iOmnjqHnuc0/hjQ==" saltValue="qxUqT/JZMF9Bfgr+lTWl+w==" spinCount="100000" sheet="1" selectLockedCells="1"/>
  <sortState ref="A42:Q47">
    <sortCondition ref="A42:A47"/>
  </sortState>
  <mergeCells count="4">
    <mergeCell ref="B2:O4"/>
    <mergeCell ref="M7:O7"/>
    <mergeCell ref="M152:O152"/>
    <mergeCell ref="A204:O209"/>
  </mergeCells>
  <pageMargins left="0.23622047244094491" right="0.23622047244094491" top="0.23622047244094491" bottom="0.23622047244094491" header="0.31496062992125984" footer="0.31496062992125984"/>
  <pageSetup orientation="portrait" r:id="rId1"/>
  <ignoredErrors>
    <ignoredError sqref="N39:N40 M30:M33"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494A-0F23-480B-959E-BD89D047E10A}">
  <dimension ref="A8:E18"/>
  <sheetViews>
    <sheetView workbookViewId="0">
      <selection activeCell="C19" sqref="C19"/>
    </sheetView>
  </sheetViews>
  <sheetFormatPr defaultRowHeight="14.5"/>
  <cols>
    <col min="1" max="1" width="42.1796875" bestFit="1" customWidth="1"/>
    <col min="2" max="2" width="10.1796875" bestFit="1" customWidth="1"/>
  </cols>
  <sheetData>
    <row r="8" spans="1:5">
      <c r="A8" s="75"/>
      <c r="B8" s="75"/>
      <c r="C8" s="76"/>
    </row>
    <row r="11" spans="1:5">
      <c r="A11" t="s">
        <v>49</v>
      </c>
      <c r="B11" s="75">
        <v>57105259</v>
      </c>
      <c r="C11" s="76">
        <v>2.35E-2</v>
      </c>
    </row>
    <row r="12" spans="1:5">
      <c r="A12" t="s">
        <v>148</v>
      </c>
      <c r="B12" s="75">
        <v>31370699</v>
      </c>
      <c r="C12" s="76">
        <v>1.7899999999999999E-2</v>
      </c>
      <c r="D12">
        <f>B12/B11</f>
        <v>0.54934868608160936</v>
      </c>
      <c r="E12" s="76">
        <f>C12*D12+C13*D13</f>
        <v>2.3533141423979879E-2</v>
      </c>
    </row>
    <row r="13" spans="1:5">
      <c r="A13" t="s">
        <v>149</v>
      </c>
      <c r="B13" s="75">
        <f>B11-B12</f>
        <v>25734560</v>
      </c>
      <c r="C13" s="76">
        <v>3.04E-2</v>
      </c>
      <c r="D13">
        <f>B13/B11</f>
        <v>0.45065131391839058</v>
      </c>
    </row>
    <row r="16" spans="1:5">
      <c r="A16" t="s">
        <v>157</v>
      </c>
      <c r="B16" s="75">
        <v>33097042</v>
      </c>
      <c r="C16" s="76">
        <v>1.8500000000000003E-2</v>
      </c>
      <c r="D16">
        <f>B16/B17</f>
        <v>0.64805171781752857</v>
      </c>
    </row>
    <row r="17" spans="1:4">
      <c r="A17" t="s">
        <v>158</v>
      </c>
      <c r="B17" s="75">
        <v>51071606</v>
      </c>
      <c r="C17" s="76">
        <v>2.2800000000000001E-2</v>
      </c>
      <c r="D17" s="76">
        <f>C16*D16+C18*D18</f>
        <v>2.2793769042626155E-2</v>
      </c>
    </row>
    <row r="18" spans="1:4">
      <c r="A18" t="s">
        <v>159</v>
      </c>
      <c r="B18" s="75">
        <f>B17-B16</f>
        <v>17974564</v>
      </c>
      <c r="C18" s="81">
        <v>3.0700000000000002E-2</v>
      </c>
      <c r="D18">
        <f>B18/B17</f>
        <v>0.35194828218247143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Bender,  Justin</dc:creator>
  <cp:lastModifiedBy>Bender,  Justin</cp:lastModifiedBy>
  <cp:lastPrinted>2020-01-20T00:06:11Z</cp:lastPrinted>
  <dcterms:created xsi:type="dcterms:W3CDTF">2018-02-22T17:33:10Z</dcterms:created>
  <dcterms:modified xsi:type="dcterms:W3CDTF">2020-01-20T00:06:15Z</dcterms:modified>
</cp:coreProperties>
</file>