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RVMTLFS01\Toronto\PERSONAL\Justin B\CANADIAN PORTFOLIO MANAGER BLOG\Calculators\"/>
    </mc:Choice>
  </mc:AlternateContent>
  <bookViews>
    <workbookView xWindow="0" yWindow="0" windowWidth="28800" windowHeight="12375"/>
  </bookViews>
  <sheets>
    <sheet name="Sheet1" sheetId="1" r:id="rId1"/>
  </sheets>
  <definedNames>
    <definedName name="_xlnm.Print_Titles" localSheetId="0">Sheet1!$1:$7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7" i="1" l="1"/>
  <c r="H97" i="1"/>
  <c r="O97" i="1" s="1"/>
  <c r="J96" i="1"/>
  <c r="N96" i="1" s="1"/>
  <c r="J95" i="1"/>
  <c r="F90" i="1"/>
  <c r="J94" i="1"/>
  <c r="H94" i="1"/>
  <c r="O94" i="1" s="1"/>
  <c r="N93" i="1"/>
  <c r="H93" i="1"/>
  <c r="M93" i="1" s="1"/>
  <c r="N92" i="1"/>
  <c r="M92" i="1"/>
  <c r="J92" i="1"/>
  <c r="J91" i="1"/>
  <c r="N91" i="1" s="1"/>
  <c r="L90" i="1"/>
  <c r="J61" i="1"/>
  <c r="H61" i="1"/>
  <c r="O61" i="1" s="1"/>
  <c r="N60" i="1"/>
  <c r="J60" i="1"/>
  <c r="M60" i="1" s="1"/>
  <c r="J59" i="1"/>
  <c r="F54" i="1"/>
  <c r="J58" i="1"/>
  <c r="H58" i="1"/>
  <c r="O58" i="1" s="1"/>
  <c r="N57" i="1"/>
  <c r="M57" i="1"/>
  <c r="H57" i="1"/>
  <c r="J56" i="1"/>
  <c r="N56" i="1" s="1"/>
  <c r="J55" i="1"/>
  <c r="N55" i="1" s="1"/>
  <c r="L54" i="1"/>
  <c r="M56" i="1" l="1"/>
  <c r="M91" i="1"/>
  <c r="M90" i="1" s="1"/>
  <c r="M97" i="1"/>
  <c r="M55" i="1"/>
  <c r="M61" i="1"/>
  <c r="M94" i="1"/>
  <c r="M96" i="1"/>
  <c r="M58" i="1"/>
  <c r="O90" i="1"/>
  <c r="N94" i="1"/>
  <c r="N90" i="1" s="1"/>
  <c r="N97" i="1"/>
  <c r="M54" i="1"/>
  <c r="O54" i="1"/>
  <c r="N58" i="1"/>
  <c r="N54" i="1" s="1"/>
  <c r="N61" i="1"/>
  <c r="J88" i="1"/>
  <c r="H88" i="1"/>
  <c r="J87" i="1"/>
  <c r="J86" i="1"/>
  <c r="J85" i="1"/>
  <c r="H85" i="1"/>
  <c r="H84" i="1"/>
  <c r="J83" i="1"/>
  <c r="J82" i="1"/>
  <c r="J79" i="1"/>
  <c r="H79" i="1"/>
  <c r="J78" i="1"/>
  <c r="J77" i="1"/>
  <c r="J76" i="1"/>
  <c r="H76" i="1"/>
  <c r="H75" i="1"/>
  <c r="J74" i="1"/>
  <c r="J73" i="1"/>
  <c r="F99" i="1"/>
  <c r="J114" i="1"/>
  <c r="H116" i="1"/>
  <c r="H117" i="1"/>
  <c r="N105" i="1" l="1"/>
  <c r="M105" i="1"/>
  <c r="N115" i="1" l="1"/>
  <c r="M115" i="1"/>
  <c r="J104" i="1"/>
  <c r="M114" i="1"/>
  <c r="N114" i="1" l="1"/>
  <c r="N104" i="1"/>
  <c r="M104" i="1"/>
  <c r="H107" i="1"/>
  <c r="H106" i="1"/>
  <c r="N116" i="1" l="1"/>
  <c r="M116" i="1"/>
  <c r="M107" i="1"/>
  <c r="O107" i="1"/>
  <c r="N107" i="1"/>
  <c r="O117" i="1"/>
  <c r="N117" i="1"/>
  <c r="M117" i="1"/>
  <c r="N106" i="1"/>
  <c r="M106" i="1"/>
  <c r="K121" i="1"/>
  <c r="N113" i="1"/>
  <c r="N112" i="1"/>
  <c r="N110" i="1"/>
  <c r="N103" i="1"/>
  <c r="M103" i="1"/>
  <c r="O103" i="1"/>
  <c r="N102" i="1"/>
  <c r="M102" i="1"/>
  <c r="N100" i="1"/>
  <c r="M100" i="1"/>
  <c r="M83" i="1"/>
  <c r="F88" i="1"/>
  <c r="F87" i="1"/>
  <c r="F86" i="1"/>
  <c r="F79" i="1"/>
  <c r="F78" i="1"/>
  <c r="F77" i="1"/>
  <c r="F70" i="1"/>
  <c r="F69" i="1"/>
  <c r="F68" i="1"/>
  <c r="F85" i="1"/>
  <c r="F84" i="1"/>
  <c r="F83" i="1"/>
  <c r="F76" i="1"/>
  <c r="F75" i="1"/>
  <c r="F74" i="1"/>
  <c r="F66" i="1"/>
  <c r="F67" i="1"/>
  <c r="F65" i="1"/>
  <c r="N99" i="1" l="1"/>
  <c r="M99" i="1"/>
  <c r="O99" i="1"/>
  <c r="O113" i="1"/>
  <c r="M110" i="1"/>
  <c r="M112" i="1"/>
  <c r="N109" i="1"/>
  <c r="M113" i="1"/>
  <c r="F109" i="1"/>
  <c r="F63" i="1"/>
  <c r="J68" i="1"/>
  <c r="J70" i="1"/>
  <c r="H70" i="1"/>
  <c r="J69" i="1"/>
  <c r="J67" i="1"/>
  <c r="H67" i="1"/>
  <c r="H66" i="1"/>
  <c r="J65" i="1"/>
  <c r="J64" i="1"/>
  <c r="M45" i="1"/>
  <c r="H49" i="1"/>
  <c r="H42" i="1"/>
  <c r="H41" i="1"/>
  <c r="J17" i="1"/>
  <c r="O109" i="1" l="1"/>
  <c r="M109" i="1"/>
  <c r="J14" i="1"/>
  <c r="H14" i="1"/>
  <c r="O14" i="1" s="1"/>
  <c r="J13" i="1"/>
  <c r="M13" i="1" s="1"/>
  <c r="J12" i="1"/>
  <c r="J36" i="1"/>
  <c r="J19" i="1"/>
  <c r="J18" i="1"/>
  <c r="H30" i="1"/>
  <c r="J25" i="1"/>
  <c r="J34" i="1"/>
  <c r="H29" i="1"/>
  <c r="J23" i="1"/>
  <c r="M14" i="1" l="1"/>
  <c r="N13" i="1"/>
  <c r="N14" i="1"/>
  <c r="F81" i="1"/>
  <c r="L81" i="1"/>
  <c r="O88" i="1"/>
  <c r="N87" i="1"/>
  <c r="N85" i="1"/>
  <c r="M84" i="1"/>
  <c r="N83" i="1"/>
  <c r="N82" i="1"/>
  <c r="L72" i="1"/>
  <c r="F72" i="1"/>
  <c r="M79" i="1"/>
  <c r="N78" i="1"/>
  <c r="N76" i="1"/>
  <c r="N75" i="1"/>
  <c r="N74" i="1"/>
  <c r="M74" i="1"/>
  <c r="N73" i="1"/>
  <c r="L63" i="1"/>
  <c r="L121" i="1" l="1"/>
  <c r="O76" i="1"/>
  <c r="M76" i="1"/>
  <c r="M78" i="1"/>
  <c r="O79" i="1"/>
  <c r="O85" i="1"/>
  <c r="O81" i="1" s="1"/>
  <c r="M73" i="1"/>
  <c r="N84" i="1"/>
  <c r="N79" i="1"/>
  <c r="N72" i="1" s="1"/>
  <c r="M88" i="1"/>
  <c r="M82" i="1"/>
  <c r="M85" i="1"/>
  <c r="M87" i="1"/>
  <c r="N88" i="1"/>
  <c r="M75" i="1"/>
  <c r="M67" i="1"/>
  <c r="N66" i="1"/>
  <c r="N65" i="1"/>
  <c r="M65" i="1"/>
  <c r="N64" i="1"/>
  <c r="N40" i="1"/>
  <c r="M40" i="1"/>
  <c r="O42" i="1"/>
  <c r="M41" i="1"/>
  <c r="F41" i="1"/>
  <c r="E44" i="1"/>
  <c r="F49" i="1" s="1"/>
  <c r="M81" i="1" l="1"/>
  <c r="O72" i="1"/>
  <c r="N81" i="1"/>
  <c r="M72" i="1"/>
  <c r="N67" i="1"/>
  <c r="O67" i="1"/>
  <c r="M66" i="1"/>
  <c r="M64" i="1"/>
  <c r="M42" i="1"/>
  <c r="F42" i="1"/>
  <c r="F40" i="1"/>
  <c r="N41" i="1"/>
  <c r="F46" i="1"/>
  <c r="N42" i="1"/>
  <c r="F47" i="1"/>
  <c r="F48" i="1"/>
  <c r="F45" i="1"/>
  <c r="O49" i="1"/>
  <c r="N46" i="1"/>
  <c r="M46" i="1"/>
  <c r="N45" i="1"/>
  <c r="N17" i="1"/>
  <c r="M17" i="1"/>
  <c r="M22" i="1"/>
  <c r="M24" i="1"/>
  <c r="O39" i="1" l="1"/>
  <c r="F39" i="1"/>
  <c r="N39" i="1"/>
  <c r="M39" i="1"/>
  <c r="N49" i="1"/>
  <c r="F44" i="1"/>
  <c r="M49" i="1"/>
  <c r="H34" i="1"/>
  <c r="H33" i="1"/>
  <c r="N33" i="1" s="1"/>
  <c r="H28" i="1"/>
  <c r="H51" i="1"/>
  <c r="H47" i="1"/>
  <c r="H48" i="1"/>
  <c r="H35" i="1"/>
  <c r="H36" i="1"/>
  <c r="M36" i="1" l="1"/>
  <c r="O36" i="1"/>
  <c r="N69" i="1"/>
  <c r="M69" i="1"/>
  <c r="N70" i="1"/>
  <c r="M70" i="1"/>
  <c r="O70" i="1"/>
  <c r="O63" i="1" s="1"/>
  <c r="N51" i="1"/>
  <c r="M51" i="1"/>
  <c r="O51" i="1"/>
  <c r="O48" i="1"/>
  <c r="N48" i="1"/>
  <c r="M48" i="1"/>
  <c r="O47" i="1"/>
  <c r="M47" i="1"/>
  <c r="N47" i="1"/>
  <c r="N44" i="1" s="1"/>
  <c r="M30" i="1"/>
  <c r="N30" i="1"/>
  <c r="N19" i="1"/>
  <c r="M19" i="1"/>
  <c r="M35" i="1"/>
  <c r="O35" i="1"/>
  <c r="N35" i="1"/>
  <c r="N29" i="1"/>
  <c r="M29" i="1"/>
  <c r="M25" i="1"/>
  <c r="N25" i="1"/>
  <c r="N28" i="1"/>
  <c r="O28" i="1"/>
  <c r="M28" i="1"/>
  <c r="O33" i="1"/>
  <c r="M33" i="1"/>
  <c r="N23" i="1"/>
  <c r="M23" i="1"/>
  <c r="O34" i="1"/>
  <c r="N34" i="1"/>
  <c r="M34" i="1"/>
  <c r="N36" i="1"/>
  <c r="N18" i="1"/>
  <c r="M18" i="1"/>
  <c r="M63" i="1" l="1"/>
  <c r="N63" i="1"/>
  <c r="N121" i="1" s="1"/>
  <c r="M44" i="1"/>
  <c r="O44" i="1"/>
  <c r="O121" i="1" s="1"/>
  <c r="M121" i="1" l="1"/>
</calcChain>
</file>

<file path=xl/sharedStrings.xml><?xml version="1.0" encoding="utf-8"?>
<sst xmlns="http://schemas.openxmlformats.org/spreadsheetml/2006/main" count="521" uniqueCount="152">
  <si>
    <t>Vanguard Total Stock Market ETF</t>
  </si>
  <si>
    <t>VTI</t>
  </si>
  <si>
    <t>Vanguard U.S. Total Market Index ETF</t>
  </si>
  <si>
    <t>VUN</t>
  </si>
  <si>
    <t>iShares Core S&amp;P Total U.S. Stock Market ETF</t>
  </si>
  <si>
    <t>ITOT</t>
  </si>
  <si>
    <t>iShares Core S&amp;P U.S. Total Market Index ETF</t>
  </si>
  <si>
    <t>XUU</t>
  </si>
  <si>
    <t>iShares Core MSCI EAFE ETF</t>
  </si>
  <si>
    <t>IEFA</t>
  </si>
  <si>
    <t>iShares Core MSCI EAFE IMI Index ETF</t>
  </si>
  <si>
    <t>XEF</t>
  </si>
  <si>
    <t>Vanguard FTSE Emerging Markets ETF</t>
  </si>
  <si>
    <t>VWO</t>
  </si>
  <si>
    <t>Vanguard FTSE Emerging Markets Index ETF</t>
  </si>
  <si>
    <t>VEE</t>
  </si>
  <si>
    <t>iShares Core MSCI Emerging Markets ETF</t>
  </si>
  <si>
    <t>IEMG</t>
  </si>
  <si>
    <t>XEC</t>
  </si>
  <si>
    <t>VIU</t>
  </si>
  <si>
    <t>Market</t>
  </si>
  <si>
    <t>US</t>
  </si>
  <si>
    <t>CDN</t>
  </si>
  <si>
    <t>VXC</t>
  </si>
  <si>
    <t>XAW</t>
  </si>
  <si>
    <t>VT</t>
  </si>
  <si>
    <t>Ticker</t>
  </si>
  <si>
    <t>VGK</t>
  </si>
  <si>
    <t>Level I</t>
  </si>
  <si>
    <t>Expense Ratio</t>
  </si>
  <si>
    <t>Level II</t>
  </si>
  <si>
    <t>Source</t>
  </si>
  <si>
    <t>VCNS</t>
  </si>
  <si>
    <t>VBAL</t>
  </si>
  <si>
    <t>VGRO</t>
  </si>
  <si>
    <t>VBU</t>
  </si>
  <si>
    <t>VBG</t>
  </si>
  <si>
    <t>Vanguard FTSE Canada All Cap Index ETF</t>
  </si>
  <si>
    <t>VCN</t>
  </si>
  <si>
    <t>iShares Core S&amp;P/TSX Capped Composite Index ETF</t>
  </si>
  <si>
    <t>XIC</t>
  </si>
  <si>
    <t>BMO S&amp;P/TSX Capped Composite Index ETF</t>
  </si>
  <si>
    <t>ZCN</t>
  </si>
  <si>
    <t>Vanguard Canadian Aggregate Bond Index ETF</t>
  </si>
  <si>
    <t>VAB</t>
  </si>
  <si>
    <t>VPL</t>
  </si>
  <si>
    <t>2017 Annual Report - Statement of Operations</t>
  </si>
  <si>
    <t>U.S. Source</t>
  </si>
  <si>
    <t>Canadian Source</t>
  </si>
  <si>
    <t>-</t>
  </si>
  <si>
    <t>VV</t>
  </si>
  <si>
    <t>VB</t>
  </si>
  <si>
    <t>CRSP US Small Cap Index</t>
  </si>
  <si>
    <t>Vanguard FTSE Global All Cap ex Canada Index ETF</t>
  </si>
  <si>
    <t>FTSE Global All Cap ex Canada China A Inclusion Index</t>
  </si>
  <si>
    <t>CRSP US Large Cap Index</t>
  </si>
  <si>
    <t>FTSE Developed Europe All Cap Index</t>
  </si>
  <si>
    <t>FTSE Developed Asia Pacific All Cap Index</t>
  </si>
  <si>
    <t>FTSE Global All Cap Index</t>
  </si>
  <si>
    <t>Vanguard Total World Stock ETF</t>
  </si>
  <si>
    <t>Yield</t>
  </si>
  <si>
    <t xml:space="preserve">     Vanguard Large-Cap ETF</t>
  </si>
  <si>
    <t xml:space="preserve">     Vanguard FTSE Europe ETF</t>
  </si>
  <si>
    <t xml:space="preserve">     Vanguard Small-Cap ETF</t>
  </si>
  <si>
    <t xml:space="preserve">     Vanguard FTSE Pacific ETF</t>
  </si>
  <si>
    <t>2017 Annual Report - Statements of Operations</t>
  </si>
  <si>
    <t>Taxable</t>
  </si>
  <si>
    <t xml:space="preserve">     Vanguard FTSE Emerging Markets Index ETF</t>
  </si>
  <si>
    <t xml:space="preserve">     Vanguard FTSE Emerging Markets ETF</t>
  </si>
  <si>
    <t>FTSE Emerging Markets China A Inclusion Index</t>
  </si>
  <si>
    <t>MSCI USA IMI Index</t>
  </si>
  <si>
    <t>MSCI EAFE IMI Index</t>
  </si>
  <si>
    <t>MSCI Emerging Markets IMI Index</t>
  </si>
  <si>
    <t xml:space="preserve">     iShares Core MSCI Emerging Markets ETF</t>
  </si>
  <si>
    <t xml:space="preserve">     iShares Core MSCI EAFE IMI Index ETF</t>
  </si>
  <si>
    <t>MSCI ACWI ex Canada IMI Index</t>
  </si>
  <si>
    <t>FTSE Canada All Cap Index</t>
  </si>
  <si>
    <t xml:space="preserve">     iShares Core S&amp;P Total U.S. Stock Market ETF</t>
  </si>
  <si>
    <t>Underlying Index</t>
  </si>
  <si>
    <t>S&amp;P/TSX Capped Composite Index</t>
  </si>
  <si>
    <t>BMO Aggregate Bond Index ETF</t>
  </si>
  <si>
    <t>ZAG</t>
  </si>
  <si>
    <t>BMO Discount Bond Index ETF</t>
  </si>
  <si>
    <t>ZDB</t>
  </si>
  <si>
    <t>iShares Core Canadian Universe Bond Index ETF</t>
  </si>
  <si>
    <t>XBB</t>
  </si>
  <si>
    <t>Vanguard Conservative ETF Portfolio</t>
  </si>
  <si>
    <t>CRSP US Total Market Index</t>
  </si>
  <si>
    <t>FTSE Developed All Cap ex North America Index</t>
  </si>
  <si>
    <t>FTSE Emerging Markets All Cap China A Inclusion Index</t>
  </si>
  <si>
    <t>S&amp;P Total Market Index</t>
  </si>
  <si>
    <t>Vanguard Balanced ETF Portfolio</t>
  </si>
  <si>
    <t>Vanguard Growth ETF Portfolio</t>
  </si>
  <si>
    <t xml:space="preserve">     Vanguard FTSE Canada All Cap Index ETF</t>
  </si>
  <si>
    <t xml:space="preserve">     Vanguard U.S. Total Market Index ETF</t>
  </si>
  <si>
    <t xml:space="preserve">     Vangaurd FTSE Developed All Cap ex North America Index ETF</t>
  </si>
  <si>
    <t xml:space="preserve">     Vanguard Canadian Aggregate Bond Index ETF</t>
  </si>
  <si>
    <t xml:space="preserve">     Vanguard U.S. Aggregate Bond Index ETF (CAD-hedged)</t>
  </si>
  <si>
    <t xml:space="preserve">     Vanguard Global ex-U.S. Aggregate Bond Index ETF (CAD-hedged)</t>
  </si>
  <si>
    <t>Allocation</t>
  </si>
  <si>
    <t>iShares Core MSCI Emerging Markets IMI Index ETF</t>
  </si>
  <si>
    <t>Fixed Income</t>
  </si>
  <si>
    <t>Canadian Equity</t>
  </si>
  <si>
    <t>U.S. Equity</t>
  </si>
  <si>
    <t>International Equity</t>
  </si>
  <si>
    <t xml:space="preserve">Emerging Markets Equity </t>
  </si>
  <si>
    <t>Global Equity</t>
  </si>
  <si>
    <t>MER/ER</t>
  </si>
  <si>
    <t>Vangaurd FTSE Developed AC ex NA Index ETF</t>
  </si>
  <si>
    <t>iShares Core MSCI AC World ex Canada Index ETF</t>
  </si>
  <si>
    <t>2017 Annual Report - Statements of Comprehensive Income</t>
  </si>
  <si>
    <t>Asset Allocation ETFs</t>
  </si>
  <si>
    <t>2017 Annual Report - Statement of Comprehensive Income</t>
  </si>
  <si>
    <t>2018 Annual Report - Statement of Operations</t>
  </si>
  <si>
    <t>Vanguard U.S. Aggregate Bond Index ETF (CAD-hedged)</t>
  </si>
  <si>
    <t>Vanguard Global ex-U.S. Aggregate Bond Index ETF (CAD-hedged)</t>
  </si>
  <si>
    <t>Bloomberg Barclays Global Aggregate Canadian Float Adjusted Bond Index</t>
  </si>
  <si>
    <t>Bloomberg Barclays U.S. Aggregate Float Adjusted Bond Index</t>
  </si>
  <si>
    <t>Bloomberg Barclays Global Aggregate ex-USD Float Adjusted RIC Capped Index</t>
  </si>
  <si>
    <t xml:space="preserve">     Vanguard FTSE Developed All Cap ex North America Index ETF</t>
  </si>
  <si>
    <t>XBAL</t>
  </si>
  <si>
    <t>XGRO</t>
  </si>
  <si>
    <t>iShares Core Growth ETF Portfolio</t>
  </si>
  <si>
    <t>iShares Core Balanced ETF Portfolio</t>
  </si>
  <si>
    <t xml:space="preserve">          iShares Core Canadian ST Corp + Maple Bond Index ETF</t>
  </si>
  <si>
    <t xml:space="preserve">          iShares Core Canadian Universe Bond Index ETF</t>
  </si>
  <si>
    <t xml:space="preserve">          iShares U.S. Treasury Bond ETF (CAD-hedged)</t>
  </si>
  <si>
    <t xml:space="preserve">          iShares Broad USD IG Corporate Bond ETF (CAD-hedged)</t>
  </si>
  <si>
    <t xml:space="preserve">          iShares Core S&amp;P/TSX Capped Composite Index ETF</t>
  </si>
  <si>
    <t xml:space="preserve">          iShares Core S&amp;P Total U.S. Stock Market ETF</t>
  </si>
  <si>
    <t xml:space="preserve">          iShares Core MSCI EAFE IMI Index ETF</t>
  </si>
  <si>
    <t xml:space="preserve">          iShares Core MSCI Emerging Markets ETF</t>
  </si>
  <si>
    <t>XSH</t>
  </si>
  <si>
    <t>GOVT</t>
  </si>
  <si>
    <t>USIG</t>
  </si>
  <si>
    <t>TFSA</t>
  </si>
  <si>
    <t>RRSP</t>
  </si>
  <si>
    <t>Foreign Withholding Tax Calculator</t>
  </si>
  <si>
    <t>FTSE Canada Universe Discount Bond Index</t>
  </si>
  <si>
    <t>FTSE Canada UniverseXM Bond Index</t>
  </si>
  <si>
    <t>FTSE Canada Universe Bond Index</t>
  </si>
  <si>
    <t>ICE U.S. Treasury Core Bond Index</t>
  </si>
  <si>
    <t>ICE BofAML US IG Corporate Index</t>
  </si>
  <si>
    <t>FTSE Canada Universe + Maple Short Term Corporate Bond Index</t>
  </si>
  <si>
    <t>Estimated Foreign Withholding Tax</t>
  </si>
  <si>
    <t>Total</t>
  </si>
  <si>
    <t xml:space="preserve">                  Vanguard Canada 2017 Annual Report, Vanguard 2017 Annual Report.</t>
  </si>
  <si>
    <t xml:space="preserve">Sources:  BlackRock 2017 Annual Report, BlackRock Canada 2016 Annual Report, BMO ETFs 2017 Annual Report, </t>
  </si>
  <si>
    <t>Vanguard All-Equity ETF Portfolio</t>
  </si>
  <si>
    <t>VEQT</t>
  </si>
  <si>
    <t>VCIP</t>
  </si>
  <si>
    <t>Vanguard Conservative Income ETF Portfolio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</si>
</sst>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8"/>
      <color theme="1"/>
      <name val="AvenirNext LT Pro Regular"/>
      <family val="2"/>
    </font>
    <font>
      <sz val="8"/>
      <color theme="1"/>
      <name val="AvenirNext LT Pro Regular"/>
      <family val="2"/>
    </font>
    <font>
      <sz val="11"/>
      <color theme="1"/>
      <name val="AvenirNext LT Pro Regular"/>
      <family val="2"/>
    </font>
    <font>
      <sz val="9"/>
      <color theme="1"/>
      <name val="AvenirNext LT Pro Regular"/>
      <family val="2"/>
    </font>
    <font>
      <b/>
      <sz val="8"/>
      <color rgb="FF2D71BB"/>
      <name val="AvenirNext LT Pro Regular"/>
      <family val="2"/>
    </font>
    <font>
      <b/>
      <sz val="8"/>
      <color rgb="FF404040"/>
      <name val="AvenirNext LT Pro Regular"/>
      <family val="2"/>
    </font>
    <font>
      <sz val="8"/>
      <color rgb="FF404040"/>
      <name val="AvenirNext LT Pro Regular"/>
      <family val="2"/>
    </font>
    <font>
      <sz val="8"/>
      <color rgb="FF2D71BB"/>
      <name val="AvenirNext LT Pro Regular"/>
      <family val="2"/>
    </font>
    <font>
      <b/>
      <sz val="13"/>
      <color rgb="FF2D71BB"/>
      <name val="AvenirNext LT Pro Regular"/>
      <family val="2"/>
    </font>
    <font>
      <b/>
      <sz val="13"/>
      <color rgb="FF2D71BB"/>
      <name val="Calibri"/>
      <family val="2"/>
      <scheme val="minor"/>
    </font>
    <font>
      <b/>
      <sz val="15"/>
      <color theme="0"/>
      <name val="AvenirNext LT Pro Regular"/>
      <family val="2"/>
    </font>
    <font>
      <sz val="15"/>
      <color theme="0"/>
      <name val="AvenirNext LT Pro Regular"/>
      <family val="2"/>
    </font>
    <font>
      <i/>
      <sz val="8"/>
      <color theme="1"/>
      <name val="AvenirNext LT Pro Regular"/>
      <family val="2"/>
    </font>
  </fonts>
  <fills count="7">
    <fill>
      <patternFill patternType="none"/>
    </fill>
    <fill>
      <patternFill patternType="gray125"/>
    </fill>
    <fill>
      <patternFill patternType="solid">
        <fgColor theme="0"/>
        <bgColor indexed="64"/>
      </patternFill>
    </fill>
    <fill>
      <patternFill patternType="solid">
        <fgColor rgb="FFE4E5E7"/>
        <bgColor indexed="64"/>
      </patternFill>
    </fill>
    <fill>
      <patternFill patternType="solid">
        <fgColor rgb="FF2D71BB"/>
        <bgColor indexed="64"/>
      </patternFill>
    </fill>
    <fill>
      <patternFill patternType="solid">
        <fgColor theme="4" tint="0.79998168889431442"/>
        <bgColor indexed="64"/>
      </patternFill>
    </fill>
    <fill>
      <patternFill patternType="solid">
        <fgColor theme="4" tint="0.59999389629810485"/>
        <bgColor indexed="64"/>
      </patternFill>
    </fill>
  </fills>
  <borders count="2">
    <border>
      <left/>
      <right/>
      <top/>
      <bottom/>
      <diagonal/>
    </border>
    <border>
      <left/>
      <right/>
      <top/>
      <bottom style="thin">
        <color rgb="FF404040"/>
      </bottom>
      <diagonal/>
    </border>
  </borders>
  <cellStyleXfs count="1">
    <xf numFmtId="0" fontId="0" fillId="0" borderId="0"/>
  </cellStyleXfs>
  <cellXfs count="89">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center"/>
    </xf>
    <xf numFmtId="0" fontId="2" fillId="0" borderId="0" xfId="0" applyFont="1" applyAlignment="1">
      <alignment horizontal="right"/>
    </xf>
    <xf numFmtId="0" fontId="2" fillId="0" borderId="0" xfId="0" applyFont="1" applyAlignment="1">
      <alignment horizontal="right" vertical="center"/>
    </xf>
    <xf numFmtId="10" fontId="2" fillId="0" borderId="0" xfId="0" applyNumberFormat="1" applyFont="1" applyAlignment="1">
      <alignment horizontal="center"/>
    </xf>
    <xf numFmtId="10" fontId="2" fillId="0" borderId="0" xfId="0" applyNumberFormat="1" applyFont="1" applyAlignment="1">
      <alignment horizontal="center" vertical="center"/>
    </xf>
    <xf numFmtId="0" fontId="4" fillId="0" borderId="0" xfId="0" applyFont="1"/>
    <xf numFmtId="0" fontId="3" fillId="0" borderId="0" xfId="0" applyFont="1"/>
    <xf numFmtId="0" fontId="4" fillId="0" borderId="0" xfId="0" applyFont="1" applyAlignment="1">
      <alignment vertical="center"/>
    </xf>
    <xf numFmtId="0" fontId="3" fillId="0" borderId="0" xfId="0" applyFont="1" applyAlignment="1">
      <alignment vertical="center"/>
    </xf>
    <xf numFmtId="0" fontId="1" fillId="0" borderId="0" xfId="0" applyFont="1" applyAlignment="1">
      <alignment vertical="center"/>
    </xf>
    <xf numFmtId="0" fontId="2" fillId="0" borderId="0" xfId="0" applyFont="1" applyAlignment="1">
      <alignment horizontal="center" vertical="center"/>
    </xf>
    <xf numFmtId="0" fontId="3" fillId="2" borderId="0" xfId="0" applyFont="1" applyFill="1" applyBorder="1" applyAlignment="1" applyProtection="1">
      <alignment vertical="center"/>
    </xf>
    <xf numFmtId="0" fontId="3" fillId="2" borderId="0" xfId="0" applyFont="1" applyFill="1" applyBorder="1" applyAlignment="1" applyProtection="1">
      <alignment horizontal="center" vertical="center"/>
    </xf>
    <xf numFmtId="2" fontId="3" fillId="2" borderId="0" xfId="0" applyNumberFormat="1" applyFont="1" applyFill="1" applyAlignment="1" applyProtection="1">
      <alignment horizontal="center" vertical="center"/>
    </xf>
    <xf numFmtId="0" fontId="3" fillId="2" borderId="0" xfId="0" applyFont="1" applyFill="1" applyAlignment="1" applyProtection="1">
      <alignment horizontal="center" vertical="center"/>
    </xf>
    <xf numFmtId="0" fontId="4" fillId="2" borderId="0" xfId="0" applyFont="1" applyFill="1" applyAlignment="1" applyProtection="1">
      <alignment vertical="center"/>
    </xf>
    <xf numFmtId="0" fontId="1" fillId="2" borderId="0" xfId="0" applyFont="1" applyFill="1" applyAlignment="1" applyProtection="1">
      <alignment vertical="center"/>
    </xf>
    <xf numFmtId="0" fontId="2" fillId="2" borderId="0" xfId="0" applyFont="1" applyFill="1" applyAlignment="1" applyProtection="1">
      <alignment vertical="center"/>
    </xf>
    <xf numFmtId="0" fontId="2" fillId="2" borderId="0" xfId="0" applyFont="1" applyFill="1" applyAlignment="1" applyProtection="1">
      <alignment horizontal="center" vertical="center"/>
    </xf>
    <xf numFmtId="10" fontId="2" fillId="2" borderId="0" xfId="0" applyNumberFormat="1" applyFont="1" applyFill="1" applyAlignment="1" applyProtection="1">
      <alignment horizontal="right" vertical="center"/>
    </xf>
    <xf numFmtId="0" fontId="2" fillId="2" borderId="0" xfId="0" applyFont="1" applyFill="1" applyAlignment="1" applyProtection="1">
      <alignment horizontal="right" vertical="center"/>
    </xf>
    <xf numFmtId="10" fontId="2" fillId="2" borderId="0" xfId="0" applyNumberFormat="1" applyFont="1" applyFill="1" applyAlignment="1" applyProtection="1">
      <alignment horizontal="center" vertical="center"/>
    </xf>
    <xf numFmtId="10" fontId="2" fillId="2" borderId="0" xfId="0" applyNumberFormat="1" applyFont="1" applyFill="1" applyAlignment="1" applyProtection="1">
      <alignment vertical="center"/>
    </xf>
    <xf numFmtId="0" fontId="2" fillId="0" borderId="0" xfId="0" applyFont="1" applyAlignment="1" applyProtection="1">
      <alignment vertical="center"/>
    </xf>
    <xf numFmtId="0" fontId="2" fillId="0" borderId="0" xfId="0" applyFont="1" applyAlignment="1" applyProtection="1">
      <alignment horizontal="center" vertical="center"/>
    </xf>
    <xf numFmtId="10" fontId="2" fillId="0" borderId="0" xfId="0" applyNumberFormat="1" applyFont="1" applyAlignment="1" applyProtection="1">
      <alignment vertical="center"/>
    </xf>
    <xf numFmtId="10" fontId="2" fillId="0" borderId="0" xfId="0" applyNumberFormat="1" applyFont="1" applyAlignment="1" applyProtection="1">
      <alignment horizontal="center" vertical="center"/>
    </xf>
    <xf numFmtId="4" fontId="2" fillId="2" borderId="0" xfId="0" applyNumberFormat="1" applyFont="1" applyFill="1" applyAlignment="1" applyProtection="1">
      <alignment vertical="center"/>
    </xf>
    <xf numFmtId="3" fontId="2" fillId="2" borderId="0" xfId="0" applyNumberFormat="1" applyFont="1" applyFill="1" applyAlignment="1" applyProtection="1">
      <alignment vertical="center"/>
    </xf>
    <xf numFmtId="0" fontId="2" fillId="2" borderId="1" xfId="0" applyFont="1" applyFill="1" applyBorder="1" applyAlignment="1" applyProtection="1">
      <alignment vertical="center"/>
    </xf>
    <xf numFmtId="0" fontId="2" fillId="2" borderId="1" xfId="0" applyFont="1" applyFill="1" applyBorder="1" applyAlignment="1" applyProtection="1">
      <alignment horizontal="center" vertical="center"/>
    </xf>
    <xf numFmtId="10" fontId="2" fillId="2" borderId="1" xfId="0" applyNumberFormat="1" applyFont="1" applyFill="1" applyBorder="1" applyAlignment="1" applyProtection="1">
      <alignment horizontal="right" vertical="center"/>
    </xf>
    <xf numFmtId="0" fontId="2" fillId="0" borderId="0" xfId="0" applyFont="1" applyAlignment="1" applyProtection="1">
      <alignment horizontal="right" vertical="center"/>
    </xf>
    <xf numFmtId="4" fontId="2" fillId="0" borderId="0" xfId="0" applyNumberFormat="1" applyFont="1" applyAlignment="1" applyProtection="1">
      <alignment vertical="center"/>
    </xf>
    <xf numFmtId="4" fontId="2" fillId="2" borderId="0" xfId="0" applyNumberFormat="1" applyFont="1" applyFill="1" applyAlignment="1" applyProtection="1">
      <alignment horizontal="right" vertical="center"/>
    </xf>
    <xf numFmtId="164" fontId="2" fillId="2" borderId="1" xfId="0" applyNumberFormat="1" applyFont="1" applyFill="1" applyBorder="1" applyAlignment="1" applyProtection="1">
      <alignment horizontal="right" vertical="center"/>
    </xf>
    <xf numFmtId="0" fontId="9" fillId="2" borderId="0" xfId="0" applyFont="1" applyFill="1" applyAlignment="1" applyProtection="1">
      <alignment horizontal="right" vertical="center"/>
    </xf>
    <xf numFmtId="0" fontId="10" fillId="2" borderId="0" xfId="0" applyFont="1" applyFill="1" applyAlignment="1" applyProtection="1">
      <alignment horizontal="right" vertical="center"/>
    </xf>
    <xf numFmtId="0" fontId="2" fillId="2" borderId="0" xfId="0" applyFont="1" applyFill="1" applyAlignment="1">
      <alignment vertical="center"/>
    </xf>
    <xf numFmtId="0" fontId="5" fillId="2" borderId="1" xfId="0" applyFont="1" applyFill="1" applyBorder="1" applyAlignment="1" applyProtection="1">
      <alignment vertic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vertical="center"/>
    </xf>
    <xf numFmtId="0" fontId="1" fillId="2" borderId="1" xfId="0" applyFont="1" applyFill="1" applyBorder="1" applyAlignment="1" applyProtection="1">
      <alignment vertical="center" wrapText="1"/>
    </xf>
    <xf numFmtId="0" fontId="1" fillId="2" borderId="1" xfId="0" applyFont="1" applyFill="1" applyBorder="1" applyAlignment="1" applyProtection="1">
      <alignment horizontal="right" vertical="center"/>
    </xf>
    <xf numFmtId="164" fontId="1" fillId="2" borderId="1" xfId="0" applyNumberFormat="1" applyFont="1" applyFill="1" applyBorder="1" applyAlignment="1" applyProtection="1">
      <alignment horizontal="right" vertical="center"/>
    </xf>
    <xf numFmtId="164" fontId="5" fillId="2" borderId="1" xfId="0" applyNumberFormat="1" applyFont="1" applyFill="1" applyBorder="1" applyAlignment="1" applyProtection="1">
      <alignment horizontal="center" vertical="center"/>
    </xf>
    <xf numFmtId="0" fontId="2" fillId="2" borderId="0" xfId="0" applyFont="1" applyFill="1" applyBorder="1" applyAlignment="1" applyProtection="1">
      <alignment vertical="center"/>
    </xf>
    <xf numFmtId="0" fontId="2" fillId="2" borderId="0" xfId="0" applyFont="1" applyFill="1" applyBorder="1" applyAlignment="1" applyProtection="1">
      <alignment horizontal="center" vertical="center"/>
    </xf>
    <xf numFmtId="10" fontId="2" fillId="2" borderId="0" xfId="0" applyNumberFormat="1" applyFont="1" applyFill="1" applyBorder="1" applyAlignment="1" applyProtection="1">
      <alignment vertical="center"/>
    </xf>
    <xf numFmtId="10" fontId="2" fillId="2" borderId="0" xfId="0" applyNumberFormat="1" applyFont="1" applyFill="1" applyBorder="1" applyAlignment="1" applyProtection="1">
      <alignment horizontal="right" vertical="center"/>
    </xf>
    <xf numFmtId="164" fontId="2" fillId="2" borderId="0" xfId="0" applyNumberFormat="1" applyFont="1" applyFill="1" applyBorder="1" applyAlignment="1" applyProtection="1">
      <alignment horizontal="right" vertical="center"/>
    </xf>
    <xf numFmtId="164" fontId="8" fillId="2" borderId="0" xfId="0" applyNumberFormat="1" applyFont="1" applyFill="1" applyBorder="1" applyAlignment="1" applyProtection="1">
      <alignment horizontal="center" vertical="center"/>
      <protection locked="0"/>
    </xf>
    <xf numFmtId="10" fontId="2" fillId="2" borderId="0" xfId="0" applyNumberFormat="1" applyFont="1" applyFill="1" applyBorder="1" applyAlignment="1" applyProtection="1">
      <alignment horizontal="center" vertical="center"/>
    </xf>
    <xf numFmtId="164" fontId="2" fillId="2"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2" fillId="3" borderId="0" xfId="0" applyFont="1" applyFill="1" applyBorder="1" applyAlignment="1" applyProtection="1">
      <alignment horizontal="center" vertical="center"/>
    </xf>
    <xf numFmtId="10" fontId="2" fillId="3" borderId="0" xfId="0" applyNumberFormat="1" applyFont="1" applyFill="1" applyBorder="1" applyAlignment="1" applyProtection="1">
      <alignment vertical="center"/>
    </xf>
    <xf numFmtId="10" fontId="2" fillId="3" borderId="0" xfId="0" applyNumberFormat="1" applyFont="1" applyFill="1" applyBorder="1" applyAlignment="1" applyProtection="1">
      <alignment horizontal="right" vertical="center"/>
    </xf>
    <xf numFmtId="164" fontId="2" fillId="3" borderId="0" xfId="0" applyNumberFormat="1" applyFont="1" applyFill="1" applyBorder="1" applyAlignment="1" applyProtection="1">
      <alignment horizontal="right" vertical="center"/>
    </xf>
    <xf numFmtId="10" fontId="2" fillId="3" borderId="0" xfId="0" applyNumberFormat="1" applyFont="1" applyFill="1" applyBorder="1" applyAlignment="1" applyProtection="1">
      <alignment horizontal="center" vertical="center"/>
    </xf>
    <xf numFmtId="164" fontId="2" fillId="3" borderId="0" xfId="0" applyNumberFormat="1" applyFont="1" applyFill="1" applyBorder="1" applyAlignment="1" applyProtection="1">
      <alignment vertical="center"/>
    </xf>
    <xf numFmtId="164" fontId="8" fillId="5" borderId="0" xfId="0" applyNumberFormat="1" applyFont="1" applyFill="1" applyBorder="1" applyAlignment="1" applyProtection="1">
      <alignment horizontal="center" vertical="center"/>
      <protection locked="0"/>
    </xf>
    <xf numFmtId="164" fontId="8" fillId="6" borderId="0" xfId="0" applyNumberFormat="1" applyFont="1" applyFill="1" applyBorder="1" applyAlignment="1" applyProtection="1">
      <alignment horizontal="center" vertical="center"/>
      <protection locked="0"/>
    </xf>
    <xf numFmtId="4" fontId="2" fillId="2" borderId="0" xfId="0" applyNumberFormat="1" applyFont="1" applyFill="1" applyBorder="1" applyAlignment="1" applyProtection="1">
      <alignment vertical="center"/>
    </xf>
    <xf numFmtId="3" fontId="2" fillId="2" borderId="0" xfId="0" applyNumberFormat="1" applyFont="1" applyFill="1" applyBorder="1" applyAlignment="1" applyProtection="1">
      <alignment vertical="center"/>
    </xf>
    <xf numFmtId="10" fontId="7" fillId="2" borderId="0" xfId="0" applyNumberFormat="1" applyFont="1" applyFill="1" applyBorder="1" applyAlignment="1">
      <alignment horizontal="right" vertical="center"/>
    </xf>
    <xf numFmtId="164" fontId="2" fillId="2" borderId="0" xfId="0" applyNumberFormat="1" applyFont="1" applyFill="1" applyBorder="1" applyAlignment="1" applyProtection="1">
      <alignment horizontal="center" vertical="center"/>
    </xf>
    <xf numFmtId="0" fontId="6" fillId="3" borderId="0" xfId="0" applyFont="1" applyFill="1" applyBorder="1" applyAlignment="1" applyProtection="1">
      <alignment vertical="center"/>
    </xf>
    <xf numFmtId="0" fontId="7" fillId="3" borderId="0" xfId="0" applyFont="1" applyFill="1" applyBorder="1" applyAlignment="1" applyProtection="1">
      <alignment horizontal="center" vertical="center"/>
    </xf>
    <xf numFmtId="0" fontId="7" fillId="3" borderId="0" xfId="0" applyFont="1" applyFill="1" applyBorder="1" applyAlignment="1" applyProtection="1">
      <alignment vertical="center"/>
    </xf>
    <xf numFmtId="10" fontId="7" fillId="3" borderId="0" xfId="0" applyNumberFormat="1" applyFont="1" applyFill="1" applyBorder="1" applyAlignment="1" applyProtection="1">
      <alignment horizontal="right" vertical="center"/>
    </xf>
    <xf numFmtId="164" fontId="7" fillId="3" borderId="0" xfId="0" applyNumberFormat="1" applyFont="1" applyFill="1" applyBorder="1" applyAlignment="1" applyProtection="1">
      <alignment horizontal="right" vertical="center"/>
    </xf>
    <xf numFmtId="164" fontId="6" fillId="3" borderId="0" xfId="0" applyNumberFormat="1" applyFont="1" applyFill="1" applyBorder="1" applyAlignment="1" applyProtection="1">
      <alignment horizontal="center" vertical="center"/>
    </xf>
    <xf numFmtId="10" fontId="6" fillId="3" borderId="0" xfId="0" applyNumberFormat="1" applyFont="1" applyFill="1" applyBorder="1" applyAlignment="1" applyProtection="1">
      <alignment horizontal="center" vertical="center"/>
    </xf>
    <xf numFmtId="4" fontId="2" fillId="3" borderId="0" xfId="0" applyNumberFormat="1" applyFont="1" applyFill="1" applyBorder="1" applyAlignment="1" applyProtection="1">
      <alignment vertical="center"/>
    </xf>
    <xf numFmtId="0" fontId="5" fillId="2" borderId="1" xfId="0" applyFont="1" applyFill="1" applyBorder="1" applyAlignment="1" applyProtection="1">
      <alignment horizontal="center" vertical="center"/>
    </xf>
    <xf numFmtId="0" fontId="5" fillId="2" borderId="1" xfId="0" applyFont="1" applyFill="1" applyBorder="1" applyAlignment="1" applyProtection="1">
      <alignment vertical="center" wrapText="1"/>
    </xf>
    <xf numFmtId="0" fontId="5" fillId="2" borderId="1" xfId="0" applyFont="1" applyFill="1" applyBorder="1" applyAlignment="1" applyProtection="1">
      <alignment horizontal="right" vertical="center"/>
    </xf>
    <xf numFmtId="10" fontId="5" fillId="2" borderId="1" xfId="0" applyNumberFormat="1" applyFont="1" applyFill="1" applyBorder="1" applyAlignment="1" applyProtection="1">
      <alignment horizontal="center" vertical="center"/>
    </xf>
    <xf numFmtId="0" fontId="8" fillId="3" borderId="0" xfId="0" applyFont="1" applyFill="1" applyBorder="1" applyAlignment="1" applyProtection="1">
      <alignment horizontal="center" vertical="center"/>
    </xf>
    <xf numFmtId="0" fontId="8" fillId="2" borderId="0" xfId="0" applyFont="1" applyFill="1" applyBorder="1" applyAlignment="1" applyProtection="1">
      <alignment horizontal="center" vertical="center"/>
    </xf>
    <xf numFmtId="0" fontId="13" fillId="2" borderId="0" xfId="0" applyFont="1" applyFill="1" applyAlignment="1" applyProtection="1">
      <alignment vertical="center"/>
    </xf>
    <xf numFmtId="0" fontId="11" fillId="4" borderId="0" xfId="0" applyFont="1" applyFill="1" applyAlignment="1" applyProtection="1">
      <alignment horizontal="right" vertical="center" indent="1"/>
    </xf>
    <xf numFmtId="0" fontId="12" fillId="4" borderId="0" xfId="0" applyFont="1" applyFill="1" applyAlignment="1">
      <alignment horizontal="right" vertical="center" indent="1"/>
    </xf>
    <xf numFmtId="164" fontId="8" fillId="2" borderId="0" xfId="0" applyNumberFormat="1" applyFont="1" applyFill="1" applyBorder="1" applyAlignment="1" applyProtection="1">
      <alignment horizontal="center" vertical="center"/>
    </xf>
    <xf numFmtId="0" fontId="13" fillId="0" borderId="0" xfId="0" applyFont="1" applyAlignment="1" applyProtection="1">
      <alignment vertical="center"/>
    </xf>
  </cellXfs>
  <cellStyles count="1">
    <cellStyle name="Normal" xfId="0" builtinId="0"/>
  </cellStyles>
  <dxfs count="0"/>
  <tableStyles count="0" defaultTableStyle="TableStyleMedium2" defaultPivotStyle="PivotStyleLight16"/>
  <colors>
    <mruColors>
      <color rgb="FFE4E5E7"/>
      <color rgb="FF404040"/>
      <color rgb="FF2D71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7325</xdr:colOff>
      <xdr:row>0</xdr:row>
      <xdr:rowOff>134944</xdr:rowOff>
    </xdr:from>
    <xdr:to>
      <xdr:col>0</xdr:col>
      <xdr:colOff>2529353</xdr:colOff>
      <xdr:row>4</xdr:row>
      <xdr:rowOff>120463</xdr:rowOff>
    </xdr:to>
    <xdr:pic>
      <xdr:nvPicPr>
        <xdr:cNvPr id="2" name="Picture 1"/>
        <xdr:cNvPicPr>
          <a:picLocks noChangeAspect="1"/>
        </xdr:cNvPicPr>
      </xdr:nvPicPr>
      <xdr:blipFill>
        <a:blip xmlns:r="http://schemas.openxmlformats.org/officeDocument/2006/relationships" r:embed="rId1"/>
        <a:stretch>
          <a:fillRect/>
        </a:stretch>
      </xdr:blipFill>
      <xdr:spPr>
        <a:xfrm>
          <a:off x="7325" y="134944"/>
          <a:ext cx="2522028" cy="787213"/>
        </a:xfrm>
        <a:prstGeom prst="rect">
          <a:avLst/>
        </a:prstGeom>
      </xdr:spPr>
    </xdr:pic>
    <xdr:clientData/>
  </xdr:twoCellAnchor>
  <xdr:twoCellAnchor>
    <xdr:from>
      <xdr:col>0</xdr:col>
      <xdr:colOff>0</xdr:colOff>
      <xdr:row>127</xdr:row>
      <xdr:rowOff>0</xdr:rowOff>
    </xdr:from>
    <xdr:to>
      <xdr:col>14</xdr:col>
      <xdr:colOff>682625</xdr:colOff>
      <xdr:row>131</xdr:row>
      <xdr:rowOff>142875</xdr:rowOff>
    </xdr:to>
    <xdr:sp macro="" textlink="">
      <xdr:nvSpPr>
        <xdr:cNvPr id="4" name="TextBox 3"/>
        <xdr:cNvSpPr txBox="1"/>
      </xdr:nvSpPr>
      <xdr:spPr>
        <a:xfrm>
          <a:off x="0" y="8143875"/>
          <a:ext cx="6604000" cy="801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solidFill>
                <a:schemeClr val="tx1"/>
              </a:solidFill>
              <a:latin typeface="AvenirNext LT Pro Regular" panose="020B0503020202020204" pitchFamily="34" charset="0"/>
              <a:cs typeface="Arial" panose="020B0604020202020204" pitchFamily="34" charset="0"/>
            </a:rPr>
            <a:t>This report is published by</a:t>
          </a:r>
          <a:r>
            <a:rPr lang="en-CA" sz="800" baseline="0">
              <a:solidFill>
                <a:schemeClr val="tx1"/>
              </a:solidFill>
              <a:latin typeface="AvenirNext LT Pro Regular" panose="020B0503020202020204" pitchFamily="34" charset="0"/>
              <a:cs typeface="Arial" panose="020B0604020202020204" pitchFamily="34" charset="0"/>
            </a:rPr>
            <a:t> Justin Bender</a:t>
          </a:r>
          <a:r>
            <a:rPr lang="en-CA" sz="800">
              <a:solidFill>
                <a:schemeClr val="tx1"/>
              </a:solidFill>
              <a:latin typeface="AvenirNext LT Pro Regular" panose="020B0503020202020204" pitchFamily="34" charset="0"/>
              <a:cs typeface="Arial" panose="020B0604020202020204" pitchFamily="34" charset="0"/>
            </a:rPr>
            <a:t> for your information only. Information on which this table is based is available on request. Particular investments or trading strategies should be evaluated relative to each individual’s objectives in consultation with the Investment Advisor. Opinions of</a:t>
          </a:r>
          <a:r>
            <a:rPr lang="en-CA" sz="800" baseline="0">
              <a:solidFill>
                <a:schemeClr val="tx1"/>
              </a:solidFill>
              <a:latin typeface="AvenirNext LT Pro Regular" panose="020B0503020202020204" pitchFamily="34" charset="0"/>
              <a:cs typeface="Arial" panose="020B0604020202020204" pitchFamily="34" charset="0"/>
            </a:rPr>
            <a:t> Justin Bender</a:t>
          </a:r>
          <a:r>
            <a:rPr lang="en-CA" sz="800">
              <a:solidFill>
                <a:schemeClr val="tx1"/>
              </a:solidFill>
              <a:latin typeface="AvenirNext LT Pro Regular" panose="020B0503020202020204" pitchFamily="34" charset="0"/>
              <a:cs typeface="Arial" panose="020B0604020202020204" pitchFamily="34" charset="0"/>
            </a:rPr>
            <a:t> constitute his judgment as of</a:t>
          </a:r>
          <a:r>
            <a:rPr lang="en-CA" sz="800" baseline="0">
              <a:solidFill>
                <a:schemeClr val="tx1"/>
              </a:solidFill>
              <a:latin typeface="AvenirNext LT Pro Regular" panose="020B0503020202020204" pitchFamily="34" charset="0"/>
              <a:cs typeface="Arial" panose="020B0604020202020204" pitchFamily="34" charset="0"/>
            </a:rPr>
            <a:t> December 31, 2018</a:t>
          </a:r>
          <a:r>
            <a:rPr lang="en-CA" sz="800">
              <a:solidFill>
                <a:schemeClr val="tx1"/>
              </a:solidFill>
              <a:latin typeface="AvenirNext LT Pro Regular" panose="020B0503020202020204" pitchFamily="34" charset="0"/>
              <a:cs typeface="Arial" panose="020B0604020202020204" pitchFamily="34" charset="0"/>
            </a:rPr>
            <a:t>, and are subject to change without notice. They are provided in good faith but without responsibility for any errors or omissions contained herein. This table is furnished on the basis and understanding that neither Justin</a:t>
          </a:r>
          <a:r>
            <a:rPr lang="en-CA" sz="800" baseline="0">
              <a:solidFill>
                <a:schemeClr val="tx1"/>
              </a:solidFill>
              <a:latin typeface="AvenirNext LT Pro Regular" panose="020B0503020202020204" pitchFamily="34" charset="0"/>
              <a:cs typeface="Arial" panose="020B0604020202020204" pitchFamily="34" charset="0"/>
            </a:rPr>
            <a:t> Bender</a:t>
          </a:r>
          <a:r>
            <a:rPr lang="en-CA" sz="800">
              <a:solidFill>
                <a:schemeClr val="tx1"/>
              </a:solidFill>
              <a:latin typeface="AvenirNext LT Pro Regular" panose="020B0503020202020204" pitchFamily="34" charset="0"/>
              <a:cs typeface="Arial" panose="020B0604020202020204" pitchFamily="34" charset="0"/>
            </a:rPr>
            <a:t> nor his employees, agents or information suppliers is to be under any responsibility of liability whatsoever in respect thereof.</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6"/>
  <sheetViews>
    <sheetView tabSelected="1" topLeftCell="A2" zoomScale="120" zoomScaleNormal="120" workbookViewId="0">
      <selection activeCell="K9" sqref="K9"/>
    </sheetView>
  </sheetViews>
  <sheetFormatPr defaultRowHeight="12.75" x14ac:dyDescent="0.25"/>
  <cols>
    <col min="1" max="1" width="47.140625" style="1" customWidth="1"/>
    <col min="2" max="2" width="6.28515625" style="3" bestFit="1" customWidth="1"/>
    <col min="3" max="3" width="6.85546875" style="3" bestFit="1" customWidth="1"/>
    <col min="4" max="4" width="42.28515625" style="1" hidden="1" customWidth="1"/>
    <col min="5" max="5" width="24.28515625" style="1" hidden="1" customWidth="1"/>
    <col min="6" max="6" width="7.28515625" style="1" hidden="1" customWidth="1"/>
    <col min="7" max="7" width="5.7109375" style="1" hidden="1" customWidth="1"/>
    <col min="8" max="8" width="6.5703125" style="4" hidden="1" customWidth="1"/>
    <col min="9" max="9" width="13.140625" style="4" hidden="1" customWidth="1"/>
    <col min="10" max="10" width="7.140625" style="4" hidden="1" customWidth="1"/>
    <col min="11" max="11" width="9.85546875" style="6" bestFit="1" customWidth="1"/>
    <col min="12" max="12" width="7.85546875" style="3" bestFit="1" customWidth="1"/>
    <col min="13" max="14" width="7.5703125" style="3" customWidth="1"/>
    <col min="15" max="15" width="7.5703125" style="3" bestFit="1" customWidth="1"/>
    <col min="16" max="16" width="35.42578125" style="1" hidden="1" customWidth="1"/>
    <col min="17" max="17" width="52.5703125" style="1" hidden="1" customWidth="1"/>
    <col min="18" max="16384" width="9.140625" style="1"/>
  </cols>
  <sheetData>
    <row r="1" spans="1:20" s="9" customFormat="1" ht="15" hidden="1" customHeight="1" x14ac:dyDescent="0.25">
      <c r="A1" s="39"/>
      <c r="B1" s="40"/>
      <c r="C1" s="40"/>
      <c r="D1" s="40"/>
      <c r="E1" s="40"/>
      <c r="F1" s="40"/>
      <c r="G1" s="40"/>
      <c r="H1" s="40"/>
      <c r="I1" s="40"/>
      <c r="J1" s="40"/>
      <c r="K1" s="40"/>
      <c r="L1" s="40"/>
      <c r="M1" s="40"/>
      <c r="N1" s="40"/>
      <c r="O1" s="40"/>
      <c r="P1" s="8"/>
      <c r="Q1" s="8"/>
      <c r="R1" s="8"/>
      <c r="S1" s="8"/>
      <c r="T1" s="8"/>
    </row>
    <row r="2" spans="1:20" s="9" customFormat="1" ht="17.25" customHeight="1" x14ac:dyDescent="0.25">
      <c r="A2" s="40"/>
      <c r="B2" s="85" t="s">
        <v>137</v>
      </c>
      <c r="C2" s="86"/>
      <c r="D2" s="86"/>
      <c r="E2" s="86"/>
      <c r="F2" s="86"/>
      <c r="G2" s="86"/>
      <c r="H2" s="86"/>
      <c r="I2" s="86"/>
      <c r="J2" s="86"/>
      <c r="K2" s="86"/>
      <c r="L2" s="86"/>
      <c r="M2" s="86"/>
      <c r="N2" s="86"/>
      <c r="O2" s="86"/>
      <c r="P2" s="8"/>
      <c r="Q2" s="8"/>
      <c r="R2" s="8"/>
      <c r="S2" s="8"/>
      <c r="T2" s="8"/>
    </row>
    <row r="3" spans="1:20" s="9" customFormat="1" ht="17.25" customHeight="1" x14ac:dyDescent="0.25">
      <c r="A3" s="40"/>
      <c r="B3" s="86"/>
      <c r="C3" s="86"/>
      <c r="D3" s="86"/>
      <c r="E3" s="86"/>
      <c r="F3" s="86"/>
      <c r="G3" s="86"/>
      <c r="H3" s="86"/>
      <c r="I3" s="86"/>
      <c r="J3" s="86"/>
      <c r="K3" s="86"/>
      <c r="L3" s="86"/>
      <c r="M3" s="86"/>
      <c r="N3" s="86"/>
      <c r="O3" s="86"/>
      <c r="P3" s="8"/>
      <c r="Q3" s="8"/>
      <c r="R3" s="8"/>
      <c r="S3" s="8"/>
      <c r="T3" s="8"/>
    </row>
    <row r="4" spans="1:20" s="9" customFormat="1" ht="17.25" customHeight="1" x14ac:dyDescent="0.25">
      <c r="A4" s="40"/>
      <c r="B4" s="86"/>
      <c r="C4" s="86"/>
      <c r="D4" s="86"/>
      <c r="E4" s="86"/>
      <c r="F4" s="86"/>
      <c r="G4" s="86"/>
      <c r="H4" s="86"/>
      <c r="I4" s="86"/>
      <c r="J4" s="86"/>
      <c r="K4" s="86"/>
      <c r="L4" s="86"/>
      <c r="M4" s="86"/>
      <c r="N4" s="86"/>
      <c r="O4" s="86"/>
      <c r="P4" s="8"/>
      <c r="Q4" s="8"/>
      <c r="R4" s="8"/>
      <c r="S4" s="8"/>
      <c r="T4" s="8"/>
    </row>
    <row r="5" spans="1:20" s="11" customFormat="1" ht="17.25" customHeight="1" x14ac:dyDescent="0.25">
      <c r="A5" s="14"/>
      <c r="B5" s="14"/>
      <c r="C5" s="15"/>
      <c r="D5" s="16"/>
      <c r="E5" s="17"/>
      <c r="F5" s="17"/>
      <c r="G5" s="17"/>
      <c r="H5" s="17"/>
      <c r="I5" s="17"/>
      <c r="J5" s="17"/>
      <c r="K5" s="18"/>
      <c r="L5" s="18"/>
      <c r="M5" s="18"/>
      <c r="N5" s="18"/>
      <c r="O5" s="18"/>
      <c r="P5" s="10"/>
      <c r="Q5" s="10"/>
      <c r="R5" s="10"/>
      <c r="S5" s="10"/>
      <c r="T5" s="10"/>
    </row>
    <row r="6" spans="1:20" s="11" customFormat="1" ht="17.25" customHeight="1" x14ac:dyDescent="0.25">
      <c r="A6" s="14"/>
      <c r="B6" s="14"/>
      <c r="C6" s="15"/>
      <c r="D6" s="16"/>
      <c r="E6" s="17"/>
      <c r="F6" s="17"/>
      <c r="G6" s="17"/>
      <c r="H6" s="17"/>
      <c r="I6" s="17"/>
      <c r="J6" s="17"/>
      <c r="K6" s="18"/>
      <c r="L6" s="18"/>
      <c r="M6" s="18"/>
      <c r="N6" s="18"/>
      <c r="O6" s="18"/>
      <c r="P6" s="10"/>
      <c r="Q6" s="10"/>
      <c r="R6" s="10"/>
      <c r="S6" s="10"/>
      <c r="T6" s="10"/>
    </row>
    <row r="7" spans="1:20" s="2" customFormat="1" ht="12" customHeight="1" x14ac:dyDescent="0.25">
      <c r="A7" s="19"/>
      <c r="B7" s="41"/>
      <c r="C7" s="41"/>
      <c r="D7" s="41"/>
      <c r="E7" s="41"/>
      <c r="F7" s="41"/>
      <c r="G7" s="41"/>
      <c r="H7" s="41"/>
      <c r="I7" s="41"/>
      <c r="J7" s="41"/>
      <c r="K7" s="41"/>
      <c r="L7" s="41"/>
      <c r="M7" s="41"/>
      <c r="N7" s="41"/>
      <c r="O7" s="41"/>
    </row>
    <row r="8" spans="1:20" s="2" customFormat="1" ht="12" customHeight="1" x14ac:dyDescent="0.25">
      <c r="A8" s="42" t="s">
        <v>101</v>
      </c>
      <c r="B8" s="78" t="s">
        <v>26</v>
      </c>
      <c r="C8" s="78" t="s">
        <v>20</v>
      </c>
      <c r="D8" s="42" t="s">
        <v>78</v>
      </c>
      <c r="E8" s="42"/>
      <c r="F8" s="42"/>
      <c r="G8" s="79" t="s">
        <v>60</v>
      </c>
      <c r="H8" s="80" t="s">
        <v>28</v>
      </c>
      <c r="I8" s="80" t="s">
        <v>29</v>
      </c>
      <c r="J8" s="80" t="s">
        <v>30</v>
      </c>
      <c r="K8" s="81" t="s">
        <v>99</v>
      </c>
      <c r="L8" s="78" t="s">
        <v>107</v>
      </c>
      <c r="M8" s="78" t="s">
        <v>135</v>
      </c>
      <c r="N8" s="78" t="s">
        <v>136</v>
      </c>
      <c r="O8" s="78" t="s">
        <v>66</v>
      </c>
      <c r="P8" s="12" t="s">
        <v>47</v>
      </c>
      <c r="Q8" s="12" t="s">
        <v>48</v>
      </c>
    </row>
    <row r="9" spans="1:20" s="2" customFormat="1" ht="12" customHeight="1" x14ac:dyDescent="0.25">
      <c r="A9" s="57" t="s">
        <v>80</v>
      </c>
      <c r="B9" s="82" t="s">
        <v>81</v>
      </c>
      <c r="C9" s="58" t="s">
        <v>22</v>
      </c>
      <c r="D9" s="57" t="s">
        <v>139</v>
      </c>
      <c r="E9" s="57"/>
      <c r="F9" s="57"/>
      <c r="G9" s="59">
        <v>3.2000000000000001E-2</v>
      </c>
      <c r="H9" s="60">
        <v>0</v>
      </c>
      <c r="I9" s="60">
        <v>0</v>
      </c>
      <c r="J9" s="61">
        <v>0</v>
      </c>
      <c r="K9" s="65"/>
      <c r="L9" s="62">
        <v>8.9999999999999998E-4</v>
      </c>
      <c r="M9" s="62">
        <v>0</v>
      </c>
      <c r="N9" s="62">
        <v>0</v>
      </c>
      <c r="O9" s="62">
        <v>0</v>
      </c>
      <c r="P9" s="2" t="s">
        <v>49</v>
      </c>
    </row>
    <row r="10" spans="1:20" s="2" customFormat="1" ht="12" customHeight="1" x14ac:dyDescent="0.25">
      <c r="A10" s="49" t="s">
        <v>82</v>
      </c>
      <c r="B10" s="83" t="s">
        <v>83</v>
      </c>
      <c r="C10" s="50" t="s">
        <v>22</v>
      </c>
      <c r="D10" s="49" t="s">
        <v>138</v>
      </c>
      <c r="E10" s="49"/>
      <c r="F10" s="49"/>
      <c r="G10" s="51">
        <v>2.1999999999999999E-2</v>
      </c>
      <c r="H10" s="52">
        <v>0</v>
      </c>
      <c r="I10" s="52">
        <v>0</v>
      </c>
      <c r="J10" s="53">
        <v>0</v>
      </c>
      <c r="K10" s="64"/>
      <c r="L10" s="55">
        <v>8.9999999999999998E-4</v>
      </c>
      <c r="M10" s="55">
        <v>0</v>
      </c>
      <c r="N10" s="55">
        <v>0</v>
      </c>
      <c r="O10" s="55">
        <v>0</v>
      </c>
      <c r="P10" s="2" t="s">
        <v>49</v>
      </c>
    </row>
    <row r="11" spans="1:20" s="2" customFormat="1" ht="12" customHeight="1" x14ac:dyDescent="0.25">
      <c r="A11" s="57" t="s">
        <v>84</v>
      </c>
      <c r="B11" s="82" t="s">
        <v>85</v>
      </c>
      <c r="C11" s="58" t="s">
        <v>22</v>
      </c>
      <c r="D11" s="57" t="s">
        <v>140</v>
      </c>
      <c r="E11" s="57"/>
      <c r="F11" s="57"/>
      <c r="G11" s="59">
        <v>3.1600000000000003E-2</v>
      </c>
      <c r="H11" s="60">
        <v>0</v>
      </c>
      <c r="I11" s="60">
        <v>0</v>
      </c>
      <c r="J11" s="61">
        <v>0</v>
      </c>
      <c r="K11" s="65"/>
      <c r="L11" s="62">
        <v>1E-3</v>
      </c>
      <c r="M11" s="62">
        <v>0</v>
      </c>
      <c r="N11" s="62">
        <v>0</v>
      </c>
      <c r="O11" s="62">
        <v>0</v>
      </c>
      <c r="P11" s="2" t="s">
        <v>49</v>
      </c>
    </row>
    <row r="12" spans="1:20" s="2" customFormat="1" ht="12" customHeight="1" x14ac:dyDescent="0.25">
      <c r="A12" s="49" t="s">
        <v>43</v>
      </c>
      <c r="B12" s="83" t="s">
        <v>44</v>
      </c>
      <c r="C12" s="50" t="s">
        <v>22</v>
      </c>
      <c r="D12" s="49" t="s">
        <v>116</v>
      </c>
      <c r="E12" s="49"/>
      <c r="F12" s="49"/>
      <c r="G12" s="51">
        <v>3.1399999999999997E-2</v>
      </c>
      <c r="H12" s="52">
        <v>0</v>
      </c>
      <c r="I12" s="52">
        <v>0</v>
      </c>
      <c r="J12" s="53">
        <f>242/36848351</f>
        <v>6.5674580661696365E-6</v>
      </c>
      <c r="K12" s="64"/>
      <c r="L12" s="55">
        <v>8.9999999999999998E-4</v>
      </c>
      <c r="M12" s="55">
        <v>0</v>
      </c>
      <c r="N12" s="55">
        <v>0</v>
      </c>
      <c r="O12" s="55">
        <v>0</v>
      </c>
      <c r="P12" s="2" t="s">
        <v>49</v>
      </c>
      <c r="Q12" s="2" t="s">
        <v>112</v>
      </c>
    </row>
    <row r="13" spans="1:20" s="2" customFormat="1" ht="12" customHeight="1" x14ac:dyDescent="0.25">
      <c r="A13" s="57" t="s">
        <v>114</v>
      </c>
      <c r="B13" s="82" t="s">
        <v>35</v>
      </c>
      <c r="C13" s="58" t="s">
        <v>22</v>
      </c>
      <c r="D13" s="57" t="s">
        <v>117</v>
      </c>
      <c r="E13" s="57"/>
      <c r="F13" s="63"/>
      <c r="G13" s="59">
        <v>3.1800000000000002E-2</v>
      </c>
      <c r="H13" s="60">
        <v>0</v>
      </c>
      <c r="I13" s="60">
        <v>5.0000000000000001E-4</v>
      </c>
      <c r="J13" s="61">
        <f>103754/3066273</f>
        <v>3.3837169749725483E-2</v>
      </c>
      <c r="K13" s="65"/>
      <c r="L13" s="62">
        <v>2.2000000000000001E-3</v>
      </c>
      <c r="M13" s="62">
        <f>(G13-I13)*J13</f>
        <v>1.0591034131664076E-3</v>
      </c>
      <c r="N13" s="62">
        <f>(G13-I13)*J13</f>
        <v>1.0591034131664076E-3</v>
      </c>
      <c r="O13" s="62">
        <v>0</v>
      </c>
      <c r="P13" s="2" t="s">
        <v>46</v>
      </c>
      <c r="Q13" s="2" t="s">
        <v>112</v>
      </c>
    </row>
    <row r="14" spans="1:20" s="2" customFormat="1" ht="12" customHeight="1" x14ac:dyDescent="0.25">
      <c r="A14" s="49" t="s">
        <v>115</v>
      </c>
      <c r="B14" s="83" t="s">
        <v>36</v>
      </c>
      <c r="C14" s="50" t="s">
        <v>22</v>
      </c>
      <c r="D14" s="49" t="s">
        <v>118</v>
      </c>
      <c r="E14" s="49"/>
      <c r="F14" s="56"/>
      <c r="G14" s="51">
        <v>2.35E-2</v>
      </c>
      <c r="H14" s="52">
        <f>9408000/(1233622000+9408000)</f>
        <v>7.5686025276944244E-3</v>
      </c>
      <c r="I14" s="52">
        <v>1.1999999999999999E-3</v>
      </c>
      <c r="J14" s="53">
        <f>317606/2105615</f>
        <v>0.15083764125920457</v>
      </c>
      <c r="K14" s="64"/>
      <c r="L14" s="55">
        <v>3.8E-3</v>
      </c>
      <c r="M14" s="55">
        <f>G14*H14+J14*(G14-G14*H14-I14)</f>
        <v>3.5147132508877924E-3</v>
      </c>
      <c r="N14" s="55">
        <f>G14*H14+J14*(G14-G14*H14-I14)</f>
        <v>3.5147132508877924E-3</v>
      </c>
      <c r="O14" s="55">
        <f>G14*H14</f>
        <v>1.7786215940081897E-4</v>
      </c>
      <c r="P14" s="2" t="s">
        <v>113</v>
      </c>
      <c r="Q14" s="2" t="s">
        <v>112</v>
      </c>
    </row>
    <row r="15" spans="1:20" s="2" customFormat="1" ht="12" customHeight="1" x14ac:dyDescent="0.25">
      <c r="A15" s="49"/>
      <c r="B15" s="50"/>
      <c r="C15" s="50"/>
      <c r="D15" s="49"/>
      <c r="E15" s="49"/>
      <c r="F15" s="56"/>
      <c r="G15" s="51"/>
      <c r="H15" s="52"/>
      <c r="I15" s="52"/>
      <c r="J15" s="53"/>
      <c r="K15" s="87"/>
      <c r="L15" s="55"/>
      <c r="M15" s="55"/>
      <c r="N15" s="55"/>
      <c r="O15" s="55"/>
    </row>
    <row r="16" spans="1:20" s="2" customFormat="1" ht="12" customHeight="1" x14ac:dyDescent="0.25">
      <c r="A16" s="42" t="s">
        <v>102</v>
      </c>
      <c r="B16" s="43"/>
      <c r="C16" s="43"/>
      <c r="D16" s="44"/>
      <c r="E16" s="44"/>
      <c r="F16" s="44"/>
      <c r="G16" s="45"/>
      <c r="H16" s="46"/>
      <c r="I16" s="46"/>
      <c r="J16" s="47"/>
      <c r="K16" s="48"/>
      <c r="L16" s="43"/>
      <c r="M16" s="43"/>
      <c r="N16" s="43"/>
      <c r="O16" s="43"/>
      <c r="P16" s="12" t="s">
        <v>47</v>
      </c>
      <c r="Q16" s="12" t="s">
        <v>48</v>
      </c>
    </row>
    <row r="17" spans="1:17" s="2" customFormat="1" ht="12" customHeight="1" x14ac:dyDescent="0.25">
      <c r="A17" s="57" t="s">
        <v>41</v>
      </c>
      <c r="B17" s="82" t="s">
        <v>42</v>
      </c>
      <c r="C17" s="58" t="s">
        <v>22</v>
      </c>
      <c r="D17" s="57" t="s">
        <v>79</v>
      </c>
      <c r="E17" s="57"/>
      <c r="F17" s="57"/>
      <c r="G17" s="59">
        <v>3.4500000000000003E-2</v>
      </c>
      <c r="H17" s="60">
        <v>0</v>
      </c>
      <c r="I17" s="60">
        <v>0</v>
      </c>
      <c r="J17" s="61">
        <f>85/66807</f>
        <v>1.2723217626895386E-3</v>
      </c>
      <c r="K17" s="65"/>
      <c r="L17" s="62">
        <v>5.9999999999999995E-4</v>
      </c>
      <c r="M17" s="62">
        <f>G17*J17</f>
        <v>4.3895100812789085E-5</v>
      </c>
      <c r="N17" s="62">
        <f>G17*J17</f>
        <v>4.3895100812789085E-5</v>
      </c>
      <c r="O17" s="62">
        <v>0</v>
      </c>
      <c r="P17" s="2" t="s">
        <v>49</v>
      </c>
    </row>
    <row r="18" spans="1:17" s="2" customFormat="1" ht="12" customHeight="1" x14ac:dyDescent="0.25">
      <c r="A18" s="49" t="s">
        <v>39</v>
      </c>
      <c r="B18" s="83" t="s">
        <v>40</v>
      </c>
      <c r="C18" s="50" t="s">
        <v>22</v>
      </c>
      <c r="D18" s="49" t="s">
        <v>79</v>
      </c>
      <c r="E18" s="49"/>
      <c r="F18" s="49"/>
      <c r="G18" s="51">
        <v>3.4500000000000003E-2</v>
      </c>
      <c r="H18" s="52">
        <v>0</v>
      </c>
      <c r="I18" s="52">
        <v>0</v>
      </c>
      <c r="J18" s="53">
        <f>6716/91340632</f>
        <v>7.3526970997967253E-5</v>
      </c>
      <c r="K18" s="64"/>
      <c r="L18" s="55">
        <v>5.9999999999999995E-4</v>
      </c>
      <c r="M18" s="55">
        <f>G18*J18</f>
        <v>2.5366804994298704E-6</v>
      </c>
      <c r="N18" s="55">
        <f>G18*J18</f>
        <v>2.5366804994298704E-6</v>
      </c>
      <c r="O18" s="55">
        <v>0</v>
      </c>
      <c r="P18" s="2" t="s">
        <v>49</v>
      </c>
      <c r="Q18" s="2" t="s">
        <v>110</v>
      </c>
    </row>
    <row r="19" spans="1:17" s="2" customFormat="1" ht="12" customHeight="1" x14ac:dyDescent="0.25">
      <c r="A19" s="57" t="s">
        <v>37</v>
      </c>
      <c r="B19" s="82" t="s">
        <v>38</v>
      </c>
      <c r="C19" s="58" t="s">
        <v>22</v>
      </c>
      <c r="D19" s="57" t="s">
        <v>76</v>
      </c>
      <c r="E19" s="57"/>
      <c r="F19" s="57"/>
      <c r="G19" s="59">
        <v>3.39E-2</v>
      </c>
      <c r="H19" s="60">
        <v>0</v>
      </c>
      <c r="I19" s="60">
        <v>0</v>
      </c>
      <c r="J19" s="61">
        <f>2315/24618987</f>
        <v>9.4033113547685779E-5</v>
      </c>
      <c r="K19" s="65">
        <v>0.3</v>
      </c>
      <c r="L19" s="62">
        <v>5.9999999999999995E-4</v>
      </c>
      <c r="M19" s="62">
        <f>G19*J19</f>
        <v>3.1877225492665481E-6</v>
      </c>
      <c r="N19" s="62">
        <f>G19*J19</f>
        <v>3.1877225492665481E-6</v>
      </c>
      <c r="O19" s="62">
        <v>0</v>
      </c>
      <c r="P19" s="2" t="s">
        <v>49</v>
      </c>
      <c r="Q19" s="2" t="s">
        <v>112</v>
      </c>
    </row>
    <row r="20" spans="1:17" s="2" customFormat="1" ht="12" customHeight="1" x14ac:dyDescent="0.25">
      <c r="A20" s="49"/>
      <c r="B20" s="50"/>
      <c r="C20" s="50"/>
      <c r="D20" s="49"/>
      <c r="E20" s="49"/>
      <c r="F20" s="49"/>
      <c r="G20" s="51"/>
      <c r="H20" s="52"/>
      <c r="I20" s="52"/>
      <c r="J20" s="53"/>
      <c r="K20" s="87"/>
      <c r="L20" s="55"/>
      <c r="M20" s="55"/>
      <c r="N20" s="55"/>
      <c r="O20" s="55"/>
    </row>
    <row r="21" spans="1:17" s="2" customFormat="1" ht="12" customHeight="1" x14ac:dyDescent="0.25">
      <c r="A21" s="42" t="s">
        <v>103</v>
      </c>
      <c r="B21" s="43"/>
      <c r="C21" s="43"/>
      <c r="D21" s="44"/>
      <c r="E21" s="44"/>
      <c r="F21" s="44"/>
      <c r="G21" s="44"/>
      <c r="H21" s="46"/>
      <c r="I21" s="46"/>
      <c r="J21" s="47"/>
      <c r="K21" s="48"/>
      <c r="L21" s="43"/>
      <c r="M21" s="43"/>
      <c r="N21" s="43"/>
      <c r="O21" s="43"/>
      <c r="P21" s="12" t="s">
        <v>47</v>
      </c>
      <c r="Q21" s="12" t="s">
        <v>48</v>
      </c>
    </row>
    <row r="22" spans="1:17" s="2" customFormat="1" ht="12" customHeight="1" x14ac:dyDescent="0.25">
      <c r="A22" s="57" t="s">
        <v>4</v>
      </c>
      <c r="B22" s="82" t="s">
        <v>5</v>
      </c>
      <c r="C22" s="58" t="s">
        <v>21</v>
      </c>
      <c r="D22" s="57" t="s">
        <v>90</v>
      </c>
      <c r="E22" s="57"/>
      <c r="F22" s="57"/>
      <c r="G22" s="59">
        <v>2.1499999999999998E-2</v>
      </c>
      <c r="H22" s="60">
        <v>0</v>
      </c>
      <c r="I22" s="60">
        <v>2.9999999999999997E-4</v>
      </c>
      <c r="J22" s="61">
        <v>0.15</v>
      </c>
      <c r="K22" s="65"/>
      <c r="L22" s="62">
        <v>2.9999999999999997E-4</v>
      </c>
      <c r="M22" s="62">
        <f>(G22-I22)*J22</f>
        <v>3.1799999999999992E-3</v>
      </c>
      <c r="N22" s="62">
        <v>0</v>
      </c>
      <c r="O22" s="62">
        <v>0</v>
      </c>
      <c r="P22" s="2" t="s">
        <v>65</v>
      </c>
    </row>
    <row r="23" spans="1:17" s="2" customFormat="1" ht="12" customHeight="1" x14ac:dyDescent="0.25">
      <c r="A23" s="49" t="s">
        <v>6</v>
      </c>
      <c r="B23" s="83" t="s">
        <v>7</v>
      </c>
      <c r="C23" s="50" t="s">
        <v>22</v>
      </c>
      <c r="D23" s="49" t="s">
        <v>90</v>
      </c>
      <c r="E23" s="49"/>
      <c r="F23" s="49"/>
      <c r="G23" s="51">
        <v>2.1499999999999998E-2</v>
      </c>
      <c r="H23" s="52">
        <v>0</v>
      </c>
      <c r="I23" s="52">
        <v>2.9999999999999997E-4</v>
      </c>
      <c r="J23" s="53">
        <f>1372699/9151324</f>
        <v>0.15000004370952225</v>
      </c>
      <c r="K23" s="64"/>
      <c r="L23" s="55">
        <v>6.9999999999999999E-4</v>
      </c>
      <c r="M23" s="55">
        <f>(G23-I23)*J23</f>
        <v>3.180000926641871E-3</v>
      </c>
      <c r="N23" s="55">
        <f>(G23-I23)*J23</f>
        <v>3.180000926641871E-3</v>
      </c>
      <c r="O23" s="55">
        <v>0</v>
      </c>
      <c r="Q23" s="2" t="s">
        <v>110</v>
      </c>
    </row>
    <row r="24" spans="1:17" s="2" customFormat="1" ht="12" customHeight="1" x14ac:dyDescent="0.25">
      <c r="A24" s="57" t="s">
        <v>0</v>
      </c>
      <c r="B24" s="82" t="s">
        <v>1</v>
      </c>
      <c r="C24" s="58" t="s">
        <v>21</v>
      </c>
      <c r="D24" s="57" t="s">
        <v>87</v>
      </c>
      <c r="E24" s="57"/>
      <c r="F24" s="57"/>
      <c r="G24" s="59">
        <v>2.0500000000000001E-2</v>
      </c>
      <c r="H24" s="60">
        <v>0</v>
      </c>
      <c r="I24" s="60">
        <v>4.0000000000000002E-4</v>
      </c>
      <c r="J24" s="61">
        <v>0.15</v>
      </c>
      <c r="K24" s="65">
        <v>0.38900000000000001</v>
      </c>
      <c r="L24" s="62">
        <v>4.0000000000000002E-4</v>
      </c>
      <c r="M24" s="62">
        <f>(G24-I24)*J24</f>
        <v>3.0149999999999999E-3</v>
      </c>
      <c r="N24" s="62">
        <v>0</v>
      </c>
      <c r="O24" s="62">
        <v>0</v>
      </c>
      <c r="P24" s="2" t="s">
        <v>46</v>
      </c>
    </row>
    <row r="25" spans="1:17" s="2" customFormat="1" ht="12" customHeight="1" x14ac:dyDescent="0.25">
      <c r="A25" s="49" t="s">
        <v>2</v>
      </c>
      <c r="B25" s="83" t="s">
        <v>3</v>
      </c>
      <c r="C25" s="50" t="s">
        <v>22</v>
      </c>
      <c r="D25" s="49" t="s">
        <v>87</v>
      </c>
      <c r="E25" s="49"/>
      <c r="F25" s="49"/>
      <c r="G25" s="51">
        <v>2.0500000000000001E-2</v>
      </c>
      <c r="H25" s="52">
        <v>0</v>
      </c>
      <c r="I25" s="52">
        <v>4.0000000000000002E-4</v>
      </c>
      <c r="J25" s="53">
        <f>2584315/17246988</f>
        <v>0.14984152595224162</v>
      </c>
      <c r="K25" s="64"/>
      <c r="L25" s="55">
        <v>1.6000000000000001E-3</v>
      </c>
      <c r="M25" s="55">
        <f>(G25-I25)*J25</f>
        <v>3.0118146716400567E-3</v>
      </c>
      <c r="N25" s="55">
        <f>(G25-I25)*J25</f>
        <v>3.0118146716400567E-3</v>
      </c>
      <c r="O25" s="55">
        <v>0</v>
      </c>
      <c r="Q25" s="2" t="s">
        <v>112</v>
      </c>
    </row>
    <row r="26" spans="1:17" s="2" customFormat="1" ht="12" customHeight="1" x14ac:dyDescent="0.25">
      <c r="A26" s="49"/>
      <c r="B26" s="50"/>
      <c r="C26" s="50"/>
      <c r="D26" s="49"/>
      <c r="E26" s="49"/>
      <c r="F26" s="49"/>
      <c r="G26" s="51"/>
      <c r="H26" s="52"/>
      <c r="I26" s="52"/>
      <c r="J26" s="53"/>
      <c r="K26" s="87"/>
      <c r="L26" s="55"/>
      <c r="M26" s="55"/>
      <c r="N26" s="55"/>
      <c r="O26" s="55"/>
    </row>
    <row r="27" spans="1:17" s="2" customFormat="1" ht="12" customHeight="1" x14ac:dyDescent="0.25">
      <c r="A27" s="42" t="s">
        <v>104</v>
      </c>
      <c r="B27" s="43"/>
      <c r="C27" s="43"/>
      <c r="D27" s="44"/>
      <c r="E27" s="44"/>
      <c r="F27" s="44"/>
      <c r="G27" s="45"/>
      <c r="H27" s="46"/>
      <c r="I27" s="46"/>
      <c r="J27" s="47"/>
      <c r="K27" s="48"/>
      <c r="L27" s="43"/>
      <c r="M27" s="43"/>
      <c r="N27" s="43"/>
      <c r="O27" s="43"/>
      <c r="P27" s="12" t="s">
        <v>47</v>
      </c>
      <c r="Q27" s="12" t="s">
        <v>48</v>
      </c>
    </row>
    <row r="28" spans="1:17" s="2" customFormat="1" ht="12" customHeight="1" x14ac:dyDescent="0.25">
      <c r="A28" s="57" t="s">
        <v>8</v>
      </c>
      <c r="B28" s="82" t="s">
        <v>9</v>
      </c>
      <c r="C28" s="58" t="s">
        <v>21</v>
      </c>
      <c r="D28" s="57" t="s">
        <v>71</v>
      </c>
      <c r="E28" s="57"/>
      <c r="F28" s="57"/>
      <c r="G28" s="59">
        <v>3.5700000000000003E-2</v>
      </c>
      <c r="H28" s="60">
        <f>50500871/(50500871+592476249)</f>
        <v>7.8542252016681399E-2</v>
      </c>
      <c r="I28" s="60">
        <v>8.0000000000000004E-4</v>
      </c>
      <c r="J28" s="61">
        <v>0.15</v>
      </c>
      <c r="K28" s="65"/>
      <c r="L28" s="62">
        <v>8.0000000000000004E-4</v>
      </c>
      <c r="M28" s="62">
        <f>G28*H28+J28*(G28-G28*H28-I28)</f>
        <v>7.6183646374461973E-3</v>
      </c>
      <c r="N28" s="62">
        <f t="shared" ref="N28:N30" si="0">G28*H28</f>
        <v>2.8039583969955264E-3</v>
      </c>
      <c r="O28" s="62">
        <f>G28*H28</f>
        <v>2.8039583969955264E-3</v>
      </c>
      <c r="P28" s="2" t="s">
        <v>65</v>
      </c>
      <c r="Q28" s="2" t="s">
        <v>49</v>
      </c>
    </row>
    <row r="29" spans="1:17" s="2" customFormat="1" ht="12" customHeight="1" x14ac:dyDescent="0.25">
      <c r="A29" s="49" t="s">
        <v>10</v>
      </c>
      <c r="B29" s="83" t="s">
        <v>11</v>
      </c>
      <c r="C29" s="50" t="s">
        <v>22</v>
      </c>
      <c r="D29" s="49" t="s">
        <v>71</v>
      </c>
      <c r="E29" s="49"/>
      <c r="F29" s="49"/>
      <c r="G29" s="51">
        <v>3.5700000000000003E-2</v>
      </c>
      <c r="H29" s="52">
        <f>2877312/34168369</f>
        <v>8.42098140534598E-2</v>
      </c>
      <c r="I29" s="52">
        <v>0</v>
      </c>
      <c r="J29" s="53">
        <v>0</v>
      </c>
      <c r="K29" s="64"/>
      <c r="L29" s="55">
        <v>2.2000000000000001E-3</v>
      </c>
      <c r="M29" s="55">
        <f>G29*H29</f>
        <v>3.0062903617085151E-3</v>
      </c>
      <c r="N29" s="55">
        <f t="shared" si="0"/>
        <v>3.0062903617085151E-3</v>
      </c>
      <c r="O29" s="55">
        <v>0</v>
      </c>
      <c r="P29" s="2" t="s">
        <v>49</v>
      </c>
      <c r="Q29" s="2" t="s">
        <v>110</v>
      </c>
    </row>
    <row r="30" spans="1:17" s="2" customFormat="1" ht="12" customHeight="1" x14ac:dyDescent="0.25">
      <c r="A30" s="57" t="s">
        <v>108</v>
      </c>
      <c r="B30" s="82" t="s">
        <v>19</v>
      </c>
      <c r="C30" s="58" t="s">
        <v>22</v>
      </c>
      <c r="D30" s="57" t="s">
        <v>88</v>
      </c>
      <c r="E30" s="57"/>
      <c r="F30" s="57"/>
      <c r="G30" s="59">
        <v>3.4500000000000003E-2</v>
      </c>
      <c r="H30" s="60">
        <f>717985/8070109</f>
        <v>8.8968438964083379E-2</v>
      </c>
      <c r="I30" s="60">
        <v>0</v>
      </c>
      <c r="J30" s="61">
        <v>0</v>
      </c>
      <c r="K30" s="65">
        <v>0.23599999999999999</v>
      </c>
      <c r="L30" s="62">
        <v>2.3E-3</v>
      </c>
      <c r="M30" s="62">
        <f>G30*H30</f>
        <v>3.0694111442608769E-3</v>
      </c>
      <c r="N30" s="62">
        <f t="shared" si="0"/>
        <v>3.0694111442608769E-3</v>
      </c>
      <c r="O30" s="62">
        <v>0</v>
      </c>
      <c r="P30" s="2" t="s">
        <v>49</v>
      </c>
      <c r="Q30" s="2" t="s">
        <v>112</v>
      </c>
    </row>
    <row r="31" spans="1:17" s="2" customFormat="1" ht="12" customHeight="1" x14ac:dyDescent="0.25">
      <c r="A31" s="49"/>
      <c r="B31" s="50"/>
      <c r="C31" s="50"/>
      <c r="D31" s="49"/>
      <c r="E31" s="49"/>
      <c r="F31" s="49"/>
      <c r="G31" s="51"/>
      <c r="H31" s="52"/>
      <c r="I31" s="52"/>
      <c r="J31" s="53"/>
      <c r="K31" s="87"/>
      <c r="L31" s="55"/>
      <c r="M31" s="55"/>
      <c r="N31" s="55"/>
      <c r="O31" s="55"/>
    </row>
    <row r="32" spans="1:17" s="2" customFormat="1" ht="12" customHeight="1" x14ac:dyDescent="0.25">
      <c r="A32" s="42" t="s">
        <v>105</v>
      </c>
      <c r="B32" s="43"/>
      <c r="C32" s="43"/>
      <c r="D32" s="44"/>
      <c r="E32" s="44"/>
      <c r="F32" s="44"/>
      <c r="G32" s="45"/>
      <c r="H32" s="46"/>
      <c r="I32" s="46"/>
      <c r="J32" s="47"/>
      <c r="K32" s="48"/>
      <c r="L32" s="43"/>
      <c r="M32" s="43"/>
      <c r="N32" s="43"/>
      <c r="O32" s="43"/>
      <c r="P32" s="12" t="s">
        <v>47</v>
      </c>
      <c r="Q32" s="12" t="s">
        <v>48</v>
      </c>
    </row>
    <row r="33" spans="1:17" s="2" customFormat="1" ht="12" customHeight="1" x14ac:dyDescent="0.25">
      <c r="A33" s="57" t="s">
        <v>16</v>
      </c>
      <c r="B33" s="82" t="s">
        <v>17</v>
      </c>
      <c r="C33" s="58" t="s">
        <v>21</v>
      </c>
      <c r="D33" s="57" t="s">
        <v>72</v>
      </c>
      <c r="E33" s="57"/>
      <c r="F33" s="57"/>
      <c r="G33" s="59">
        <v>2.9100000000000001E-2</v>
      </c>
      <c r="H33" s="60">
        <f>80593821/(80593821+677585642)</f>
        <v>0.1062991348790992</v>
      </c>
      <c r="I33" s="60">
        <v>1.4E-3</v>
      </c>
      <c r="J33" s="61">
        <v>0.15</v>
      </c>
      <c r="K33" s="65"/>
      <c r="L33" s="62">
        <v>1.4E-3</v>
      </c>
      <c r="M33" s="62">
        <f t="shared" ref="M33:M36" si="1">G33*H33+J33*(G33-G33*H33-I33)</f>
        <v>6.7843091012345196E-3</v>
      </c>
      <c r="N33" s="62">
        <f>G33*H33</f>
        <v>3.0933048249817867E-3</v>
      </c>
      <c r="O33" s="62">
        <f t="shared" ref="O33:O36" si="2">G33*H33</f>
        <v>3.0933048249817867E-3</v>
      </c>
      <c r="P33" s="2" t="s">
        <v>65</v>
      </c>
    </row>
    <row r="34" spans="1:17" s="2" customFormat="1" ht="12" customHeight="1" x14ac:dyDescent="0.25">
      <c r="A34" s="49" t="s">
        <v>100</v>
      </c>
      <c r="B34" s="83" t="s">
        <v>18</v>
      </c>
      <c r="C34" s="50" t="s">
        <v>22</v>
      </c>
      <c r="D34" s="49" t="s">
        <v>72</v>
      </c>
      <c r="E34" s="49"/>
      <c r="F34" s="49"/>
      <c r="G34" s="51">
        <v>2.9100000000000001E-2</v>
      </c>
      <c r="H34" s="52">
        <f>80593821/(80593821+677585642)</f>
        <v>0.1062991348790992</v>
      </c>
      <c r="I34" s="52">
        <v>1.4E-3</v>
      </c>
      <c r="J34" s="53">
        <f>1450345/9668968</f>
        <v>0.14999997931526923</v>
      </c>
      <c r="K34" s="64"/>
      <c r="L34" s="55">
        <v>2.5999999999999999E-3</v>
      </c>
      <c r="M34" s="55">
        <f t="shared" si="1"/>
        <v>6.784308592251655E-3</v>
      </c>
      <c r="N34" s="55">
        <f>G34*H34+J34*(G34-G34*H34-I34)</f>
        <v>6.784308592251655E-3</v>
      </c>
      <c r="O34" s="55">
        <f t="shared" si="2"/>
        <v>3.0933048249817867E-3</v>
      </c>
      <c r="P34" s="2" t="s">
        <v>65</v>
      </c>
      <c r="Q34" s="2" t="s">
        <v>110</v>
      </c>
    </row>
    <row r="35" spans="1:17" s="2" customFormat="1" ht="12" customHeight="1" x14ac:dyDescent="0.25">
      <c r="A35" s="57" t="s">
        <v>12</v>
      </c>
      <c r="B35" s="82" t="s">
        <v>13</v>
      </c>
      <c r="C35" s="58" t="s">
        <v>21</v>
      </c>
      <c r="D35" s="57" t="s">
        <v>89</v>
      </c>
      <c r="E35" s="57"/>
      <c r="F35" s="57"/>
      <c r="G35" s="59">
        <v>3.1300000000000001E-2</v>
      </c>
      <c r="H35" s="60">
        <f>214389/(214389+1950155)</f>
        <v>9.9045803642707195E-2</v>
      </c>
      <c r="I35" s="60">
        <v>1.4E-3</v>
      </c>
      <c r="J35" s="61">
        <v>0.15</v>
      </c>
      <c r="K35" s="65">
        <v>7.4999999999999997E-2</v>
      </c>
      <c r="L35" s="62">
        <v>1.4E-3</v>
      </c>
      <c r="M35" s="62">
        <f t="shared" si="1"/>
        <v>7.1201136059142259E-3</v>
      </c>
      <c r="N35" s="62">
        <f>G35*H35</f>
        <v>3.1001336540167354E-3</v>
      </c>
      <c r="O35" s="62">
        <f t="shared" si="2"/>
        <v>3.1001336540167354E-3</v>
      </c>
      <c r="P35" s="2" t="s">
        <v>46</v>
      </c>
    </row>
    <row r="36" spans="1:17" s="2" customFormat="1" ht="12" customHeight="1" x14ac:dyDescent="0.25">
      <c r="A36" s="49" t="s">
        <v>14</v>
      </c>
      <c r="B36" s="83" t="s">
        <v>15</v>
      </c>
      <c r="C36" s="50" t="s">
        <v>22</v>
      </c>
      <c r="D36" s="49" t="s">
        <v>89</v>
      </c>
      <c r="E36" s="49"/>
      <c r="F36" s="49"/>
      <c r="G36" s="51">
        <v>3.1300000000000001E-2</v>
      </c>
      <c r="H36" s="52">
        <f>214389/(214389+1950155)</f>
        <v>9.9045803642707195E-2</v>
      </c>
      <c r="I36" s="52">
        <v>1.4E-3</v>
      </c>
      <c r="J36" s="53">
        <f>2316294/15436651</f>
        <v>0.15005158826224677</v>
      </c>
      <c r="K36" s="64"/>
      <c r="L36" s="55">
        <v>2.3999999999999998E-3</v>
      </c>
      <c r="M36" s="55">
        <f t="shared" si="1"/>
        <v>7.1214961644474606E-3</v>
      </c>
      <c r="N36" s="55">
        <f>G36*H36+J36*(G36-G36*H36-I36)</f>
        <v>7.1214961644474606E-3</v>
      </c>
      <c r="O36" s="55">
        <f t="shared" si="2"/>
        <v>3.1001336540167354E-3</v>
      </c>
      <c r="P36" s="2" t="s">
        <v>46</v>
      </c>
      <c r="Q36" s="2" t="s">
        <v>112</v>
      </c>
    </row>
    <row r="37" spans="1:17" s="2" customFormat="1" ht="12" customHeight="1" x14ac:dyDescent="0.25">
      <c r="A37" s="49"/>
      <c r="B37" s="50"/>
      <c r="C37" s="50"/>
      <c r="D37" s="49"/>
      <c r="E37" s="49"/>
      <c r="F37" s="49"/>
      <c r="G37" s="51"/>
      <c r="H37" s="52"/>
      <c r="I37" s="52"/>
      <c r="J37" s="53"/>
      <c r="K37" s="87"/>
      <c r="L37" s="55"/>
      <c r="M37" s="55"/>
      <c r="N37" s="55"/>
      <c r="O37" s="55"/>
    </row>
    <row r="38" spans="1:17" s="2" customFormat="1" ht="12" customHeight="1" x14ac:dyDescent="0.25">
      <c r="A38" s="42" t="s">
        <v>106</v>
      </c>
      <c r="B38" s="43"/>
      <c r="C38" s="43"/>
      <c r="D38" s="44"/>
      <c r="E38" s="44"/>
      <c r="F38" s="44"/>
      <c r="G38" s="45"/>
      <c r="H38" s="46"/>
      <c r="I38" s="46"/>
      <c r="J38" s="47"/>
      <c r="K38" s="48"/>
      <c r="L38" s="43"/>
      <c r="M38" s="43"/>
      <c r="N38" s="43"/>
      <c r="O38" s="43"/>
      <c r="P38" s="12" t="s">
        <v>31</v>
      </c>
    </row>
    <row r="39" spans="1:17" s="2" customFormat="1" ht="12" customHeight="1" x14ac:dyDescent="0.25">
      <c r="A39" s="57" t="s">
        <v>109</v>
      </c>
      <c r="B39" s="82" t="s">
        <v>24</v>
      </c>
      <c r="C39" s="58" t="s">
        <v>22</v>
      </c>
      <c r="D39" s="57" t="s">
        <v>75</v>
      </c>
      <c r="E39" s="77">
        <v>45096825.310000002</v>
      </c>
      <c r="F39" s="59">
        <f>SUM(F40:F42)</f>
        <v>1</v>
      </c>
      <c r="G39" s="59">
        <v>2.7099999999999999E-2</v>
      </c>
      <c r="H39" s="60"/>
      <c r="I39" s="60"/>
      <c r="J39" s="61"/>
      <c r="K39" s="65"/>
      <c r="L39" s="62">
        <v>2.2000000000000001E-3</v>
      </c>
      <c r="M39" s="62">
        <f>SUMPRODUCT(F40:F42,M40:M42)</f>
        <v>3.5650819694948723E-3</v>
      </c>
      <c r="N39" s="62">
        <f>SUMPRODUCT(F40:F42,N40:N42)</f>
        <v>3.5650819694948723E-3</v>
      </c>
      <c r="O39" s="62">
        <f>SUMPRODUCT(F40:F42,O40:O42)</f>
        <v>3.7155875317502682E-4</v>
      </c>
    </row>
    <row r="40" spans="1:17" s="2" customFormat="1" ht="12" hidden="1" customHeight="1" x14ac:dyDescent="0.25">
      <c r="A40" s="49" t="s">
        <v>77</v>
      </c>
      <c r="B40" s="83" t="s">
        <v>5</v>
      </c>
      <c r="C40" s="50" t="s">
        <v>21</v>
      </c>
      <c r="D40" s="49" t="s">
        <v>70</v>
      </c>
      <c r="E40" s="66">
        <v>25089238.57</v>
      </c>
      <c r="F40" s="51">
        <f>E40/$E$39</f>
        <v>0.55634156944605551</v>
      </c>
      <c r="G40" s="51">
        <v>2.1600000000000001E-2</v>
      </c>
      <c r="H40" s="52">
        <v>0</v>
      </c>
      <c r="I40" s="52">
        <v>2.9999999999999997E-4</v>
      </c>
      <c r="J40" s="53">
        <v>0.15</v>
      </c>
      <c r="K40" s="64"/>
      <c r="L40" s="55"/>
      <c r="M40" s="55">
        <f>(G40-I40)*J40</f>
        <v>3.1949999999999999E-3</v>
      </c>
      <c r="N40" s="55">
        <f>(G40-I40)*J40</f>
        <v>3.1949999999999999E-3</v>
      </c>
      <c r="O40" s="55">
        <v>0</v>
      </c>
    </row>
    <row r="41" spans="1:17" s="2" customFormat="1" ht="12" hidden="1" customHeight="1" x14ac:dyDescent="0.25">
      <c r="A41" s="49" t="s">
        <v>74</v>
      </c>
      <c r="B41" s="83" t="s">
        <v>11</v>
      </c>
      <c r="C41" s="50" t="s">
        <v>22</v>
      </c>
      <c r="D41" s="49" t="s">
        <v>71</v>
      </c>
      <c r="E41" s="66">
        <v>14590687.619999999</v>
      </c>
      <c r="F41" s="51">
        <f>E41/$E$39</f>
        <v>0.32354134730554046</v>
      </c>
      <c r="G41" s="51">
        <v>3.5700000000000003E-2</v>
      </c>
      <c r="H41" s="52">
        <f>2877312/34168369</f>
        <v>8.42098140534598E-2</v>
      </c>
      <c r="I41" s="52">
        <v>0</v>
      </c>
      <c r="J41" s="53">
        <v>0</v>
      </c>
      <c r="K41" s="64"/>
      <c r="L41" s="55"/>
      <c r="M41" s="55">
        <f>G41*H41</f>
        <v>3.0062903617085151E-3</v>
      </c>
      <c r="N41" s="55">
        <f>G41*H41</f>
        <v>3.0062903617085151E-3</v>
      </c>
      <c r="O41" s="55">
        <v>0</v>
      </c>
    </row>
    <row r="42" spans="1:17" s="2" customFormat="1" ht="12" hidden="1" customHeight="1" x14ac:dyDescent="0.25">
      <c r="A42" s="49" t="s">
        <v>73</v>
      </c>
      <c r="B42" s="83" t="s">
        <v>17</v>
      </c>
      <c r="C42" s="50" t="s">
        <v>21</v>
      </c>
      <c r="D42" s="49" t="s">
        <v>72</v>
      </c>
      <c r="E42" s="66">
        <v>5416899.1200000001</v>
      </c>
      <c r="F42" s="51">
        <f>E42/$E$39</f>
        <v>0.12011708324840394</v>
      </c>
      <c r="G42" s="51">
        <v>2.9100000000000001E-2</v>
      </c>
      <c r="H42" s="52">
        <f>80593821/(80593821+677585642)</f>
        <v>0.1062991348790992</v>
      </c>
      <c r="I42" s="52">
        <v>1.4E-3</v>
      </c>
      <c r="J42" s="53">
        <v>0.15</v>
      </c>
      <c r="K42" s="64"/>
      <c r="L42" s="55"/>
      <c r="M42" s="55">
        <f t="shared" ref="M42" si="3">G42*H42+J42*(G42-G42*H42-I42)</f>
        <v>6.7843091012345196E-3</v>
      </c>
      <c r="N42" s="55">
        <f t="shared" ref="N42" si="4">G42*H42+J42*(G42-G42*H42-I42)</f>
        <v>6.7843091012345196E-3</v>
      </c>
      <c r="O42" s="55">
        <f>G42*H42</f>
        <v>3.0933048249817867E-3</v>
      </c>
    </row>
    <row r="43" spans="1:17" s="2" customFormat="1" ht="12" hidden="1" customHeight="1" x14ac:dyDescent="0.25">
      <c r="A43" s="49"/>
      <c r="B43" s="83"/>
      <c r="C43" s="50"/>
      <c r="D43" s="49"/>
      <c r="E43" s="49"/>
      <c r="F43" s="49"/>
      <c r="G43" s="51"/>
      <c r="H43" s="52"/>
      <c r="I43" s="52"/>
      <c r="J43" s="53"/>
      <c r="K43" s="64"/>
      <c r="L43" s="55"/>
      <c r="M43" s="55"/>
      <c r="N43" s="55"/>
      <c r="O43" s="55"/>
    </row>
    <row r="44" spans="1:17" s="2" customFormat="1" ht="12" customHeight="1" x14ac:dyDescent="0.25">
      <c r="A44" s="49" t="s">
        <v>53</v>
      </c>
      <c r="B44" s="83" t="s">
        <v>23</v>
      </c>
      <c r="C44" s="50" t="s">
        <v>22</v>
      </c>
      <c r="D44" s="49" t="s">
        <v>54</v>
      </c>
      <c r="E44" s="67">
        <f>SUM(E45:E49)</f>
        <v>44673517</v>
      </c>
      <c r="F44" s="51">
        <f>SUM(F45:F49)</f>
        <v>0.99999999999999989</v>
      </c>
      <c r="G44" s="49"/>
      <c r="H44" s="52"/>
      <c r="I44" s="52"/>
      <c r="J44" s="53"/>
      <c r="K44" s="64"/>
      <c r="L44" s="55">
        <v>2.7000000000000001E-3</v>
      </c>
      <c r="M44" s="55">
        <f>SUMPRODUCT(F45:F49,M45:M49)</f>
        <v>4.7757094651418794E-3</v>
      </c>
      <c r="N44" s="55">
        <f>SUMPRODUCT(F45:F49,N45:N49)</f>
        <v>4.7757094651418794E-3</v>
      </c>
      <c r="O44" s="55">
        <f>SUMPRODUCT(F45:F49,O45:O49)</f>
        <v>1.0750303025780857E-3</v>
      </c>
    </row>
    <row r="45" spans="1:17" s="2" customFormat="1" ht="12" hidden="1" customHeight="1" x14ac:dyDescent="0.25">
      <c r="A45" s="49" t="s">
        <v>61</v>
      </c>
      <c r="B45" s="83" t="s">
        <v>50</v>
      </c>
      <c r="C45" s="50" t="s">
        <v>21</v>
      </c>
      <c r="D45" s="49" t="s">
        <v>55</v>
      </c>
      <c r="E45" s="67">
        <v>21686771</v>
      </c>
      <c r="F45" s="51">
        <f>E45/$E$44</f>
        <v>0.48545027247351041</v>
      </c>
      <c r="G45" s="51">
        <v>2.1000000000000001E-2</v>
      </c>
      <c r="H45" s="52">
        <v>0</v>
      </c>
      <c r="I45" s="52">
        <v>5.9999999999999995E-4</v>
      </c>
      <c r="J45" s="53">
        <v>0.15</v>
      </c>
      <c r="K45" s="64"/>
      <c r="L45" s="55"/>
      <c r="M45" s="55">
        <f>(G45-I45)*J45</f>
        <v>3.0600000000000002E-3</v>
      </c>
      <c r="N45" s="55">
        <f>(G45-I45)*J45</f>
        <v>3.0600000000000002E-3</v>
      </c>
      <c r="O45" s="55">
        <v>0</v>
      </c>
      <c r="P45" s="2" t="s">
        <v>46</v>
      </c>
      <c r="Q45" s="2" t="s">
        <v>49</v>
      </c>
    </row>
    <row r="46" spans="1:17" s="2" customFormat="1" ht="12" hidden="1" customHeight="1" x14ac:dyDescent="0.25">
      <c r="A46" s="49" t="s">
        <v>63</v>
      </c>
      <c r="B46" s="83" t="s">
        <v>51</v>
      </c>
      <c r="C46" s="50" t="s">
        <v>21</v>
      </c>
      <c r="D46" s="49" t="s">
        <v>52</v>
      </c>
      <c r="E46" s="67">
        <v>3013259</v>
      </c>
      <c r="F46" s="51">
        <f t="shared" ref="F46:F49" si="5">E46/$E$44</f>
        <v>6.7450677769560874E-2</v>
      </c>
      <c r="G46" s="51">
        <v>1.7899999999999999E-2</v>
      </c>
      <c r="H46" s="52">
        <v>0</v>
      </c>
      <c r="I46" s="52">
        <v>5.9999999999999995E-4</v>
      </c>
      <c r="J46" s="53">
        <v>0.15</v>
      </c>
      <c r="K46" s="64"/>
      <c r="L46" s="55"/>
      <c r="M46" s="55">
        <f>(G46-I46)*J46</f>
        <v>2.5949999999999997E-3</v>
      </c>
      <c r="N46" s="55">
        <f>(G46-I46)*J46</f>
        <v>2.5949999999999997E-3</v>
      </c>
      <c r="O46" s="55">
        <v>0</v>
      </c>
      <c r="P46" s="2" t="s">
        <v>46</v>
      </c>
      <c r="Q46" s="2" t="s">
        <v>49</v>
      </c>
    </row>
    <row r="47" spans="1:17" s="2" customFormat="1" ht="12" hidden="1" customHeight="1" x14ac:dyDescent="0.25">
      <c r="A47" s="49" t="s">
        <v>62</v>
      </c>
      <c r="B47" s="83" t="s">
        <v>27</v>
      </c>
      <c r="C47" s="50" t="s">
        <v>21</v>
      </c>
      <c r="D47" s="49" t="s">
        <v>56</v>
      </c>
      <c r="E47" s="67">
        <v>8804543</v>
      </c>
      <c r="F47" s="51">
        <f t="shared" si="5"/>
        <v>0.19708640803901784</v>
      </c>
      <c r="G47" s="51">
        <v>3.8399999999999997E-2</v>
      </c>
      <c r="H47" s="52">
        <f xml:space="preserve"> 38308000/(38308000+572844000)</f>
        <v>6.268162421132549E-2</v>
      </c>
      <c r="I47" s="52">
        <v>1E-3</v>
      </c>
      <c r="J47" s="53">
        <v>0.15</v>
      </c>
      <c r="K47" s="64"/>
      <c r="L47" s="55"/>
      <c r="M47" s="55">
        <f>G47*H47+J47*(G47-G47*H47-I47)</f>
        <v>7.655928214257663E-3</v>
      </c>
      <c r="N47" s="55">
        <f>G47*H47+J47*(G47-G47*H47-I47)</f>
        <v>7.655928214257663E-3</v>
      </c>
      <c r="O47" s="55">
        <f>G47*H47</f>
        <v>2.4069743697148985E-3</v>
      </c>
      <c r="P47" s="2" t="s">
        <v>46</v>
      </c>
      <c r="Q47" s="2" t="s">
        <v>49</v>
      </c>
    </row>
    <row r="48" spans="1:17" s="2" customFormat="1" ht="12" hidden="1" customHeight="1" x14ac:dyDescent="0.25">
      <c r="A48" s="49" t="s">
        <v>64</v>
      </c>
      <c r="B48" s="83" t="s">
        <v>45</v>
      </c>
      <c r="C48" s="50" t="s">
        <v>21</v>
      </c>
      <c r="D48" s="49" t="s">
        <v>57</v>
      </c>
      <c r="E48" s="67">
        <v>6338696</v>
      </c>
      <c r="F48" s="51">
        <f t="shared" si="5"/>
        <v>0.1418893435231437</v>
      </c>
      <c r="G48" s="51">
        <v>2.9700000000000001E-2</v>
      </c>
      <c r="H48" s="52">
        <f>11736000/(11736000+174576000)</f>
        <v>6.2991111683627463E-2</v>
      </c>
      <c r="I48" s="52">
        <v>1E-3</v>
      </c>
      <c r="J48" s="53">
        <v>0.15</v>
      </c>
      <c r="K48" s="64"/>
      <c r="L48" s="55"/>
      <c r="M48" s="55">
        <f t="shared" ref="M48:M49" si="6">G48*H48+J48*(G48-G48*H48-I48)</f>
        <v>5.8952106144531755E-3</v>
      </c>
      <c r="N48" s="55">
        <f t="shared" ref="N48:N49" si="7">G48*H48+J48*(G48-G48*H48-I48)</f>
        <v>5.8952106144531755E-3</v>
      </c>
      <c r="O48" s="55">
        <f>G48*H48</f>
        <v>1.8708360170037357E-3</v>
      </c>
      <c r="P48" s="2" t="s">
        <v>46</v>
      </c>
      <c r="Q48" s="2" t="s">
        <v>49</v>
      </c>
    </row>
    <row r="49" spans="1:17" s="2" customFormat="1" ht="12" hidden="1" customHeight="1" x14ac:dyDescent="0.25">
      <c r="A49" s="49" t="s">
        <v>68</v>
      </c>
      <c r="B49" s="83" t="s">
        <v>13</v>
      </c>
      <c r="C49" s="50" t="s">
        <v>21</v>
      </c>
      <c r="D49" s="49" t="s">
        <v>69</v>
      </c>
      <c r="E49" s="67">
        <v>4830248</v>
      </c>
      <c r="F49" s="51">
        <f t="shared" si="5"/>
        <v>0.10812329819476715</v>
      </c>
      <c r="G49" s="51">
        <v>3.1300000000000001E-2</v>
      </c>
      <c r="H49" s="52">
        <f>214389/(214389+1950155)</f>
        <v>9.9045803642707195E-2</v>
      </c>
      <c r="I49" s="52">
        <v>1.4E-3</v>
      </c>
      <c r="J49" s="53">
        <v>0.15</v>
      </c>
      <c r="K49" s="64"/>
      <c r="L49" s="55"/>
      <c r="M49" s="55">
        <f t="shared" si="6"/>
        <v>7.1201136059142259E-3</v>
      </c>
      <c r="N49" s="55">
        <f t="shared" si="7"/>
        <v>7.1201136059142259E-3</v>
      </c>
      <c r="O49" s="55">
        <f>G49*H49</f>
        <v>3.1001336540167354E-3</v>
      </c>
      <c r="P49" s="2" t="s">
        <v>46</v>
      </c>
    </row>
    <row r="50" spans="1:17" s="2" customFormat="1" ht="12" hidden="1" customHeight="1" x14ac:dyDescent="0.25">
      <c r="A50" s="49"/>
      <c r="B50" s="83"/>
      <c r="C50" s="50"/>
      <c r="D50" s="49"/>
      <c r="E50" s="67"/>
      <c r="F50" s="67"/>
      <c r="G50" s="49"/>
      <c r="H50" s="52"/>
      <c r="I50" s="52"/>
      <c r="J50" s="53"/>
      <c r="K50" s="64"/>
      <c r="L50" s="55"/>
      <c r="M50" s="55"/>
      <c r="N50" s="55"/>
      <c r="O50" s="55"/>
    </row>
    <row r="51" spans="1:17" s="2" customFormat="1" ht="12" customHeight="1" x14ac:dyDescent="0.25">
      <c r="A51" s="57" t="s">
        <v>59</v>
      </c>
      <c r="B51" s="82" t="s">
        <v>25</v>
      </c>
      <c r="C51" s="58" t="s">
        <v>21</v>
      </c>
      <c r="D51" s="57" t="s">
        <v>58</v>
      </c>
      <c r="E51" s="57"/>
      <c r="F51" s="57"/>
      <c r="G51" s="59">
        <v>2.7099999999999999E-2</v>
      </c>
      <c r="H51" s="60">
        <f>12102000/(12102000+262751000)</f>
        <v>4.4030809196188507E-2</v>
      </c>
      <c r="I51" s="60">
        <v>1E-3</v>
      </c>
      <c r="J51" s="61">
        <v>0.15</v>
      </c>
      <c r="K51" s="65"/>
      <c r="L51" s="62">
        <v>1E-3</v>
      </c>
      <c r="M51" s="62">
        <f>G51*H51+J51*(G51-G51*H51-I51)</f>
        <v>4.929249689834202E-3</v>
      </c>
      <c r="N51" s="62">
        <f>G51*H51</f>
        <v>1.1932349292167084E-3</v>
      </c>
      <c r="O51" s="62">
        <f>G51*H51</f>
        <v>1.1932349292167084E-3</v>
      </c>
      <c r="P51" s="2" t="s">
        <v>46</v>
      </c>
    </row>
    <row r="52" spans="1:17" s="2" customFormat="1" ht="12" customHeight="1" x14ac:dyDescent="0.25">
      <c r="A52" s="49"/>
      <c r="B52" s="50"/>
      <c r="C52" s="50"/>
      <c r="D52" s="49"/>
      <c r="E52" s="49"/>
      <c r="F52" s="49"/>
      <c r="G52" s="51"/>
      <c r="H52" s="52"/>
      <c r="I52" s="52"/>
      <c r="J52" s="53"/>
      <c r="K52" s="87"/>
      <c r="L52" s="55"/>
      <c r="M52" s="55"/>
      <c r="N52" s="55"/>
      <c r="O52" s="55"/>
    </row>
    <row r="53" spans="1:17" s="2" customFormat="1" ht="12" customHeight="1" x14ac:dyDescent="0.25">
      <c r="A53" s="42" t="s">
        <v>111</v>
      </c>
      <c r="B53" s="43"/>
      <c r="C53" s="43"/>
      <c r="D53" s="44"/>
      <c r="E53" s="44"/>
      <c r="F53" s="44"/>
      <c r="G53" s="45"/>
      <c r="H53" s="46"/>
      <c r="I53" s="46"/>
      <c r="J53" s="47"/>
      <c r="K53" s="48"/>
      <c r="L53" s="43"/>
      <c r="M53" s="43"/>
      <c r="N53" s="43"/>
      <c r="O53" s="43"/>
      <c r="P53" s="12" t="s">
        <v>47</v>
      </c>
      <c r="Q53" s="12" t="s">
        <v>48</v>
      </c>
    </row>
    <row r="54" spans="1:17" s="2" customFormat="1" ht="12" customHeight="1" x14ac:dyDescent="0.25">
      <c r="A54" s="57" t="s">
        <v>151</v>
      </c>
      <c r="B54" s="82" t="s">
        <v>150</v>
      </c>
      <c r="C54" s="58" t="s">
        <v>22</v>
      </c>
      <c r="D54" s="57"/>
      <c r="E54" s="57"/>
      <c r="F54" s="63">
        <f>SUM(F55:F61)</f>
        <v>1</v>
      </c>
      <c r="G54" s="57"/>
      <c r="H54" s="60"/>
      <c r="I54" s="60"/>
      <c r="J54" s="61"/>
      <c r="K54" s="65"/>
      <c r="L54" s="62">
        <f>0.22%*1.13</f>
        <v>2.4859999999999999E-3</v>
      </c>
      <c r="M54" s="62">
        <f>SUMPRODUCT(F55:F61,M55:M61)</f>
        <v>1.2792987807231453E-3</v>
      </c>
      <c r="N54" s="62">
        <f>SUMPRODUCT(F55:F61,N55:N61)</f>
        <v>1.2792987807231453E-3</v>
      </c>
      <c r="O54" s="62">
        <f>SUMPRODUCT(F55:F61,O55:O61)</f>
        <v>7.8615630060776127E-5</v>
      </c>
    </row>
    <row r="55" spans="1:17" s="2" customFormat="1" ht="12" hidden="1" customHeight="1" x14ac:dyDescent="0.25">
      <c r="A55" s="49" t="s">
        <v>93</v>
      </c>
      <c r="B55" s="83" t="s">
        <v>38</v>
      </c>
      <c r="C55" s="50" t="s">
        <v>22</v>
      </c>
      <c r="D55" s="49" t="s">
        <v>76</v>
      </c>
      <c r="E55" s="49"/>
      <c r="F55" s="56">
        <v>0.06</v>
      </c>
      <c r="G55" s="51">
        <v>3.39E-2</v>
      </c>
      <c r="H55" s="52">
        <v>0</v>
      </c>
      <c r="I55" s="52">
        <v>0</v>
      </c>
      <c r="J55" s="53">
        <f>2315/24618987</f>
        <v>9.4033113547685779E-5</v>
      </c>
      <c r="K55" s="64"/>
      <c r="L55" s="55"/>
      <c r="M55" s="55">
        <f>G55*J55</f>
        <v>3.1877225492665481E-6</v>
      </c>
      <c r="N55" s="55">
        <f>G55*J55</f>
        <v>3.1877225492665481E-6</v>
      </c>
      <c r="O55" s="55">
        <v>0</v>
      </c>
      <c r="P55" s="2" t="s">
        <v>49</v>
      </c>
      <c r="Q55" s="2" t="s">
        <v>112</v>
      </c>
    </row>
    <row r="56" spans="1:17" s="2" customFormat="1" ht="12" hidden="1" customHeight="1" x14ac:dyDescent="0.25">
      <c r="A56" s="49" t="s">
        <v>94</v>
      </c>
      <c r="B56" s="83" t="s">
        <v>3</v>
      </c>
      <c r="C56" s="50" t="s">
        <v>22</v>
      </c>
      <c r="D56" s="49" t="s">
        <v>87</v>
      </c>
      <c r="E56" s="66">
        <v>25089028</v>
      </c>
      <c r="F56" s="56">
        <v>7.7814921273530874E-2</v>
      </c>
      <c r="G56" s="51">
        <v>2.0500000000000001E-2</v>
      </c>
      <c r="H56" s="52">
        <v>0</v>
      </c>
      <c r="I56" s="52">
        <v>4.0000000000000002E-4</v>
      </c>
      <c r="J56" s="53">
        <f>2584315/17246988</f>
        <v>0.14984152595224162</v>
      </c>
      <c r="K56" s="64"/>
      <c r="L56" s="55"/>
      <c r="M56" s="55">
        <f t="shared" ref="M56" si="8">(G56-I56)*J56</f>
        <v>3.0118146716400567E-3</v>
      </c>
      <c r="N56" s="55">
        <f>(G56-I56)*J56</f>
        <v>3.0118146716400567E-3</v>
      </c>
      <c r="O56" s="55">
        <v>0</v>
      </c>
      <c r="Q56" s="2" t="s">
        <v>112</v>
      </c>
    </row>
    <row r="57" spans="1:17" s="2" customFormat="1" ht="12" hidden="1" customHeight="1" x14ac:dyDescent="0.25">
      <c r="A57" s="49" t="s">
        <v>95</v>
      </c>
      <c r="B57" s="83" t="s">
        <v>19</v>
      </c>
      <c r="C57" s="50" t="s">
        <v>22</v>
      </c>
      <c r="D57" s="49" t="s">
        <v>88</v>
      </c>
      <c r="E57" s="66">
        <v>15219418</v>
      </c>
      <c r="F57" s="56">
        <v>4.7203814093513659E-2</v>
      </c>
      <c r="G57" s="51">
        <v>3.4500000000000003E-2</v>
      </c>
      <c r="H57" s="52">
        <f>717985/8070109</f>
        <v>8.8968438964083379E-2</v>
      </c>
      <c r="I57" s="52">
        <v>0</v>
      </c>
      <c r="J57" s="53">
        <v>0</v>
      </c>
      <c r="K57" s="64"/>
      <c r="L57" s="55"/>
      <c r="M57" s="55">
        <f>G57*H57</f>
        <v>3.0694111442608769E-3</v>
      </c>
      <c r="N57" s="55">
        <f>G57*H57</f>
        <v>3.0694111442608769E-3</v>
      </c>
      <c r="O57" s="55">
        <v>0</v>
      </c>
      <c r="P57" s="2" t="s">
        <v>49</v>
      </c>
      <c r="Q57" s="2" t="s">
        <v>112</v>
      </c>
    </row>
    <row r="58" spans="1:17" s="2" customFormat="1" ht="12" hidden="1" customHeight="1" x14ac:dyDescent="0.25">
      <c r="A58" s="49" t="s">
        <v>67</v>
      </c>
      <c r="B58" s="83" t="s">
        <v>15</v>
      </c>
      <c r="C58" s="50" t="s">
        <v>22</v>
      </c>
      <c r="D58" s="49" t="s">
        <v>89</v>
      </c>
      <c r="E58" s="66">
        <v>4830248</v>
      </c>
      <c r="F58" s="56">
        <v>1.4981264632955488E-2</v>
      </c>
      <c r="G58" s="51">
        <v>3.1300000000000001E-2</v>
      </c>
      <c r="H58" s="52">
        <f>214389/(214389+1950155)</f>
        <v>9.9045803642707195E-2</v>
      </c>
      <c r="I58" s="52">
        <v>1.4E-3</v>
      </c>
      <c r="J58" s="53">
        <f>2316294/15436651</f>
        <v>0.15005158826224677</v>
      </c>
      <c r="K58" s="64"/>
      <c r="L58" s="55"/>
      <c r="M58" s="55">
        <f>G58*H58+J58*(G58-G58*H58-I58)</f>
        <v>7.1214961644474606E-3</v>
      </c>
      <c r="N58" s="55">
        <f>G58*H58+J58*(G58-G58*H58-I58)</f>
        <v>7.1214961644474606E-3</v>
      </c>
      <c r="O58" s="55">
        <f t="shared" ref="O58" si="9">G58*H58</f>
        <v>3.1001336540167354E-3</v>
      </c>
      <c r="P58" s="2" t="s">
        <v>46</v>
      </c>
      <c r="Q58" s="2" t="s">
        <v>112</v>
      </c>
    </row>
    <row r="59" spans="1:17" s="2" customFormat="1" ht="12" hidden="1" customHeight="1" x14ac:dyDescent="0.25">
      <c r="A59" s="49" t="s">
        <v>96</v>
      </c>
      <c r="B59" s="83" t="s">
        <v>44</v>
      </c>
      <c r="C59" s="50" t="s">
        <v>22</v>
      </c>
      <c r="D59" s="49" t="s">
        <v>116</v>
      </c>
      <c r="E59" s="68">
        <v>0.58809999999999996</v>
      </c>
      <c r="F59" s="56">
        <v>0.47048000000000001</v>
      </c>
      <c r="G59" s="51">
        <v>3.1399999999999997E-2</v>
      </c>
      <c r="H59" s="52">
        <v>0</v>
      </c>
      <c r="I59" s="52">
        <v>0</v>
      </c>
      <c r="J59" s="53">
        <f>242/36848351</f>
        <v>6.5674580661696365E-6</v>
      </c>
      <c r="K59" s="64"/>
      <c r="L59" s="55"/>
      <c r="M59" s="55">
        <v>0</v>
      </c>
      <c r="N59" s="55">
        <v>0</v>
      </c>
      <c r="O59" s="55">
        <v>0</v>
      </c>
      <c r="P59" s="2" t="s">
        <v>49</v>
      </c>
      <c r="Q59" s="2" t="s">
        <v>112</v>
      </c>
    </row>
    <row r="60" spans="1:17" s="2" customFormat="1" ht="12" hidden="1" customHeight="1" x14ac:dyDescent="0.25">
      <c r="A60" s="49" t="s">
        <v>97</v>
      </c>
      <c r="B60" s="83" t="s">
        <v>35</v>
      </c>
      <c r="C60" s="50" t="s">
        <v>22</v>
      </c>
      <c r="D60" s="49" t="s">
        <v>117</v>
      </c>
      <c r="E60" s="68">
        <v>0.18579999999999999</v>
      </c>
      <c r="F60" s="56">
        <v>0.14863999999999999</v>
      </c>
      <c r="G60" s="51">
        <v>3.1800000000000002E-2</v>
      </c>
      <c r="H60" s="52">
        <v>0</v>
      </c>
      <c r="I60" s="52">
        <v>5.0000000000000001E-4</v>
      </c>
      <c r="J60" s="53">
        <f>103754/3066273</f>
        <v>3.3837169749725483E-2</v>
      </c>
      <c r="K60" s="64"/>
      <c r="L60" s="55"/>
      <c r="M60" s="55">
        <f>(G60-I60)*J60</f>
        <v>1.0591034131664076E-3</v>
      </c>
      <c r="N60" s="55">
        <f>(G60-I60)*J60</f>
        <v>1.0591034131664076E-3</v>
      </c>
      <c r="O60" s="55">
        <v>0</v>
      </c>
      <c r="P60" s="2" t="s">
        <v>46</v>
      </c>
      <c r="Q60" s="2" t="s">
        <v>112</v>
      </c>
    </row>
    <row r="61" spans="1:17" s="2" customFormat="1" ht="12" hidden="1" customHeight="1" x14ac:dyDescent="0.25">
      <c r="A61" s="49" t="s">
        <v>98</v>
      </c>
      <c r="B61" s="83" t="s">
        <v>36</v>
      </c>
      <c r="C61" s="50" t="s">
        <v>22</v>
      </c>
      <c r="D61" s="49" t="s">
        <v>118</v>
      </c>
      <c r="E61" s="68">
        <v>0.2261</v>
      </c>
      <c r="F61" s="56">
        <v>0.18088000000000001</v>
      </c>
      <c r="G61" s="51">
        <v>2.35E-2</v>
      </c>
      <c r="H61" s="52">
        <f>9408000/(1233622000+9408000)</f>
        <v>7.5686025276944244E-3</v>
      </c>
      <c r="I61" s="52">
        <v>1.1999999999999999E-3</v>
      </c>
      <c r="J61" s="53">
        <f>317606/2105615</f>
        <v>0.15083764125920457</v>
      </c>
      <c r="K61" s="64"/>
      <c r="L61" s="55"/>
      <c r="M61" s="55">
        <f>G61*H61+J61*(G61-G61*H61-I61)</f>
        <v>3.5147132508877924E-3</v>
      </c>
      <c r="N61" s="55">
        <f>G61*H61+J61*(G61-G61*H61-I61)</f>
        <v>3.5147132508877924E-3</v>
      </c>
      <c r="O61" s="55">
        <f>G61*H61</f>
        <v>1.7786215940081897E-4</v>
      </c>
      <c r="P61" s="2" t="s">
        <v>113</v>
      </c>
      <c r="Q61" s="2" t="s">
        <v>112</v>
      </c>
    </row>
    <row r="62" spans="1:17" s="2" customFormat="1" ht="12" hidden="1" customHeight="1" x14ac:dyDescent="0.25">
      <c r="A62" s="49"/>
      <c r="B62" s="83"/>
      <c r="C62" s="50"/>
      <c r="D62" s="49"/>
      <c r="E62" s="49"/>
      <c r="F62" s="49"/>
      <c r="G62" s="49"/>
      <c r="H62" s="52"/>
      <c r="I62" s="52"/>
      <c r="J62" s="53"/>
      <c r="K62" s="64"/>
      <c r="L62" s="55"/>
      <c r="M62" s="55"/>
      <c r="N62" s="55"/>
      <c r="O62" s="55"/>
    </row>
    <row r="63" spans="1:17" s="2" customFormat="1" ht="12" customHeight="1" x14ac:dyDescent="0.25">
      <c r="A63" s="49" t="s">
        <v>86</v>
      </c>
      <c r="B63" s="83" t="s">
        <v>32</v>
      </c>
      <c r="C63" s="50" t="s">
        <v>22</v>
      </c>
      <c r="D63" s="49"/>
      <c r="E63" s="49"/>
      <c r="F63" s="56">
        <f>SUM(F64:F70)</f>
        <v>1</v>
      </c>
      <c r="G63" s="49"/>
      <c r="H63" s="52"/>
      <c r="I63" s="52"/>
      <c r="J63" s="53"/>
      <c r="K63" s="64"/>
      <c r="L63" s="55">
        <f>0.22%*1.13</f>
        <v>2.4859999999999999E-3</v>
      </c>
      <c r="M63" s="55">
        <f>SUMPRODUCT(F64:F70,M64:M70)</f>
        <v>1.5671394812542421E-3</v>
      </c>
      <c r="N63" s="55">
        <f>SUMPRODUCT(F64:F70,N64:N70)</f>
        <v>1.5671394812542421E-3</v>
      </c>
      <c r="O63" s="55">
        <f>SUMPRODUCT(F64:F70,O64:O70)</f>
        <v>1.1701662588102706E-4</v>
      </c>
    </row>
    <row r="64" spans="1:17" s="2" customFormat="1" ht="12" hidden="1" customHeight="1" x14ac:dyDescent="0.25">
      <c r="A64" s="49" t="s">
        <v>93</v>
      </c>
      <c r="B64" s="83" t="s">
        <v>38</v>
      </c>
      <c r="C64" s="50" t="s">
        <v>22</v>
      </c>
      <c r="D64" s="49" t="s">
        <v>76</v>
      </c>
      <c r="E64" s="49"/>
      <c r="F64" s="56">
        <v>0.12</v>
      </c>
      <c r="G64" s="51">
        <v>3.39E-2</v>
      </c>
      <c r="H64" s="52">
        <v>0</v>
      </c>
      <c r="I64" s="52">
        <v>0</v>
      </c>
      <c r="J64" s="53">
        <f>2315/24618987</f>
        <v>9.4033113547685779E-5</v>
      </c>
      <c r="K64" s="64"/>
      <c r="L64" s="55"/>
      <c r="M64" s="55">
        <f>G64*J64</f>
        <v>3.1877225492665481E-6</v>
      </c>
      <c r="N64" s="55">
        <f>G64*J64</f>
        <v>3.1877225492665481E-6</v>
      </c>
      <c r="O64" s="55">
        <v>0</v>
      </c>
      <c r="P64" s="2" t="s">
        <v>49</v>
      </c>
      <c r="Q64" s="2" t="s">
        <v>112</v>
      </c>
    </row>
    <row r="65" spans="1:17" s="2" customFormat="1" ht="12" hidden="1" customHeight="1" x14ac:dyDescent="0.25">
      <c r="A65" s="49" t="s">
        <v>94</v>
      </c>
      <c r="B65" s="83" t="s">
        <v>3</v>
      </c>
      <c r="C65" s="50" t="s">
        <v>22</v>
      </c>
      <c r="D65" s="49" t="s">
        <v>87</v>
      </c>
      <c r="E65" s="66">
        <v>25089028</v>
      </c>
      <c r="F65" s="56">
        <f>(40%-$F$64)*E65/SUM($E$65:$E$67)</f>
        <v>0.15562984254706175</v>
      </c>
      <c r="G65" s="51">
        <v>2.0500000000000001E-2</v>
      </c>
      <c r="H65" s="52">
        <v>0</v>
      </c>
      <c r="I65" s="52">
        <v>4.0000000000000002E-4</v>
      </c>
      <c r="J65" s="53">
        <f>2584315/17246988</f>
        <v>0.14984152595224162</v>
      </c>
      <c r="K65" s="64"/>
      <c r="L65" s="55"/>
      <c r="M65" s="55">
        <f t="shared" ref="M65" si="10">(G65-I65)*J65</f>
        <v>3.0118146716400567E-3</v>
      </c>
      <c r="N65" s="55">
        <f>(G65-I65)*J65</f>
        <v>3.0118146716400567E-3</v>
      </c>
      <c r="O65" s="55">
        <v>0</v>
      </c>
      <c r="Q65" s="2" t="s">
        <v>112</v>
      </c>
    </row>
    <row r="66" spans="1:17" s="2" customFormat="1" ht="12" hidden="1" customHeight="1" x14ac:dyDescent="0.25">
      <c r="A66" s="49" t="s">
        <v>95</v>
      </c>
      <c r="B66" s="83" t="s">
        <v>19</v>
      </c>
      <c r="C66" s="50" t="s">
        <v>22</v>
      </c>
      <c r="D66" s="49" t="s">
        <v>88</v>
      </c>
      <c r="E66" s="66">
        <v>15219418</v>
      </c>
      <c r="F66" s="56">
        <f>(40%-$F$64)*E66/SUM($E$65:$E$67)</f>
        <v>9.4407628187027304E-2</v>
      </c>
      <c r="G66" s="51">
        <v>3.4500000000000003E-2</v>
      </c>
      <c r="H66" s="52">
        <f>717985/8070109</f>
        <v>8.8968438964083379E-2</v>
      </c>
      <c r="I66" s="52">
        <v>0</v>
      </c>
      <c r="J66" s="53">
        <v>0</v>
      </c>
      <c r="K66" s="64"/>
      <c r="L66" s="55"/>
      <c r="M66" s="55">
        <f>G66*H66</f>
        <v>3.0694111442608769E-3</v>
      </c>
      <c r="N66" s="55">
        <f>G66*H66</f>
        <v>3.0694111442608769E-3</v>
      </c>
      <c r="O66" s="55">
        <v>0</v>
      </c>
      <c r="P66" s="2" t="s">
        <v>49</v>
      </c>
      <c r="Q66" s="2" t="s">
        <v>112</v>
      </c>
    </row>
    <row r="67" spans="1:17" s="2" customFormat="1" ht="12" hidden="1" customHeight="1" x14ac:dyDescent="0.25">
      <c r="A67" s="49" t="s">
        <v>67</v>
      </c>
      <c r="B67" s="83" t="s">
        <v>15</v>
      </c>
      <c r="C67" s="50" t="s">
        <v>22</v>
      </c>
      <c r="D67" s="49" t="s">
        <v>89</v>
      </c>
      <c r="E67" s="66">
        <v>4830248</v>
      </c>
      <c r="F67" s="56">
        <f t="shared" ref="F67" si="11">(40%-$F$64)*E67/SUM($E$65:$E$67)</f>
        <v>2.9962529265910975E-2</v>
      </c>
      <c r="G67" s="51">
        <v>3.1300000000000001E-2</v>
      </c>
      <c r="H67" s="52">
        <f>214389/(214389+1950155)</f>
        <v>9.9045803642707195E-2</v>
      </c>
      <c r="I67" s="52">
        <v>1.4E-3</v>
      </c>
      <c r="J67" s="53">
        <f>2316294/15436651</f>
        <v>0.15005158826224677</v>
      </c>
      <c r="K67" s="64"/>
      <c r="L67" s="55"/>
      <c r="M67" s="55">
        <f>G67*H67+J67*(G67-G67*H67-I67)</f>
        <v>7.1214961644474606E-3</v>
      </c>
      <c r="N67" s="55">
        <f>G67*H67+J67*(G67-G67*H67-I67)</f>
        <v>7.1214961644474606E-3</v>
      </c>
      <c r="O67" s="55">
        <f t="shared" ref="O67" si="12">G67*H67</f>
        <v>3.1001336540167354E-3</v>
      </c>
      <c r="P67" s="2" t="s">
        <v>46</v>
      </c>
      <c r="Q67" s="2" t="s">
        <v>112</v>
      </c>
    </row>
    <row r="68" spans="1:17" s="2" customFormat="1" ht="12" hidden="1" customHeight="1" x14ac:dyDescent="0.25">
      <c r="A68" s="49" t="s">
        <v>96</v>
      </c>
      <c r="B68" s="83" t="s">
        <v>44</v>
      </c>
      <c r="C68" s="50" t="s">
        <v>22</v>
      </c>
      <c r="D68" s="49" t="s">
        <v>116</v>
      </c>
      <c r="E68" s="68">
        <v>0.58809999999999996</v>
      </c>
      <c r="F68" s="56">
        <f>60%*E68</f>
        <v>0.35285999999999995</v>
      </c>
      <c r="G68" s="51">
        <v>3.1399999999999997E-2</v>
      </c>
      <c r="H68" s="52">
        <v>0</v>
      </c>
      <c r="I68" s="52">
        <v>0</v>
      </c>
      <c r="J68" s="53">
        <f>242/36848351</f>
        <v>6.5674580661696365E-6</v>
      </c>
      <c r="K68" s="64"/>
      <c r="L68" s="55"/>
      <c r="M68" s="55">
        <v>0</v>
      </c>
      <c r="N68" s="55">
        <v>0</v>
      </c>
      <c r="O68" s="55">
        <v>0</v>
      </c>
      <c r="P68" s="2" t="s">
        <v>49</v>
      </c>
      <c r="Q68" s="2" t="s">
        <v>112</v>
      </c>
    </row>
    <row r="69" spans="1:17" s="2" customFormat="1" ht="12" hidden="1" customHeight="1" x14ac:dyDescent="0.25">
      <c r="A69" s="49" t="s">
        <v>97</v>
      </c>
      <c r="B69" s="83" t="s">
        <v>35</v>
      </c>
      <c r="C69" s="50" t="s">
        <v>22</v>
      </c>
      <c r="D69" s="49" t="s">
        <v>117</v>
      </c>
      <c r="E69" s="68">
        <v>0.18579999999999999</v>
      </c>
      <c r="F69" s="56">
        <f t="shared" ref="F69:F70" si="13">60%*E69</f>
        <v>0.11148</v>
      </c>
      <c r="G69" s="51">
        <v>3.1800000000000002E-2</v>
      </c>
      <c r="H69" s="52">
        <v>0</v>
      </c>
      <c r="I69" s="52">
        <v>5.0000000000000001E-4</v>
      </c>
      <c r="J69" s="53">
        <f>103754/3066273</f>
        <v>3.3837169749725483E-2</v>
      </c>
      <c r="K69" s="64"/>
      <c r="L69" s="55"/>
      <c r="M69" s="55">
        <f>(G69-I69)*J69</f>
        <v>1.0591034131664076E-3</v>
      </c>
      <c r="N69" s="55">
        <f>(G69-I69)*J69</f>
        <v>1.0591034131664076E-3</v>
      </c>
      <c r="O69" s="55">
        <v>0</v>
      </c>
      <c r="P69" s="2" t="s">
        <v>46</v>
      </c>
      <c r="Q69" s="2" t="s">
        <v>112</v>
      </c>
    </row>
    <row r="70" spans="1:17" s="2" customFormat="1" ht="12" hidden="1" customHeight="1" x14ac:dyDescent="0.25">
      <c r="A70" s="49" t="s">
        <v>98</v>
      </c>
      <c r="B70" s="83" t="s">
        <v>36</v>
      </c>
      <c r="C70" s="50" t="s">
        <v>22</v>
      </c>
      <c r="D70" s="49" t="s">
        <v>118</v>
      </c>
      <c r="E70" s="68">
        <v>0.2261</v>
      </c>
      <c r="F70" s="56">
        <f t="shared" si="13"/>
        <v>0.13566</v>
      </c>
      <c r="G70" s="51">
        <v>2.35E-2</v>
      </c>
      <c r="H70" s="52">
        <f>9408000/(1233622000+9408000)</f>
        <v>7.5686025276944244E-3</v>
      </c>
      <c r="I70" s="52">
        <v>1.1999999999999999E-3</v>
      </c>
      <c r="J70" s="53">
        <f>317606/2105615</f>
        <v>0.15083764125920457</v>
      </c>
      <c r="K70" s="64"/>
      <c r="L70" s="55"/>
      <c r="M70" s="55">
        <f>G70*H70+J70*(G70-G70*H70-I70)</f>
        <v>3.5147132508877924E-3</v>
      </c>
      <c r="N70" s="55">
        <f>G70*H70+J70*(G70-G70*H70-I70)</f>
        <v>3.5147132508877924E-3</v>
      </c>
      <c r="O70" s="55">
        <f>G70*H70</f>
        <v>1.7786215940081897E-4</v>
      </c>
      <c r="P70" s="2" t="s">
        <v>113</v>
      </c>
      <c r="Q70" s="2" t="s">
        <v>112</v>
      </c>
    </row>
    <row r="71" spans="1:17" s="2" customFormat="1" ht="12" hidden="1" customHeight="1" x14ac:dyDescent="0.25">
      <c r="A71" s="49"/>
      <c r="B71" s="83"/>
      <c r="C71" s="50"/>
      <c r="D71" s="49"/>
      <c r="E71" s="49"/>
      <c r="F71" s="49"/>
      <c r="G71" s="49"/>
      <c r="H71" s="52"/>
      <c r="I71" s="52"/>
      <c r="J71" s="53"/>
      <c r="K71" s="64"/>
      <c r="L71" s="55"/>
      <c r="M71" s="55"/>
      <c r="N71" s="55"/>
      <c r="O71" s="55"/>
    </row>
    <row r="72" spans="1:17" s="2" customFormat="1" ht="12" customHeight="1" x14ac:dyDescent="0.25">
      <c r="A72" s="57" t="s">
        <v>91</v>
      </c>
      <c r="B72" s="82" t="s">
        <v>33</v>
      </c>
      <c r="C72" s="58" t="s">
        <v>22</v>
      </c>
      <c r="D72" s="57"/>
      <c r="E72" s="57"/>
      <c r="F72" s="63">
        <f>SUM(F73:F79)</f>
        <v>0.99999999999999989</v>
      </c>
      <c r="G72" s="57"/>
      <c r="H72" s="60"/>
      <c r="I72" s="60"/>
      <c r="J72" s="61"/>
      <c r="K72" s="65"/>
      <c r="L72" s="62">
        <f>0.22%*1.13</f>
        <v>2.4859999999999999E-3</v>
      </c>
      <c r="M72" s="62">
        <f>SUMPRODUCT(F73:F79,M73:M79)</f>
        <v>1.8549801817853389E-3</v>
      </c>
      <c r="N72" s="62">
        <f>SUMPRODUCT(F73:F79,N73:N79)</f>
        <v>1.8549801817853389E-3</v>
      </c>
      <c r="O72" s="62">
        <f>SUMPRODUCT(F73:F79,O73:O79)</f>
        <v>1.55417621701278E-4</v>
      </c>
    </row>
    <row r="73" spans="1:17" s="2" customFormat="1" ht="12" hidden="1" customHeight="1" x14ac:dyDescent="0.25">
      <c r="A73" s="49" t="s">
        <v>93</v>
      </c>
      <c r="B73" s="83" t="s">
        <v>38</v>
      </c>
      <c r="C73" s="50" t="s">
        <v>22</v>
      </c>
      <c r="D73" s="49" t="s">
        <v>76</v>
      </c>
      <c r="E73" s="49"/>
      <c r="F73" s="56">
        <v>0.18</v>
      </c>
      <c r="G73" s="51">
        <v>3.39E-2</v>
      </c>
      <c r="H73" s="52">
        <v>0</v>
      </c>
      <c r="I73" s="52">
        <v>0</v>
      </c>
      <c r="J73" s="53">
        <f>2315/24618987</f>
        <v>9.4033113547685779E-5</v>
      </c>
      <c r="K73" s="64"/>
      <c r="L73" s="55"/>
      <c r="M73" s="55">
        <f>G73*J73</f>
        <v>3.1877225492665481E-6</v>
      </c>
      <c r="N73" s="55">
        <f>G73*J73</f>
        <v>3.1877225492665481E-6</v>
      </c>
      <c r="O73" s="55">
        <v>0</v>
      </c>
      <c r="P73" s="2" t="s">
        <v>49</v>
      </c>
      <c r="Q73" s="2" t="s">
        <v>112</v>
      </c>
    </row>
    <row r="74" spans="1:17" s="2" customFormat="1" ht="12" hidden="1" customHeight="1" x14ac:dyDescent="0.25">
      <c r="A74" s="49" t="s">
        <v>94</v>
      </c>
      <c r="B74" s="83" t="s">
        <v>3</v>
      </c>
      <c r="C74" s="50" t="s">
        <v>22</v>
      </c>
      <c r="D74" s="49" t="s">
        <v>87</v>
      </c>
      <c r="E74" s="66">
        <v>25089028</v>
      </c>
      <c r="F74" s="56">
        <f>(60%-$F$73)*E74/SUM($E$74:$E$76)</f>
        <v>0.23344476382059259</v>
      </c>
      <c r="G74" s="51">
        <v>2.0500000000000001E-2</v>
      </c>
      <c r="H74" s="52">
        <v>0</v>
      </c>
      <c r="I74" s="52">
        <v>4.0000000000000002E-4</v>
      </c>
      <c r="J74" s="53">
        <f>2584315/17246988</f>
        <v>0.14984152595224162</v>
      </c>
      <c r="K74" s="64"/>
      <c r="L74" s="55"/>
      <c r="M74" s="55">
        <f t="shared" ref="M74" si="14">(G74-I74)*J74</f>
        <v>3.0118146716400567E-3</v>
      </c>
      <c r="N74" s="55">
        <f>(G74-I74)*J74</f>
        <v>3.0118146716400567E-3</v>
      </c>
      <c r="O74" s="55">
        <v>0</v>
      </c>
      <c r="Q74" s="2" t="s">
        <v>112</v>
      </c>
    </row>
    <row r="75" spans="1:17" s="2" customFormat="1" ht="12" hidden="1" customHeight="1" x14ac:dyDescent="0.25">
      <c r="A75" s="49" t="s">
        <v>119</v>
      </c>
      <c r="B75" s="83" t="s">
        <v>19</v>
      </c>
      <c r="C75" s="50" t="s">
        <v>22</v>
      </c>
      <c r="D75" s="49" t="s">
        <v>88</v>
      </c>
      <c r="E75" s="66">
        <v>15219418</v>
      </c>
      <c r="F75" s="56">
        <f t="shared" ref="F75:F76" si="15">(60%-$F$73)*E75/SUM($E$74:$E$76)</f>
        <v>0.14161144228054093</v>
      </c>
      <c r="G75" s="51">
        <v>3.4500000000000003E-2</v>
      </c>
      <c r="H75" s="52">
        <f>717985/8070109</f>
        <v>8.8968438964083379E-2</v>
      </c>
      <c r="I75" s="52">
        <v>0</v>
      </c>
      <c r="J75" s="53">
        <v>0</v>
      </c>
      <c r="K75" s="64"/>
      <c r="L75" s="55"/>
      <c r="M75" s="55">
        <f>G75*H75</f>
        <v>3.0694111442608769E-3</v>
      </c>
      <c r="N75" s="55">
        <f>G75*H75</f>
        <v>3.0694111442608769E-3</v>
      </c>
      <c r="O75" s="55">
        <v>0</v>
      </c>
      <c r="P75" s="2" t="s">
        <v>49</v>
      </c>
      <c r="Q75" s="2" t="s">
        <v>112</v>
      </c>
    </row>
    <row r="76" spans="1:17" s="2" customFormat="1" ht="12" hidden="1" customHeight="1" x14ac:dyDescent="0.25">
      <c r="A76" s="49" t="s">
        <v>67</v>
      </c>
      <c r="B76" s="83" t="s">
        <v>15</v>
      </c>
      <c r="C76" s="50" t="s">
        <v>22</v>
      </c>
      <c r="D76" s="49" t="s">
        <v>89</v>
      </c>
      <c r="E76" s="66">
        <v>4830248</v>
      </c>
      <c r="F76" s="56">
        <f t="shared" si="15"/>
        <v>4.4943793898866456E-2</v>
      </c>
      <c r="G76" s="51">
        <v>3.1300000000000001E-2</v>
      </c>
      <c r="H76" s="52">
        <f>214389/(214389+1950155)</f>
        <v>9.9045803642707195E-2</v>
      </c>
      <c r="I76" s="52">
        <v>1.4E-3</v>
      </c>
      <c r="J76" s="53">
        <f>2316294/15436651</f>
        <v>0.15005158826224677</v>
      </c>
      <c r="K76" s="64"/>
      <c r="L76" s="55"/>
      <c r="M76" s="55">
        <f>G76*H76+J76*(G76-G76*H76-I76)</f>
        <v>7.1214961644474606E-3</v>
      </c>
      <c r="N76" s="55">
        <f>G76*H76+J76*(G76-G76*H76-I76)</f>
        <v>7.1214961644474606E-3</v>
      </c>
      <c r="O76" s="55">
        <f t="shared" ref="O76" si="16">G76*H76</f>
        <v>3.1001336540167354E-3</v>
      </c>
      <c r="P76" s="2" t="s">
        <v>46</v>
      </c>
      <c r="Q76" s="2" t="s">
        <v>112</v>
      </c>
    </row>
    <row r="77" spans="1:17" s="2" customFormat="1" ht="12" hidden="1" customHeight="1" x14ac:dyDescent="0.25">
      <c r="A77" s="49" t="s">
        <v>96</v>
      </c>
      <c r="B77" s="83" t="s">
        <v>44</v>
      </c>
      <c r="C77" s="50" t="s">
        <v>22</v>
      </c>
      <c r="D77" s="49" t="s">
        <v>116</v>
      </c>
      <c r="E77" s="68">
        <v>0.58809999999999996</v>
      </c>
      <c r="F77" s="56">
        <f>40%*E77</f>
        <v>0.23524</v>
      </c>
      <c r="G77" s="51">
        <v>3.1399999999999997E-2</v>
      </c>
      <c r="H77" s="52">
        <v>0</v>
      </c>
      <c r="I77" s="52">
        <v>0</v>
      </c>
      <c r="J77" s="53">
        <f>242/36848351</f>
        <v>6.5674580661696365E-6</v>
      </c>
      <c r="K77" s="64"/>
      <c r="L77" s="55"/>
      <c r="M77" s="55">
        <v>0</v>
      </c>
      <c r="N77" s="55">
        <v>0</v>
      </c>
      <c r="O77" s="55">
        <v>0</v>
      </c>
      <c r="P77" s="2" t="s">
        <v>49</v>
      </c>
      <c r="Q77" s="2" t="s">
        <v>112</v>
      </c>
    </row>
    <row r="78" spans="1:17" s="2" customFormat="1" ht="12" hidden="1" customHeight="1" x14ac:dyDescent="0.25">
      <c r="A78" s="49" t="s">
        <v>97</v>
      </c>
      <c r="B78" s="83" t="s">
        <v>35</v>
      </c>
      <c r="C78" s="50" t="s">
        <v>22</v>
      </c>
      <c r="D78" s="49" t="s">
        <v>117</v>
      </c>
      <c r="E78" s="68">
        <v>0.18579999999999999</v>
      </c>
      <c r="F78" s="56">
        <f t="shared" ref="F78:F79" si="17">40%*E78</f>
        <v>7.4319999999999997E-2</v>
      </c>
      <c r="G78" s="51">
        <v>3.1800000000000002E-2</v>
      </c>
      <c r="H78" s="52">
        <v>0</v>
      </c>
      <c r="I78" s="52">
        <v>5.0000000000000001E-4</v>
      </c>
      <c r="J78" s="53">
        <f>103754/3066273</f>
        <v>3.3837169749725483E-2</v>
      </c>
      <c r="K78" s="64"/>
      <c r="L78" s="55"/>
      <c r="M78" s="55">
        <f>(G78-I78)*J78</f>
        <v>1.0591034131664076E-3</v>
      </c>
      <c r="N78" s="55">
        <f>(G78-I78)*J78</f>
        <v>1.0591034131664076E-3</v>
      </c>
      <c r="O78" s="55">
        <v>0</v>
      </c>
      <c r="P78" s="2" t="s">
        <v>46</v>
      </c>
      <c r="Q78" s="2" t="s">
        <v>112</v>
      </c>
    </row>
    <row r="79" spans="1:17" s="2" customFormat="1" ht="12" hidden="1" customHeight="1" x14ac:dyDescent="0.25">
      <c r="A79" s="49" t="s">
        <v>98</v>
      </c>
      <c r="B79" s="83" t="s">
        <v>36</v>
      </c>
      <c r="C79" s="50" t="s">
        <v>22</v>
      </c>
      <c r="D79" s="49" t="s">
        <v>118</v>
      </c>
      <c r="E79" s="68">
        <v>0.2261</v>
      </c>
      <c r="F79" s="56">
        <f t="shared" si="17"/>
        <v>9.0440000000000006E-2</v>
      </c>
      <c r="G79" s="51">
        <v>2.35E-2</v>
      </c>
      <c r="H79" s="52">
        <f>9408000/(1233622000+9408000)</f>
        <v>7.5686025276944244E-3</v>
      </c>
      <c r="I79" s="52">
        <v>1.1999999999999999E-3</v>
      </c>
      <c r="J79" s="53">
        <f>317606/2105615</f>
        <v>0.15083764125920457</v>
      </c>
      <c r="K79" s="64"/>
      <c r="L79" s="55"/>
      <c r="M79" s="55">
        <f>G79*H79+J79*(G79-G79*H79-I79)</f>
        <v>3.5147132508877924E-3</v>
      </c>
      <c r="N79" s="55">
        <f>G79*H79+J79*(G79-G79*H79-I79)</f>
        <v>3.5147132508877924E-3</v>
      </c>
      <c r="O79" s="55">
        <f>G79*H79</f>
        <v>1.7786215940081897E-4</v>
      </c>
      <c r="P79" s="2" t="s">
        <v>113</v>
      </c>
      <c r="Q79" s="2" t="s">
        <v>112</v>
      </c>
    </row>
    <row r="80" spans="1:17" s="2" customFormat="1" ht="12" hidden="1" customHeight="1" x14ac:dyDescent="0.25">
      <c r="A80" s="49"/>
      <c r="B80" s="83"/>
      <c r="C80" s="50"/>
      <c r="D80" s="49"/>
      <c r="E80" s="49"/>
      <c r="F80" s="49"/>
      <c r="G80" s="49"/>
      <c r="H80" s="52"/>
      <c r="I80" s="52"/>
      <c r="J80" s="53"/>
      <c r="K80" s="64"/>
      <c r="L80" s="55"/>
      <c r="M80" s="55"/>
      <c r="N80" s="55"/>
      <c r="O80" s="55"/>
    </row>
    <row r="81" spans="1:17" s="2" customFormat="1" ht="12" customHeight="1" x14ac:dyDescent="0.25">
      <c r="A81" s="49" t="s">
        <v>92</v>
      </c>
      <c r="B81" s="83" t="s">
        <v>34</v>
      </c>
      <c r="C81" s="50" t="s">
        <v>22</v>
      </c>
      <c r="D81" s="49"/>
      <c r="E81" s="49"/>
      <c r="F81" s="56">
        <f>SUM(F82:F88)</f>
        <v>1</v>
      </c>
      <c r="G81" s="49"/>
      <c r="H81" s="52"/>
      <c r="I81" s="52"/>
      <c r="J81" s="53"/>
      <c r="K81" s="64"/>
      <c r="L81" s="55">
        <f>0.22%*1.13</f>
        <v>2.4859999999999999E-3</v>
      </c>
      <c r="M81" s="55">
        <f>SUMPRODUCT(F82:F88,M82:M88)</f>
        <v>2.1428208823164362E-3</v>
      </c>
      <c r="N81" s="55">
        <f>SUMPRODUCT(F82:F88,N82:N88)</f>
        <v>2.1428208823164362E-3</v>
      </c>
      <c r="O81" s="55">
        <f>SUMPRODUCT(F82:F88,O82:O88)</f>
        <v>1.9381861752152895E-4</v>
      </c>
    </row>
    <row r="82" spans="1:17" s="2" customFormat="1" ht="12" hidden="1" customHeight="1" x14ac:dyDescent="0.25">
      <c r="A82" s="49" t="s">
        <v>93</v>
      </c>
      <c r="B82" s="83" t="s">
        <v>38</v>
      </c>
      <c r="C82" s="50" t="s">
        <v>22</v>
      </c>
      <c r="D82" s="49" t="s">
        <v>76</v>
      </c>
      <c r="E82" s="49"/>
      <c r="F82" s="56">
        <v>0.24</v>
      </c>
      <c r="G82" s="51">
        <v>3.39E-2</v>
      </c>
      <c r="H82" s="52">
        <v>0</v>
      </c>
      <c r="I82" s="52">
        <v>0</v>
      </c>
      <c r="J82" s="53">
        <f>2315/24618987</f>
        <v>9.4033113547685779E-5</v>
      </c>
      <c r="K82" s="64"/>
      <c r="L82" s="55"/>
      <c r="M82" s="55">
        <f>G82*J82</f>
        <v>3.1877225492665481E-6</v>
      </c>
      <c r="N82" s="55">
        <f>G82*J82</f>
        <v>3.1877225492665481E-6</v>
      </c>
      <c r="O82" s="55">
        <v>0</v>
      </c>
      <c r="P82" s="2" t="s">
        <v>49</v>
      </c>
      <c r="Q82" s="2" t="s">
        <v>112</v>
      </c>
    </row>
    <row r="83" spans="1:17" s="2" customFormat="1" ht="12" hidden="1" customHeight="1" x14ac:dyDescent="0.25">
      <c r="A83" s="49" t="s">
        <v>94</v>
      </c>
      <c r="B83" s="83" t="s">
        <v>3</v>
      </c>
      <c r="C83" s="50" t="s">
        <v>22</v>
      </c>
      <c r="D83" s="49" t="s">
        <v>87</v>
      </c>
      <c r="E83" s="66">
        <v>25089028</v>
      </c>
      <c r="F83" s="56">
        <f>(80%-$F$82)*E83/SUM($E$83:$E$85)</f>
        <v>0.31125968509412349</v>
      </c>
      <c r="G83" s="51">
        <v>2.0500000000000001E-2</v>
      </c>
      <c r="H83" s="52">
        <v>0</v>
      </c>
      <c r="I83" s="52">
        <v>4.0000000000000002E-4</v>
      </c>
      <c r="J83" s="53">
        <f>2584315/17246988</f>
        <v>0.14984152595224162</v>
      </c>
      <c r="K83" s="64"/>
      <c r="L83" s="55"/>
      <c r="M83" s="55">
        <f>(G83-I83)*J83</f>
        <v>3.0118146716400567E-3</v>
      </c>
      <c r="N83" s="55">
        <f>(G83-I83)*J83</f>
        <v>3.0118146716400567E-3</v>
      </c>
      <c r="O83" s="55">
        <v>0</v>
      </c>
      <c r="Q83" s="2" t="s">
        <v>112</v>
      </c>
    </row>
    <row r="84" spans="1:17" s="2" customFormat="1" ht="12" hidden="1" customHeight="1" x14ac:dyDescent="0.25">
      <c r="A84" s="49" t="s">
        <v>95</v>
      </c>
      <c r="B84" s="83" t="s">
        <v>19</v>
      </c>
      <c r="C84" s="50" t="s">
        <v>22</v>
      </c>
      <c r="D84" s="49" t="s">
        <v>88</v>
      </c>
      <c r="E84" s="66">
        <v>15219418</v>
      </c>
      <c r="F84" s="56">
        <f t="shared" ref="F84:F85" si="18">(80%-$F$82)*E84/SUM($E$83:$E$85)</f>
        <v>0.18881525637405461</v>
      </c>
      <c r="G84" s="51">
        <v>3.4500000000000003E-2</v>
      </c>
      <c r="H84" s="52">
        <f>717985/8070109</f>
        <v>8.8968438964083379E-2</v>
      </c>
      <c r="I84" s="52">
        <v>0</v>
      </c>
      <c r="J84" s="53">
        <v>0</v>
      </c>
      <c r="K84" s="64"/>
      <c r="L84" s="55"/>
      <c r="M84" s="55">
        <f>G84*H84</f>
        <v>3.0694111442608769E-3</v>
      </c>
      <c r="N84" s="55">
        <f>G84*H84</f>
        <v>3.0694111442608769E-3</v>
      </c>
      <c r="O84" s="55">
        <v>0</v>
      </c>
      <c r="P84" s="2" t="s">
        <v>49</v>
      </c>
      <c r="Q84" s="2" t="s">
        <v>112</v>
      </c>
    </row>
    <row r="85" spans="1:17" s="2" customFormat="1" ht="12" hidden="1" customHeight="1" x14ac:dyDescent="0.25">
      <c r="A85" s="49" t="s">
        <v>67</v>
      </c>
      <c r="B85" s="83" t="s">
        <v>15</v>
      </c>
      <c r="C85" s="50" t="s">
        <v>22</v>
      </c>
      <c r="D85" s="49" t="s">
        <v>89</v>
      </c>
      <c r="E85" s="66">
        <v>4830248</v>
      </c>
      <c r="F85" s="56">
        <f t="shared" si="18"/>
        <v>5.9925058531821951E-2</v>
      </c>
      <c r="G85" s="51">
        <v>3.1300000000000001E-2</v>
      </c>
      <c r="H85" s="52">
        <f>214389/(214389+1950155)</f>
        <v>9.9045803642707195E-2</v>
      </c>
      <c r="I85" s="52">
        <v>1.4E-3</v>
      </c>
      <c r="J85" s="53">
        <f>2316294/15436651</f>
        <v>0.15005158826224677</v>
      </c>
      <c r="K85" s="64"/>
      <c r="L85" s="55"/>
      <c r="M85" s="55">
        <f>G85*H85+J85*(G85-G85*H85-I85)</f>
        <v>7.1214961644474606E-3</v>
      </c>
      <c r="N85" s="55">
        <f>G85*H85+J85*(G85-G85*H85-I85)</f>
        <v>7.1214961644474606E-3</v>
      </c>
      <c r="O85" s="55">
        <f t="shared" ref="O85" si="19">G85*H85</f>
        <v>3.1001336540167354E-3</v>
      </c>
      <c r="P85" s="2" t="s">
        <v>46</v>
      </c>
      <c r="Q85" s="2" t="s">
        <v>112</v>
      </c>
    </row>
    <row r="86" spans="1:17" s="2" customFormat="1" ht="12" hidden="1" customHeight="1" x14ac:dyDescent="0.25">
      <c r="A86" s="49" t="s">
        <v>96</v>
      </c>
      <c r="B86" s="83" t="s">
        <v>44</v>
      </c>
      <c r="C86" s="50" t="s">
        <v>22</v>
      </c>
      <c r="D86" s="49" t="s">
        <v>116</v>
      </c>
      <c r="E86" s="68">
        <v>0.58809999999999996</v>
      </c>
      <c r="F86" s="56">
        <f>20%*E86</f>
        <v>0.11762</v>
      </c>
      <c r="G86" s="51">
        <v>3.1399999999999997E-2</v>
      </c>
      <c r="H86" s="52">
        <v>0</v>
      </c>
      <c r="I86" s="52">
        <v>0</v>
      </c>
      <c r="J86" s="53">
        <f>242/36848351</f>
        <v>6.5674580661696365E-6</v>
      </c>
      <c r="K86" s="64"/>
      <c r="L86" s="55"/>
      <c r="M86" s="55">
        <v>0</v>
      </c>
      <c r="N86" s="55">
        <v>0</v>
      </c>
      <c r="O86" s="55">
        <v>0</v>
      </c>
      <c r="P86" s="2" t="s">
        <v>49</v>
      </c>
      <c r="Q86" s="2" t="s">
        <v>112</v>
      </c>
    </row>
    <row r="87" spans="1:17" s="2" customFormat="1" ht="12" hidden="1" customHeight="1" x14ac:dyDescent="0.25">
      <c r="A87" s="49" t="s">
        <v>97</v>
      </c>
      <c r="B87" s="83" t="s">
        <v>35</v>
      </c>
      <c r="C87" s="50" t="s">
        <v>22</v>
      </c>
      <c r="D87" s="49" t="s">
        <v>117</v>
      </c>
      <c r="E87" s="68">
        <v>0.18579999999999999</v>
      </c>
      <c r="F87" s="56">
        <f t="shared" ref="F87:F88" si="20">20%*E87</f>
        <v>3.7159999999999999E-2</v>
      </c>
      <c r="G87" s="51">
        <v>3.1800000000000002E-2</v>
      </c>
      <c r="H87" s="52">
        <v>0</v>
      </c>
      <c r="I87" s="52">
        <v>5.0000000000000001E-4</v>
      </c>
      <c r="J87" s="53">
        <f>103754/3066273</f>
        <v>3.3837169749725483E-2</v>
      </c>
      <c r="K87" s="64"/>
      <c r="L87" s="55"/>
      <c r="M87" s="55">
        <f>(G87-I87)*J87</f>
        <v>1.0591034131664076E-3</v>
      </c>
      <c r="N87" s="55">
        <f>(G87-I87)*J87</f>
        <v>1.0591034131664076E-3</v>
      </c>
      <c r="O87" s="55">
        <v>0</v>
      </c>
      <c r="P87" s="2" t="s">
        <v>46</v>
      </c>
      <c r="Q87" s="2" t="s">
        <v>112</v>
      </c>
    </row>
    <row r="88" spans="1:17" s="2" customFormat="1" ht="12" hidden="1" customHeight="1" x14ac:dyDescent="0.25">
      <c r="A88" s="49" t="s">
        <v>98</v>
      </c>
      <c r="B88" s="83" t="s">
        <v>36</v>
      </c>
      <c r="C88" s="50" t="s">
        <v>22</v>
      </c>
      <c r="D88" s="49" t="s">
        <v>118</v>
      </c>
      <c r="E88" s="68">
        <v>0.2261</v>
      </c>
      <c r="F88" s="56">
        <f t="shared" si="20"/>
        <v>4.5220000000000003E-2</v>
      </c>
      <c r="G88" s="51">
        <v>2.35E-2</v>
      </c>
      <c r="H88" s="52">
        <f>9408000/(1233622000+9408000)</f>
        <v>7.5686025276944244E-3</v>
      </c>
      <c r="I88" s="52">
        <v>1.1999999999999999E-3</v>
      </c>
      <c r="J88" s="53">
        <f>317606/2105615</f>
        <v>0.15083764125920457</v>
      </c>
      <c r="K88" s="64"/>
      <c r="L88" s="55"/>
      <c r="M88" s="55">
        <f>G88*H88+J88*(G88-G88*H88-I88)</f>
        <v>3.5147132508877924E-3</v>
      </c>
      <c r="N88" s="55">
        <f>G88*H88+J88*(G88-G88*H88-I88)</f>
        <v>3.5147132508877924E-3</v>
      </c>
      <c r="O88" s="55">
        <f>G88*H88</f>
        <v>1.7786215940081897E-4</v>
      </c>
      <c r="P88" s="2" t="s">
        <v>113</v>
      </c>
      <c r="Q88" s="2" t="s">
        <v>112</v>
      </c>
    </row>
    <row r="89" spans="1:17" s="2" customFormat="1" ht="12" hidden="1" customHeight="1" x14ac:dyDescent="0.25">
      <c r="A89" s="49"/>
      <c r="B89" s="83"/>
      <c r="C89" s="50"/>
      <c r="D89" s="49"/>
      <c r="E89" s="49"/>
      <c r="F89" s="49"/>
      <c r="G89" s="49"/>
      <c r="H89" s="52"/>
      <c r="I89" s="52"/>
      <c r="J89" s="53"/>
      <c r="K89" s="64"/>
      <c r="L89" s="55"/>
      <c r="M89" s="55"/>
      <c r="N89" s="55"/>
      <c r="O89" s="55"/>
    </row>
    <row r="90" spans="1:17" s="2" customFormat="1" ht="12" customHeight="1" x14ac:dyDescent="0.25">
      <c r="A90" s="57" t="s">
        <v>148</v>
      </c>
      <c r="B90" s="82" t="s">
        <v>149</v>
      </c>
      <c r="C90" s="58" t="s">
        <v>22</v>
      </c>
      <c r="D90" s="57"/>
      <c r="E90" s="57"/>
      <c r="F90" s="63">
        <f>SUM(F91:F97)</f>
        <v>0.99999999999999989</v>
      </c>
      <c r="G90" s="57"/>
      <c r="H90" s="60"/>
      <c r="I90" s="60"/>
      <c r="J90" s="61"/>
      <c r="K90" s="65"/>
      <c r="L90" s="62">
        <f>0.22%*1.13</f>
        <v>2.4859999999999999E-3</v>
      </c>
      <c r="M90" s="62">
        <f>SUMPRODUCT(F91:F97,M91:M97)</f>
        <v>2.430661582847533E-3</v>
      </c>
      <c r="N90" s="62">
        <f>SUMPRODUCT(F91:F97,N91:N97)</f>
        <v>2.430661582847533E-3</v>
      </c>
      <c r="O90" s="62">
        <f>SUMPRODUCT(F91:F97,O91:O97)</f>
        <v>2.3221961334177988E-4</v>
      </c>
    </row>
    <row r="91" spans="1:17" s="2" customFormat="1" ht="12" hidden="1" customHeight="1" x14ac:dyDescent="0.25">
      <c r="A91" s="49" t="s">
        <v>93</v>
      </c>
      <c r="B91" s="83" t="s">
        <v>38</v>
      </c>
      <c r="C91" s="50" t="s">
        <v>22</v>
      </c>
      <c r="D91" s="49" t="s">
        <v>76</v>
      </c>
      <c r="E91" s="49"/>
      <c r="F91" s="56">
        <v>0.3</v>
      </c>
      <c r="G91" s="51">
        <v>3.39E-2</v>
      </c>
      <c r="H91" s="52">
        <v>0</v>
      </c>
      <c r="I91" s="52">
        <v>0</v>
      </c>
      <c r="J91" s="53">
        <f>2315/24618987</f>
        <v>9.4033113547685779E-5</v>
      </c>
      <c r="K91" s="64"/>
      <c r="L91" s="55"/>
      <c r="M91" s="55">
        <f>G91*J91</f>
        <v>3.1877225492665481E-6</v>
      </c>
      <c r="N91" s="55">
        <f>G91*J91</f>
        <v>3.1877225492665481E-6</v>
      </c>
      <c r="O91" s="55">
        <v>0</v>
      </c>
      <c r="P91" s="2" t="s">
        <v>49</v>
      </c>
      <c r="Q91" s="2" t="s">
        <v>112</v>
      </c>
    </row>
    <row r="92" spans="1:17" s="2" customFormat="1" ht="12" hidden="1" customHeight="1" x14ac:dyDescent="0.25">
      <c r="A92" s="49" t="s">
        <v>94</v>
      </c>
      <c r="B92" s="83" t="s">
        <v>3</v>
      </c>
      <c r="C92" s="50" t="s">
        <v>22</v>
      </c>
      <c r="D92" s="49" t="s">
        <v>87</v>
      </c>
      <c r="E92" s="66">
        <v>25089028</v>
      </c>
      <c r="F92" s="56">
        <v>0.38907460636765434</v>
      </c>
      <c r="G92" s="51">
        <v>2.0500000000000001E-2</v>
      </c>
      <c r="H92" s="52">
        <v>0</v>
      </c>
      <c r="I92" s="52">
        <v>4.0000000000000002E-4</v>
      </c>
      <c r="J92" s="53">
        <f>2584315/17246988</f>
        <v>0.14984152595224162</v>
      </c>
      <c r="K92" s="64"/>
      <c r="L92" s="55"/>
      <c r="M92" s="55">
        <f>(G92-I92)*J92</f>
        <v>3.0118146716400567E-3</v>
      </c>
      <c r="N92" s="55">
        <f>(G92-I92)*J92</f>
        <v>3.0118146716400567E-3</v>
      </c>
      <c r="O92" s="55">
        <v>0</v>
      </c>
      <c r="Q92" s="2" t="s">
        <v>112</v>
      </c>
    </row>
    <row r="93" spans="1:17" s="2" customFormat="1" ht="12" hidden="1" customHeight="1" x14ac:dyDescent="0.25">
      <c r="A93" s="49" t="s">
        <v>95</v>
      </c>
      <c r="B93" s="83" t="s">
        <v>19</v>
      </c>
      <c r="C93" s="50" t="s">
        <v>22</v>
      </c>
      <c r="D93" s="49" t="s">
        <v>88</v>
      </c>
      <c r="E93" s="66">
        <v>15219418</v>
      </c>
      <c r="F93" s="56">
        <v>0.23601907046756826</v>
      </c>
      <c r="G93" s="51">
        <v>3.4500000000000003E-2</v>
      </c>
      <c r="H93" s="52">
        <f>717985/8070109</f>
        <v>8.8968438964083379E-2</v>
      </c>
      <c r="I93" s="52">
        <v>0</v>
      </c>
      <c r="J93" s="53">
        <v>0</v>
      </c>
      <c r="K93" s="64"/>
      <c r="L93" s="55"/>
      <c r="M93" s="55">
        <f>G93*H93</f>
        <v>3.0694111442608769E-3</v>
      </c>
      <c r="N93" s="55">
        <f>G93*H93</f>
        <v>3.0694111442608769E-3</v>
      </c>
      <c r="O93" s="55">
        <v>0</v>
      </c>
      <c r="P93" s="2" t="s">
        <v>49</v>
      </c>
      <c r="Q93" s="2" t="s">
        <v>112</v>
      </c>
    </row>
    <row r="94" spans="1:17" s="2" customFormat="1" ht="12" hidden="1" customHeight="1" x14ac:dyDescent="0.25">
      <c r="A94" s="49" t="s">
        <v>67</v>
      </c>
      <c r="B94" s="83" t="s">
        <v>15</v>
      </c>
      <c r="C94" s="50" t="s">
        <v>22</v>
      </c>
      <c r="D94" s="49" t="s">
        <v>89</v>
      </c>
      <c r="E94" s="66">
        <v>4830248</v>
      </c>
      <c r="F94" s="56">
        <v>7.4906323164777425E-2</v>
      </c>
      <c r="G94" s="51">
        <v>3.1300000000000001E-2</v>
      </c>
      <c r="H94" s="52">
        <f>214389/(214389+1950155)</f>
        <v>9.9045803642707195E-2</v>
      </c>
      <c r="I94" s="52">
        <v>1.4E-3</v>
      </c>
      <c r="J94" s="53">
        <f>2316294/15436651</f>
        <v>0.15005158826224677</v>
      </c>
      <c r="K94" s="64"/>
      <c r="L94" s="55"/>
      <c r="M94" s="55">
        <f>G94*H94+J94*(G94-G94*H94-I94)</f>
        <v>7.1214961644474606E-3</v>
      </c>
      <c r="N94" s="55">
        <f>G94*H94+J94*(G94-G94*H94-I94)</f>
        <v>7.1214961644474606E-3</v>
      </c>
      <c r="O94" s="55">
        <f t="shared" ref="O94" si="21">G94*H94</f>
        <v>3.1001336540167354E-3</v>
      </c>
      <c r="P94" s="2" t="s">
        <v>46</v>
      </c>
      <c r="Q94" s="2" t="s">
        <v>112</v>
      </c>
    </row>
    <row r="95" spans="1:17" s="2" customFormat="1" ht="12" hidden="1" customHeight="1" x14ac:dyDescent="0.25">
      <c r="A95" s="49" t="s">
        <v>96</v>
      </c>
      <c r="B95" s="83" t="s">
        <v>44</v>
      </c>
      <c r="C95" s="50" t="s">
        <v>22</v>
      </c>
      <c r="D95" s="49" t="s">
        <v>116</v>
      </c>
      <c r="E95" s="68">
        <v>0.58809999999999996</v>
      </c>
      <c r="F95" s="56">
        <v>0</v>
      </c>
      <c r="G95" s="51">
        <v>3.1399999999999997E-2</v>
      </c>
      <c r="H95" s="52">
        <v>0</v>
      </c>
      <c r="I95" s="52">
        <v>0</v>
      </c>
      <c r="J95" s="53">
        <f>242/36848351</f>
        <v>6.5674580661696365E-6</v>
      </c>
      <c r="K95" s="64"/>
      <c r="L95" s="55"/>
      <c r="M95" s="55">
        <v>0</v>
      </c>
      <c r="N95" s="55">
        <v>0</v>
      </c>
      <c r="O95" s="55">
        <v>0</v>
      </c>
      <c r="P95" s="2" t="s">
        <v>49</v>
      </c>
      <c r="Q95" s="2" t="s">
        <v>112</v>
      </c>
    </row>
    <row r="96" spans="1:17" s="2" customFormat="1" ht="12" hidden="1" customHeight="1" x14ac:dyDescent="0.25">
      <c r="A96" s="49" t="s">
        <v>97</v>
      </c>
      <c r="B96" s="83" t="s">
        <v>35</v>
      </c>
      <c r="C96" s="50" t="s">
        <v>22</v>
      </c>
      <c r="D96" s="49" t="s">
        <v>117</v>
      </c>
      <c r="E96" s="68">
        <v>0.18579999999999999</v>
      </c>
      <c r="F96" s="56">
        <v>0</v>
      </c>
      <c r="G96" s="51">
        <v>3.1800000000000002E-2</v>
      </c>
      <c r="H96" s="52">
        <v>0</v>
      </c>
      <c r="I96" s="52">
        <v>5.0000000000000001E-4</v>
      </c>
      <c r="J96" s="53">
        <f>103754/3066273</f>
        <v>3.3837169749725483E-2</v>
      </c>
      <c r="K96" s="64"/>
      <c r="L96" s="55"/>
      <c r="M96" s="55">
        <f>(G96-I96)*J96</f>
        <v>1.0591034131664076E-3</v>
      </c>
      <c r="N96" s="55">
        <f>(G96-I96)*J96</f>
        <v>1.0591034131664076E-3</v>
      </c>
      <c r="O96" s="55">
        <v>0</v>
      </c>
      <c r="P96" s="2" t="s">
        <v>46</v>
      </c>
      <c r="Q96" s="2" t="s">
        <v>112</v>
      </c>
    </row>
    <row r="97" spans="1:17" s="2" customFormat="1" ht="12" hidden="1" customHeight="1" x14ac:dyDescent="0.25">
      <c r="A97" s="49" t="s">
        <v>98</v>
      </c>
      <c r="B97" s="83" t="s">
        <v>36</v>
      </c>
      <c r="C97" s="50" t="s">
        <v>22</v>
      </c>
      <c r="D97" s="49" t="s">
        <v>118</v>
      </c>
      <c r="E97" s="68">
        <v>0.2261</v>
      </c>
      <c r="F97" s="56">
        <v>0</v>
      </c>
      <c r="G97" s="51">
        <v>2.35E-2</v>
      </c>
      <c r="H97" s="52">
        <f>9408000/(1233622000+9408000)</f>
        <v>7.5686025276944244E-3</v>
      </c>
      <c r="I97" s="52">
        <v>1.1999999999999999E-3</v>
      </c>
      <c r="J97" s="53">
        <f>317606/2105615</f>
        <v>0.15083764125920457</v>
      </c>
      <c r="K97" s="64"/>
      <c r="L97" s="55"/>
      <c r="M97" s="55">
        <f>G97*H97+J97*(G97-G97*H97-I97)</f>
        <v>3.5147132508877924E-3</v>
      </c>
      <c r="N97" s="55">
        <f>G97*H97+J97*(G97-G97*H97-I97)</f>
        <v>3.5147132508877924E-3</v>
      </c>
      <c r="O97" s="55">
        <f>G97*H97</f>
        <v>1.7786215940081897E-4</v>
      </c>
      <c r="P97" s="2" t="s">
        <v>113</v>
      </c>
      <c r="Q97" s="2" t="s">
        <v>112</v>
      </c>
    </row>
    <row r="98" spans="1:17" s="2" customFormat="1" ht="12" hidden="1" customHeight="1" x14ac:dyDescent="0.25">
      <c r="A98" s="49"/>
      <c r="B98" s="83"/>
      <c r="C98" s="50"/>
      <c r="D98" s="49"/>
      <c r="E98" s="49"/>
      <c r="F98" s="49"/>
      <c r="G98" s="49"/>
      <c r="H98" s="52"/>
      <c r="I98" s="52"/>
      <c r="J98" s="53"/>
      <c r="K98" s="64"/>
      <c r="L98" s="55"/>
      <c r="M98" s="55"/>
      <c r="N98" s="55"/>
      <c r="O98" s="55"/>
    </row>
    <row r="99" spans="1:17" s="2" customFormat="1" ht="12" customHeight="1" x14ac:dyDescent="0.25">
      <c r="A99" s="49" t="s">
        <v>123</v>
      </c>
      <c r="B99" s="83" t="s">
        <v>120</v>
      </c>
      <c r="C99" s="50" t="s">
        <v>22</v>
      </c>
      <c r="D99" s="49"/>
      <c r="E99" s="49"/>
      <c r="F99" s="56">
        <f>SUM(F100:F107)</f>
        <v>1</v>
      </c>
      <c r="G99" s="51"/>
      <c r="H99" s="52"/>
      <c r="I99" s="52"/>
      <c r="J99" s="53"/>
      <c r="K99" s="64"/>
      <c r="L99" s="55">
        <v>2.0999999999999999E-3</v>
      </c>
      <c r="M99" s="55">
        <f>SUMPRODUCT(F100:F107,M100:M107)</f>
        <v>1.513453329368227E-3</v>
      </c>
      <c r="N99" s="55">
        <f>SUMPRODUCT(F100:F107,N100:N107)</f>
        <v>1.513453329368227E-3</v>
      </c>
      <c r="O99" s="55">
        <f>SUMPRODUCT(F100:F107,O100:O107)</f>
        <v>9.2799144749453597E-5</v>
      </c>
    </row>
    <row r="100" spans="1:17" s="2" customFormat="1" ht="12" hidden="1" customHeight="1" x14ac:dyDescent="0.25">
      <c r="A100" s="49" t="s">
        <v>124</v>
      </c>
      <c r="B100" s="83" t="s">
        <v>132</v>
      </c>
      <c r="C100" s="50" t="s">
        <v>22</v>
      </c>
      <c r="D100" s="49" t="s">
        <v>143</v>
      </c>
      <c r="E100" s="49"/>
      <c r="F100" s="56">
        <v>0.06</v>
      </c>
      <c r="G100" s="51">
        <v>2.8899999999999999E-2</v>
      </c>
      <c r="H100" s="52">
        <v>0</v>
      </c>
      <c r="I100" s="52">
        <v>0</v>
      </c>
      <c r="J100" s="53">
        <v>0</v>
      </c>
      <c r="K100" s="64"/>
      <c r="L100" s="55"/>
      <c r="M100" s="55">
        <f>G100*J100</f>
        <v>0</v>
      </c>
      <c r="N100" s="55">
        <f>G100*J100</f>
        <v>0</v>
      </c>
      <c r="O100" s="55">
        <v>0</v>
      </c>
      <c r="P100" s="2" t="s">
        <v>49</v>
      </c>
      <c r="Q100" s="2" t="s">
        <v>112</v>
      </c>
    </row>
    <row r="101" spans="1:17" s="2" customFormat="1" ht="12" hidden="1" customHeight="1" x14ac:dyDescent="0.25">
      <c r="A101" s="49" t="s">
        <v>125</v>
      </c>
      <c r="B101" s="83" t="s">
        <v>85</v>
      </c>
      <c r="C101" s="50" t="s">
        <v>22</v>
      </c>
      <c r="D101" s="49" t="s">
        <v>140</v>
      </c>
      <c r="E101" s="66"/>
      <c r="F101" s="56">
        <v>0.26</v>
      </c>
      <c r="G101" s="51">
        <v>3.1600000000000003E-2</v>
      </c>
      <c r="H101" s="52">
        <v>0</v>
      </c>
      <c r="I101" s="52">
        <v>0</v>
      </c>
      <c r="J101" s="53">
        <v>0</v>
      </c>
      <c r="K101" s="64"/>
      <c r="L101" s="55"/>
      <c r="M101" s="55">
        <v>0</v>
      </c>
      <c r="N101" s="55">
        <v>0</v>
      </c>
      <c r="O101" s="55">
        <v>0</v>
      </c>
      <c r="P101" s="2" t="s">
        <v>49</v>
      </c>
    </row>
    <row r="102" spans="1:17" s="2" customFormat="1" ht="12" hidden="1" customHeight="1" x14ac:dyDescent="0.25">
      <c r="A102" s="49" t="s">
        <v>126</v>
      </c>
      <c r="B102" s="83" t="s">
        <v>133</v>
      </c>
      <c r="C102" s="50" t="s">
        <v>21</v>
      </c>
      <c r="D102" s="49" t="s">
        <v>141</v>
      </c>
      <c r="E102" s="66"/>
      <c r="F102" s="56">
        <v>0.04</v>
      </c>
      <c r="G102" s="51"/>
      <c r="H102" s="52">
        <v>0</v>
      </c>
      <c r="I102" s="52">
        <v>1.5E-3</v>
      </c>
      <c r="J102" s="53">
        <v>0</v>
      </c>
      <c r="K102" s="64"/>
      <c r="L102" s="55"/>
      <c r="M102" s="55">
        <f>G102*H102</f>
        <v>0</v>
      </c>
      <c r="N102" s="55">
        <f>G102*H102</f>
        <v>0</v>
      </c>
      <c r="O102" s="55">
        <v>0</v>
      </c>
      <c r="P102" s="2" t="s">
        <v>113</v>
      </c>
      <c r="Q102" s="2" t="s">
        <v>112</v>
      </c>
    </row>
    <row r="103" spans="1:17" s="2" customFormat="1" ht="12" hidden="1" customHeight="1" x14ac:dyDescent="0.25">
      <c r="A103" s="49" t="s">
        <v>127</v>
      </c>
      <c r="B103" s="83" t="s">
        <v>134</v>
      </c>
      <c r="C103" s="50" t="s">
        <v>21</v>
      </c>
      <c r="D103" s="49" t="s">
        <v>142</v>
      </c>
      <c r="E103" s="66"/>
      <c r="F103" s="56">
        <v>0.04</v>
      </c>
      <c r="G103" s="51"/>
      <c r="H103" s="52">
        <v>0</v>
      </c>
      <c r="I103" s="52">
        <v>5.9999999999999995E-4</v>
      </c>
      <c r="J103" s="53">
        <v>0</v>
      </c>
      <c r="K103" s="64"/>
      <c r="L103" s="55"/>
      <c r="M103" s="55">
        <f>G103*H103+J103*(G103-G103*H103-I103)</f>
        <v>0</v>
      </c>
      <c r="N103" s="55">
        <f>G103*H103+J103*(G103-G103*H103-I103)</f>
        <v>0</v>
      </c>
      <c r="O103" s="55">
        <f t="shared" ref="O103" si="22">G103*H103</f>
        <v>0</v>
      </c>
      <c r="P103" s="2" t="s">
        <v>46</v>
      </c>
      <c r="Q103" s="2" t="s">
        <v>112</v>
      </c>
    </row>
    <row r="104" spans="1:17" s="2" customFormat="1" ht="12" hidden="1" customHeight="1" x14ac:dyDescent="0.25">
      <c r="A104" s="49" t="s">
        <v>128</v>
      </c>
      <c r="B104" s="83" t="s">
        <v>40</v>
      </c>
      <c r="C104" s="50" t="s">
        <v>22</v>
      </c>
      <c r="D104" s="49" t="s">
        <v>79</v>
      </c>
      <c r="E104" s="49"/>
      <c r="F104" s="56">
        <v>0.15</v>
      </c>
      <c r="G104" s="51">
        <v>3.4500000000000003E-2</v>
      </c>
      <c r="H104" s="52">
        <v>0</v>
      </c>
      <c r="I104" s="52">
        <v>0</v>
      </c>
      <c r="J104" s="53">
        <f>6716/91340632</f>
        <v>7.3526970997967253E-5</v>
      </c>
      <c r="K104" s="64"/>
      <c r="L104" s="55"/>
      <c r="M104" s="55">
        <f>G104*J104</f>
        <v>2.5366804994298704E-6</v>
      </c>
      <c r="N104" s="55">
        <f>G104*J104</f>
        <v>2.5366804994298704E-6</v>
      </c>
      <c r="O104" s="55">
        <v>0</v>
      </c>
      <c r="P104" s="2" t="s">
        <v>49</v>
      </c>
      <c r="Q104" s="2" t="s">
        <v>110</v>
      </c>
    </row>
    <row r="105" spans="1:17" s="2" customFormat="1" ht="12" hidden="1" customHeight="1" x14ac:dyDescent="0.25">
      <c r="A105" s="49" t="s">
        <v>129</v>
      </c>
      <c r="B105" s="83" t="s">
        <v>5</v>
      </c>
      <c r="C105" s="50" t="s">
        <v>21</v>
      </c>
      <c r="D105" s="49" t="s">
        <v>90</v>
      </c>
      <c r="E105" s="49"/>
      <c r="F105" s="56">
        <v>0.27</v>
      </c>
      <c r="G105" s="51">
        <v>2.1499999999999998E-2</v>
      </c>
      <c r="H105" s="52">
        <v>0</v>
      </c>
      <c r="I105" s="52">
        <v>2.9999999999999997E-4</v>
      </c>
      <c r="J105" s="53">
        <v>0.15</v>
      </c>
      <c r="K105" s="64"/>
      <c r="L105" s="55"/>
      <c r="M105" s="55">
        <f>(G105-I105)*J105</f>
        <v>3.1799999999999992E-3</v>
      </c>
      <c r="N105" s="55">
        <f>(G105-I105)*J105</f>
        <v>3.1799999999999992E-3</v>
      </c>
      <c r="O105" s="55">
        <v>0</v>
      </c>
      <c r="P105" s="2" t="s">
        <v>65</v>
      </c>
    </row>
    <row r="106" spans="1:17" s="2" customFormat="1" ht="12" hidden="1" customHeight="1" x14ac:dyDescent="0.25">
      <c r="A106" s="49" t="s">
        <v>130</v>
      </c>
      <c r="B106" s="83" t="s">
        <v>11</v>
      </c>
      <c r="C106" s="50" t="s">
        <v>22</v>
      </c>
      <c r="D106" s="49" t="s">
        <v>71</v>
      </c>
      <c r="E106" s="49"/>
      <c r="F106" s="56">
        <v>0.15</v>
      </c>
      <c r="G106" s="51">
        <v>3.5700000000000003E-2</v>
      </c>
      <c r="H106" s="52">
        <f>2877312/34168369</f>
        <v>8.42098140534598E-2</v>
      </c>
      <c r="I106" s="52">
        <v>0</v>
      </c>
      <c r="J106" s="53">
        <v>0</v>
      </c>
      <c r="K106" s="64"/>
      <c r="L106" s="55"/>
      <c r="M106" s="55">
        <f>G106*H106</f>
        <v>3.0062903617085151E-3</v>
      </c>
      <c r="N106" s="55">
        <f t="shared" ref="N106" si="23">G106*H106</f>
        <v>3.0062903617085151E-3</v>
      </c>
      <c r="O106" s="55">
        <v>0</v>
      </c>
      <c r="P106" s="2" t="s">
        <v>49</v>
      </c>
      <c r="Q106" s="2" t="s">
        <v>110</v>
      </c>
    </row>
    <row r="107" spans="1:17" s="2" customFormat="1" ht="12" hidden="1" customHeight="1" x14ac:dyDescent="0.25">
      <c r="A107" s="49" t="s">
        <v>131</v>
      </c>
      <c r="B107" s="83" t="s">
        <v>17</v>
      </c>
      <c r="C107" s="50" t="s">
        <v>21</v>
      </c>
      <c r="D107" s="49" t="s">
        <v>72</v>
      </c>
      <c r="E107" s="49"/>
      <c r="F107" s="56">
        <v>0.03</v>
      </c>
      <c r="G107" s="51">
        <v>2.9100000000000001E-2</v>
      </c>
      <c r="H107" s="52">
        <f>80593821/(80593821+677585642)</f>
        <v>0.1062991348790992</v>
      </c>
      <c r="I107" s="52">
        <v>1.4E-3</v>
      </c>
      <c r="J107" s="53">
        <v>0.15</v>
      </c>
      <c r="K107" s="64"/>
      <c r="L107" s="55"/>
      <c r="M107" s="55">
        <f>G107*H107+J107*(G107-G107*H107-I107)</f>
        <v>6.7843091012345196E-3</v>
      </c>
      <c r="N107" s="55">
        <f>G107*H107+J107*(G107-G107*H107-I107)</f>
        <v>6.7843091012345196E-3</v>
      </c>
      <c r="O107" s="55">
        <f>G107*H107</f>
        <v>3.0933048249817867E-3</v>
      </c>
      <c r="P107" s="2" t="s">
        <v>65</v>
      </c>
    </row>
    <row r="108" spans="1:17" s="2" customFormat="1" ht="12" hidden="1" customHeight="1" x14ac:dyDescent="0.25">
      <c r="A108" s="49"/>
      <c r="B108" s="83"/>
      <c r="C108" s="50"/>
      <c r="D108" s="49"/>
      <c r="E108" s="49"/>
      <c r="F108" s="56"/>
      <c r="G108" s="49"/>
      <c r="H108" s="52"/>
      <c r="I108" s="52"/>
      <c r="J108" s="53"/>
      <c r="K108" s="64"/>
      <c r="L108" s="55"/>
      <c r="M108" s="55"/>
      <c r="N108" s="55"/>
      <c r="O108" s="55"/>
    </row>
    <row r="109" spans="1:17" s="2" customFormat="1" ht="12" customHeight="1" x14ac:dyDescent="0.25">
      <c r="A109" s="57" t="s">
        <v>122</v>
      </c>
      <c r="B109" s="82" t="s">
        <v>121</v>
      </c>
      <c r="C109" s="58" t="s">
        <v>22</v>
      </c>
      <c r="D109" s="57"/>
      <c r="E109" s="57"/>
      <c r="F109" s="63">
        <f>SUM(F110:F117)</f>
        <v>1</v>
      </c>
      <c r="G109" s="57"/>
      <c r="H109" s="60"/>
      <c r="I109" s="60"/>
      <c r="J109" s="61"/>
      <c r="K109" s="65"/>
      <c r="L109" s="62">
        <v>2.0999999999999999E-3</v>
      </c>
      <c r="M109" s="62">
        <f>SUMPRODUCT(F110:F117,M110:M117)</f>
        <v>2.0179377724909697E-3</v>
      </c>
      <c r="N109" s="62">
        <f>SUMPRODUCT(F110:F117,N110:N117)</f>
        <v>2.0179377724909697E-3</v>
      </c>
      <c r="O109" s="62">
        <f>SUMPRODUCT(F110:F117,O110:O117)</f>
        <v>1.2373219299927147E-4</v>
      </c>
    </row>
    <row r="110" spans="1:17" s="2" customFormat="1" ht="12" hidden="1" customHeight="1" x14ac:dyDescent="0.25">
      <c r="A110" s="49" t="s">
        <v>124</v>
      </c>
      <c r="B110" s="50" t="s">
        <v>132</v>
      </c>
      <c r="C110" s="50" t="s">
        <v>22</v>
      </c>
      <c r="D110" s="49" t="s">
        <v>143</v>
      </c>
      <c r="E110" s="49"/>
      <c r="F110" s="56">
        <v>0.03</v>
      </c>
      <c r="G110" s="51">
        <v>2.8899999999999999E-2</v>
      </c>
      <c r="H110" s="52">
        <v>0</v>
      </c>
      <c r="I110" s="52">
        <v>0</v>
      </c>
      <c r="J110" s="53">
        <v>0</v>
      </c>
      <c r="K110" s="54"/>
      <c r="L110" s="55"/>
      <c r="M110" s="55">
        <f>G110*J110</f>
        <v>0</v>
      </c>
      <c r="N110" s="55">
        <f>G110*J110</f>
        <v>0</v>
      </c>
      <c r="O110" s="55">
        <v>0</v>
      </c>
      <c r="P110" s="2" t="s">
        <v>49</v>
      </c>
      <c r="Q110" s="2" t="s">
        <v>112</v>
      </c>
    </row>
    <row r="111" spans="1:17" s="2" customFormat="1" ht="12" hidden="1" customHeight="1" x14ac:dyDescent="0.25">
      <c r="A111" s="49" t="s">
        <v>125</v>
      </c>
      <c r="B111" s="50" t="s">
        <v>85</v>
      </c>
      <c r="C111" s="50" t="s">
        <v>22</v>
      </c>
      <c r="D111" s="49" t="s">
        <v>140</v>
      </c>
      <c r="E111" s="66"/>
      <c r="F111" s="56">
        <v>0.13</v>
      </c>
      <c r="G111" s="51">
        <v>3.1600000000000003E-2</v>
      </c>
      <c r="H111" s="52">
        <v>0</v>
      </c>
      <c r="I111" s="52">
        <v>0</v>
      </c>
      <c r="J111" s="53">
        <v>0</v>
      </c>
      <c r="K111" s="54"/>
      <c r="L111" s="55"/>
      <c r="M111" s="55">
        <v>0</v>
      </c>
      <c r="N111" s="55">
        <v>0</v>
      </c>
      <c r="O111" s="55">
        <v>0</v>
      </c>
      <c r="P111" s="2" t="s">
        <v>49</v>
      </c>
    </row>
    <row r="112" spans="1:17" s="2" customFormat="1" ht="12" hidden="1" customHeight="1" x14ac:dyDescent="0.25">
      <c r="A112" s="49" t="s">
        <v>126</v>
      </c>
      <c r="B112" s="50" t="s">
        <v>133</v>
      </c>
      <c r="C112" s="50" t="s">
        <v>21</v>
      </c>
      <c r="D112" s="49" t="s">
        <v>141</v>
      </c>
      <c r="E112" s="66"/>
      <c r="F112" s="56">
        <v>0.02</v>
      </c>
      <c r="G112" s="51"/>
      <c r="H112" s="52">
        <v>0</v>
      </c>
      <c r="I112" s="52">
        <v>1.5E-3</v>
      </c>
      <c r="J112" s="53">
        <v>0</v>
      </c>
      <c r="K112" s="54"/>
      <c r="L112" s="55"/>
      <c r="M112" s="55">
        <f>G112*H112</f>
        <v>0</v>
      </c>
      <c r="N112" s="55">
        <f>G112*H112</f>
        <v>0</v>
      </c>
      <c r="O112" s="55">
        <v>0</v>
      </c>
      <c r="P112" s="2" t="s">
        <v>113</v>
      </c>
      <c r="Q112" s="2" t="s">
        <v>112</v>
      </c>
    </row>
    <row r="113" spans="1:17" s="2" customFormat="1" ht="12" hidden="1" customHeight="1" x14ac:dyDescent="0.25">
      <c r="A113" s="49" t="s">
        <v>127</v>
      </c>
      <c r="B113" s="50" t="s">
        <v>134</v>
      </c>
      <c r="C113" s="50" t="s">
        <v>21</v>
      </c>
      <c r="D113" s="49" t="s">
        <v>142</v>
      </c>
      <c r="E113" s="66"/>
      <c r="F113" s="56">
        <v>0.02</v>
      </c>
      <c r="G113" s="51"/>
      <c r="H113" s="52">
        <v>0</v>
      </c>
      <c r="I113" s="52">
        <v>5.9999999999999995E-4</v>
      </c>
      <c r="J113" s="53">
        <v>0</v>
      </c>
      <c r="K113" s="54"/>
      <c r="L113" s="55"/>
      <c r="M113" s="55">
        <f>G113*H113+J113*(G113-G113*H113-I113)</f>
        <v>0</v>
      </c>
      <c r="N113" s="55">
        <f>G113*H113+J113*(G113-G113*H113-I113)</f>
        <v>0</v>
      </c>
      <c r="O113" s="55">
        <f t="shared" ref="O113" si="24">G113*H113</f>
        <v>0</v>
      </c>
      <c r="Q113" s="2" t="s">
        <v>112</v>
      </c>
    </row>
    <row r="114" spans="1:17" s="2" customFormat="1" ht="12" hidden="1" customHeight="1" x14ac:dyDescent="0.25">
      <c r="A114" s="49" t="s">
        <v>128</v>
      </c>
      <c r="B114" s="50" t="s">
        <v>40</v>
      </c>
      <c r="C114" s="50" t="s">
        <v>22</v>
      </c>
      <c r="D114" s="49" t="s">
        <v>79</v>
      </c>
      <c r="E114" s="49"/>
      <c r="F114" s="56">
        <v>0.2</v>
      </c>
      <c r="G114" s="51">
        <v>3.4500000000000003E-2</v>
      </c>
      <c r="H114" s="52">
        <v>0</v>
      </c>
      <c r="I114" s="52">
        <v>0</v>
      </c>
      <c r="J114" s="53">
        <f>6716/91340632</f>
        <v>7.3526970997967253E-5</v>
      </c>
      <c r="K114" s="54"/>
      <c r="L114" s="55"/>
      <c r="M114" s="55">
        <f>G114*J114</f>
        <v>2.5366804994298704E-6</v>
      </c>
      <c r="N114" s="55">
        <f>G114*J114</f>
        <v>2.5366804994298704E-6</v>
      </c>
      <c r="O114" s="55">
        <v>0</v>
      </c>
      <c r="P114" s="2" t="s">
        <v>49</v>
      </c>
      <c r="Q114" s="2" t="s">
        <v>110</v>
      </c>
    </row>
    <row r="115" spans="1:17" s="2" customFormat="1" ht="12" hidden="1" customHeight="1" x14ac:dyDescent="0.25">
      <c r="A115" s="49" t="s">
        <v>129</v>
      </c>
      <c r="B115" s="50" t="s">
        <v>5</v>
      </c>
      <c r="C115" s="50" t="s">
        <v>21</v>
      </c>
      <c r="D115" s="49" t="s">
        <v>90</v>
      </c>
      <c r="E115" s="49"/>
      <c r="F115" s="56">
        <v>0.36</v>
      </c>
      <c r="G115" s="51">
        <v>2.1499999999999998E-2</v>
      </c>
      <c r="H115" s="52">
        <v>0</v>
      </c>
      <c r="I115" s="52">
        <v>2.9999999999999997E-4</v>
      </c>
      <c r="J115" s="53">
        <v>0.15</v>
      </c>
      <c r="K115" s="54"/>
      <c r="L115" s="55"/>
      <c r="M115" s="55">
        <f>(G115-I115)*J115</f>
        <v>3.1799999999999992E-3</v>
      </c>
      <c r="N115" s="55">
        <f>(G115-I115)*J115</f>
        <v>3.1799999999999992E-3</v>
      </c>
      <c r="O115" s="55">
        <v>0</v>
      </c>
      <c r="P115" s="2" t="s">
        <v>65</v>
      </c>
    </row>
    <row r="116" spans="1:17" s="2" customFormat="1" ht="12" hidden="1" customHeight="1" x14ac:dyDescent="0.25">
      <c r="A116" s="49" t="s">
        <v>130</v>
      </c>
      <c r="B116" s="50" t="s">
        <v>11</v>
      </c>
      <c r="C116" s="50" t="s">
        <v>22</v>
      </c>
      <c r="D116" s="49" t="s">
        <v>71</v>
      </c>
      <c r="E116" s="49"/>
      <c r="F116" s="56">
        <v>0.2</v>
      </c>
      <c r="G116" s="51">
        <v>3.5700000000000003E-2</v>
      </c>
      <c r="H116" s="52">
        <f>2877312/34168369</f>
        <v>8.42098140534598E-2</v>
      </c>
      <c r="I116" s="52">
        <v>0</v>
      </c>
      <c r="J116" s="53">
        <v>0</v>
      </c>
      <c r="K116" s="54"/>
      <c r="L116" s="55"/>
      <c r="M116" s="55">
        <f>G116*H116</f>
        <v>3.0062903617085151E-3</v>
      </c>
      <c r="N116" s="55">
        <f t="shared" ref="N116" si="25">G116*H116</f>
        <v>3.0062903617085151E-3</v>
      </c>
      <c r="O116" s="55">
        <v>0</v>
      </c>
      <c r="P116" s="2" t="s">
        <v>49</v>
      </c>
      <c r="Q116" s="2" t="s">
        <v>110</v>
      </c>
    </row>
    <row r="117" spans="1:17" s="2" customFormat="1" ht="12" hidden="1" customHeight="1" x14ac:dyDescent="0.25">
      <c r="A117" s="49" t="s">
        <v>131</v>
      </c>
      <c r="B117" s="50" t="s">
        <v>17</v>
      </c>
      <c r="C117" s="50" t="s">
        <v>21</v>
      </c>
      <c r="D117" s="49" t="s">
        <v>72</v>
      </c>
      <c r="E117" s="49"/>
      <c r="F117" s="56">
        <v>0.04</v>
      </c>
      <c r="G117" s="51">
        <v>2.9100000000000001E-2</v>
      </c>
      <c r="H117" s="52">
        <f>80593821/(80593821+677585642)</f>
        <v>0.1062991348790992</v>
      </c>
      <c r="I117" s="52">
        <v>1.4E-3</v>
      </c>
      <c r="J117" s="53">
        <v>0.15</v>
      </c>
      <c r="K117" s="54"/>
      <c r="L117" s="55"/>
      <c r="M117" s="55">
        <f>G117*H117+J117*(G117-G117*H117-I117)</f>
        <v>6.7843091012345196E-3</v>
      </c>
      <c r="N117" s="55">
        <f>G117*H117+J117*(G117-G117*H117-I117)</f>
        <v>6.7843091012345196E-3</v>
      </c>
      <c r="O117" s="55">
        <f>G117*H117</f>
        <v>3.0933048249817867E-3</v>
      </c>
      <c r="P117" s="2" t="s">
        <v>65</v>
      </c>
    </row>
    <row r="118" spans="1:17" s="2" customFormat="1" ht="12" hidden="1" customHeight="1" x14ac:dyDescent="0.25">
      <c r="A118" s="49"/>
      <c r="B118" s="50"/>
      <c r="C118" s="50"/>
      <c r="D118" s="49"/>
      <c r="E118" s="49"/>
      <c r="F118" s="49"/>
      <c r="G118" s="49"/>
      <c r="H118" s="52"/>
      <c r="I118" s="52"/>
      <c r="J118" s="53"/>
      <c r="K118" s="69"/>
      <c r="L118" s="55"/>
      <c r="M118" s="55"/>
      <c r="N118" s="55"/>
      <c r="O118" s="55"/>
    </row>
    <row r="119" spans="1:17" s="2" customFormat="1" ht="12" customHeight="1" x14ac:dyDescent="0.25">
      <c r="A119" s="49"/>
      <c r="B119" s="50"/>
      <c r="C119" s="50"/>
      <c r="D119" s="49"/>
      <c r="E119" s="49"/>
      <c r="F119" s="49"/>
      <c r="G119" s="49"/>
      <c r="H119" s="52"/>
      <c r="I119" s="52"/>
      <c r="J119" s="53"/>
      <c r="K119" s="69"/>
      <c r="L119" s="55"/>
      <c r="M119" s="55"/>
      <c r="N119" s="55"/>
      <c r="O119" s="55"/>
    </row>
    <row r="120" spans="1:17" s="2" customFormat="1" ht="12" customHeight="1" x14ac:dyDescent="0.25">
      <c r="A120" s="42" t="s">
        <v>144</v>
      </c>
      <c r="B120" s="33"/>
      <c r="C120" s="33"/>
      <c r="D120" s="32"/>
      <c r="E120" s="32"/>
      <c r="F120" s="32"/>
      <c r="G120" s="32"/>
      <c r="H120" s="34"/>
      <c r="I120" s="34"/>
      <c r="J120" s="38"/>
      <c r="K120" s="81" t="s">
        <v>99</v>
      </c>
      <c r="L120" s="78" t="s">
        <v>107</v>
      </c>
      <c r="M120" s="78" t="s">
        <v>135</v>
      </c>
      <c r="N120" s="78" t="s">
        <v>136</v>
      </c>
      <c r="O120" s="78" t="s">
        <v>66</v>
      </c>
    </row>
    <row r="121" spans="1:17" s="2" customFormat="1" ht="12" customHeight="1" x14ac:dyDescent="0.25">
      <c r="A121" s="70" t="s">
        <v>145</v>
      </c>
      <c r="B121" s="71"/>
      <c r="C121" s="71"/>
      <c r="D121" s="72"/>
      <c r="E121" s="72"/>
      <c r="F121" s="72"/>
      <c r="G121" s="72"/>
      <c r="H121" s="73"/>
      <c r="I121" s="73"/>
      <c r="J121" s="74"/>
      <c r="K121" s="75">
        <f>SUM(K9:K117)</f>
        <v>1</v>
      </c>
      <c r="L121" s="76">
        <f>SUMPRODUCT($K$9:$K$117,L9:L117)</f>
        <v>9.8339999999999994E-4</v>
      </c>
      <c r="M121" s="76">
        <f>SUMPRODUCT($K$9:$K$117,M9:M117)</f>
        <v>2.4321808672539136E-3</v>
      </c>
      <c r="N121" s="76">
        <f>SUMPRODUCT($K$9:$K$117,N9:N117)</f>
        <v>9.5784737086160201E-4</v>
      </c>
      <c r="O121" s="76">
        <f>SUMPRODUCT($K$9:$K$117,O9:O117)</f>
        <v>2.3251002405125514E-4</v>
      </c>
    </row>
    <row r="122" spans="1:17" s="2" customFormat="1" ht="12" customHeight="1" x14ac:dyDescent="0.25">
      <c r="A122" s="20"/>
      <c r="B122" s="21"/>
      <c r="C122" s="21"/>
      <c r="D122" s="20"/>
      <c r="E122" s="20"/>
      <c r="F122" s="20"/>
      <c r="G122" s="20"/>
      <c r="H122" s="22"/>
      <c r="I122" s="22"/>
      <c r="J122" s="22"/>
      <c r="K122" s="24"/>
      <c r="L122" s="24"/>
      <c r="M122" s="24"/>
      <c r="N122" s="24"/>
      <c r="O122" s="24"/>
    </row>
    <row r="123" spans="1:17" s="2" customFormat="1" ht="12" customHeight="1" x14ac:dyDescent="0.25">
      <c r="A123" s="20"/>
      <c r="B123" s="21"/>
      <c r="C123" s="21"/>
      <c r="D123" s="20"/>
      <c r="E123" s="20"/>
      <c r="F123" s="20"/>
      <c r="G123" s="20"/>
      <c r="H123" s="22"/>
      <c r="I123" s="22"/>
      <c r="J123" s="22"/>
      <c r="K123" s="24"/>
      <c r="L123" s="24"/>
      <c r="M123" s="24"/>
      <c r="N123" s="24"/>
      <c r="O123" s="24"/>
    </row>
    <row r="124" spans="1:17" s="2" customFormat="1" ht="12" customHeight="1" x14ac:dyDescent="0.25">
      <c r="A124" s="20"/>
      <c r="B124" s="21"/>
      <c r="C124" s="21"/>
      <c r="D124" s="20"/>
      <c r="E124" s="20"/>
      <c r="F124" s="20"/>
      <c r="G124" s="20"/>
      <c r="H124" s="22"/>
      <c r="I124" s="22"/>
      <c r="J124" s="22"/>
      <c r="K124" s="24"/>
      <c r="L124" s="24"/>
      <c r="M124" s="24"/>
      <c r="N124" s="24"/>
      <c r="O124" s="24"/>
    </row>
    <row r="125" spans="1:17" s="2" customFormat="1" ht="12" customHeight="1" x14ac:dyDescent="0.25">
      <c r="A125" s="84" t="s">
        <v>147</v>
      </c>
      <c r="B125" s="21"/>
      <c r="C125" s="21"/>
      <c r="D125" s="20"/>
      <c r="E125" s="20"/>
      <c r="F125" s="20"/>
      <c r="G125" s="20"/>
      <c r="H125" s="23"/>
      <c r="I125" s="23"/>
      <c r="J125" s="23"/>
      <c r="K125" s="24"/>
      <c r="L125" s="21"/>
      <c r="M125" s="24"/>
      <c r="N125" s="24"/>
      <c r="O125" s="24"/>
    </row>
    <row r="126" spans="1:17" s="2" customFormat="1" ht="12" customHeight="1" x14ac:dyDescent="0.25">
      <c r="A126" s="88" t="s">
        <v>146</v>
      </c>
      <c r="B126" s="21"/>
      <c r="C126" s="21"/>
      <c r="D126" s="20"/>
      <c r="E126" s="20"/>
      <c r="F126" s="20"/>
      <c r="G126" s="20"/>
      <c r="H126" s="23"/>
      <c r="I126" s="23"/>
      <c r="J126" s="23"/>
      <c r="K126" s="24"/>
      <c r="L126" s="21"/>
      <c r="M126" s="24"/>
      <c r="N126" s="24"/>
      <c r="O126" s="24"/>
    </row>
    <row r="127" spans="1:17" s="2" customFormat="1" ht="12" customHeight="1" x14ac:dyDescent="0.25">
      <c r="A127" s="20"/>
      <c r="B127" s="21"/>
      <c r="C127" s="21"/>
      <c r="D127" s="20"/>
      <c r="E127" s="20"/>
      <c r="F127" s="20"/>
      <c r="G127" s="20"/>
      <c r="H127" s="23"/>
      <c r="I127" s="23"/>
      <c r="J127" s="23"/>
      <c r="K127" s="24"/>
      <c r="L127" s="21"/>
      <c r="M127" s="24"/>
      <c r="N127" s="24"/>
      <c r="O127" s="24"/>
    </row>
    <row r="128" spans="1:17" s="2" customFormat="1" ht="12" customHeight="1" x14ac:dyDescent="0.25">
      <c r="A128" s="20"/>
      <c r="B128" s="21"/>
      <c r="C128" s="21"/>
      <c r="D128" s="20"/>
      <c r="E128" s="31"/>
      <c r="F128" s="25"/>
      <c r="G128" s="20"/>
      <c r="H128" s="23"/>
      <c r="I128" s="23"/>
      <c r="J128" s="23"/>
      <c r="K128" s="24"/>
      <c r="L128" s="21"/>
      <c r="M128" s="24"/>
      <c r="N128" s="24"/>
      <c r="O128" s="24"/>
    </row>
    <row r="129" spans="1:15" s="2" customFormat="1" ht="12" customHeight="1" x14ac:dyDescent="0.25">
      <c r="A129" s="20"/>
      <c r="B129" s="21"/>
      <c r="C129" s="21"/>
      <c r="D129" s="30"/>
      <c r="E129" s="31"/>
      <c r="F129" s="25"/>
      <c r="G129" s="20"/>
      <c r="H129" s="23"/>
      <c r="I129" s="23"/>
      <c r="J129" s="23"/>
      <c r="K129" s="24"/>
      <c r="L129" s="21"/>
      <c r="M129" s="24"/>
      <c r="N129" s="24"/>
      <c r="O129" s="24"/>
    </row>
    <row r="130" spans="1:15" s="2" customFormat="1" ht="12" customHeight="1" x14ac:dyDescent="0.25">
      <c r="A130" s="20"/>
      <c r="B130" s="21"/>
      <c r="C130" s="21"/>
      <c r="D130" s="30"/>
      <c r="E130" s="25"/>
      <c r="F130" s="25"/>
      <c r="G130" s="20"/>
      <c r="H130" s="23"/>
      <c r="I130" s="23"/>
      <c r="J130" s="23"/>
      <c r="K130" s="24"/>
      <c r="L130" s="21"/>
      <c r="M130" s="24"/>
      <c r="N130" s="24"/>
      <c r="O130" s="24"/>
    </row>
    <row r="131" spans="1:15" s="2" customFormat="1" ht="12" customHeight="1" x14ac:dyDescent="0.25">
      <c r="A131" s="20"/>
      <c r="B131" s="21"/>
      <c r="C131" s="21"/>
      <c r="D131" s="30"/>
      <c r="E131" s="25"/>
      <c r="F131" s="20"/>
      <c r="G131" s="20"/>
      <c r="H131" s="23"/>
      <c r="I131" s="23"/>
      <c r="J131" s="23"/>
      <c r="K131" s="24"/>
      <c r="L131" s="21"/>
      <c r="M131" s="24"/>
      <c r="N131" s="24"/>
      <c r="O131" s="24"/>
    </row>
    <row r="132" spans="1:15" s="2" customFormat="1" ht="12" customHeight="1" x14ac:dyDescent="0.25">
      <c r="A132" s="20"/>
      <c r="B132" s="21"/>
      <c r="C132" s="21"/>
      <c r="D132" s="30"/>
      <c r="E132" s="25"/>
      <c r="F132" s="20"/>
      <c r="G132" s="20"/>
      <c r="H132" s="37"/>
      <c r="I132" s="23"/>
      <c r="J132" s="23"/>
      <c r="K132" s="24"/>
      <c r="L132" s="21"/>
      <c r="M132" s="24"/>
      <c r="N132" s="24"/>
      <c r="O132" s="24"/>
    </row>
    <row r="133" spans="1:15" s="2" customFormat="1" ht="12" customHeight="1" x14ac:dyDescent="0.25">
      <c r="A133" s="26"/>
      <c r="B133" s="27"/>
      <c r="C133" s="27"/>
      <c r="D133" s="36"/>
      <c r="E133" s="28"/>
      <c r="F133" s="26"/>
      <c r="G133" s="26"/>
      <c r="H133" s="35"/>
      <c r="I133" s="35"/>
      <c r="J133" s="35"/>
      <c r="K133" s="29"/>
      <c r="L133" s="27"/>
      <c r="M133" s="27"/>
      <c r="N133" s="27"/>
      <c r="O133" s="27"/>
    </row>
    <row r="134" spans="1:15" s="2" customFormat="1" ht="12" customHeight="1" x14ac:dyDescent="0.25">
      <c r="A134" s="26"/>
      <c r="B134" s="27"/>
      <c r="C134" s="27"/>
      <c r="D134" s="26"/>
      <c r="E134" s="26"/>
      <c r="F134" s="26"/>
      <c r="G134" s="26"/>
      <c r="H134" s="35"/>
      <c r="I134" s="35"/>
      <c r="J134" s="35"/>
      <c r="K134" s="29"/>
      <c r="L134" s="27"/>
      <c r="M134" s="27"/>
      <c r="N134" s="27"/>
      <c r="O134" s="27"/>
    </row>
    <row r="135" spans="1:15" s="2" customFormat="1" ht="12" customHeight="1" x14ac:dyDescent="0.25">
      <c r="B135" s="13"/>
      <c r="C135" s="13"/>
      <c r="H135" s="5"/>
      <c r="I135" s="5"/>
      <c r="J135" s="5"/>
      <c r="K135" s="7"/>
      <c r="L135" s="13"/>
      <c r="M135" s="13"/>
      <c r="N135" s="13"/>
      <c r="O135" s="13"/>
    </row>
    <row r="136" spans="1:15" ht="12" customHeight="1" x14ac:dyDescent="0.25"/>
  </sheetData>
  <sheetProtection algorithmName="SHA-512" hashValue="fIUGtaLDLSXcGuXtebKTwcBOAerDxOZ06ggAeVIcaUKua9/dH4yArT0DsUOjHPp/HB0SPoVOLzIL1BcRcgUiAA==" saltValue="q2RYmI9YTX4WoRXEjm+GGg==" spinCount="100000" sheet="1" objects="1" scenarios="1" selectLockedCells="1"/>
  <sortState ref="A37:Q42">
    <sortCondition ref="A37:A42"/>
  </sortState>
  <mergeCells count="1">
    <mergeCell ref="B2:O4"/>
  </mergeCells>
  <pageMargins left="0.25" right="0.25" top="0.25" bottom="0.25" header="0.3" footer="0.3"/>
  <pageSetup orientation="portrait" r:id="rId1"/>
  <ignoredErrors>
    <ignoredError sqref="N34:N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Bender,  Justin</dc:creator>
  <cp:lastModifiedBy>Bender,  Justin</cp:lastModifiedBy>
  <cp:lastPrinted>2019-02-12T17:19:13Z</cp:lastPrinted>
  <dcterms:created xsi:type="dcterms:W3CDTF">2018-02-22T17:33:10Z</dcterms:created>
  <dcterms:modified xsi:type="dcterms:W3CDTF">2019-02-12T17:27:23Z</dcterms:modified>
</cp:coreProperties>
</file>