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cos25\"/>
    </mc:Choice>
  </mc:AlternateContent>
  <xr:revisionPtr revIDLastSave="0" documentId="13_ncr:1_{D2968CE8-6D1B-43A7-BB9A-0ACE255B92CD}" xr6:coauthVersionLast="47" xr6:coauthVersionMax="47" xr10:uidLastSave="{00000000-0000-0000-0000-000000000000}"/>
  <bookViews>
    <workbookView xWindow="780" yWindow="780" windowWidth="27840" windowHeight="14325" activeTab="7" xr2:uid="{00000000-000D-0000-FFFF-FFFF00000000}"/>
  </bookViews>
  <sheets>
    <sheet name="PhysicalDiagram" sheetId="3" r:id="rId1"/>
    <sheet name="Validate" sheetId="4" r:id="rId2"/>
    <sheet name="Flows" sheetId="5" r:id="rId3"/>
    <sheet name="Processes" sheetId="6" r:id="rId4"/>
    <sheet name="Exergy" sheetId="7" r:id="rId5"/>
    <sheet name="Format" sheetId="8" r:id="rId6"/>
    <sheet name="WasteDefinition" sheetId="9" r:id="rId7"/>
    <sheet name="WasteAllocation" sheetId="11" r:id="rId8"/>
    <sheet name="ResourcesCost" sheetId="10" r:id="rId9"/>
    <sheet name="Balance mat energ" sheetId="1" r:id="rId10"/>
    <sheet name="Exergías" sheetId="2" r:id="rId11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" i="7"/>
  <c r="B26" i="7"/>
  <c r="B18" i="7"/>
  <c r="B25" i="7" s="1"/>
  <c r="B9" i="7"/>
  <c r="U5" i="1" l="1"/>
  <c r="U22" i="1"/>
  <c r="AB21" i="1" s="1"/>
  <c r="P13" i="1"/>
  <c r="O30" i="1" s="1"/>
  <c r="P30" i="1"/>
  <c r="AC15" i="1"/>
  <c r="AB9" i="1"/>
  <c r="W14" i="1"/>
  <c r="AB2" i="1"/>
  <c r="N3" i="1"/>
  <c r="N2" i="1"/>
  <c r="B11" i="1"/>
  <c r="B6" i="1"/>
  <c r="L4" i="1"/>
  <c r="N4" i="1" s="1"/>
  <c r="O6" i="1"/>
  <c r="O8" i="1" s="1"/>
  <c r="H9" i="1" s="1"/>
  <c r="U8" i="1"/>
  <c r="H7" i="1"/>
  <c r="H6" i="1" s="1"/>
  <c r="B7" i="1"/>
  <c r="S14" i="1"/>
  <c r="S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<sst xmlns="http://schemas.openxmlformats.org/spreadsheetml/2006/main" count="285" uniqueCount="123">
  <si>
    <t>Cl2(g)</t>
  </si>
  <si>
    <t>ton</t>
  </si>
  <si>
    <t>NaOH (s)</t>
  </si>
  <si>
    <t>H2 (g)</t>
  </si>
  <si>
    <t>kg</t>
  </si>
  <si>
    <t>NaCl</t>
  </si>
  <si>
    <t>Electricidad</t>
  </si>
  <si>
    <t>GJ</t>
  </si>
  <si>
    <t>Agua</t>
  </si>
  <si>
    <t>Na2CO3</t>
  </si>
  <si>
    <t>NaOH</t>
  </si>
  <si>
    <t>HCl</t>
  </si>
  <si>
    <t>Vapor</t>
  </si>
  <si>
    <t>199 ºC</t>
  </si>
  <si>
    <t>10.4 bar</t>
  </si>
  <si>
    <t>H2SO4</t>
  </si>
  <si>
    <t>Energía</t>
  </si>
  <si>
    <t>MJ</t>
  </si>
  <si>
    <t>H2SO4 60%</t>
  </si>
  <si>
    <t>T sat P 10.4 bar</t>
  </si>
  <si>
    <t>T sat P amb</t>
  </si>
  <si>
    <t>Compuesto</t>
  </si>
  <si>
    <t>Exergía estándar (kJ/mol)</t>
  </si>
  <si>
    <t>M (g/mol)</t>
  </si>
  <si>
    <t>B</t>
  </si>
  <si>
    <t>TOTAL</t>
  </si>
  <si>
    <t>60 ºC</t>
  </si>
  <si>
    <t>100 ºC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</si>
  <si>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</si>
  <si>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</si>
  <si>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</si>
  <si>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</si>
  <si>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</si>
  <si>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</si>
  <si>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</si>
  <si>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</si>
  <si>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</si>
  <si>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</si>
  <si>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</si>
  <si>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</si>
  <si>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</si>
  <si>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</si>
  <si>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</si>
  <si>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</si>
  <si>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</si>
  <si>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</si>
  <si>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</si>
  <si>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</si>
  <si>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</si>
  <si>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</si>
  <si>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</si>
  <si>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</si>
  <si>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</si>
  <si>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</si>
  <si>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</si>
  <si>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</si>
  <si>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</si>
  <si>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</si>
  <si>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</si>
  <si>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</si>
  <si>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</si>
  <si>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</si>
  <si>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</si>
  <si>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B16</t>
  </si>
  <si>
    <t>B17</t>
  </si>
  <si>
    <t>B18</t>
  </si>
  <si>
    <t>B19</t>
  </si>
  <si>
    <t>B20</t>
  </si>
  <si>
    <t>B21</t>
  </si>
  <si>
    <t>description</t>
  </si>
  <si>
    <t>fuel</t>
  </si>
  <si>
    <t>product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</si>
  <si>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</si>
  <si>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</si>
  <si>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</si>
  <si>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</si>
  <si>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</si>
  <si>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</si>
  <si>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</si>
  <si>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</si>
  <si>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</si>
  <si>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</si>
  <si>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</si>
  <si>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</si>
  <si>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</si>
  <si>
    <t>Base</t>
  </si>
  <si>
    <t>Fossil</t>
  </si>
  <si>
    <t>EXT</t>
  </si>
  <si>
    <t>SAL</t>
  </si>
  <si>
    <t>ELEC</t>
  </si>
  <si>
    <t>PURCL</t>
  </si>
  <si>
    <t>PURNA</t>
  </si>
  <si>
    <t>Extracción</t>
  </si>
  <si>
    <t>Preparación Salmuera</t>
  </si>
  <si>
    <t>Electrólisis</t>
  </si>
  <si>
    <t>Purificación Cloro</t>
  </si>
  <si>
    <t>Desague minería</t>
  </si>
  <si>
    <t>DIS1</t>
  </si>
  <si>
    <t>Desague salmuera</t>
  </si>
  <si>
    <t>Sulfurico acuoso</t>
  </si>
  <si>
    <t>DIS2</t>
  </si>
  <si>
    <t>DIS3</t>
  </si>
  <si>
    <t>DIS4</t>
  </si>
  <si>
    <t>B1+B2+B3-B6</t>
  </si>
  <si>
    <t>B5+B6+B8-B10</t>
  </si>
  <si>
    <t>B9+B10+B11-B14</t>
  </si>
  <si>
    <t>B12+B13+B15</t>
  </si>
  <si>
    <t>B12+B16</t>
  </si>
  <si>
    <t>B13+B14+B19</t>
  </si>
  <si>
    <t>Cl2</t>
  </si>
  <si>
    <t>H2</t>
  </si>
  <si>
    <t>R22</t>
  </si>
  <si>
    <t>R23</t>
  </si>
  <si>
    <t>R24</t>
  </si>
  <si>
    <t>R25</t>
  </si>
  <si>
    <t>B1+B3+(B2-B4-B6)</t>
  </si>
  <si>
    <t>B5+B8+(B6-B7-B10)</t>
  </si>
  <si>
    <t>B12+B13+H2</t>
  </si>
  <si>
    <t>B9+B11+(B10-B14)</t>
  </si>
  <si>
    <t>B13+B14+(B19-B20)</t>
  </si>
  <si>
    <t>Purificación Sosa</t>
  </si>
  <si>
    <t>Vapor Exhaustado</t>
  </si>
  <si>
    <t>B17+NaOH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</si>
</sst>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11" fontId="0" fillId="3" borderId="0" xfId="0" applyNumberFormat="1" applyFill="1"/>
    <xf numFmtId="3" fontId="0" fillId="3" borderId="0" xfId="0" applyNumberFormat="1" applyFill="1"/>
    <xf numFmtId="2" fontId="0" fillId="3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112058</xdr:rowOff>
    </xdr:from>
    <xdr:to>
      <xdr:col>27</xdr:col>
      <xdr:colOff>58866</xdr:colOff>
      <xdr:row>35</xdr:row>
      <xdr:rowOff>44823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2558"/>
          <a:ext cx="20251866" cy="6409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83820</xdr:rowOff>
    </xdr:from>
    <xdr:to>
      <xdr:col>5</xdr:col>
      <xdr:colOff>594360</xdr:colOff>
      <xdr:row>11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759B86-84AE-98C6-3A6B-9D573C0907A9}"/>
            </a:ext>
          </a:extLst>
        </xdr:cNvPr>
        <xdr:cNvSpPr/>
      </xdr:nvSpPr>
      <xdr:spPr>
        <a:xfrm>
          <a:off x="183642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EXTRACCIÓN DE LA</a:t>
          </a:r>
          <a:r>
            <a:rPr lang="en-US" sz="1400" b="1" baseline="0"/>
            <a:t> SAL</a:t>
          </a:r>
          <a:endParaRPr lang="en-US" sz="1400" b="1"/>
        </a:p>
      </xdr:txBody>
    </xdr:sp>
    <xdr:clientData/>
  </xdr:twoCellAnchor>
  <xdr:twoCellAnchor>
    <xdr:from>
      <xdr:col>0</xdr:col>
      <xdr:colOff>121920</xdr:colOff>
      <xdr:row>7</xdr:row>
      <xdr:rowOff>53340</xdr:rowOff>
    </xdr:from>
    <xdr:to>
      <xdr:col>2</xdr:col>
      <xdr:colOff>586740</xdr:colOff>
      <xdr:row>7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6A9AA51-A512-8ADC-ADD8-FF094005C650}"/>
            </a:ext>
          </a:extLst>
        </xdr:cNvPr>
        <xdr:cNvCxnSpPr/>
      </xdr:nvCxnSpPr>
      <xdr:spPr>
        <a:xfrm flipV="1">
          <a:off x="121920" y="1333500"/>
          <a:ext cx="16840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</xdr:colOff>
      <xdr:row>9</xdr:row>
      <xdr:rowOff>99060</xdr:rowOff>
    </xdr:from>
    <xdr:to>
      <xdr:col>2</xdr:col>
      <xdr:colOff>579120</xdr:colOff>
      <xdr:row>9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23B1A3-5565-4690-BC60-A198AE61780F}"/>
            </a:ext>
          </a:extLst>
        </xdr:cNvPr>
        <xdr:cNvCxnSpPr/>
      </xdr:nvCxnSpPr>
      <xdr:spPr>
        <a:xfrm flipV="1">
          <a:off x="160020" y="1744980"/>
          <a:ext cx="163830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4</xdr:row>
      <xdr:rowOff>99060</xdr:rowOff>
    </xdr:from>
    <xdr:to>
      <xdr:col>12</xdr:col>
      <xdr:colOff>403860</xdr:colOff>
      <xdr:row>11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4C6D5F-65D7-4698-869F-59053F54E035}"/>
            </a:ext>
          </a:extLst>
        </xdr:cNvPr>
        <xdr:cNvSpPr/>
      </xdr:nvSpPr>
      <xdr:spPr>
        <a:xfrm>
          <a:off x="4084320" y="8305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PREPARACIÓN DE LA SALMUERA</a:t>
          </a:r>
        </a:p>
      </xdr:txBody>
    </xdr:sp>
    <xdr:clientData/>
  </xdr:twoCellAnchor>
  <xdr:twoCellAnchor>
    <xdr:from>
      <xdr:col>16</xdr:col>
      <xdr:colOff>15240</xdr:colOff>
      <xdr:row>4</xdr:row>
      <xdr:rowOff>83820</xdr:rowOff>
    </xdr:from>
    <xdr:to>
      <xdr:col>18</xdr:col>
      <xdr:colOff>601980</xdr:colOff>
      <xdr:row>11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12FAE-5023-4C5C-BC35-D767022EE406}"/>
            </a:ext>
          </a:extLst>
        </xdr:cNvPr>
        <xdr:cNvSpPr/>
      </xdr:nvSpPr>
      <xdr:spPr>
        <a:xfrm>
          <a:off x="672084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ELECTRÓLISIS</a:t>
          </a:r>
        </a:p>
      </xdr:txBody>
    </xdr:sp>
    <xdr:clientData/>
  </xdr:twoCellAnchor>
  <xdr:twoCellAnchor>
    <xdr:from>
      <xdr:col>22</xdr:col>
      <xdr:colOff>30480</xdr:colOff>
      <xdr:row>4</xdr:row>
      <xdr:rowOff>60960</xdr:rowOff>
    </xdr:from>
    <xdr:to>
      <xdr:col>25</xdr:col>
      <xdr:colOff>7620</xdr:colOff>
      <xdr:row>11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857F9D5-9B75-43DE-A060-CD5C7DEDA23F}"/>
            </a:ext>
          </a:extLst>
        </xdr:cNvPr>
        <xdr:cNvSpPr/>
      </xdr:nvSpPr>
      <xdr:spPr>
        <a:xfrm>
          <a:off x="10393680" y="7924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19</xdr:col>
      <xdr:colOff>7620</xdr:colOff>
      <xdr:row>9</xdr:row>
      <xdr:rowOff>144780</xdr:rowOff>
    </xdr:from>
    <xdr:to>
      <xdr:col>22</xdr:col>
      <xdr:colOff>45720</xdr:colOff>
      <xdr:row>17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80E303-FC43-4145-A21C-6FFA9792C6E4}"/>
            </a:ext>
          </a:extLst>
        </xdr:cNvPr>
        <xdr:cNvCxnSpPr/>
      </xdr:nvCxnSpPr>
      <xdr:spPr>
        <a:xfrm>
          <a:off x="10980420" y="1790700"/>
          <a:ext cx="1866900" cy="143256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11</xdr:row>
      <xdr:rowOff>129540</xdr:rowOff>
    </xdr:from>
    <xdr:to>
      <xdr:col>16</xdr:col>
      <xdr:colOff>487680</xdr:colOff>
      <xdr:row>16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948913F-20E4-4CC5-8154-BDEF605B8C6D}"/>
            </a:ext>
          </a:extLst>
        </xdr:cNvPr>
        <xdr:cNvCxnSpPr/>
      </xdr:nvCxnSpPr>
      <xdr:spPr>
        <a:xfrm>
          <a:off x="9631680" y="214122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6</xdr:row>
      <xdr:rowOff>60960</xdr:rowOff>
    </xdr:from>
    <xdr:to>
      <xdr:col>21</xdr:col>
      <xdr:colOff>601980</xdr:colOff>
      <xdr:row>6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6F1923-8054-4AF3-B5B9-93488722A42C}"/>
            </a:ext>
          </a:extLst>
        </xdr:cNvPr>
        <xdr:cNvCxnSpPr/>
      </xdr:nvCxnSpPr>
      <xdr:spPr>
        <a:xfrm flipV="1">
          <a:off x="8595360" y="11582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91440</xdr:rowOff>
    </xdr:from>
    <xdr:to>
      <xdr:col>16</xdr:col>
      <xdr:colOff>0</xdr:colOff>
      <xdr:row>6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A32944-E956-4A3F-A9C1-46C875FAF97C}"/>
            </a:ext>
          </a:extLst>
        </xdr:cNvPr>
        <xdr:cNvCxnSpPr/>
      </xdr:nvCxnSpPr>
      <xdr:spPr>
        <a:xfrm flipV="1">
          <a:off x="7383780" y="1188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0</xdr:row>
      <xdr:rowOff>22860</xdr:rowOff>
    </xdr:from>
    <xdr:to>
      <xdr:col>16</xdr:col>
      <xdr:colOff>472440</xdr:colOff>
      <xdr:row>4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9C8AE7-E052-4FC7-9826-E3EAA1F7E344}"/>
            </a:ext>
          </a:extLst>
        </xdr:cNvPr>
        <xdr:cNvCxnSpPr/>
      </xdr:nvCxnSpPr>
      <xdr:spPr>
        <a:xfrm flipH="1">
          <a:off x="960882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106680</xdr:rowOff>
    </xdr:from>
    <xdr:to>
      <xdr:col>15</xdr:col>
      <xdr:colOff>601980</xdr:colOff>
      <xdr:row>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4A03F5-3CAD-4CF0-BCE3-284D05FBF994}"/>
            </a:ext>
          </a:extLst>
        </xdr:cNvPr>
        <xdr:cNvCxnSpPr/>
      </xdr:nvCxnSpPr>
      <xdr:spPr>
        <a:xfrm flipV="1">
          <a:off x="7376160" y="1569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7</xdr:row>
      <xdr:rowOff>76200</xdr:rowOff>
    </xdr:from>
    <xdr:to>
      <xdr:col>9</xdr:col>
      <xdr:colOff>358140</xdr:colOff>
      <xdr:row>7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FE295D4-C68C-4999-A481-0D520C45A10B}"/>
            </a:ext>
          </a:extLst>
        </xdr:cNvPr>
        <xdr:cNvCxnSpPr/>
      </xdr:nvCxnSpPr>
      <xdr:spPr>
        <a:xfrm flipV="1">
          <a:off x="4084320" y="13563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9</xdr:row>
      <xdr:rowOff>114300</xdr:rowOff>
    </xdr:from>
    <xdr:to>
      <xdr:col>9</xdr:col>
      <xdr:colOff>350520</xdr:colOff>
      <xdr:row>9</xdr:row>
      <xdr:rowOff>121920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80B0584-4F50-433C-AC72-5CBF2C8F8CCD}"/>
            </a:ext>
          </a:extLst>
        </xdr:cNvPr>
        <xdr:cNvCxnSpPr/>
      </xdr:nvCxnSpPr>
      <xdr:spPr>
        <a:xfrm flipV="1">
          <a:off x="4076700" y="17602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0</xdr:row>
      <xdr:rowOff>22860</xdr:rowOff>
    </xdr:from>
    <xdr:to>
      <xdr:col>9</xdr:col>
      <xdr:colOff>541020</xdr:colOff>
      <xdr:row>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536519-6C07-4AED-9DD1-B44D5C39A2ED}"/>
            </a:ext>
          </a:extLst>
        </xdr:cNvPr>
        <xdr:cNvCxnSpPr/>
      </xdr:nvCxnSpPr>
      <xdr:spPr>
        <a:xfrm flipH="1">
          <a:off x="601980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106680</xdr:rowOff>
    </xdr:from>
    <xdr:to>
      <xdr:col>18</xdr:col>
      <xdr:colOff>586740</xdr:colOff>
      <xdr:row>23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C8C080B-8561-4E88-A2FE-675DD7B23582}"/>
            </a:ext>
          </a:extLst>
        </xdr:cNvPr>
        <xdr:cNvSpPr/>
      </xdr:nvSpPr>
      <xdr:spPr>
        <a:xfrm>
          <a:off x="9144000" y="303276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22</xdr:col>
      <xdr:colOff>38100</xdr:colOff>
      <xdr:row>16</xdr:row>
      <xdr:rowOff>175260</xdr:rowOff>
    </xdr:from>
    <xdr:to>
      <xdr:col>25</xdr:col>
      <xdr:colOff>15240</xdr:colOff>
      <xdr:row>23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16543B3-FB99-4786-B210-0F23EF410D2F}"/>
            </a:ext>
          </a:extLst>
        </xdr:cNvPr>
        <xdr:cNvSpPr/>
      </xdr:nvSpPr>
      <xdr:spPr>
        <a:xfrm>
          <a:off x="12839700" y="3101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PRODUCTOS FINALES</a:t>
          </a:r>
        </a:p>
      </xdr:txBody>
    </xdr:sp>
    <xdr:clientData/>
  </xdr:twoCellAnchor>
  <xdr:twoCellAnchor>
    <xdr:from>
      <xdr:col>13</xdr:col>
      <xdr:colOff>38100</xdr:colOff>
      <xdr:row>20</xdr:row>
      <xdr:rowOff>121920</xdr:rowOff>
    </xdr:from>
    <xdr:to>
      <xdr:col>15</xdr:col>
      <xdr:colOff>579120</xdr:colOff>
      <xdr:row>20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345455D-A6B6-4772-A45A-1CACF39BC3D9}"/>
            </a:ext>
          </a:extLst>
        </xdr:cNvPr>
        <xdr:cNvCxnSpPr/>
      </xdr:nvCxnSpPr>
      <xdr:spPr>
        <a:xfrm flipV="1">
          <a:off x="7353300" y="37795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99060</xdr:rowOff>
    </xdr:from>
    <xdr:to>
      <xdr:col>21</xdr:col>
      <xdr:colOff>541020</xdr:colOff>
      <xdr:row>20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39EE97-40C4-4F02-910D-89AD3DD56843}"/>
            </a:ext>
          </a:extLst>
        </xdr:cNvPr>
        <xdr:cNvCxnSpPr/>
      </xdr:nvCxnSpPr>
      <xdr:spPr>
        <a:xfrm flipV="1">
          <a:off x="10972800" y="37566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388620</xdr:colOff>
      <xdr:row>11</xdr:row>
      <xdr:rowOff>152400</xdr:rowOff>
    </xdr:from>
    <xdr:to>
      <xdr:col>24</xdr:col>
      <xdr:colOff>388620</xdr:colOff>
      <xdr:row>16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F5F6C-0524-46F8-97C2-5EFBB2511551}"/>
            </a:ext>
          </a:extLst>
        </xdr:cNvPr>
        <xdr:cNvCxnSpPr/>
      </xdr:nvCxnSpPr>
      <xdr:spPr>
        <a:xfrm>
          <a:off x="14409420" y="216408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23</xdr:row>
      <xdr:rowOff>160020</xdr:rowOff>
    </xdr:from>
    <xdr:to>
      <xdr:col>16</xdr:col>
      <xdr:colOff>441960</xdr:colOff>
      <xdr:row>28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28E43A-3E47-470B-B6F5-7864C26FB65F}"/>
            </a:ext>
          </a:extLst>
        </xdr:cNvPr>
        <xdr:cNvCxnSpPr/>
      </xdr:nvCxnSpPr>
      <xdr:spPr>
        <a:xfrm>
          <a:off x="9585960" y="43662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502920</xdr:colOff>
      <xdr:row>0</xdr:row>
      <xdr:rowOff>60960</xdr:rowOff>
    </xdr:from>
    <xdr:to>
      <xdr:col>23</xdr:col>
      <xdr:colOff>502920</xdr:colOff>
      <xdr:row>3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7C14952-82AC-4918-91BB-13FAF8A7D9AD}"/>
            </a:ext>
          </a:extLst>
        </xdr:cNvPr>
        <xdr:cNvCxnSpPr/>
      </xdr:nvCxnSpPr>
      <xdr:spPr>
        <a:xfrm>
          <a:off x="13914120" y="60960"/>
          <a:ext cx="0" cy="6553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0</xdr:row>
      <xdr:rowOff>15240</xdr:rowOff>
    </xdr:from>
    <xdr:to>
      <xdr:col>3</xdr:col>
      <xdr:colOff>487680</xdr:colOff>
      <xdr:row>4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1A27562-66E7-40F2-825A-8140D44271AE}"/>
            </a:ext>
          </a:extLst>
        </xdr:cNvPr>
        <xdr:cNvCxnSpPr/>
      </xdr:nvCxnSpPr>
      <xdr:spPr>
        <a:xfrm flipH="1">
          <a:off x="2308860" y="1524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11</xdr:row>
      <xdr:rowOff>144780</xdr:rowOff>
    </xdr:from>
    <xdr:to>
      <xdr:col>3</xdr:col>
      <xdr:colOff>388620</xdr:colOff>
      <xdr:row>16</xdr:row>
      <xdr:rowOff>7620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6494F4D-F53A-4884-836E-5A5DF41DA025}"/>
            </a:ext>
          </a:extLst>
        </xdr:cNvPr>
        <xdr:cNvCxnSpPr/>
      </xdr:nvCxnSpPr>
      <xdr:spPr>
        <a:xfrm flipH="1">
          <a:off x="2209800" y="21564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7</xdr:row>
      <xdr:rowOff>106680</xdr:rowOff>
    </xdr:from>
    <xdr:to>
      <xdr:col>27</xdr:col>
      <xdr:colOff>571500</xdr:colOff>
      <xdr:row>7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5F4DBA-1D5F-4235-ACC2-2D6CDC563245}"/>
            </a:ext>
          </a:extLst>
        </xdr:cNvPr>
        <xdr:cNvCxnSpPr/>
      </xdr:nvCxnSpPr>
      <xdr:spPr>
        <a:xfrm flipV="1">
          <a:off x="15270480" y="13868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11</xdr:row>
      <xdr:rowOff>144780</xdr:rowOff>
    </xdr:from>
    <xdr:to>
      <xdr:col>9</xdr:col>
      <xdr:colOff>533400</xdr:colOff>
      <xdr:row>16</xdr:row>
      <xdr:rowOff>83820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BBE6E21-58BD-4C66-9D88-9DC9B5D3122E}"/>
            </a:ext>
          </a:extLst>
        </xdr:cNvPr>
        <xdr:cNvCxnSpPr/>
      </xdr:nvCxnSpPr>
      <xdr:spPr>
        <a:xfrm>
          <a:off x="6019800" y="21564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</xdr:colOff>
      <xdr:row>8</xdr:row>
      <xdr:rowOff>114300</xdr:rowOff>
    </xdr:from>
    <xdr:to>
      <xdr:col>22</xdr:col>
      <xdr:colOff>0</xdr:colOff>
      <xdr:row>8</xdr:row>
      <xdr:rowOff>121920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1A2B13E-2ECA-4A5B-9BD5-313861EBE2D6}"/>
            </a:ext>
          </a:extLst>
        </xdr:cNvPr>
        <xdr:cNvCxnSpPr/>
      </xdr:nvCxnSpPr>
      <xdr:spPr>
        <a:xfrm flipV="1">
          <a:off x="11650980" y="15773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1</xdr:row>
      <xdr:rowOff>171450</xdr:rowOff>
    </xdr:from>
    <xdr:ext cx="392672" cy="59330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1019175" y="361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</a:t>
          </a:r>
          <a:endParaRPr lang="en-US" sz="1100" b="1"/>
        </a:p>
      </xdr:txBody>
    </xdr:sp>
    <xdr:clientData/>
  </xdr:oneCellAnchor>
  <xdr:oneCellAnchor>
    <xdr:from>
      <xdr:col>1</xdr:col>
      <xdr:colOff>419100</xdr:colOff>
      <xdr:row>11</xdr:row>
      <xdr:rowOff>57150</xdr:rowOff>
    </xdr:from>
    <xdr:ext cx="392672" cy="593304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1028700" y="21526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</a:t>
          </a:r>
          <a:endParaRPr lang="en-US" sz="1100" b="1"/>
        </a:p>
      </xdr:txBody>
    </xdr:sp>
    <xdr:clientData/>
  </xdr:oneCellAnchor>
  <xdr:oneCellAnchor>
    <xdr:from>
      <xdr:col>4</xdr:col>
      <xdr:colOff>76200</xdr:colOff>
      <xdr:row>1</xdr:row>
      <xdr:rowOff>28575</xdr:rowOff>
    </xdr:from>
    <xdr:ext cx="392672" cy="59330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2514600" y="2190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3</a:t>
          </a:r>
          <a:endParaRPr lang="en-US" sz="1100" b="1"/>
        </a:p>
      </xdr:txBody>
    </xdr:sp>
    <xdr:clientData/>
  </xdr:oneCellAnchor>
  <xdr:oneCellAnchor>
    <xdr:from>
      <xdr:col>4</xdr:col>
      <xdr:colOff>47625</xdr:colOff>
      <xdr:row>13</xdr:row>
      <xdr:rowOff>171450</xdr:rowOff>
    </xdr:from>
    <xdr:ext cx="392672" cy="593304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486025" y="2647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4</a:t>
          </a:r>
          <a:endParaRPr lang="en-US" sz="1100" b="1"/>
        </a:p>
      </xdr:txBody>
    </xdr:sp>
    <xdr:clientData/>
  </xdr:oneCellAnchor>
  <xdr:oneCellAnchor>
    <xdr:from>
      <xdr:col>8</xdr:col>
      <xdr:colOff>190500</xdr:colOff>
      <xdr:row>2</xdr:row>
      <xdr:rowOff>47625</xdr:rowOff>
    </xdr:from>
    <xdr:ext cx="392672" cy="59330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067300" y="4286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5</a:t>
          </a:r>
          <a:endParaRPr lang="en-US" sz="1100" b="1"/>
        </a:p>
      </xdr:txBody>
    </xdr:sp>
    <xdr:clientData/>
  </xdr:oneCellAnchor>
  <xdr:oneCellAnchor>
    <xdr:from>
      <xdr:col>8</xdr:col>
      <xdr:colOff>171450</xdr:colOff>
      <xdr:row>10</xdr:row>
      <xdr:rowOff>0</xdr:rowOff>
    </xdr:from>
    <xdr:ext cx="392672" cy="593304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048250" y="190500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6</a:t>
          </a:r>
          <a:endParaRPr lang="en-US" sz="1100" b="1"/>
        </a:p>
      </xdr:txBody>
    </xdr:sp>
    <xdr:clientData/>
  </xdr:oneCellAnchor>
  <xdr:oneCellAnchor>
    <xdr:from>
      <xdr:col>10</xdr:col>
      <xdr:colOff>238125</xdr:colOff>
      <xdr:row>14</xdr:row>
      <xdr:rowOff>28575</xdr:rowOff>
    </xdr:from>
    <xdr:ext cx="392672" cy="593304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334125" y="26955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7</a:t>
          </a:r>
          <a:endParaRPr lang="en-US" sz="1100" b="1"/>
        </a:p>
      </xdr:txBody>
    </xdr:sp>
    <xdr:clientData/>
  </xdr:oneCellAnchor>
  <xdr:oneCellAnchor>
    <xdr:from>
      <xdr:col>9</xdr:col>
      <xdr:colOff>161925</xdr:colOff>
      <xdr:row>1</xdr:row>
      <xdr:rowOff>9525</xdr:rowOff>
    </xdr:from>
    <xdr:ext cx="392672" cy="593304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648325" y="2000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8</a:t>
          </a:r>
          <a:endParaRPr lang="en-US" sz="1100" b="1"/>
        </a:p>
      </xdr:txBody>
    </xdr:sp>
    <xdr:clientData/>
  </xdr:oneCellAnchor>
  <xdr:oneCellAnchor>
    <xdr:from>
      <xdr:col>14</xdr:col>
      <xdr:colOff>304800</xdr:colOff>
      <xdr:row>1</xdr:row>
      <xdr:rowOff>19050</xdr:rowOff>
    </xdr:from>
    <xdr:ext cx="392672" cy="593304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8839200" y="2095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9</a:t>
          </a:r>
          <a:endParaRPr lang="en-US" sz="1100" b="1"/>
        </a:p>
      </xdr:txBody>
    </xdr:sp>
    <xdr:clientData/>
  </xdr:oneCellAnchor>
  <xdr:oneCellAnchor>
    <xdr:from>
      <xdr:col>14</xdr:col>
      <xdr:colOff>19050</xdr:colOff>
      <xdr:row>8</xdr:row>
      <xdr:rowOff>28575</xdr:rowOff>
    </xdr:from>
    <xdr:ext cx="600677" cy="593304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8553450" y="15525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10</a:t>
          </a:r>
          <a:endParaRPr lang="en-US" sz="1100" b="1"/>
        </a:p>
      </xdr:txBody>
    </xdr:sp>
    <xdr:clientData/>
  </xdr:oneCellAnchor>
  <xdr:oneCellAnchor>
    <xdr:from>
      <xdr:col>16</xdr:col>
      <xdr:colOff>590550</xdr:colOff>
      <xdr:row>1</xdr:row>
      <xdr:rowOff>19050</xdr:rowOff>
    </xdr:from>
    <xdr:ext cx="600677" cy="593304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10344150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11</a:t>
          </a:r>
          <a:endParaRPr lang="en-US" sz="1100" b="1"/>
        </a:p>
      </xdr:txBody>
    </xdr:sp>
    <xdr:clientData/>
  </xdr:oneCellAnchor>
  <xdr:oneCellAnchor>
    <xdr:from>
      <xdr:col>15</xdr:col>
      <xdr:colOff>447675</xdr:colOff>
      <xdr:row>13</xdr:row>
      <xdr:rowOff>9525</xdr:rowOff>
    </xdr:from>
    <xdr:ext cx="600677" cy="593304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9591675" y="24860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12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</xdr:row>
      <xdr:rowOff>19050</xdr:rowOff>
    </xdr:from>
    <xdr:ext cx="600677" cy="593304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12258675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13</a:t>
          </a:r>
          <a:endParaRPr lang="en-US" sz="1100" b="1"/>
        </a:p>
      </xdr:txBody>
    </xdr:sp>
    <xdr:clientData/>
  </xdr:oneCellAnchor>
  <xdr:oneCellAnchor>
    <xdr:from>
      <xdr:col>21</xdr:col>
      <xdr:colOff>9525</xdr:colOff>
      <xdr:row>8</xdr:row>
      <xdr:rowOff>123825</xdr:rowOff>
    </xdr:from>
    <xdr:ext cx="600677" cy="593304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12877800" y="16478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14</a:t>
          </a:r>
          <a:endParaRPr lang="en-US" sz="1100" b="1"/>
        </a:p>
      </xdr:txBody>
    </xdr:sp>
    <xdr:clientData/>
  </xdr:oneCellAnchor>
  <xdr:oneCellAnchor>
    <xdr:from>
      <xdr:col>13</xdr:col>
      <xdr:colOff>400050</xdr:colOff>
      <xdr:row>22</xdr:row>
      <xdr:rowOff>9525</xdr:rowOff>
    </xdr:from>
    <xdr:ext cx="600677" cy="593304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8324850" y="42005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16</a:t>
          </a:r>
          <a:endParaRPr lang="en-US" sz="1100" b="1"/>
        </a:p>
      </xdr:txBody>
    </xdr:sp>
    <xdr:clientData/>
  </xdr:oneCellAnchor>
  <xdr:oneCellAnchor>
    <xdr:from>
      <xdr:col>19</xdr:col>
      <xdr:colOff>504825</xdr:colOff>
      <xdr:row>13</xdr:row>
      <xdr:rowOff>19050</xdr:rowOff>
    </xdr:from>
    <xdr:ext cx="600677" cy="593304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12153900" y="2495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15</a:t>
          </a:r>
          <a:endParaRPr lang="en-US" sz="1100" b="1"/>
        </a:p>
      </xdr:txBody>
    </xdr:sp>
    <xdr:clientData/>
  </xdr:oneCellAnchor>
  <xdr:oneCellAnchor>
    <xdr:from>
      <xdr:col>15</xdr:col>
      <xdr:colOff>409575</xdr:colOff>
      <xdr:row>24</xdr:row>
      <xdr:rowOff>57150</xdr:rowOff>
    </xdr:from>
    <xdr:ext cx="600677" cy="593304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9553575" y="46291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17</a:t>
          </a:r>
          <a:endParaRPr lang="en-US" sz="1100" b="1"/>
        </a:p>
      </xdr:txBody>
    </xdr:sp>
    <xdr:clientData/>
  </xdr:oneCellAnchor>
  <xdr:oneCellAnchor>
    <xdr:from>
      <xdr:col>19</xdr:col>
      <xdr:colOff>247650</xdr:colOff>
      <xdr:row>21</xdr:row>
      <xdr:rowOff>28575</xdr:rowOff>
    </xdr:from>
    <xdr:ext cx="600677" cy="593304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11896725" y="40290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18</a:t>
          </a:r>
          <a:endParaRPr lang="en-US" sz="1100" b="1"/>
        </a:p>
      </xdr:txBody>
    </xdr:sp>
    <xdr:clientData/>
  </xdr:oneCellAnchor>
  <xdr:oneCellAnchor>
    <xdr:from>
      <xdr:col>26</xdr:col>
      <xdr:colOff>95250</xdr:colOff>
      <xdr:row>3</xdr:row>
      <xdr:rowOff>104775</xdr:rowOff>
    </xdr:from>
    <xdr:ext cx="600677" cy="593304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6040100" y="6762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20</a:t>
          </a:r>
          <a:endParaRPr lang="en-US" sz="1100" b="1"/>
        </a:p>
      </xdr:txBody>
    </xdr:sp>
    <xdr:clientData/>
  </xdr:oneCellAnchor>
  <xdr:oneCellAnchor>
    <xdr:from>
      <xdr:col>23</xdr:col>
      <xdr:colOff>390525</xdr:colOff>
      <xdr:row>12</xdr:row>
      <xdr:rowOff>114300</xdr:rowOff>
    </xdr:from>
    <xdr:ext cx="600677" cy="593304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14478000" y="240030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21</a:t>
          </a:r>
          <a:endParaRPr lang="en-US" sz="1100" b="1"/>
        </a:p>
      </xdr:txBody>
    </xdr:sp>
    <xdr:clientData/>
  </xdr:oneCellAnchor>
  <xdr:oneCellAnchor>
    <xdr:from>
      <xdr:col>22</xdr:col>
      <xdr:colOff>476250</xdr:colOff>
      <xdr:row>0</xdr:row>
      <xdr:rowOff>133350</xdr:rowOff>
    </xdr:from>
    <xdr:ext cx="600677" cy="593304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13954125" y="1333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19</a:t>
          </a:r>
          <a:endParaRPr lang="en-US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7:V43"/>
  <sheetViews>
    <sheetView showGridLines="0" zoomScale="85" zoomScaleNormal="85" workbookViewId="0">
      <selection activeCell="G43" sqref="G43"/>
    </sheetView>
  </sheetViews>
  <sheetFormatPr baseColWidth="10" defaultRowHeight="15" x14ac:dyDescent="0.25"/>
  <sheetData>
    <row r="37" spans="2:22" x14ac:dyDescent="0.25">
      <c r="B37" t="s">
        <v>103</v>
      </c>
      <c r="C37" t="s">
        <v>53</v>
      </c>
      <c r="H37" t="s">
        <v>104</v>
      </c>
      <c r="I37" t="s">
        <v>57</v>
      </c>
    </row>
    <row r="38" spans="2:22" x14ac:dyDescent="0.25">
      <c r="N38" t="s">
        <v>105</v>
      </c>
      <c r="O38" t="s">
        <v>106</v>
      </c>
      <c r="U38" t="s">
        <v>108</v>
      </c>
      <c r="V38" t="s">
        <v>68</v>
      </c>
    </row>
    <row r="43" spans="2:22" x14ac:dyDescent="0.25">
      <c r="N43" t="s">
        <v>107</v>
      </c>
      <c r="O43" t="s">
        <v>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0"/>
  <sheetViews>
    <sheetView showGridLines="0" zoomScale="85" zoomScaleNormal="85" workbookViewId="0">
      <selection activeCell="Q32" sqref="Q32"/>
    </sheetView>
  </sheetViews>
  <sheetFormatPr baseColWidth="10" defaultColWidth="9.140625" defaultRowHeight="15" x14ac:dyDescent="0.25"/>
  <cols>
    <col min="18" max="18" width="10.140625" customWidth="1"/>
    <col min="26" max="26" width="10.7109375" bestFit="1" customWidth="1"/>
  </cols>
  <sheetData>
    <row r="1" spans="1:30" x14ac:dyDescent="0.25">
      <c r="E1" t="s">
        <v>16</v>
      </c>
      <c r="F1" s="16">
        <v>244</v>
      </c>
      <c r="G1" t="s">
        <v>17</v>
      </c>
      <c r="H1" t="s">
        <v>86</v>
      </c>
      <c r="N1" t="s">
        <v>24</v>
      </c>
      <c r="R1" t="s">
        <v>6</v>
      </c>
      <c r="S1" s="16">
        <v>20.399999999999999</v>
      </c>
      <c r="T1" t="s">
        <v>7</v>
      </c>
    </row>
    <row r="2" spans="1:30" x14ac:dyDescent="0.25">
      <c r="K2" t="s">
        <v>9</v>
      </c>
      <c r="L2" s="1">
        <v>1.2E-2</v>
      </c>
      <c r="M2" t="s">
        <v>1</v>
      </c>
      <c r="N2" s="17">
        <f>L2*1000*VLOOKUP(K2,Exergías!$A$1:$C$8,2,FALSE)/VLOOKUP(K2,Exergías!$A$1:$C$8,3,FALSE)</f>
        <v>4.6981132075471699</v>
      </c>
      <c r="O2" t="s">
        <v>17</v>
      </c>
      <c r="Y2" t="s">
        <v>15</v>
      </c>
      <c r="Z2">
        <v>23</v>
      </c>
      <c r="AA2" t="s">
        <v>4</v>
      </c>
      <c r="AB2" s="19">
        <f>Z2*VLOOKUP(Y2,Exergías!$A$1:$C$8,2,FALSE)/VLOOKUP(Y2,Exergías!$A$1:$C$8,3,FALSE)</f>
        <v>38.3098878695209</v>
      </c>
      <c r="AC2" t="s">
        <v>17</v>
      </c>
    </row>
    <row r="3" spans="1:30" x14ac:dyDescent="0.25">
      <c r="K3" t="s">
        <v>10</v>
      </c>
      <c r="L3" s="1">
        <v>2.8999999999999998E-3</v>
      </c>
      <c r="M3" t="s">
        <v>1</v>
      </c>
      <c r="N3" s="17">
        <f>L3*1000*VLOOKUP(K3,Exergías!$A$1:$C$8,2,FALSE)/VLOOKUP(K3,Exergías!$A$1:$C$8,3,FALSE)</f>
        <v>5.43025</v>
      </c>
      <c r="O3" t="s">
        <v>17</v>
      </c>
    </row>
    <row r="4" spans="1:30" x14ac:dyDescent="0.25">
      <c r="K4" t="s">
        <v>11</v>
      </c>
      <c r="L4" s="1">
        <f>0.028*0.32</f>
        <v>8.9600000000000009E-3</v>
      </c>
      <c r="M4" t="s">
        <v>1</v>
      </c>
      <c r="N4" s="17">
        <f>L4*1000*VLOOKUP(K4,Exergías!$A$1:$C$8,2,FALSE)/VLOOKUP(K4,Exergías!$A$1:$C$8,3,FALSE)</f>
        <v>20.74301369863014</v>
      </c>
      <c r="O4" t="s">
        <v>17</v>
      </c>
    </row>
    <row r="5" spans="1:30" x14ac:dyDescent="0.25">
      <c r="N5" t="s">
        <v>24</v>
      </c>
      <c r="O5" s="16">
        <v>432</v>
      </c>
      <c r="P5" t="s">
        <v>17</v>
      </c>
      <c r="T5" t="s">
        <v>24</v>
      </c>
      <c r="U5" s="16">
        <f>1787496/1000</f>
        <v>1787.4960000000001</v>
      </c>
      <c r="V5" t="s">
        <v>17</v>
      </c>
    </row>
    <row r="6" spans="1:30" x14ac:dyDescent="0.25">
      <c r="A6" t="s">
        <v>24</v>
      </c>
      <c r="B6" s="16">
        <f>B7*1000*VLOOKUP(A7,Exergías!$A$1:$C$8,2,FALSE)/VLOOKUP(A7,Exergías!$A$1:$C$8,3,FALSE)</f>
        <v>490.06863449691997</v>
      </c>
      <c r="C6" t="s">
        <v>17</v>
      </c>
      <c r="G6" t="s">
        <v>24</v>
      </c>
      <c r="H6" s="16">
        <f>H7*1000*VLOOKUP(G7,Exergías!$A$1:$C$8,2,FALSE)/VLOOKUP(G7,Exergías!$A$1:$C$8,3,FALSE)</f>
        <v>490.06863449691997</v>
      </c>
      <c r="I6" t="s">
        <v>17</v>
      </c>
      <c r="N6" t="s">
        <v>5</v>
      </c>
      <c r="O6">
        <f>0.911*1.94</f>
        <v>1.7673399999999999</v>
      </c>
      <c r="P6" t="s">
        <v>1</v>
      </c>
      <c r="T6" t="s">
        <v>0</v>
      </c>
      <c r="U6">
        <v>1</v>
      </c>
      <c r="V6" t="s">
        <v>1</v>
      </c>
    </row>
    <row r="7" spans="1:30" x14ac:dyDescent="0.25">
      <c r="A7" t="s">
        <v>5</v>
      </c>
      <c r="B7">
        <f>0.867*2.31</f>
        <v>2.0027699999999999</v>
      </c>
      <c r="C7" t="s">
        <v>1</v>
      </c>
      <c r="G7" t="s">
        <v>5</v>
      </c>
      <c r="H7">
        <f>0.867*2.31</f>
        <v>2.0027699999999999</v>
      </c>
      <c r="I7" t="s">
        <v>1</v>
      </c>
      <c r="Z7" t="s">
        <v>18</v>
      </c>
      <c r="AA7">
        <v>28</v>
      </c>
      <c r="AB7" t="s">
        <v>4</v>
      </c>
    </row>
    <row r="8" spans="1:30" x14ac:dyDescent="0.25">
      <c r="N8" t="s">
        <v>8</v>
      </c>
      <c r="O8">
        <f>2.02+O6*3</f>
        <v>7.3220200000000002</v>
      </c>
      <c r="P8" t="s">
        <v>1</v>
      </c>
      <c r="T8" t="s">
        <v>8</v>
      </c>
      <c r="U8">
        <f>7.24/91.4*1000</f>
        <v>79.212253829321668</v>
      </c>
      <c r="V8" t="s">
        <v>4</v>
      </c>
    </row>
    <row r="9" spans="1:30" x14ac:dyDescent="0.25">
      <c r="A9" t="s">
        <v>8</v>
      </c>
      <c r="B9">
        <v>0.78</v>
      </c>
      <c r="C9" t="s">
        <v>1</v>
      </c>
      <c r="G9" t="s">
        <v>8</v>
      </c>
      <c r="H9">
        <f>O8+L13/1000</f>
        <v>7.8830200000000001</v>
      </c>
      <c r="I9" t="s">
        <v>1</v>
      </c>
      <c r="AB9" s="16">
        <f>28563/1000</f>
        <v>28.562999999999999</v>
      </c>
      <c r="AC9" t="s">
        <v>17</v>
      </c>
    </row>
    <row r="10" spans="1:30" x14ac:dyDescent="0.25">
      <c r="T10" t="s">
        <v>24</v>
      </c>
      <c r="U10" s="16">
        <v>0</v>
      </c>
    </row>
    <row r="11" spans="1:30" x14ac:dyDescent="0.25">
      <c r="A11" t="s">
        <v>24</v>
      </c>
      <c r="B11" s="16">
        <f>B9*1000*VLOOKUP(A9,Exergías!$A$1:$C$8,2,FALSE)/VLOOKUP(A7,Exergías!$A$1:$C$8,3,FALSE)</f>
        <v>12.012320328542096</v>
      </c>
      <c r="C11" t="s">
        <v>17</v>
      </c>
      <c r="G11" t="s">
        <v>24</v>
      </c>
      <c r="H11" s="16">
        <v>0</v>
      </c>
    </row>
    <row r="12" spans="1:30" x14ac:dyDescent="0.25">
      <c r="N12" t="s">
        <v>24</v>
      </c>
      <c r="O12" s="16">
        <v>0</v>
      </c>
    </row>
    <row r="13" spans="1:30" x14ac:dyDescent="0.25">
      <c r="E13" t="s">
        <v>8</v>
      </c>
      <c r="F13">
        <v>0.57999999999999996</v>
      </c>
      <c r="G13" t="s">
        <v>1</v>
      </c>
      <c r="K13" t="s">
        <v>8</v>
      </c>
      <c r="L13">
        <v>561</v>
      </c>
      <c r="M13" t="s">
        <v>4</v>
      </c>
      <c r="O13" t="s">
        <v>24</v>
      </c>
      <c r="P13" s="17">
        <f>1231383/1000</f>
        <v>1231.383</v>
      </c>
      <c r="Q13" s="2" t="s">
        <v>17</v>
      </c>
      <c r="R13" t="s">
        <v>10</v>
      </c>
      <c r="S13">
        <v>1.1279999999999999</v>
      </c>
      <c r="T13" t="s">
        <v>1</v>
      </c>
    </row>
    <row r="14" spans="1:30" x14ac:dyDescent="0.25">
      <c r="E14" t="s">
        <v>24</v>
      </c>
      <c r="F14">
        <v>0</v>
      </c>
      <c r="K14" t="s">
        <v>24</v>
      </c>
      <c r="L14" s="16">
        <v>0</v>
      </c>
      <c r="P14" t="s">
        <v>26</v>
      </c>
      <c r="R14" t="s">
        <v>8</v>
      </c>
      <c r="S14">
        <f>S13*2</f>
        <v>2.2559999999999998</v>
      </c>
      <c r="T14" t="s">
        <v>1</v>
      </c>
      <c r="V14" t="s">
        <v>24</v>
      </c>
      <c r="W14" s="16">
        <f>W15*VLOOKUP(V15,Exergías!$A$1:$C$9,2,FALSE)/VLOOKUP(V15,Exergías!$A$1:$C$9,3,FALSE)</f>
        <v>3364.4249999999997</v>
      </c>
      <c r="X14" t="s">
        <v>17</v>
      </c>
      <c r="AC14" t="s">
        <v>24</v>
      </c>
    </row>
    <row r="15" spans="1:30" x14ac:dyDescent="0.25">
      <c r="V15" t="s">
        <v>3</v>
      </c>
      <c r="W15">
        <v>28.5</v>
      </c>
      <c r="X15" t="s">
        <v>4</v>
      </c>
      <c r="Z15" t="s">
        <v>0</v>
      </c>
      <c r="AA15">
        <v>1</v>
      </c>
      <c r="AB15" t="s">
        <v>1</v>
      </c>
      <c r="AC15" s="17">
        <f>AA15*1000*VLOOKUP(Z15,Exergías!$A$1:$C$8,2,FALSE)/VLOOKUP(Z15,Exergías!$A$1:$C$8,3,FALSE)</f>
        <v>1743.3004231311704</v>
      </c>
      <c r="AD15" t="s">
        <v>17</v>
      </c>
    </row>
    <row r="17" spans="14:28" x14ac:dyDescent="0.25">
      <c r="O17" t="s">
        <v>86</v>
      </c>
    </row>
    <row r="18" spans="14:28" x14ac:dyDescent="0.25">
      <c r="T18" t="s">
        <v>27</v>
      </c>
    </row>
    <row r="19" spans="14:28" x14ac:dyDescent="0.25">
      <c r="N19" t="s">
        <v>13</v>
      </c>
      <c r="O19" t="s">
        <v>14</v>
      </c>
      <c r="T19" t="s">
        <v>2</v>
      </c>
      <c r="U19">
        <v>1.1279999999999999</v>
      </c>
      <c r="V19" t="s">
        <v>1</v>
      </c>
    </row>
    <row r="20" spans="14:28" x14ac:dyDescent="0.25">
      <c r="N20" t="s">
        <v>12</v>
      </c>
      <c r="O20">
        <v>0.8</v>
      </c>
      <c r="P20" t="s">
        <v>1</v>
      </c>
      <c r="T20" t="s">
        <v>8</v>
      </c>
      <c r="U20">
        <v>1.1279999999999999</v>
      </c>
      <c r="V20" t="s">
        <v>1</v>
      </c>
    </row>
    <row r="21" spans="14:28" x14ac:dyDescent="0.25">
      <c r="AA21" s="3" t="s">
        <v>25</v>
      </c>
      <c r="AB21" s="1">
        <f>U22+W14+AC15</f>
        <v>6302.2324231311704</v>
      </c>
    </row>
    <row r="22" spans="14:28" x14ac:dyDescent="0.25">
      <c r="N22" t="s">
        <v>24</v>
      </c>
      <c r="O22" s="18">
        <v>712.15700000000004</v>
      </c>
      <c r="P22" t="s">
        <v>17</v>
      </c>
      <c r="T22" t="s">
        <v>24</v>
      </c>
      <c r="U22" s="17">
        <f>1194507/1000</f>
        <v>1194.5070000000001</v>
      </c>
      <c r="V22" t="s">
        <v>17</v>
      </c>
    </row>
    <row r="25" spans="14:28" x14ac:dyDescent="0.25">
      <c r="R25" t="s">
        <v>12</v>
      </c>
      <c r="S25">
        <f>S14-U20</f>
        <v>1.1279999999999999</v>
      </c>
      <c r="T25" t="s">
        <v>1</v>
      </c>
      <c r="U25" s="19">
        <v>611</v>
      </c>
      <c r="V25" t="s">
        <v>17</v>
      </c>
    </row>
    <row r="26" spans="14:28" x14ac:dyDescent="0.25">
      <c r="R26" t="s">
        <v>20</v>
      </c>
    </row>
    <row r="27" spans="14:28" x14ac:dyDescent="0.25">
      <c r="R27" t="s">
        <v>8</v>
      </c>
      <c r="S27">
        <v>0.7</v>
      </c>
      <c r="T27" t="s">
        <v>1</v>
      </c>
      <c r="U27" s="16">
        <v>126.2</v>
      </c>
      <c r="V27" t="s">
        <v>17</v>
      </c>
    </row>
    <row r="28" spans="14:28" x14ac:dyDescent="0.25">
      <c r="R28" t="s">
        <v>19</v>
      </c>
    </row>
    <row r="30" spans="14:28" x14ac:dyDescent="0.25">
      <c r="O30" s="1">
        <f>O22+P13</f>
        <v>1943.54</v>
      </c>
      <c r="P30">
        <f>U25+U27+U22</f>
        <v>1931.7070000000001</v>
      </c>
    </row>
  </sheetData>
  <conditionalFormatting sqref="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{EDC1F62B-33C6-4008-932E-86963BF76F55}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1F62B-33C6-4008-932E-86963BF7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0.7109375" bestFit="1" customWidth="1"/>
    <col min="2" max="2" width="22.7109375" bestFit="1" customWidth="1"/>
    <col min="3" max="3" width="9.7109375" bestFit="1" customWidth="1"/>
  </cols>
  <sheetData>
    <row r="1" spans="1:3" x14ac:dyDescent="0.25">
      <c r="A1" s="3" t="s">
        <v>21</v>
      </c>
      <c r="B1" s="3" t="s">
        <v>22</v>
      </c>
      <c r="C1" s="3" t="s">
        <v>23</v>
      </c>
    </row>
    <row r="2" spans="1:3" x14ac:dyDescent="0.25">
      <c r="A2" t="s">
        <v>5</v>
      </c>
      <c r="B2">
        <v>14.3</v>
      </c>
      <c r="C2">
        <v>58.44</v>
      </c>
    </row>
    <row r="3" spans="1:3" x14ac:dyDescent="0.25">
      <c r="A3" t="s">
        <v>8</v>
      </c>
      <c r="B3">
        <v>0.9</v>
      </c>
      <c r="C3">
        <v>18</v>
      </c>
    </row>
    <row r="4" spans="1:3" x14ac:dyDescent="0.25">
      <c r="A4" t="s">
        <v>10</v>
      </c>
      <c r="B4">
        <v>74.900000000000006</v>
      </c>
      <c r="C4">
        <v>40</v>
      </c>
    </row>
    <row r="5" spans="1:3" x14ac:dyDescent="0.25">
      <c r="A5" t="s">
        <v>9</v>
      </c>
      <c r="B5">
        <v>41.5</v>
      </c>
      <c r="C5">
        <v>106</v>
      </c>
    </row>
    <row r="6" spans="1:3" x14ac:dyDescent="0.25">
      <c r="A6" t="s">
        <v>11</v>
      </c>
      <c r="B6">
        <v>84.5</v>
      </c>
      <c r="C6">
        <v>36.5</v>
      </c>
    </row>
    <row r="7" spans="1:3" x14ac:dyDescent="0.25">
      <c r="A7" t="s">
        <v>0</v>
      </c>
      <c r="B7">
        <v>123.6</v>
      </c>
      <c r="C7">
        <v>70.900000000000006</v>
      </c>
    </row>
    <row r="8" spans="1:3" x14ac:dyDescent="0.25">
      <c r="A8" t="s">
        <v>15</v>
      </c>
      <c r="B8">
        <v>163.4</v>
      </c>
      <c r="C8">
        <v>98.1</v>
      </c>
    </row>
    <row r="9" spans="1:3" x14ac:dyDescent="0.25">
      <c r="A9" t="s">
        <v>3</v>
      </c>
      <c r="B9">
        <v>236.1</v>
      </c>
      <c r="C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41" sqref="F41"/>
    </sheetView>
  </sheetViews>
  <sheetFormatPr baseColWidth="10" defaultRowHeight="15" x14ac:dyDescent="0.25"/>
  <sheetData>
    <row r="1" spans="1:4" x14ac:dyDescent="0.25">
      <c r="A1" s="4" t="s">
        <v>28</v>
      </c>
      <c r="B1" s="4" t="s">
        <v>29</v>
      </c>
      <c r="C1" s="4" t="s">
        <v>30</v>
      </c>
      <c r="D1" s="4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">
        <v>36</v>
      </c>
      <c r="B3" t="s">
        <v>37</v>
      </c>
      <c r="C3" t="s">
        <v>38</v>
      </c>
      <c r="D3" t="s">
        <v>39</v>
      </c>
    </row>
    <row r="4" spans="1:4" x14ac:dyDescent="0.25">
      <c r="A4" t="s">
        <v>40</v>
      </c>
      <c r="C4" t="s">
        <v>41</v>
      </c>
    </row>
    <row r="5" spans="1:4" x14ac:dyDescent="0.25">
      <c r="A5" t="s">
        <v>42</v>
      </c>
      <c r="C5" t="s">
        <v>43</v>
      </c>
    </row>
    <row r="6" spans="1:4" x14ac:dyDescent="0.25">
      <c r="C6" t="s">
        <v>44</v>
      </c>
    </row>
    <row r="7" spans="1:4" x14ac:dyDescent="0.25">
      <c r="C7" t="s">
        <v>45</v>
      </c>
    </row>
    <row r="8" spans="1:4" x14ac:dyDescent="0.25">
      <c r="C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zoomScale="115" zoomScaleNormal="115" workbookViewId="0">
      <selection activeCell="A27" sqref="A27"/>
    </sheetView>
  </sheetViews>
  <sheetFormatPr baseColWidth="10"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 s="6" t="s">
        <v>49</v>
      </c>
      <c r="B2" s="6" t="s">
        <v>32</v>
      </c>
    </row>
    <row r="3" spans="1:2" x14ac:dyDescent="0.25">
      <c r="A3" s="6" t="s">
        <v>50</v>
      </c>
      <c r="B3" s="6" t="s">
        <v>32</v>
      </c>
    </row>
    <row r="4" spans="1:2" x14ac:dyDescent="0.25">
      <c r="A4" s="6" t="s">
        <v>51</v>
      </c>
      <c r="B4" s="6" t="s">
        <v>32</v>
      </c>
    </row>
    <row r="5" spans="1:2" x14ac:dyDescent="0.25">
      <c r="A5" s="6" t="s">
        <v>52</v>
      </c>
      <c r="B5" s="6" t="s">
        <v>36</v>
      </c>
    </row>
    <row r="6" spans="1:2" x14ac:dyDescent="0.25">
      <c r="A6" s="6" t="s">
        <v>53</v>
      </c>
      <c r="B6" s="6" t="s">
        <v>36</v>
      </c>
    </row>
    <row r="7" spans="1:2" x14ac:dyDescent="0.25">
      <c r="A7" s="6" t="s">
        <v>54</v>
      </c>
      <c r="B7" s="6" t="s">
        <v>36</v>
      </c>
    </row>
    <row r="8" spans="1:2" x14ac:dyDescent="0.25">
      <c r="A8" s="6" t="s">
        <v>55</v>
      </c>
      <c r="B8" s="6" t="s">
        <v>36</v>
      </c>
    </row>
    <row r="9" spans="1:2" x14ac:dyDescent="0.25">
      <c r="A9" s="6" t="s">
        <v>56</v>
      </c>
      <c r="B9" s="6" t="s">
        <v>32</v>
      </c>
    </row>
    <row r="10" spans="1:2" x14ac:dyDescent="0.25">
      <c r="A10" s="6" t="s">
        <v>57</v>
      </c>
      <c r="B10" s="6" t="s">
        <v>36</v>
      </c>
    </row>
    <row r="11" spans="1:2" x14ac:dyDescent="0.25">
      <c r="A11" s="6" t="s">
        <v>58</v>
      </c>
      <c r="B11" s="6" t="s">
        <v>36</v>
      </c>
    </row>
    <row r="12" spans="1:2" x14ac:dyDescent="0.25">
      <c r="A12" s="6" t="s">
        <v>59</v>
      </c>
      <c r="B12" s="6" t="s">
        <v>32</v>
      </c>
    </row>
    <row r="13" spans="1:2" x14ac:dyDescent="0.25">
      <c r="A13" s="6" t="s">
        <v>60</v>
      </c>
      <c r="B13" s="6" t="s">
        <v>36</v>
      </c>
    </row>
    <row r="14" spans="1:2" x14ac:dyDescent="0.25">
      <c r="A14" s="6" t="s">
        <v>61</v>
      </c>
      <c r="B14" s="6" t="s">
        <v>36</v>
      </c>
    </row>
    <row r="15" spans="1:2" x14ac:dyDescent="0.25">
      <c r="A15" s="6" t="s">
        <v>62</v>
      </c>
      <c r="B15" s="6" t="s">
        <v>36</v>
      </c>
    </row>
    <row r="16" spans="1:2" x14ac:dyDescent="0.25">
      <c r="A16" s="6" t="s">
        <v>110</v>
      </c>
      <c r="B16" s="6" t="s">
        <v>40</v>
      </c>
    </row>
    <row r="17" spans="1:2" x14ac:dyDescent="0.25">
      <c r="A17" s="6" t="s">
        <v>63</v>
      </c>
      <c r="B17" s="6" t="s">
        <v>32</v>
      </c>
    </row>
    <row r="18" spans="1:2" x14ac:dyDescent="0.25">
      <c r="A18" s="6" t="s">
        <v>64</v>
      </c>
      <c r="B18" s="6" t="s">
        <v>36</v>
      </c>
    </row>
    <row r="19" spans="1:2" x14ac:dyDescent="0.25">
      <c r="A19" s="6" t="s">
        <v>10</v>
      </c>
      <c r="B19" s="6" t="s">
        <v>40</v>
      </c>
    </row>
    <row r="20" spans="1:2" x14ac:dyDescent="0.25">
      <c r="A20" s="6" t="s">
        <v>66</v>
      </c>
      <c r="B20" s="6" t="s">
        <v>32</v>
      </c>
    </row>
    <row r="21" spans="1:2" x14ac:dyDescent="0.25">
      <c r="A21" s="6" t="s">
        <v>67</v>
      </c>
      <c r="B21" s="6" t="s">
        <v>36</v>
      </c>
    </row>
    <row r="22" spans="1:2" x14ac:dyDescent="0.25">
      <c r="A22" s="6" t="s">
        <v>109</v>
      </c>
      <c r="B22" s="6" t="s">
        <v>40</v>
      </c>
    </row>
    <row r="23" spans="1:2" x14ac:dyDescent="0.25">
      <c r="A23" s="6" t="s">
        <v>111</v>
      </c>
      <c r="B23" s="6" t="s">
        <v>42</v>
      </c>
    </row>
    <row r="24" spans="1:2" x14ac:dyDescent="0.25">
      <c r="A24" s="6" t="s">
        <v>112</v>
      </c>
      <c r="B24" s="6" t="s">
        <v>42</v>
      </c>
    </row>
    <row r="25" spans="1:2" x14ac:dyDescent="0.25">
      <c r="A25" s="6" t="s">
        <v>113</v>
      </c>
      <c r="B25" s="6" t="s">
        <v>42</v>
      </c>
    </row>
    <row r="26" spans="1:2" x14ac:dyDescent="0.25">
      <c r="A26" s="6" t="s">
        <v>114</v>
      </c>
      <c r="B26" s="6" t="s">
        <v>42</v>
      </c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C6" sqref="C6"/>
    </sheetView>
  </sheetViews>
  <sheetFormatPr baseColWidth="10" defaultRowHeight="15" x14ac:dyDescent="0.25"/>
  <cols>
    <col min="1" max="1" width="7.28515625" style="6" bestFit="1" customWidth="1"/>
    <col min="2" max="2" width="18.5703125" style="6" customWidth="1"/>
    <col min="3" max="3" width="17.140625" style="6" customWidth="1"/>
    <col min="4" max="4" width="12.28515625" style="6" bestFit="1" customWidth="1"/>
    <col min="5" max="5" width="21.7109375" style="6" customWidth="1"/>
    <col min="6" max="16384" width="11.42578125" style="6"/>
  </cols>
  <sheetData>
    <row r="1" spans="1:5" x14ac:dyDescent="0.25">
      <c r="A1" s="5" t="s">
        <v>47</v>
      </c>
      <c r="B1" s="5" t="s">
        <v>70</v>
      </c>
      <c r="C1" s="5" t="s">
        <v>71</v>
      </c>
      <c r="D1" s="5" t="s">
        <v>48</v>
      </c>
      <c r="E1" s="5" t="s">
        <v>69</v>
      </c>
    </row>
    <row r="2" spans="1:5" x14ac:dyDescent="0.25">
      <c r="A2" s="6" t="s">
        <v>87</v>
      </c>
      <c r="B2" s="6" t="s">
        <v>115</v>
      </c>
      <c r="C2" s="6" t="s">
        <v>53</v>
      </c>
      <c r="D2" s="6" t="s">
        <v>33</v>
      </c>
      <c r="E2" s="6" t="s">
        <v>92</v>
      </c>
    </row>
    <row r="3" spans="1:5" x14ac:dyDescent="0.25">
      <c r="A3" s="6" t="s">
        <v>88</v>
      </c>
      <c r="B3" s="6" t="s">
        <v>116</v>
      </c>
      <c r="C3" s="6" t="s">
        <v>57</v>
      </c>
      <c r="D3" s="6" t="s">
        <v>33</v>
      </c>
      <c r="E3" s="6" t="s">
        <v>93</v>
      </c>
    </row>
    <row r="4" spans="1:5" x14ac:dyDescent="0.25">
      <c r="A4" s="6" t="s">
        <v>89</v>
      </c>
      <c r="B4" s="6" t="s">
        <v>118</v>
      </c>
      <c r="C4" s="6" t="s">
        <v>117</v>
      </c>
      <c r="D4" s="6" t="s">
        <v>33</v>
      </c>
      <c r="E4" s="6" t="s">
        <v>94</v>
      </c>
    </row>
    <row r="5" spans="1:5" x14ac:dyDescent="0.25">
      <c r="A5" s="6" t="s">
        <v>90</v>
      </c>
      <c r="B5" s="6" t="s">
        <v>119</v>
      </c>
      <c r="C5" s="6" t="s">
        <v>109</v>
      </c>
      <c r="D5" s="6" t="s">
        <v>33</v>
      </c>
      <c r="E5" s="6" t="s">
        <v>95</v>
      </c>
    </row>
    <row r="6" spans="1:5" x14ac:dyDescent="0.25">
      <c r="A6" s="6" t="s">
        <v>91</v>
      </c>
      <c r="B6" s="6" t="s">
        <v>107</v>
      </c>
      <c r="C6" s="6" t="s">
        <v>122</v>
      </c>
      <c r="D6" s="6" t="s">
        <v>33</v>
      </c>
      <c r="E6" s="6" t="s">
        <v>120</v>
      </c>
    </row>
    <row r="7" spans="1:5" x14ac:dyDescent="0.25">
      <c r="A7" s="6" t="s">
        <v>97</v>
      </c>
      <c r="B7" s="6" t="s">
        <v>52</v>
      </c>
      <c r="C7" s="7" t="s">
        <v>111</v>
      </c>
      <c r="D7" s="6" t="s">
        <v>37</v>
      </c>
      <c r="E7" s="6" t="s">
        <v>96</v>
      </c>
    </row>
    <row r="8" spans="1:5" x14ac:dyDescent="0.25">
      <c r="A8" s="6" t="s">
        <v>100</v>
      </c>
      <c r="B8" s="6" t="s">
        <v>55</v>
      </c>
      <c r="C8" s="7" t="s">
        <v>112</v>
      </c>
      <c r="D8" s="6" t="s">
        <v>37</v>
      </c>
      <c r="E8" s="6" t="s">
        <v>98</v>
      </c>
    </row>
    <row r="9" spans="1:5" x14ac:dyDescent="0.25">
      <c r="A9" s="6" t="s">
        <v>101</v>
      </c>
      <c r="B9" s="7" t="s">
        <v>64</v>
      </c>
      <c r="C9" s="7" t="s">
        <v>113</v>
      </c>
      <c r="D9" s="6" t="s">
        <v>37</v>
      </c>
      <c r="E9" s="6" t="s">
        <v>121</v>
      </c>
    </row>
    <row r="10" spans="1:5" x14ac:dyDescent="0.25">
      <c r="A10" s="6" t="s">
        <v>102</v>
      </c>
      <c r="B10" s="7" t="s">
        <v>67</v>
      </c>
      <c r="C10" s="7" t="s">
        <v>114</v>
      </c>
      <c r="D10" s="6" t="s">
        <v>37</v>
      </c>
      <c r="E10" s="6" t="s">
        <v>99</v>
      </c>
    </row>
    <row r="16" spans="1:5" x14ac:dyDescent="0.25">
      <c r="A16" s="7"/>
      <c r="B16" s="7"/>
    </row>
    <row r="17" spans="1:2" x14ac:dyDescent="0.25">
      <c r="A17" s="7"/>
      <c r="B17" s="7"/>
    </row>
    <row r="20" spans="1:2" x14ac:dyDescent="0.25">
      <c r="B20" s="7"/>
    </row>
    <row r="21" spans="1:2" x14ac:dyDescent="0.25">
      <c r="A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"/>
  <sheetViews>
    <sheetView zoomScale="115" zoomScaleNormal="115" workbookViewId="0">
      <selection activeCell="A2" sqref="A2:A26"/>
    </sheetView>
  </sheetViews>
  <sheetFormatPr baseColWidth="10" defaultRowHeight="15" x14ac:dyDescent="0.25"/>
  <cols>
    <col min="1" max="1" width="8" style="6" customWidth="1"/>
    <col min="2" max="2" width="8.28515625" style="6" bestFit="1" customWidth="1"/>
    <col min="3" max="16384" width="11.42578125" style="6"/>
  </cols>
  <sheetData>
    <row r="1" spans="1:2" x14ac:dyDescent="0.25">
      <c r="A1" s="5" t="s">
        <v>47</v>
      </c>
      <c r="B1" s="5" t="s">
        <v>72</v>
      </c>
    </row>
    <row r="2" spans="1:2" x14ac:dyDescent="0.25">
      <c r="A2" s="6" t="str">
        <f>Flows!A2</f>
        <v>B1</v>
      </c>
      <c r="B2" s="20">
        <v>490.07859999999999</v>
      </c>
    </row>
    <row r="3" spans="1:2" x14ac:dyDescent="0.25">
      <c r="A3" s="6" t="str">
        <f>Flows!A3</f>
        <v>B2</v>
      </c>
      <c r="B3" s="20">
        <v>12.012320000000001</v>
      </c>
    </row>
    <row r="4" spans="1:2" x14ac:dyDescent="0.25">
      <c r="A4" s="6" t="str">
        <f>Flows!A4</f>
        <v>B3</v>
      </c>
      <c r="B4" s="20">
        <v>244</v>
      </c>
    </row>
    <row r="5" spans="1:2" x14ac:dyDescent="0.25">
      <c r="A5" s="6" t="str">
        <f>Flows!A5</f>
        <v>B4</v>
      </c>
      <c r="B5" s="20">
        <v>0</v>
      </c>
    </row>
    <row r="6" spans="1:2" x14ac:dyDescent="0.25">
      <c r="A6" s="6" t="str">
        <f>Flows!A6</f>
        <v>B5</v>
      </c>
      <c r="B6" s="20">
        <v>490.0686</v>
      </c>
    </row>
    <row r="7" spans="1:2" x14ac:dyDescent="0.25">
      <c r="A7" s="6" t="str">
        <f>Flows!A7</f>
        <v>B6</v>
      </c>
      <c r="B7" s="20">
        <v>0</v>
      </c>
    </row>
    <row r="8" spans="1:2" x14ac:dyDescent="0.25">
      <c r="A8" s="6" t="str">
        <f>Flows!A8</f>
        <v>B7</v>
      </c>
      <c r="B8" s="20">
        <v>0</v>
      </c>
    </row>
    <row r="9" spans="1:2" x14ac:dyDescent="0.25">
      <c r="A9" s="6" t="str">
        <f>Flows!A9</f>
        <v>B8</v>
      </c>
      <c r="B9" s="20">
        <f>4.7+5.43+20.7</f>
        <v>30.83</v>
      </c>
    </row>
    <row r="10" spans="1:2" x14ac:dyDescent="0.25">
      <c r="A10" s="6" t="str">
        <f>Flows!A10</f>
        <v>B9</v>
      </c>
      <c r="B10" s="20">
        <v>432</v>
      </c>
    </row>
    <row r="11" spans="1:2" x14ac:dyDescent="0.25">
      <c r="A11" s="6" t="str">
        <f>Flows!A11</f>
        <v>B10</v>
      </c>
      <c r="B11" s="20">
        <v>0</v>
      </c>
    </row>
    <row r="12" spans="1:2" x14ac:dyDescent="0.25">
      <c r="A12" s="6" t="str">
        <f>Flows!A12</f>
        <v>B11</v>
      </c>
      <c r="B12" s="20">
        <v>20400</v>
      </c>
    </row>
    <row r="13" spans="1:2" x14ac:dyDescent="0.25">
      <c r="A13" s="6" t="str">
        <f>Flows!A13</f>
        <v>B12</v>
      </c>
      <c r="B13" s="20">
        <v>1230</v>
      </c>
    </row>
    <row r="14" spans="1:2" x14ac:dyDescent="0.25">
      <c r="A14" s="6" t="str">
        <f>Flows!A14</f>
        <v>B13</v>
      </c>
      <c r="B14" s="20">
        <v>1787.4960000000001</v>
      </c>
    </row>
    <row r="15" spans="1:2" x14ac:dyDescent="0.25">
      <c r="A15" s="6" t="str">
        <f>Flows!A15</f>
        <v>B14</v>
      </c>
      <c r="B15" s="20">
        <v>0</v>
      </c>
    </row>
    <row r="16" spans="1:2" x14ac:dyDescent="0.25">
      <c r="A16" s="6" t="str">
        <f>Flows!A16</f>
        <v>H2</v>
      </c>
      <c r="B16" s="20">
        <v>3364.4250000000002</v>
      </c>
    </row>
    <row r="17" spans="1:2" x14ac:dyDescent="0.25">
      <c r="A17" s="6" t="str">
        <f>Flows!A17</f>
        <v>B16</v>
      </c>
      <c r="B17" s="20">
        <v>712</v>
      </c>
    </row>
    <row r="18" spans="1:2" x14ac:dyDescent="0.25">
      <c r="A18" s="6" t="str">
        <f>Flows!A18</f>
        <v>B17</v>
      </c>
      <c r="B18" s="20">
        <f>611+126.2</f>
        <v>737.2</v>
      </c>
    </row>
    <row r="19" spans="1:2" x14ac:dyDescent="0.25">
      <c r="A19" s="6" t="str">
        <f>Flows!A19</f>
        <v>NaOH</v>
      </c>
      <c r="B19" s="20">
        <v>1190</v>
      </c>
    </row>
    <row r="20" spans="1:2" x14ac:dyDescent="0.25">
      <c r="A20" s="6" t="str">
        <f>Flows!A20</f>
        <v>B19</v>
      </c>
      <c r="B20" s="20">
        <v>38.31</v>
      </c>
    </row>
    <row r="21" spans="1:2" x14ac:dyDescent="0.25">
      <c r="A21" s="6" t="str">
        <f>Flows!A21</f>
        <v>B20</v>
      </c>
      <c r="B21" s="20">
        <v>28.562999999999999</v>
      </c>
    </row>
    <row r="22" spans="1:2" x14ac:dyDescent="0.25">
      <c r="A22" s="6" t="str">
        <f>Flows!A22</f>
        <v>Cl2</v>
      </c>
      <c r="B22" s="20">
        <v>1740</v>
      </c>
    </row>
    <row r="23" spans="1:2" x14ac:dyDescent="0.25">
      <c r="A23" s="6" t="str">
        <f>Flows!A23</f>
        <v>R22</v>
      </c>
      <c r="B23" s="20">
        <v>0</v>
      </c>
    </row>
    <row r="24" spans="1:2" x14ac:dyDescent="0.25">
      <c r="A24" s="6" t="str">
        <f>Flows!A24</f>
        <v>R23</v>
      </c>
      <c r="B24" s="20">
        <v>0</v>
      </c>
    </row>
    <row r="25" spans="1:2" x14ac:dyDescent="0.25">
      <c r="A25" s="6" t="str">
        <f>Flows!A25</f>
        <v>R24</v>
      </c>
      <c r="B25" s="20">
        <f>B18</f>
        <v>737.2</v>
      </c>
    </row>
    <row r="26" spans="1:2" x14ac:dyDescent="0.25">
      <c r="A26" s="6" t="str">
        <f>Flows!A26</f>
        <v>R25</v>
      </c>
      <c r="B26" s="20">
        <f>B21</f>
        <v>28.562999999999999</v>
      </c>
    </row>
    <row r="27" spans="1:2" x14ac:dyDescent="0.25">
      <c r="B27" s="20"/>
    </row>
    <row r="28" spans="1:2" x14ac:dyDescent="0.25">
      <c r="B28" s="20"/>
    </row>
    <row r="29" spans="1:2" x14ac:dyDescent="0.25">
      <c r="B29" s="20"/>
    </row>
    <row r="30" spans="1:2" x14ac:dyDescent="0.25">
      <c r="B30" s="20"/>
    </row>
    <row r="31" spans="1:2" x14ac:dyDescent="0.25">
      <c r="B31" s="20"/>
    </row>
    <row r="32" spans="1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10" sqref="C10"/>
    </sheetView>
  </sheetViews>
  <sheetFormatPr baseColWidth="10" defaultRowHeight="15" x14ac:dyDescent="0.25"/>
  <sheetData>
    <row r="1" spans="1:4" x14ac:dyDescent="0.25">
      <c r="A1" s="9" t="s">
        <v>47</v>
      </c>
      <c r="B1" s="9" t="s">
        <v>73</v>
      </c>
      <c r="C1" s="9" t="s">
        <v>74</v>
      </c>
      <c r="D1" s="9" t="s">
        <v>75</v>
      </c>
    </row>
    <row r="2" spans="1:4" x14ac:dyDescent="0.25">
      <c r="A2" s="9" t="s">
        <v>43</v>
      </c>
      <c r="B2">
        <v>10</v>
      </c>
      <c r="C2">
        <v>2</v>
      </c>
      <c r="D2" t="s">
        <v>76</v>
      </c>
    </row>
    <row r="3" spans="1:4" x14ac:dyDescent="0.25">
      <c r="A3" s="9" t="s">
        <v>77</v>
      </c>
      <c r="B3">
        <v>10</v>
      </c>
      <c r="C3">
        <v>2</v>
      </c>
      <c r="D3" t="s">
        <v>76</v>
      </c>
    </row>
    <row r="4" spans="1:4" x14ac:dyDescent="0.25">
      <c r="A4" s="9" t="s">
        <v>78</v>
      </c>
      <c r="B4">
        <v>10</v>
      </c>
      <c r="C4">
        <v>4</v>
      </c>
      <c r="D4" t="s">
        <v>79</v>
      </c>
    </row>
    <row r="5" spans="1:4" x14ac:dyDescent="0.25">
      <c r="A5" s="9" t="s">
        <v>80</v>
      </c>
      <c r="B5">
        <v>10</v>
      </c>
      <c r="C5">
        <v>2</v>
      </c>
      <c r="D5" t="s">
        <v>76</v>
      </c>
    </row>
    <row r="6" spans="1:4" x14ac:dyDescent="0.25">
      <c r="A6" s="9" t="s">
        <v>81</v>
      </c>
      <c r="B6">
        <v>10</v>
      </c>
      <c r="C6">
        <v>4</v>
      </c>
      <c r="D6" t="s">
        <v>82</v>
      </c>
    </row>
    <row r="7" spans="1:4" x14ac:dyDescent="0.25">
      <c r="A7" s="9" t="s">
        <v>83</v>
      </c>
      <c r="B7">
        <v>10</v>
      </c>
      <c r="C7">
        <v>3</v>
      </c>
      <c r="D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4" t="s">
        <v>47</v>
      </c>
      <c r="B1" s="4" t="s">
        <v>48</v>
      </c>
      <c r="C1" s="4" t="s">
        <v>84</v>
      </c>
    </row>
    <row r="2" spans="1:3" x14ac:dyDescent="0.25">
      <c r="A2" s="7" t="s">
        <v>111</v>
      </c>
      <c r="B2" t="s">
        <v>41</v>
      </c>
      <c r="C2">
        <v>0</v>
      </c>
    </row>
    <row r="3" spans="1:3" x14ac:dyDescent="0.25">
      <c r="A3" s="7" t="s">
        <v>112</v>
      </c>
      <c r="B3" t="s">
        <v>41</v>
      </c>
      <c r="C3">
        <v>0</v>
      </c>
    </row>
    <row r="4" spans="1:3" x14ac:dyDescent="0.25">
      <c r="A4" s="7" t="s">
        <v>113</v>
      </c>
      <c r="B4" t="s">
        <v>41</v>
      </c>
      <c r="C4">
        <v>0</v>
      </c>
    </row>
    <row r="5" spans="1:3" x14ac:dyDescent="0.25">
      <c r="A5" s="7" t="s">
        <v>114</v>
      </c>
      <c r="B5" t="s">
        <v>38</v>
      </c>
      <c r="C5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7662-6BAC-4C8E-825D-9911DD15A77C}">
  <dimension ref="A1:B2"/>
  <sheetViews>
    <sheetView tabSelected="1" workbookViewId="0">
      <selection activeCell="B3" sqref="B3"/>
    </sheetView>
  </sheetViews>
  <sheetFormatPr baseColWidth="10" defaultRowHeight="15" x14ac:dyDescent="0.25"/>
  <cols>
    <col min="2" max="2" width="4.5703125" customWidth="1"/>
  </cols>
  <sheetData>
    <row r="1" spans="1:2" x14ac:dyDescent="0.25">
      <c r="A1" t="s">
        <v>47</v>
      </c>
      <c r="B1" t="s">
        <v>114</v>
      </c>
    </row>
    <row r="2" spans="1:2" x14ac:dyDescent="0.25">
      <c r="A2" t="s">
        <v>89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Y34"/>
  <sheetViews>
    <sheetView workbookViewId="0">
      <selection activeCell="C11" sqref="C11"/>
    </sheetView>
  </sheetViews>
  <sheetFormatPr baseColWidth="10" defaultRowHeight="15" x14ac:dyDescent="0.25"/>
  <sheetData>
    <row r="1" spans="1:675" x14ac:dyDescent="0.25">
      <c r="A1" s="5" t="s">
        <v>47</v>
      </c>
      <c r="B1" s="5" t="s">
        <v>48</v>
      </c>
      <c r="C1" s="5" t="s">
        <v>85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</row>
    <row r="2" spans="1:675" x14ac:dyDescent="0.25">
      <c r="A2" s="6" t="s">
        <v>49</v>
      </c>
      <c r="B2" s="6" t="s">
        <v>35</v>
      </c>
      <c r="C2" s="6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</row>
    <row r="3" spans="1:675" x14ac:dyDescent="0.25">
      <c r="A3" s="6" t="s">
        <v>50</v>
      </c>
      <c r="B3" s="6" t="s">
        <v>35</v>
      </c>
      <c r="C3" s="6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</row>
    <row r="4" spans="1:675" x14ac:dyDescent="0.25">
      <c r="A4" s="6" t="s">
        <v>51</v>
      </c>
      <c r="B4" s="6" t="s">
        <v>35</v>
      </c>
      <c r="C4" s="6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</row>
    <row r="5" spans="1:675" x14ac:dyDescent="0.25">
      <c r="A5" s="6" t="s">
        <v>56</v>
      </c>
      <c r="B5" s="6" t="s">
        <v>35</v>
      </c>
      <c r="C5" s="6">
        <v>0</v>
      </c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1"/>
      <c r="S5" s="11"/>
      <c r="T5" s="11"/>
      <c r="U5" s="11"/>
      <c r="V5" s="11"/>
      <c r="W5" s="11"/>
      <c r="X5" s="11"/>
      <c r="Y5" s="11"/>
      <c r="Z5" s="11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0"/>
      <c r="AP5" s="10"/>
      <c r="AQ5" s="10"/>
      <c r="AR5" s="10"/>
      <c r="AS5" s="10"/>
      <c r="AT5" s="11"/>
      <c r="AU5" s="11"/>
      <c r="AV5" s="11"/>
      <c r="AW5" s="11"/>
      <c r="AX5" s="11"/>
      <c r="AY5" s="11"/>
      <c r="AZ5" s="11"/>
      <c r="BA5" s="11"/>
      <c r="BB5" s="11"/>
      <c r="BC5" s="10"/>
      <c r="BD5" s="10"/>
      <c r="BE5" s="10"/>
      <c r="BF5" s="10"/>
      <c r="BG5" s="10"/>
      <c r="BH5" s="12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0"/>
      <c r="BT5" s="10"/>
      <c r="BU5" s="10"/>
      <c r="BV5" s="12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2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0"/>
      <c r="CV5" s="10"/>
      <c r="CW5" s="10"/>
      <c r="CX5" s="12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</row>
    <row r="6" spans="1:675" x14ac:dyDescent="0.25">
      <c r="A6" s="6" t="s">
        <v>59</v>
      </c>
      <c r="B6" s="6" t="s">
        <v>35</v>
      </c>
      <c r="C6" s="6">
        <v>0</v>
      </c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1"/>
      <c r="AL6" s="11"/>
      <c r="AM6" s="11"/>
      <c r="AN6" s="11"/>
      <c r="AO6" s="10"/>
      <c r="AP6" s="10"/>
      <c r="AQ6" s="10"/>
      <c r="AR6" s="10"/>
      <c r="AS6" s="10"/>
      <c r="AT6" s="11"/>
      <c r="AU6" s="11"/>
      <c r="AV6" s="11"/>
      <c r="AW6" s="11"/>
      <c r="AX6" s="11"/>
      <c r="AY6" s="11"/>
      <c r="AZ6" s="11"/>
      <c r="BA6" s="11"/>
      <c r="BB6" s="11"/>
      <c r="BC6" s="10"/>
      <c r="BD6" s="10"/>
      <c r="BE6" s="10"/>
      <c r="BF6" s="10"/>
      <c r="BG6" s="10"/>
      <c r="BH6" s="12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0"/>
      <c r="BT6" s="10"/>
      <c r="BU6" s="10"/>
      <c r="BV6" s="12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2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0"/>
      <c r="CV6" s="10"/>
      <c r="CW6" s="10"/>
      <c r="CX6" s="12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</row>
    <row r="7" spans="1:675" x14ac:dyDescent="0.25">
      <c r="A7" s="6" t="s">
        <v>63</v>
      </c>
      <c r="B7" s="6" t="s">
        <v>35</v>
      </c>
      <c r="C7" s="6">
        <v>0</v>
      </c>
    </row>
    <row r="8" spans="1:675" x14ac:dyDescent="0.25">
      <c r="A8" s="6" t="s">
        <v>66</v>
      </c>
      <c r="B8" s="6" t="s">
        <v>35</v>
      </c>
      <c r="C8" s="6">
        <v>0</v>
      </c>
    </row>
    <row r="9" spans="1:675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</row>
    <row r="10" spans="1:675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</row>
    <row r="11" spans="1:675" x14ac:dyDescent="0.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3"/>
      <c r="CK11" s="13"/>
      <c r="CL11" s="13"/>
    </row>
    <row r="12" spans="1:6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3"/>
      <c r="CK12" s="13"/>
      <c r="CL12" s="13"/>
    </row>
    <row r="13" spans="1:675" x14ac:dyDescent="0.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675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675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675" x14ac:dyDescent="0.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</row>
    <row r="17" spans="4:675" x14ac:dyDescent="0.2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</row>
    <row r="18" spans="4:675" x14ac:dyDescent="0.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</row>
    <row r="19" spans="4:675" x14ac:dyDescent="0.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</row>
    <row r="20" spans="4:6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</row>
    <row r="21" spans="4:675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</row>
    <row r="22" spans="4:675" x14ac:dyDescent="0.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</row>
    <row r="23" spans="4:675" x14ac:dyDescent="0.25"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</row>
    <row r="24" spans="4:675" x14ac:dyDescent="0.25"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</row>
    <row r="25" spans="4:675" x14ac:dyDescent="0.25"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</row>
    <row r="26" spans="4:675" x14ac:dyDescent="0.25"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</row>
    <row r="27" spans="4:675" x14ac:dyDescent="0.25"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</row>
    <row r="28" spans="4:675" x14ac:dyDescent="0.25"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</row>
    <row r="29" spans="4:675" x14ac:dyDescent="0.25"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</row>
    <row r="30" spans="4:675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</row>
    <row r="31" spans="4:675" x14ac:dyDescent="0.25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4:675" x14ac:dyDescent="0.25"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</row>
    <row r="33" spans="172:283" x14ac:dyDescent="0.25"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</row>
    <row r="34" spans="172:283" x14ac:dyDescent="0.25"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Balance mat energ</vt:lpstr>
      <vt:lpstr>Exergías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Villanueva</dc:creator>
  <cp:lastModifiedBy>César Torres Cuadra</cp:lastModifiedBy>
  <dcterms:created xsi:type="dcterms:W3CDTF">2025-03-18T23:26:14Z</dcterms:created>
  <dcterms:modified xsi:type="dcterms:W3CDTF">2025-03-28T15:35:32Z</dcterms:modified>
</cp:coreProperties>
</file>